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Chem Eng\ResearchProjects\CChuck\Project_Admin\Papers fellowship\The published ones\Continuous HTL reactor paper\"/>
    </mc:Choice>
  </mc:AlternateContent>
  <bookViews>
    <workbookView xWindow="0" yWindow="0" windowWidth="11970" windowHeight="6540" tabRatio="500" activeTab="3"/>
  </bookViews>
  <sheets>
    <sheet name="Continuous data " sheetId="9" r:id="rId1"/>
    <sheet name="Batch Data" sheetId="7" r:id="rId2"/>
    <sheet name="Reactor dimension" sheetId="4" r:id="rId3"/>
    <sheet name="CHN analysis" sheetId="8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18" i="9" l="1"/>
  <c r="AF32" i="9"/>
  <c r="AF37" i="9"/>
  <c r="AF17" i="9"/>
  <c r="AF31" i="9"/>
  <c r="AF36" i="9"/>
  <c r="AF21" i="9"/>
  <c r="AF29" i="9"/>
  <c r="AF22" i="9"/>
  <c r="AF30" i="9"/>
  <c r="AF35" i="9"/>
  <c r="AF16" i="9"/>
  <c r="AF28" i="9"/>
  <c r="AF34" i="9"/>
  <c r="AE18" i="9"/>
  <c r="AE32" i="9"/>
  <c r="AE37" i="9"/>
  <c r="AE17" i="9"/>
  <c r="AE31" i="9"/>
  <c r="AE36" i="9"/>
  <c r="AE21" i="9"/>
  <c r="AE29" i="9"/>
  <c r="AE22" i="9"/>
  <c r="AE30" i="9"/>
  <c r="AE35" i="9"/>
  <c r="AE16" i="9"/>
  <c r="AE28" i="9"/>
  <c r="AE34" i="9"/>
  <c r="AD18" i="9"/>
  <c r="AD32" i="9"/>
  <c r="AD37" i="9"/>
  <c r="AD17" i="9"/>
  <c r="AD31" i="9"/>
  <c r="AD36" i="9"/>
  <c r="AD21" i="9"/>
  <c r="AD29" i="9"/>
  <c r="AD22" i="9"/>
  <c r="AD30" i="9"/>
  <c r="AD35" i="9"/>
  <c r="AD16" i="9"/>
  <c r="AD28" i="9"/>
  <c r="AD34" i="9"/>
  <c r="AC18" i="9"/>
  <c r="AC32" i="9"/>
  <c r="AC37" i="9"/>
  <c r="AC17" i="9"/>
  <c r="AC31" i="9"/>
  <c r="AC36" i="9"/>
  <c r="AC21" i="9"/>
  <c r="AC29" i="9"/>
  <c r="AC22" i="9"/>
  <c r="AC30" i="9"/>
  <c r="AC35" i="9"/>
  <c r="AC16" i="9"/>
  <c r="AC28" i="9"/>
  <c r="AC34" i="9"/>
  <c r="AB18" i="9"/>
  <c r="AB32" i="9"/>
  <c r="AB37" i="9"/>
  <c r="AB17" i="9"/>
  <c r="AB31" i="9"/>
  <c r="AB36" i="9"/>
  <c r="AB21" i="9"/>
  <c r="AB29" i="9"/>
  <c r="AB22" i="9"/>
  <c r="AB30" i="9"/>
  <c r="AB35" i="9"/>
  <c r="AB16" i="9"/>
  <c r="AB28" i="9"/>
  <c r="AB34" i="9"/>
  <c r="AA18" i="9"/>
  <c r="AA32" i="9"/>
  <c r="AA37" i="9"/>
  <c r="AA17" i="9"/>
  <c r="AA31" i="9"/>
  <c r="AA36" i="9"/>
  <c r="AA21" i="9"/>
  <c r="AA29" i="9"/>
  <c r="AA22" i="9"/>
  <c r="AA30" i="9"/>
  <c r="AA35" i="9"/>
  <c r="AA16" i="9"/>
  <c r="AA28" i="9"/>
  <c r="AA34" i="9"/>
  <c r="H28" i="9"/>
  <c r="H29" i="9"/>
  <c r="H30" i="9"/>
  <c r="H35" i="9"/>
  <c r="Y28" i="9"/>
  <c r="X21" i="9"/>
  <c r="W21" i="9"/>
  <c r="AR21" i="9"/>
  <c r="AR49" i="9"/>
  <c r="AR53" i="9"/>
  <c r="AR57" i="9"/>
  <c r="AC19" i="9"/>
  <c r="X19" i="9"/>
  <c r="W19" i="9"/>
  <c r="AF19" i="9"/>
  <c r="AR19" i="9"/>
  <c r="AR47" i="9"/>
  <c r="AR56" i="9"/>
  <c r="AC20" i="9"/>
  <c r="X20" i="9"/>
  <c r="W20" i="9"/>
  <c r="AF20" i="9"/>
  <c r="AR20" i="9"/>
  <c r="AR45" i="9"/>
  <c r="AR55" i="9"/>
  <c r="AR52" i="9"/>
  <c r="AR51" i="9"/>
  <c r="AR29" i="9"/>
  <c r="AR39" i="9"/>
  <c r="X18" i="9"/>
  <c r="W18" i="9"/>
  <c r="AR18" i="9"/>
  <c r="AR32" i="9"/>
  <c r="AR37" i="9"/>
  <c r="X17" i="9"/>
  <c r="W17" i="9"/>
  <c r="AR17" i="9"/>
  <c r="AR31" i="9"/>
  <c r="AR36" i="9"/>
  <c r="AR35" i="9"/>
  <c r="X16" i="9"/>
  <c r="W16" i="9"/>
  <c r="AR16" i="9"/>
  <c r="AR28" i="9"/>
  <c r="AR34" i="9"/>
  <c r="AQ21" i="9"/>
  <c r="AQ49" i="9"/>
  <c r="AQ57" i="9"/>
  <c r="AB19" i="9"/>
  <c r="AE19" i="9"/>
  <c r="AQ19" i="9"/>
  <c r="AQ47" i="9"/>
  <c r="AQ56" i="9"/>
  <c r="AB20" i="9"/>
  <c r="AE20" i="9"/>
  <c r="AQ20" i="9"/>
  <c r="AQ45" i="9"/>
  <c r="AQ55" i="9"/>
  <c r="AQ53" i="9"/>
  <c r="AQ52" i="9"/>
  <c r="AQ51" i="9"/>
  <c r="AQ29" i="9"/>
  <c r="AQ39" i="9"/>
  <c r="AQ18" i="9"/>
  <c r="AQ32" i="9"/>
  <c r="AQ37" i="9"/>
  <c r="AQ17" i="9"/>
  <c r="AQ31" i="9"/>
  <c r="AQ36" i="9"/>
  <c r="AQ35" i="9"/>
  <c r="AQ16" i="9"/>
  <c r="AQ28" i="9"/>
  <c r="AQ34" i="9"/>
  <c r="AP21" i="9"/>
  <c r="AP49" i="9"/>
  <c r="AP57" i="9"/>
  <c r="AA19" i="9"/>
  <c r="AD19" i="9"/>
  <c r="AP19" i="9"/>
  <c r="AP47" i="9"/>
  <c r="AP56" i="9"/>
  <c r="AA20" i="9"/>
  <c r="AD20" i="9"/>
  <c r="AP20" i="9"/>
  <c r="AP45" i="9"/>
  <c r="AP55" i="9"/>
  <c r="AP53" i="9"/>
  <c r="AP52" i="9"/>
  <c r="AP51" i="9"/>
  <c r="AP29" i="9"/>
  <c r="AP39" i="9"/>
  <c r="AP18" i="9"/>
  <c r="AP32" i="9"/>
  <c r="AP37" i="9"/>
  <c r="AP17" i="9"/>
  <c r="AP31" i="9"/>
  <c r="AP36" i="9"/>
  <c r="AP35" i="9"/>
  <c r="AP16" i="9"/>
  <c r="AP28" i="9"/>
  <c r="AP34" i="9"/>
  <c r="AL16" i="9"/>
  <c r="AI16" i="9"/>
  <c r="AO16" i="9"/>
  <c r="AO28" i="9"/>
  <c r="X22" i="9"/>
  <c r="W22" i="9"/>
  <c r="AR22" i="9"/>
  <c r="AQ22" i="9"/>
  <c r="AP22" i="9"/>
  <c r="AC15" i="9"/>
  <c r="X15" i="9"/>
  <c r="W15" i="9"/>
  <c r="AF15" i="9"/>
  <c r="AR15" i="9"/>
  <c r="AB15" i="9"/>
  <c r="AE15" i="9"/>
  <c r="AQ15" i="9"/>
  <c r="AA15" i="9"/>
  <c r="AD15" i="9"/>
  <c r="AP15" i="9"/>
  <c r="AC13" i="9"/>
  <c r="X13" i="9"/>
  <c r="W13" i="9"/>
  <c r="AF13" i="9"/>
  <c r="AR13" i="9"/>
  <c r="AB13" i="9"/>
  <c r="AE13" i="9"/>
  <c r="AQ13" i="9"/>
  <c r="AA13" i="9"/>
  <c r="AD13" i="9"/>
  <c r="AP13" i="9"/>
  <c r="Y29" i="9"/>
  <c r="Y30" i="9"/>
  <c r="Y35" i="9"/>
  <c r="Y31" i="9"/>
  <c r="Y36" i="9"/>
  <c r="Y32" i="9"/>
  <c r="Y37" i="9"/>
  <c r="Y34" i="9"/>
  <c r="X29" i="9"/>
  <c r="Q29" i="9"/>
  <c r="P29" i="9"/>
  <c r="Z29" i="9"/>
  <c r="X30" i="9"/>
  <c r="Q30" i="9"/>
  <c r="P30" i="9"/>
  <c r="Z30" i="9"/>
  <c r="Z35" i="9"/>
  <c r="X31" i="9"/>
  <c r="Q31" i="9"/>
  <c r="P31" i="9"/>
  <c r="Z31" i="9"/>
  <c r="Z36" i="9"/>
  <c r="X32" i="9"/>
  <c r="Q32" i="9"/>
  <c r="P32" i="9"/>
  <c r="Z32" i="9"/>
  <c r="Z37" i="9"/>
  <c r="X28" i="9"/>
  <c r="Q28" i="9"/>
  <c r="P28" i="9"/>
  <c r="Z28" i="9"/>
  <c r="Z34" i="9"/>
  <c r="X35" i="9"/>
  <c r="Q35" i="9"/>
  <c r="X36" i="9"/>
  <c r="Q36" i="9"/>
  <c r="X37" i="9"/>
  <c r="Q37" i="9"/>
  <c r="X34" i="9"/>
  <c r="Q34" i="9"/>
  <c r="Z39" i="9"/>
  <c r="D63" i="9"/>
  <c r="D64" i="9"/>
  <c r="D65" i="9"/>
  <c r="D66" i="9"/>
  <c r="D67" i="9"/>
  <c r="D68" i="9"/>
  <c r="D69" i="9"/>
  <c r="D70" i="9"/>
  <c r="D71" i="9"/>
  <c r="D73" i="9"/>
  <c r="C63" i="9"/>
  <c r="C64" i="9"/>
  <c r="C65" i="9"/>
  <c r="C66" i="9"/>
  <c r="C67" i="9"/>
  <c r="C68" i="9"/>
  <c r="C69" i="9"/>
  <c r="C70" i="9"/>
  <c r="C71" i="9"/>
  <c r="C73" i="9"/>
  <c r="AH21" i="9"/>
  <c r="AH29" i="9"/>
  <c r="AH39" i="9"/>
  <c r="AI21" i="9"/>
  <c r="AI29" i="9"/>
  <c r="AI39" i="9"/>
  <c r="AJ21" i="9"/>
  <c r="AJ29" i="9"/>
  <c r="AJ39" i="9"/>
  <c r="AK21" i="9"/>
  <c r="AK29" i="9"/>
  <c r="AK39" i="9"/>
  <c r="AL21" i="9"/>
  <c r="AL29" i="9"/>
  <c r="AL39" i="9"/>
  <c r="AG21" i="9"/>
  <c r="AM21" i="9"/>
  <c r="AM29" i="9"/>
  <c r="AM39" i="9"/>
  <c r="AN21" i="9"/>
  <c r="AN29" i="9"/>
  <c r="AN39" i="9"/>
  <c r="AO21" i="9"/>
  <c r="AO29" i="9"/>
  <c r="AO39" i="9"/>
  <c r="AG29" i="9"/>
  <c r="AG39" i="9"/>
  <c r="AG57" i="9"/>
  <c r="AG56" i="9"/>
  <c r="AG55" i="9"/>
  <c r="Y39" i="9"/>
  <c r="Y57" i="9"/>
  <c r="Y56" i="9"/>
  <c r="Y55" i="9"/>
  <c r="P39" i="9"/>
  <c r="P55" i="9"/>
  <c r="G45" i="9"/>
  <c r="L45" i="9"/>
  <c r="L55" i="9"/>
  <c r="N45" i="9"/>
  <c r="M45" i="9"/>
  <c r="M55" i="9"/>
  <c r="N55" i="9"/>
  <c r="H45" i="9"/>
  <c r="O45" i="9"/>
  <c r="O55" i="9"/>
  <c r="G47" i="9"/>
  <c r="L47" i="9"/>
  <c r="L56" i="9"/>
  <c r="N47" i="9"/>
  <c r="M47" i="9"/>
  <c r="M56" i="9"/>
  <c r="N56" i="9"/>
  <c r="H47" i="9"/>
  <c r="O47" i="9"/>
  <c r="O56" i="9"/>
  <c r="G49" i="9"/>
  <c r="L49" i="9"/>
  <c r="L57" i="9"/>
  <c r="N49" i="9"/>
  <c r="M49" i="9"/>
  <c r="M57" i="9"/>
  <c r="N57" i="9"/>
  <c r="H49" i="9"/>
  <c r="O49" i="9"/>
  <c r="O57" i="9"/>
  <c r="G51" i="9"/>
  <c r="L51" i="9"/>
  <c r="N51" i="9"/>
  <c r="M51" i="9"/>
  <c r="H51" i="9"/>
  <c r="O51" i="9"/>
  <c r="G52" i="9"/>
  <c r="L52" i="9"/>
  <c r="N52" i="9"/>
  <c r="M52" i="9"/>
  <c r="H52" i="9"/>
  <c r="O52" i="9"/>
  <c r="G53" i="9"/>
  <c r="L53" i="9"/>
  <c r="N53" i="9"/>
  <c r="M53" i="9"/>
  <c r="H53" i="9"/>
  <c r="O53" i="9"/>
  <c r="H34" i="9"/>
  <c r="G28" i="9"/>
  <c r="L28" i="9"/>
  <c r="L34" i="9"/>
  <c r="O34" i="9"/>
  <c r="G29" i="9"/>
  <c r="L29" i="9"/>
  <c r="G30" i="9"/>
  <c r="L30" i="9"/>
  <c r="L35" i="9"/>
  <c r="O35" i="9"/>
  <c r="H31" i="9"/>
  <c r="H36" i="9"/>
  <c r="G31" i="9"/>
  <c r="L31" i="9"/>
  <c r="L36" i="9"/>
  <c r="O36" i="9"/>
  <c r="H32" i="9"/>
  <c r="H37" i="9"/>
  <c r="G32" i="9"/>
  <c r="L32" i="9"/>
  <c r="L37" i="9"/>
  <c r="O37" i="9"/>
  <c r="H39" i="9"/>
  <c r="L39" i="9"/>
  <c r="O39" i="9"/>
  <c r="N29" i="9"/>
  <c r="N30" i="9"/>
  <c r="N35" i="9"/>
  <c r="M35" i="9"/>
  <c r="N31" i="9"/>
  <c r="N36" i="9"/>
  <c r="M36" i="9"/>
  <c r="N32" i="9"/>
  <c r="N37" i="9"/>
  <c r="M37" i="9"/>
  <c r="N39" i="9"/>
  <c r="M39" i="9"/>
  <c r="N28" i="9"/>
  <c r="N34" i="9"/>
  <c r="M34" i="9"/>
  <c r="AJ7" i="7"/>
  <c r="AJ37" i="7"/>
  <c r="AI7" i="7"/>
  <c r="AI37" i="7"/>
  <c r="AH7" i="7"/>
  <c r="AH37" i="7"/>
  <c r="AK42" i="7"/>
  <c r="AJ14" i="7"/>
  <c r="AJ38" i="7"/>
  <c r="AI14" i="7"/>
  <c r="AI38" i="7"/>
  <c r="AH14" i="7"/>
  <c r="AH38" i="7"/>
  <c r="AK43" i="7"/>
  <c r="AJ19" i="7"/>
  <c r="AJ36" i="7"/>
  <c r="AI19" i="7"/>
  <c r="AI36" i="7"/>
  <c r="AH19" i="7"/>
  <c r="AH36" i="7"/>
  <c r="AK41" i="7"/>
  <c r="Y15" i="7"/>
  <c r="AF15" i="7"/>
  <c r="Y17" i="7"/>
  <c r="AF17" i="7"/>
  <c r="Y19" i="7"/>
  <c r="AF19" i="7"/>
  <c r="AF36" i="7"/>
  <c r="Y13" i="7"/>
  <c r="AF13" i="7"/>
  <c r="Y7" i="7"/>
  <c r="AF7" i="7"/>
  <c r="Y10" i="7"/>
  <c r="AF10" i="7"/>
  <c r="AF37" i="7"/>
  <c r="Y14" i="7"/>
  <c r="AF14" i="7"/>
  <c r="Y16" i="7"/>
  <c r="AF16" i="7"/>
  <c r="Y18" i="7"/>
  <c r="AF18" i="7"/>
  <c r="AF38" i="7"/>
  <c r="AR8" i="7"/>
  <c r="AR4" i="7"/>
  <c r="AS8" i="7"/>
  <c r="Y8" i="7"/>
  <c r="Z8" i="7"/>
  <c r="AT8" i="7"/>
  <c r="AU8" i="7"/>
  <c r="AR11" i="7"/>
  <c r="AS11" i="7"/>
  <c r="Y11" i="7"/>
  <c r="Z11" i="7"/>
  <c r="AT11" i="7"/>
  <c r="AU11" i="7"/>
  <c r="AR20" i="7"/>
  <c r="AS20" i="7"/>
  <c r="Y20" i="7"/>
  <c r="Z20" i="7"/>
  <c r="AT20" i="7"/>
  <c r="AU20" i="7"/>
  <c r="AU26" i="7"/>
  <c r="AV26" i="7"/>
  <c r="AR9" i="7"/>
  <c r="AS9" i="7"/>
  <c r="Y9" i="7"/>
  <c r="Z9" i="7"/>
  <c r="AT9" i="7"/>
  <c r="AU9" i="7"/>
  <c r="AR12" i="7"/>
  <c r="AS12" i="7"/>
  <c r="Y12" i="7"/>
  <c r="Z12" i="7"/>
  <c r="AT12" i="7"/>
  <c r="AU12" i="7"/>
  <c r="AR21" i="7"/>
  <c r="AS21" i="7"/>
  <c r="Y21" i="7"/>
  <c r="Z21" i="7"/>
  <c r="AT21" i="7"/>
  <c r="AU21" i="7"/>
  <c r="AU27" i="7"/>
  <c r="AV27" i="7"/>
  <c r="AR7" i="7"/>
  <c r="AS7" i="7"/>
  <c r="Z7" i="7"/>
  <c r="AT7" i="7"/>
  <c r="AU7" i="7"/>
  <c r="AR10" i="7"/>
  <c r="AS10" i="7"/>
  <c r="Z10" i="7"/>
  <c r="AT10" i="7"/>
  <c r="AU10" i="7"/>
  <c r="AR13" i="7"/>
  <c r="AS13" i="7"/>
  <c r="Z13" i="7"/>
  <c r="AT13" i="7"/>
  <c r="AU13" i="7"/>
  <c r="AU28" i="7"/>
  <c r="AV28" i="7"/>
  <c r="AR22" i="7"/>
  <c r="AS22" i="7"/>
  <c r="Y22" i="7"/>
  <c r="Z22" i="7"/>
  <c r="AT22" i="7"/>
  <c r="AU22" i="7"/>
  <c r="AR23" i="7"/>
  <c r="AS23" i="7"/>
  <c r="Y23" i="7"/>
  <c r="Z23" i="7"/>
  <c r="AT23" i="7"/>
  <c r="AU23" i="7"/>
  <c r="AR24" i="7"/>
  <c r="AS24" i="7"/>
  <c r="Y24" i="7"/>
  <c r="Z24" i="7"/>
  <c r="AT24" i="7"/>
  <c r="AU24" i="7"/>
  <c r="AU29" i="7"/>
  <c r="AV29" i="7"/>
  <c r="AU31" i="7"/>
  <c r="AV31" i="7"/>
  <c r="AU32" i="7"/>
  <c r="AV32" i="7"/>
  <c r="AU33" i="7"/>
  <c r="AV33" i="7"/>
  <c r="AU34" i="7"/>
  <c r="AV34" i="7"/>
  <c r="AU37" i="7"/>
  <c r="AV37" i="7"/>
  <c r="AR14" i="7"/>
  <c r="AS14" i="7"/>
  <c r="Z14" i="7"/>
  <c r="AT14" i="7"/>
  <c r="AU14" i="7"/>
  <c r="AR16" i="7"/>
  <c r="AS16" i="7"/>
  <c r="Z16" i="7"/>
  <c r="AT16" i="7"/>
  <c r="AU16" i="7"/>
  <c r="AR18" i="7"/>
  <c r="AS18" i="7"/>
  <c r="Z18" i="7"/>
  <c r="AT18" i="7"/>
  <c r="AU18" i="7"/>
  <c r="AU38" i="7"/>
  <c r="AV38" i="7"/>
  <c r="AR15" i="7"/>
  <c r="AS15" i="7"/>
  <c r="Z15" i="7"/>
  <c r="AT15" i="7"/>
  <c r="AU15" i="7"/>
  <c r="AR17" i="7"/>
  <c r="AS17" i="7"/>
  <c r="Z17" i="7"/>
  <c r="AT17" i="7"/>
  <c r="AU17" i="7"/>
  <c r="AR19" i="7"/>
  <c r="AS19" i="7"/>
  <c r="Z19" i="7"/>
  <c r="AT19" i="7"/>
  <c r="AU19" i="7"/>
  <c r="AU41" i="7"/>
  <c r="AV41" i="7"/>
  <c r="AU42" i="7"/>
  <c r="AV42" i="7"/>
  <c r="AU43" i="7"/>
  <c r="AV43" i="7"/>
  <c r="AU36" i="7"/>
  <c r="AR6" i="7"/>
  <c r="AS6" i="7"/>
  <c r="Y6" i="7"/>
  <c r="Z6" i="7"/>
  <c r="AT6" i="7"/>
  <c r="AU6" i="7"/>
  <c r="AR5" i="7"/>
  <c r="AS5" i="7"/>
  <c r="Y5" i="7"/>
  <c r="Z5" i="7"/>
  <c r="AT5" i="7"/>
  <c r="AU5" i="7"/>
  <c r="AD14" i="7"/>
  <c r="AD16" i="7"/>
  <c r="AD18" i="7"/>
  <c r="AD38" i="7"/>
  <c r="AM38" i="7"/>
  <c r="AL38" i="7"/>
  <c r="AK38" i="7"/>
  <c r="AD13" i="7"/>
  <c r="AD7" i="7"/>
  <c r="AD10" i="7"/>
  <c r="AD37" i="7"/>
  <c r="AM37" i="7"/>
  <c r="AL37" i="7"/>
  <c r="AK37" i="7"/>
  <c r="AD15" i="7"/>
  <c r="AD17" i="7"/>
  <c r="AD19" i="7"/>
  <c r="AD36" i="7"/>
  <c r="AM36" i="7"/>
  <c r="AL36" i="7"/>
  <c r="AK36" i="7"/>
  <c r="AH12" i="7"/>
  <c r="AH27" i="7"/>
  <c r="AD9" i="7"/>
  <c r="AD12" i="7"/>
  <c r="AD21" i="7"/>
  <c r="AD27" i="7"/>
  <c r="AK27" i="7"/>
  <c r="AI12" i="7"/>
  <c r="AI27" i="7"/>
  <c r="AL27" i="7"/>
  <c r="AJ12" i="7"/>
  <c r="AJ27" i="7"/>
  <c r="AM27" i="7"/>
  <c r="AH28" i="7"/>
  <c r="AD28" i="7"/>
  <c r="AK28" i="7"/>
  <c r="AI28" i="7"/>
  <c r="AL28" i="7"/>
  <c r="AJ28" i="7"/>
  <c r="AM28" i="7"/>
  <c r="AH24" i="7"/>
  <c r="AH29" i="7"/>
  <c r="AD22" i="7"/>
  <c r="AD23" i="7"/>
  <c r="AD24" i="7"/>
  <c r="AD29" i="7"/>
  <c r="AK29" i="7"/>
  <c r="AI24" i="7"/>
  <c r="AI29" i="7"/>
  <c r="AL29" i="7"/>
  <c r="AJ24" i="7"/>
  <c r="AJ29" i="7"/>
  <c r="AM29" i="7"/>
  <c r="AJ11" i="7"/>
  <c r="AJ26" i="7"/>
  <c r="AD8" i="7"/>
  <c r="AD11" i="7"/>
  <c r="AD20" i="7"/>
  <c r="AD26" i="7"/>
  <c r="AM26" i="7"/>
  <c r="AI11" i="7"/>
  <c r="AI26" i="7"/>
  <c r="AL26" i="7"/>
  <c r="AH11" i="7"/>
  <c r="AH26" i="7"/>
  <c r="AK2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15" i="7"/>
  <c r="AA17" i="7"/>
  <c r="AA19" i="7"/>
  <c r="AA36" i="7"/>
  <c r="AB15" i="7"/>
  <c r="AB17" i="7"/>
  <c r="AB19" i="7"/>
  <c r="AB36" i="7"/>
  <c r="AC15" i="7"/>
  <c r="AC17" i="7"/>
  <c r="AC19" i="7"/>
  <c r="AC36" i="7"/>
  <c r="AE15" i="7"/>
  <c r="AE17" i="7"/>
  <c r="AE19" i="7"/>
  <c r="AE36" i="7"/>
  <c r="AG15" i="7"/>
  <c r="AG17" i="7"/>
  <c r="AG19" i="7"/>
  <c r="AG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13" i="7"/>
  <c r="AA7" i="7"/>
  <c r="AA10" i="7"/>
  <c r="AA37" i="7"/>
  <c r="AB13" i="7"/>
  <c r="AB7" i="7"/>
  <c r="AB10" i="7"/>
  <c r="AB37" i="7"/>
  <c r="AC13" i="7"/>
  <c r="AC7" i="7"/>
  <c r="AC10" i="7"/>
  <c r="AC37" i="7"/>
  <c r="AE13" i="7"/>
  <c r="AE7" i="7"/>
  <c r="AE10" i="7"/>
  <c r="AE37" i="7"/>
  <c r="AG13" i="7"/>
  <c r="AG7" i="7"/>
  <c r="AG10" i="7"/>
  <c r="AG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14" i="7"/>
  <c r="AA16" i="7"/>
  <c r="AA18" i="7"/>
  <c r="AA38" i="7"/>
  <c r="AB14" i="7"/>
  <c r="AB16" i="7"/>
  <c r="AB18" i="7"/>
  <c r="AB38" i="7"/>
  <c r="AC14" i="7"/>
  <c r="AC16" i="7"/>
  <c r="AC18" i="7"/>
  <c r="AC38" i="7"/>
  <c r="AE14" i="7"/>
  <c r="AE16" i="7"/>
  <c r="AE18" i="7"/>
  <c r="AE38" i="7"/>
  <c r="AG14" i="7"/>
  <c r="AG16" i="7"/>
  <c r="AG18" i="7"/>
  <c r="AG38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D41" i="7"/>
  <c r="D42" i="7"/>
  <c r="D43" i="7"/>
  <c r="D38" i="7"/>
  <c r="D37" i="7"/>
  <c r="D36" i="7"/>
  <c r="AH31" i="7"/>
  <c r="AI31" i="7"/>
  <c r="AJ31" i="7"/>
  <c r="AH32" i="7"/>
  <c r="AI32" i="7"/>
  <c r="AJ32" i="7"/>
  <c r="AH33" i="7"/>
  <c r="AI33" i="7"/>
  <c r="AJ33" i="7"/>
  <c r="AH34" i="7"/>
  <c r="AI34" i="7"/>
  <c r="AJ34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8" i="7"/>
  <c r="AA11" i="7"/>
  <c r="AA20" i="7"/>
  <c r="AA26" i="7"/>
  <c r="AB8" i="7"/>
  <c r="AB11" i="7"/>
  <c r="AB20" i="7"/>
  <c r="AB26" i="7"/>
  <c r="AC8" i="7"/>
  <c r="AC11" i="7"/>
  <c r="AC20" i="7"/>
  <c r="AC26" i="7"/>
  <c r="AE8" i="7"/>
  <c r="AE11" i="7"/>
  <c r="AE20" i="7"/>
  <c r="AE26" i="7"/>
  <c r="AF8" i="7"/>
  <c r="AF11" i="7"/>
  <c r="AF20" i="7"/>
  <c r="AF26" i="7"/>
  <c r="AG8" i="7"/>
  <c r="AG11" i="7"/>
  <c r="AG20" i="7"/>
  <c r="AG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9" i="7"/>
  <c r="AA12" i="7"/>
  <c r="AA21" i="7"/>
  <c r="AA27" i="7"/>
  <c r="AB9" i="7"/>
  <c r="AB12" i="7"/>
  <c r="AB21" i="7"/>
  <c r="AB27" i="7"/>
  <c r="AC9" i="7"/>
  <c r="AC12" i="7"/>
  <c r="AC21" i="7"/>
  <c r="AC27" i="7"/>
  <c r="AE9" i="7"/>
  <c r="AE12" i="7"/>
  <c r="AE21" i="7"/>
  <c r="AE27" i="7"/>
  <c r="AF9" i="7"/>
  <c r="AF12" i="7"/>
  <c r="AF21" i="7"/>
  <c r="AF27" i="7"/>
  <c r="AG9" i="7"/>
  <c r="AG12" i="7"/>
  <c r="AG21" i="7"/>
  <c r="AG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E28" i="7"/>
  <c r="AF28" i="7"/>
  <c r="AG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2" i="7"/>
  <c r="AA23" i="7"/>
  <c r="AA24" i="7"/>
  <c r="AA29" i="7"/>
  <c r="AB22" i="7"/>
  <c r="AB23" i="7"/>
  <c r="AB24" i="7"/>
  <c r="AB29" i="7"/>
  <c r="AC22" i="7"/>
  <c r="AC23" i="7"/>
  <c r="AC24" i="7"/>
  <c r="AC29" i="7"/>
  <c r="AE22" i="7"/>
  <c r="AE23" i="7"/>
  <c r="AE24" i="7"/>
  <c r="AE29" i="7"/>
  <c r="AF22" i="7"/>
  <c r="AF23" i="7"/>
  <c r="AF24" i="7"/>
  <c r="AF29" i="7"/>
  <c r="AG22" i="7"/>
  <c r="AG23" i="7"/>
  <c r="AG24" i="7"/>
  <c r="AG29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D34" i="7"/>
  <c r="D33" i="7"/>
  <c r="D32" i="7"/>
  <c r="D31" i="7"/>
  <c r="D29" i="7"/>
  <c r="D28" i="7"/>
  <c r="D27" i="7"/>
  <c r="D26" i="7"/>
  <c r="AF6" i="7"/>
  <c r="AF5" i="7"/>
  <c r="AE6" i="7"/>
  <c r="AE5" i="7"/>
  <c r="AD6" i="7"/>
  <c r="AD5" i="7"/>
  <c r="AC6" i="7"/>
  <c r="AC5" i="7"/>
  <c r="AB6" i="7"/>
  <c r="AB5" i="7"/>
  <c r="AA6" i="7"/>
  <c r="AA5" i="7"/>
  <c r="AG5" i="7"/>
  <c r="Y49" i="9"/>
  <c r="Y53" i="9"/>
  <c r="Y47" i="9"/>
  <c r="Y52" i="9"/>
  <c r="Y45" i="9"/>
  <c r="Y51" i="9"/>
  <c r="I29" i="9"/>
  <c r="I30" i="9"/>
  <c r="I35" i="9"/>
  <c r="J29" i="9"/>
  <c r="J30" i="9"/>
  <c r="J35" i="9"/>
  <c r="K29" i="9"/>
  <c r="K30" i="9"/>
  <c r="K35" i="9"/>
  <c r="P35" i="9"/>
  <c r="R29" i="9"/>
  <c r="R30" i="9"/>
  <c r="R35" i="9"/>
  <c r="S29" i="9"/>
  <c r="S30" i="9"/>
  <c r="S35" i="9"/>
  <c r="T29" i="9"/>
  <c r="T30" i="9"/>
  <c r="T35" i="9"/>
  <c r="U29" i="9"/>
  <c r="U30" i="9"/>
  <c r="U35" i="9"/>
  <c r="V29" i="9"/>
  <c r="V30" i="9"/>
  <c r="V35" i="9"/>
  <c r="W29" i="9"/>
  <c r="W30" i="9"/>
  <c r="W35" i="9"/>
  <c r="G35" i="9"/>
  <c r="F29" i="9"/>
  <c r="F30" i="9"/>
  <c r="F35" i="9"/>
  <c r="Q39" i="9"/>
  <c r="Q55" i="9"/>
  <c r="R39" i="9"/>
  <c r="R55" i="9"/>
  <c r="S39" i="9"/>
  <c r="S55" i="9"/>
  <c r="T39" i="9"/>
  <c r="T55" i="9"/>
  <c r="U39" i="9"/>
  <c r="U55" i="9"/>
  <c r="V39" i="9"/>
  <c r="V55" i="9"/>
  <c r="W39" i="9"/>
  <c r="W55" i="9"/>
  <c r="X39" i="9"/>
  <c r="X55" i="9"/>
  <c r="Q56" i="9"/>
  <c r="R56" i="9"/>
  <c r="S56" i="9"/>
  <c r="T56" i="9"/>
  <c r="U56" i="9"/>
  <c r="V56" i="9"/>
  <c r="W56" i="9"/>
  <c r="X56" i="9"/>
  <c r="Q57" i="9"/>
  <c r="R57" i="9"/>
  <c r="S57" i="9"/>
  <c r="T57" i="9"/>
  <c r="U57" i="9"/>
  <c r="V57" i="9"/>
  <c r="W57" i="9"/>
  <c r="X57" i="9"/>
  <c r="P57" i="9"/>
  <c r="P56" i="9"/>
  <c r="X47" i="9"/>
  <c r="X52" i="9"/>
  <c r="X45" i="9"/>
  <c r="X51" i="9"/>
  <c r="X49" i="9"/>
  <c r="T49" i="9"/>
  <c r="W49" i="9"/>
  <c r="W53" i="9"/>
  <c r="T47" i="9"/>
  <c r="W47" i="9"/>
  <c r="W52" i="9"/>
  <c r="T45" i="9"/>
  <c r="W45" i="9"/>
  <c r="W51" i="9"/>
  <c r="T32" i="9"/>
  <c r="W32" i="9"/>
  <c r="W37" i="9"/>
  <c r="T31" i="9"/>
  <c r="W31" i="9"/>
  <c r="W36" i="9"/>
  <c r="T28" i="9"/>
  <c r="W28" i="9"/>
  <c r="W34" i="9"/>
  <c r="AG15" i="9"/>
  <c r="AG20" i="9"/>
  <c r="AG45" i="9"/>
  <c r="AG51" i="9"/>
  <c r="AG19" i="9"/>
  <c r="AG47" i="9"/>
  <c r="AG52" i="9"/>
  <c r="AG49" i="9"/>
  <c r="AG53" i="9"/>
  <c r="AH15" i="9"/>
  <c r="AH20" i="9"/>
  <c r="AH45" i="9"/>
  <c r="AH51" i="9"/>
  <c r="AH19" i="9"/>
  <c r="AH47" i="9"/>
  <c r="AH52" i="9"/>
  <c r="AH49" i="9"/>
  <c r="AH53" i="9"/>
  <c r="AI15" i="9"/>
  <c r="AI20" i="9"/>
  <c r="AI45" i="9"/>
  <c r="AI51" i="9"/>
  <c r="AI19" i="9"/>
  <c r="AI47" i="9"/>
  <c r="AI52" i="9"/>
  <c r="AI49" i="9"/>
  <c r="AI53" i="9"/>
  <c r="AL49" i="9"/>
  <c r="AL53" i="9"/>
  <c r="AL19" i="9"/>
  <c r="AL47" i="9"/>
  <c r="AL52" i="9"/>
  <c r="AL15" i="9"/>
  <c r="AL20" i="9"/>
  <c r="AL45" i="9"/>
  <c r="AL51" i="9"/>
  <c r="AK49" i="9"/>
  <c r="AK53" i="9"/>
  <c r="AK19" i="9"/>
  <c r="AK47" i="9"/>
  <c r="AK52" i="9"/>
  <c r="AK15" i="9"/>
  <c r="AK20" i="9"/>
  <c r="AK45" i="9"/>
  <c r="AK51" i="9"/>
  <c r="AJ49" i="9"/>
  <c r="AJ53" i="9"/>
  <c r="AJ19" i="9"/>
  <c r="AJ47" i="9"/>
  <c r="AJ52" i="9"/>
  <c r="AJ15" i="9"/>
  <c r="AJ20" i="9"/>
  <c r="AJ45" i="9"/>
  <c r="AJ51" i="9"/>
  <c r="AG6" i="7"/>
  <c r="AM15" i="9"/>
  <c r="AM20" i="9"/>
  <c r="AM45" i="9"/>
  <c r="AM51" i="9"/>
  <c r="AM19" i="9"/>
  <c r="AM47" i="9"/>
  <c r="AM52" i="9"/>
  <c r="AL18" i="9"/>
  <c r="AI18" i="9"/>
  <c r="AO18" i="9"/>
  <c r="AO32" i="9"/>
  <c r="AO37" i="9"/>
  <c r="AL17" i="9"/>
  <c r="AI17" i="9"/>
  <c r="AO17" i="9"/>
  <c r="AO31" i="9"/>
  <c r="AO36" i="9"/>
  <c r="AL22" i="9"/>
  <c r="AI22" i="9"/>
  <c r="AO22" i="9"/>
  <c r="AO35" i="9"/>
  <c r="AO34" i="9"/>
  <c r="AK18" i="9"/>
  <c r="AH18" i="9"/>
  <c r="AN18" i="9"/>
  <c r="AN32" i="9"/>
  <c r="AN37" i="9"/>
  <c r="AK17" i="9"/>
  <c r="AH17" i="9"/>
  <c r="AN17" i="9"/>
  <c r="AN31" i="9"/>
  <c r="AN36" i="9"/>
  <c r="AK22" i="9"/>
  <c r="AH22" i="9"/>
  <c r="AN22" i="9"/>
  <c r="AN35" i="9"/>
  <c r="AK16" i="9"/>
  <c r="AH16" i="9"/>
  <c r="AN16" i="9"/>
  <c r="AN28" i="9"/>
  <c r="AN34" i="9"/>
  <c r="AJ18" i="9"/>
  <c r="AG18" i="9"/>
  <c r="AM18" i="9"/>
  <c r="AM32" i="9"/>
  <c r="AM37" i="9"/>
  <c r="AJ17" i="9"/>
  <c r="AG17" i="9"/>
  <c r="AM17" i="9"/>
  <c r="AM31" i="9"/>
  <c r="AM36" i="9"/>
  <c r="AJ22" i="9"/>
  <c r="AG22" i="9"/>
  <c r="AM22" i="9"/>
  <c r="AM35" i="9"/>
  <c r="AJ16" i="9"/>
  <c r="AG16" i="9"/>
  <c r="AM16" i="9"/>
  <c r="AM28" i="9"/>
  <c r="AM34" i="9"/>
  <c r="AL32" i="9"/>
  <c r="AL37" i="9"/>
  <c r="AL31" i="9"/>
  <c r="AL36" i="9"/>
  <c r="AL35" i="9"/>
  <c r="AL28" i="9"/>
  <c r="AL34" i="9"/>
  <c r="AK32" i="9"/>
  <c r="AK37" i="9"/>
  <c r="AK31" i="9"/>
  <c r="AK36" i="9"/>
  <c r="AK35" i="9"/>
  <c r="AK28" i="9"/>
  <c r="AK34" i="9"/>
  <c r="AJ32" i="9"/>
  <c r="AJ37" i="9"/>
  <c r="AJ31" i="9"/>
  <c r="AJ36" i="9"/>
  <c r="AJ35" i="9"/>
  <c r="AJ28" i="9"/>
  <c r="AJ34" i="9"/>
  <c r="AI32" i="9"/>
  <c r="AI37" i="9"/>
  <c r="AI31" i="9"/>
  <c r="AI36" i="9"/>
  <c r="AI35" i="9"/>
  <c r="AI28" i="9"/>
  <c r="AI34" i="9"/>
  <c r="AH32" i="9"/>
  <c r="AH37" i="9"/>
  <c r="AH31" i="9"/>
  <c r="AH36" i="9"/>
  <c r="AH35" i="9"/>
  <c r="AH28" i="9"/>
  <c r="AH34" i="9"/>
  <c r="AG32" i="9"/>
  <c r="AG37" i="9"/>
  <c r="AG31" i="9"/>
  <c r="AG36" i="9"/>
  <c r="AG35" i="9"/>
  <c r="AG28" i="9"/>
  <c r="AG34" i="9"/>
  <c r="AO49" i="9"/>
  <c r="AO19" i="9"/>
  <c r="AO47" i="9"/>
  <c r="AO20" i="9"/>
  <c r="AO45" i="9"/>
  <c r="AO15" i="9"/>
  <c r="AN49" i="9"/>
  <c r="AN19" i="9"/>
  <c r="AN47" i="9"/>
  <c r="AN20" i="9"/>
  <c r="AN45" i="9"/>
  <c r="AN15" i="9"/>
  <c r="AM49" i="9"/>
  <c r="F71" i="9"/>
  <c r="E71" i="9"/>
  <c r="I71" i="9"/>
  <c r="J71" i="9"/>
  <c r="H71" i="9"/>
  <c r="G71" i="9"/>
  <c r="B71" i="9"/>
  <c r="A71" i="9"/>
  <c r="F70" i="9"/>
  <c r="E70" i="9"/>
  <c r="I70" i="9"/>
  <c r="J70" i="9"/>
  <c r="H70" i="9"/>
  <c r="G70" i="9"/>
  <c r="B70" i="9"/>
  <c r="A70" i="9"/>
  <c r="F69" i="9"/>
  <c r="E69" i="9"/>
  <c r="I69" i="9"/>
  <c r="J69" i="9"/>
  <c r="H69" i="9"/>
  <c r="G69" i="9"/>
  <c r="B69" i="9"/>
  <c r="A69" i="9"/>
  <c r="F68" i="9"/>
  <c r="E68" i="9"/>
  <c r="I68" i="9"/>
  <c r="J68" i="9"/>
  <c r="H68" i="9"/>
  <c r="G68" i="9"/>
  <c r="B68" i="9"/>
  <c r="A68" i="9"/>
  <c r="F67" i="9"/>
  <c r="E67" i="9"/>
  <c r="I67" i="9"/>
  <c r="J67" i="9"/>
  <c r="H67" i="9"/>
  <c r="G67" i="9"/>
  <c r="B67" i="9"/>
  <c r="A67" i="9"/>
  <c r="F66" i="9"/>
  <c r="E66" i="9"/>
  <c r="I66" i="9"/>
  <c r="J66" i="9"/>
  <c r="H66" i="9"/>
  <c r="G66" i="9"/>
  <c r="B66" i="9"/>
  <c r="A66" i="9"/>
  <c r="F65" i="9"/>
  <c r="E65" i="9"/>
  <c r="I65" i="9"/>
  <c r="J65" i="9"/>
  <c r="H65" i="9"/>
  <c r="G65" i="9"/>
  <c r="B65" i="9"/>
  <c r="A65" i="9"/>
  <c r="F64" i="9"/>
  <c r="E64" i="9"/>
  <c r="I64" i="9"/>
  <c r="J64" i="9"/>
  <c r="H64" i="9"/>
  <c r="G64" i="9"/>
  <c r="B64" i="9"/>
  <c r="A64" i="9"/>
  <c r="F63" i="9"/>
  <c r="E63" i="9"/>
  <c r="I63" i="9"/>
  <c r="J63" i="9"/>
  <c r="H63" i="9"/>
  <c r="G63" i="9"/>
  <c r="B63" i="9"/>
  <c r="A63" i="9"/>
  <c r="AO57" i="9"/>
  <c r="AN57" i="9"/>
  <c r="AM57" i="9"/>
  <c r="AL57" i="9"/>
  <c r="AK57" i="9"/>
  <c r="AJ57" i="9"/>
  <c r="AI57" i="9"/>
  <c r="AH57" i="9"/>
  <c r="V49" i="9"/>
  <c r="U49" i="9"/>
  <c r="S49" i="9"/>
  <c r="R49" i="9"/>
  <c r="Q49" i="9"/>
  <c r="P49" i="9"/>
  <c r="K49" i="9"/>
  <c r="K57" i="9"/>
  <c r="J49" i="9"/>
  <c r="J57" i="9"/>
  <c r="I49" i="9"/>
  <c r="I57" i="9"/>
  <c r="H57" i="9"/>
  <c r="G57" i="9"/>
  <c r="F49" i="9"/>
  <c r="F57" i="9"/>
  <c r="C48" i="9"/>
  <c r="C49" i="9"/>
  <c r="C57" i="9"/>
  <c r="AL13" i="9"/>
  <c r="AI13" i="9"/>
  <c r="AO13" i="9"/>
  <c r="AO56" i="9"/>
  <c r="AK13" i="9"/>
  <c r="AH13" i="9"/>
  <c r="AN13" i="9"/>
  <c r="AN56" i="9"/>
  <c r="AJ13" i="9"/>
  <c r="AG13" i="9"/>
  <c r="AM13" i="9"/>
  <c r="AM56" i="9"/>
  <c r="AL56" i="9"/>
  <c r="AK56" i="9"/>
  <c r="AJ56" i="9"/>
  <c r="AI56" i="9"/>
  <c r="AH56" i="9"/>
  <c r="V47" i="9"/>
  <c r="U47" i="9"/>
  <c r="S47" i="9"/>
  <c r="R47" i="9"/>
  <c r="Q47" i="9"/>
  <c r="P47" i="9"/>
  <c r="K47" i="9"/>
  <c r="K56" i="9"/>
  <c r="J47" i="9"/>
  <c r="J56" i="9"/>
  <c r="I47" i="9"/>
  <c r="I56" i="9"/>
  <c r="H56" i="9"/>
  <c r="G56" i="9"/>
  <c r="F47" i="9"/>
  <c r="F56" i="9"/>
  <c r="C47" i="9"/>
  <c r="C56" i="9"/>
  <c r="AO55" i="9"/>
  <c r="AN55" i="9"/>
  <c r="AM55" i="9"/>
  <c r="AL55" i="9"/>
  <c r="AK55" i="9"/>
  <c r="AJ55" i="9"/>
  <c r="AI55" i="9"/>
  <c r="AH55" i="9"/>
  <c r="V45" i="9"/>
  <c r="U45" i="9"/>
  <c r="S45" i="9"/>
  <c r="R45" i="9"/>
  <c r="Q45" i="9"/>
  <c r="P45" i="9"/>
  <c r="K45" i="9"/>
  <c r="K55" i="9"/>
  <c r="J45" i="9"/>
  <c r="J55" i="9"/>
  <c r="I45" i="9"/>
  <c r="I55" i="9"/>
  <c r="H55" i="9"/>
  <c r="G55" i="9"/>
  <c r="F45" i="9"/>
  <c r="F55" i="9"/>
  <c r="C45" i="9"/>
  <c r="C55" i="9"/>
  <c r="AO53" i="9"/>
  <c r="AN53" i="9"/>
  <c r="AM53" i="9"/>
  <c r="X53" i="9"/>
  <c r="V53" i="9"/>
  <c r="U53" i="9"/>
  <c r="T53" i="9"/>
  <c r="S53" i="9"/>
  <c r="R53" i="9"/>
  <c r="Q53" i="9"/>
  <c r="P53" i="9"/>
  <c r="K53" i="9"/>
  <c r="J53" i="9"/>
  <c r="I53" i="9"/>
  <c r="F53" i="9"/>
  <c r="C53" i="9"/>
  <c r="AO52" i="9"/>
  <c r="AN52" i="9"/>
  <c r="V52" i="9"/>
  <c r="U52" i="9"/>
  <c r="T52" i="9"/>
  <c r="S52" i="9"/>
  <c r="R52" i="9"/>
  <c r="Q52" i="9"/>
  <c r="P52" i="9"/>
  <c r="K52" i="9"/>
  <c r="J52" i="9"/>
  <c r="I52" i="9"/>
  <c r="F52" i="9"/>
  <c r="C52" i="9"/>
  <c r="AO51" i="9"/>
  <c r="AN51" i="9"/>
  <c r="V51" i="9"/>
  <c r="U51" i="9"/>
  <c r="T51" i="9"/>
  <c r="S51" i="9"/>
  <c r="R51" i="9"/>
  <c r="Q51" i="9"/>
  <c r="P51" i="9"/>
  <c r="K51" i="9"/>
  <c r="J51" i="9"/>
  <c r="I51" i="9"/>
  <c r="F51" i="9"/>
  <c r="C51" i="9"/>
  <c r="K39" i="9"/>
  <c r="J39" i="9"/>
  <c r="I39" i="9"/>
  <c r="G39" i="9"/>
  <c r="F39" i="9"/>
  <c r="C29" i="9"/>
  <c r="C30" i="9"/>
  <c r="C39" i="9"/>
  <c r="V32" i="9"/>
  <c r="V37" i="9"/>
  <c r="U32" i="9"/>
  <c r="U37" i="9"/>
  <c r="T37" i="9"/>
  <c r="S32" i="9"/>
  <c r="S37" i="9"/>
  <c r="R32" i="9"/>
  <c r="R37" i="9"/>
  <c r="P37" i="9"/>
  <c r="K32" i="9"/>
  <c r="K37" i="9"/>
  <c r="J32" i="9"/>
  <c r="J37" i="9"/>
  <c r="I32" i="9"/>
  <c r="I37" i="9"/>
  <c r="G37" i="9"/>
  <c r="F32" i="9"/>
  <c r="F37" i="9"/>
  <c r="C32" i="9"/>
  <c r="C37" i="9"/>
  <c r="V31" i="9"/>
  <c r="V36" i="9"/>
  <c r="U31" i="9"/>
  <c r="U36" i="9"/>
  <c r="T36" i="9"/>
  <c r="S31" i="9"/>
  <c r="S36" i="9"/>
  <c r="R31" i="9"/>
  <c r="R36" i="9"/>
  <c r="P36" i="9"/>
  <c r="K31" i="9"/>
  <c r="K36" i="9"/>
  <c r="J31" i="9"/>
  <c r="J36" i="9"/>
  <c r="I31" i="9"/>
  <c r="I36" i="9"/>
  <c r="G36" i="9"/>
  <c r="F31" i="9"/>
  <c r="F36" i="9"/>
  <c r="C31" i="9"/>
  <c r="C36" i="9"/>
  <c r="C35" i="9"/>
  <c r="V28" i="9"/>
  <c r="V34" i="9"/>
  <c r="U28" i="9"/>
  <c r="U34" i="9"/>
  <c r="T34" i="9"/>
  <c r="S28" i="9"/>
  <c r="S34" i="9"/>
  <c r="R28" i="9"/>
  <c r="R34" i="9"/>
  <c r="P34" i="9"/>
  <c r="K28" i="9"/>
  <c r="K34" i="9"/>
  <c r="J28" i="9"/>
  <c r="J34" i="9"/>
  <c r="I28" i="9"/>
  <c r="I34" i="9"/>
  <c r="G34" i="9"/>
  <c r="F28" i="9"/>
  <c r="F34" i="9"/>
  <c r="C28" i="9"/>
  <c r="C34" i="9"/>
  <c r="A49" i="9"/>
  <c r="A48" i="9"/>
  <c r="A47" i="9"/>
  <c r="A46" i="9"/>
  <c r="A45" i="9"/>
  <c r="A44" i="9"/>
  <c r="M32" i="9"/>
  <c r="O32" i="9"/>
  <c r="A32" i="9"/>
  <c r="M31" i="9"/>
  <c r="O31" i="9"/>
  <c r="A31" i="9"/>
  <c r="M30" i="9"/>
  <c r="O30" i="9"/>
  <c r="A30" i="9"/>
  <c r="M29" i="9"/>
  <c r="O29" i="9"/>
  <c r="A29" i="9"/>
  <c r="M28" i="9"/>
  <c r="O28" i="9"/>
  <c r="A28" i="9"/>
  <c r="H2" i="8"/>
  <c r="I2" i="8"/>
  <c r="J2" i="8"/>
  <c r="K2" i="8"/>
  <c r="B9" i="4"/>
  <c r="B10" i="4"/>
  <c r="B14" i="4"/>
  <c r="G5" i="4"/>
  <c r="G4" i="4"/>
  <c r="H5" i="4"/>
  <c r="H4" i="4"/>
  <c r="F5" i="4"/>
  <c r="F4" i="4"/>
  <c r="B12" i="4"/>
</calcChain>
</file>

<file path=xl/sharedStrings.xml><?xml version="1.0" encoding="utf-8"?>
<sst xmlns="http://schemas.openxmlformats.org/spreadsheetml/2006/main" count="219" uniqueCount="171">
  <si>
    <t>cHTL1</t>
  </si>
  <si>
    <t>cHTL2</t>
  </si>
  <si>
    <t>cHTL3</t>
  </si>
  <si>
    <t>cHTL4</t>
  </si>
  <si>
    <t>cHTL5</t>
  </si>
  <si>
    <t>cHTL6</t>
  </si>
  <si>
    <t>cHTL7</t>
  </si>
  <si>
    <t>Date</t>
  </si>
  <si>
    <t>Concentration</t>
  </si>
  <si>
    <t>Volume</t>
  </si>
  <si>
    <t>Average flow</t>
  </si>
  <si>
    <t>Furnace T</t>
  </si>
  <si>
    <t>Oil from reactor</t>
  </si>
  <si>
    <t>Moisture</t>
  </si>
  <si>
    <t>Tmax</t>
  </si>
  <si>
    <t>C</t>
  </si>
  <si>
    <t>H</t>
  </si>
  <si>
    <t>N</t>
  </si>
  <si>
    <t>Solid</t>
  </si>
  <si>
    <t>Water residue</t>
  </si>
  <si>
    <t>°</t>
  </si>
  <si>
    <t>Reactor dimensions</t>
  </si>
  <si>
    <t>mL</t>
  </si>
  <si>
    <t>Length</t>
  </si>
  <si>
    <t>cm</t>
  </si>
  <si>
    <t>Whole reactor</t>
  </si>
  <si>
    <t>Inner tube</t>
  </si>
  <si>
    <t>Total length</t>
  </si>
  <si>
    <t>Heated length</t>
  </si>
  <si>
    <t>Heated volume</t>
  </si>
  <si>
    <t>Settling space</t>
  </si>
  <si>
    <t>Flowrate</t>
  </si>
  <si>
    <t>Heating time</t>
  </si>
  <si>
    <t>Reaction time</t>
  </si>
  <si>
    <t>Reaction volume</t>
  </si>
  <si>
    <t>Algae concentration</t>
  </si>
  <si>
    <t>Feed volume</t>
  </si>
  <si>
    <t>T1</t>
  </si>
  <si>
    <t>T2</t>
  </si>
  <si>
    <t>T3</t>
  </si>
  <si>
    <t>cHTL8</t>
  </si>
  <si>
    <t>cHTL9</t>
  </si>
  <si>
    <t>cHTL10</t>
  </si>
  <si>
    <t>cHTL11</t>
  </si>
  <si>
    <t>cHTL12</t>
  </si>
  <si>
    <t>cHTL13</t>
  </si>
  <si>
    <t>cHTL14</t>
  </si>
  <si>
    <t>cHTL15</t>
  </si>
  <si>
    <t>cHTL16</t>
  </si>
  <si>
    <t>cHTL17</t>
  </si>
  <si>
    <t>Oil out PR</t>
  </si>
  <si>
    <t>Oil out R</t>
  </si>
  <si>
    <t>Pipe Oil</t>
  </si>
  <si>
    <t>Filter Oil</t>
  </si>
  <si>
    <t>Total Oil</t>
  </si>
  <si>
    <t>Ammonia yield</t>
  </si>
  <si>
    <t>465 - 510</t>
  </si>
  <si>
    <t>Comments</t>
  </si>
  <si>
    <t>Leak from bottom of reactor</t>
  </si>
  <si>
    <t>Averages</t>
  </si>
  <si>
    <t>StDev</t>
  </si>
  <si>
    <t>Label</t>
  </si>
  <si>
    <t>tube nr.</t>
  </si>
  <si>
    <t>m(slurry)</t>
  </si>
  <si>
    <t>m(algae)</t>
  </si>
  <si>
    <t>start time</t>
  </si>
  <si>
    <t>end time</t>
  </si>
  <si>
    <t>End T</t>
  </si>
  <si>
    <t>End P</t>
  </si>
  <si>
    <t>Logged data</t>
  </si>
  <si>
    <t>Vgas</t>
  </si>
  <si>
    <t>moil</t>
  </si>
  <si>
    <t>mfilter</t>
  </si>
  <si>
    <t>mwater</t>
  </si>
  <si>
    <t>mresidue</t>
  </si>
  <si>
    <t>Feed quantities</t>
  </si>
  <si>
    <t>Yields</t>
  </si>
  <si>
    <t>empty</t>
  </si>
  <si>
    <t>with slurry</t>
  </si>
  <si>
    <t>dried</t>
  </si>
  <si>
    <t>Reaction Time</t>
  </si>
  <si>
    <t>full</t>
  </si>
  <si>
    <t>fresh</t>
  </si>
  <si>
    <t>used</t>
  </si>
  <si>
    <t>with water</t>
  </si>
  <si>
    <t>Algae</t>
  </si>
  <si>
    <t>Water</t>
  </si>
  <si>
    <t>Water recovery</t>
  </si>
  <si>
    <t>Oil</t>
  </si>
  <si>
    <t>Gas</t>
  </si>
  <si>
    <t>B1</t>
  </si>
  <si>
    <t>B2</t>
  </si>
  <si>
    <t>26 or 19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</si>
  <si>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</si>
  <si>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</si>
  <si>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</si>
  <si>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</si>
  <si>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</si>
  <si>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</si>
  <si>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</si>
  <si>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</si>
  <si>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</si>
  <si>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</si>
  <si>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</si>
  <si>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</si>
  <si>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</si>
  <si>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</si>
  <si>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</si>
  <si>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</si>
  <si>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</si>
  <si>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</si>
  <si>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Low</t>
  </si>
  <si>
    <t>Medium</t>
  </si>
  <si>
    <t>High</t>
  </si>
  <si>
    <t>Very High</t>
  </si>
  <si>
    <t>C1</t>
  </si>
  <si>
    <t>C2</t>
  </si>
  <si>
    <t>H1</t>
  </si>
  <si>
    <t>H2</t>
  </si>
  <si>
    <t>N1</t>
  </si>
  <si>
    <t>N2</t>
  </si>
  <si>
    <t>Cav</t>
  </si>
  <si>
    <t>Hav</t>
  </si>
  <si>
    <t>Nav</t>
  </si>
  <si>
    <t>Light Oil</t>
  </si>
  <si>
    <t>Carbon recovery</t>
  </si>
  <si>
    <t>Hydrogen recovery</t>
  </si>
  <si>
    <t>Nitrogen recovery</t>
  </si>
  <si>
    <t>Heavy Oil</t>
  </si>
  <si>
    <t>Total elemental recovery</t>
  </si>
  <si>
    <t>Carbon</t>
  </si>
  <si>
    <t>Hydrogen</t>
  </si>
  <si>
    <t>Nitrogen</t>
  </si>
  <si>
    <t>Reaction nr</t>
  </si>
  <si>
    <t>Outlet (after reaction)</t>
  </si>
  <si>
    <t>Outlet (during reaction)</t>
  </si>
  <si>
    <t>Heating rate, C/min</t>
  </si>
  <si>
    <t>Bio-oil analysis</t>
  </si>
  <si>
    <t>Oil from outlet</t>
  </si>
  <si>
    <t>Oil from pipework</t>
  </si>
  <si>
    <t>Elemental retention to bio-oil</t>
  </si>
  <si>
    <t>UV Vis1</t>
  </si>
  <si>
    <t>UV Vis2</t>
  </si>
  <si>
    <t>UV Vis3</t>
  </si>
  <si>
    <t>Average</t>
  </si>
  <si>
    <t>Concentration, mg/dL</t>
  </si>
  <si>
    <t>mass, mg</t>
  </si>
  <si>
    <t>Yield</t>
  </si>
  <si>
    <t>Ammonia ion analysis</t>
  </si>
  <si>
    <t>Elemental analysis (light Oil)</t>
  </si>
  <si>
    <t>Elemental analysis (Heavy Oil)</t>
  </si>
  <si>
    <t>Elemental recovery (Heavy Oil)</t>
  </si>
  <si>
    <t>Elemental recovery (Light oil)</t>
  </si>
  <si>
    <t>Reaction summary</t>
  </si>
  <si>
    <t>Reactions at constant flow (7mL/min)</t>
  </si>
  <si>
    <t>Product yields</t>
  </si>
  <si>
    <t>Heating Rate</t>
  </si>
  <si>
    <t>Reaction parameters</t>
  </si>
  <si>
    <t>Total time</t>
  </si>
  <si>
    <t>Reaction conditions</t>
  </si>
  <si>
    <t>Feed properties</t>
  </si>
  <si>
    <t>Reactions at constant temperature (320C)</t>
  </si>
  <si>
    <t>Effect of system temperatures on oil distribution through the system</t>
  </si>
  <si>
    <t>Reaction temperature</t>
  </si>
  <si>
    <t>Reactor outlet temperature</t>
  </si>
  <si>
    <t>Collection pot temperature</t>
  </si>
  <si>
    <t>Oil fraction</t>
  </si>
  <si>
    <t>Water phase residue</t>
  </si>
  <si>
    <t>Nitrogen retention</t>
  </si>
  <si>
    <t>Weighted elemental analysis</t>
  </si>
  <si>
    <t>O by substration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</si>
</sst>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.000"/>
    <numFmt numFmtId="167" formatCode="0.00000000000000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14" fontId="0" fillId="0" borderId="0" xfId="0" applyNumberFormat="1"/>
    <xf numFmtId="10" fontId="0" fillId="0" borderId="0" xfId="0" applyNumberFormat="1"/>
    <xf numFmtId="10" fontId="0" fillId="0" borderId="0" xfId="5" applyNumberFormat="1" applyFont="1"/>
    <xf numFmtId="2" fontId="0" fillId="0" borderId="0" xfId="0" applyNumberFormat="1"/>
    <xf numFmtId="164" fontId="0" fillId="0" borderId="0" xfId="0" applyNumberFormat="1"/>
    <xf numFmtId="165" fontId="0" fillId="0" borderId="0" xfId="5" applyNumberFormat="1" applyFont="1"/>
    <xf numFmtId="166" fontId="0" fillId="0" borderId="0" xfId="0" applyNumberFormat="1"/>
    <xf numFmtId="20" fontId="0" fillId="0" borderId="0" xfId="0" applyNumberFormat="1"/>
    <xf numFmtId="10" fontId="0" fillId="0" borderId="0" xfId="70" applyNumberFormat="1" applyFont="1"/>
    <xf numFmtId="167" fontId="0" fillId="0" borderId="0" xfId="0" applyNumberFormat="1"/>
    <xf numFmtId="0" fontId="0" fillId="0" borderId="1" xfId="0" applyBorder="1"/>
    <xf numFmtId="0" fontId="0" fillId="0" borderId="0" xfId="0" applyFill="1" applyBorder="1"/>
    <xf numFmtId="0" fontId="0" fillId="0" borderId="2" xfId="0" applyBorder="1"/>
    <xf numFmtId="0" fontId="0" fillId="0" borderId="3" xfId="0" applyFill="1" applyBorder="1"/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/>
    <xf numFmtId="2" fontId="0" fillId="0" borderId="0" xfId="5" applyNumberFormat="1" applyFont="1"/>
    <xf numFmtId="14" fontId="0" fillId="0" borderId="1" xfId="0" applyNumberFormat="1" applyBorder="1"/>
    <xf numFmtId="10" fontId="0" fillId="0" borderId="1" xfId="5" applyNumberFormat="1" applyFont="1" applyBorder="1"/>
    <xf numFmtId="165" fontId="0" fillId="0" borderId="1" xfId="5" applyNumberFormat="1" applyFont="1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2" fontId="5" fillId="0" borderId="1" xfId="0" applyNumberFormat="1" applyFont="1" applyBorder="1"/>
    <xf numFmtId="164" fontId="0" fillId="0" borderId="1" xfId="0" applyNumberFormat="1" applyFont="1" applyBorder="1"/>
    <xf numFmtId="0" fontId="0" fillId="0" borderId="4" xfId="0" applyBorder="1"/>
    <xf numFmtId="165" fontId="0" fillId="0" borderId="4" xfId="5" applyNumberFormat="1" applyFont="1" applyBorder="1"/>
    <xf numFmtId="164" fontId="0" fillId="0" borderId="4" xfId="0" applyNumberFormat="1" applyBorder="1"/>
    <xf numFmtId="0" fontId="0" fillId="0" borderId="5" xfId="0" applyBorder="1"/>
    <xf numFmtId="10" fontId="0" fillId="0" borderId="5" xfId="5" applyNumberFormat="1" applyFont="1" applyBorder="1"/>
    <xf numFmtId="164" fontId="0" fillId="0" borderId="5" xfId="0" applyNumberFormat="1" applyBorder="1"/>
    <xf numFmtId="165" fontId="0" fillId="0" borderId="5" xfId="0" applyNumberFormat="1" applyBorder="1"/>
    <xf numFmtId="0" fontId="5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0" fillId="0" borderId="2" xfId="5" applyNumberFormat="1" applyFont="1" applyBorder="1"/>
    <xf numFmtId="165" fontId="0" fillId="0" borderId="2" xfId="0" applyNumberFormat="1" applyBorder="1"/>
    <xf numFmtId="0" fontId="6" fillId="0" borderId="9" xfId="0" applyFont="1" applyBorder="1"/>
    <xf numFmtId="0" fontId="6" fillId="0" borderId="10" xfId="0" applyFont="1" applyBorder="1"/>
    <xf numFmtId="14" fontId="0" fillId="0" borderId="11" xfId="0" applyNumberFormat="1" applyBorder="1"/>
    <xf numFmtId="10" fontId="0" fillId="0" borderId="11" xfId="5" applyNumberFormat="1" applyFont="1" applyBorder="1"/>
    <xf numFmtId="0" fontId="0" fillId="0" borderId="11" xfId="0" applyBorder="1"/>
    <xf numFmtId="164" fontId="0" fillId="0" borderId="11" xfId="0" applyNumberFormat="1" applyBorder="1"/>
    <xf numFmtId="164" fontId="5" fillId="0" borderId="11" xfId="0" applyNumberFormat="1" applyFont="1" applyBorder="1"/>
    <xf numFmtId="165" fontId="0" fillId="0" borderId="11" xfId="5" applyNumberFormat="1" applyFont="1" applyBorder="1"/>
    <xf numFmtId="165" fontId="0" fillId="0" borderId="12" xfId="5" applyNumberFormat="1" applyFont="1" applyBorder="1"/>
    <xf numFmtId="10" fontId="0" fillId="0" borderId="4" xfId="5" applyNumberFormat="1" applyFont="1" applyBorder="1"/>
    <xf numFmtId="165" fontId="0" fillId="0" borderId="4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0" fillId="0" borderId="10" xfId="0" applyBorder="1"/>
    <xf numFmtId="164" fontId="0" fillId="0" borderId="11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0" fillId="0" borderId="13" xfId="0" applyFill="1" applyBorder="1"/>
    <xf numFmtId="164" fontId="0" fillId="0" borderId="1" xfId="5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15"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Hyperlink" xfId="1" builtinId="8" hidden="1"/>
    <cellStyle name="Hyperlink" xfId="3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Normal" xfId="0" builtinId="0"/>
    <cellStyle name="Percent" xfId="5" builtinId="5"/>
    <cellStyle name="Percent 2" xfId="70"/>
  </cellStyles>
  <dxfs count="0"/>
  <tableStyles count="0" defaultTableStyle="TableStyleMedium9" defaultPivotStyle="PivotStyleMedium4"/>
  <colors>
    <mruColors>
      <color rgb="FFFFFF66"/>
      <color rgb="FFFFFF00"/>
      <color rgb="FF683104"/>
      <color rgb="FF4E25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4.7331583552055598E-4"/>
          <c:y val="0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'Continuous data '!$R$2</c:f>
              <c:strCache>
                <c:ptCount val="1"/>
                <c:pt idx="0">
                  <c:v>Oil out R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'!$R$39,'Continuous data '!$R$39,'Continuous data '!$R$39,'Continuous data '!$R$39)</c:f>
                <c:numCache>
                  <c:formatCode>General</c:formatCode>
                  <c:ptCount val="4"/>
                  <c:pt idx="0">
                    <c:v>7.5177447556992807E-3</c:v>
                  </c:pt>
                  <c:pt idx="1">
                    <c:v>7.5177447556992807E-3</c:v>
                  </c:pt>
                  <c:pt idx="2">
                    <c:v>7.5177447556992807E-3</c:v>
                  </c:pt>
                  <c:pt idx="3">
                    <c:v>7.5177447556992807E-3</c:v>
                  </c:pt>
                </c:numCache>
              </c:numRef>
            </c:plus>
            <c:minus>
              <c:numRef>
                <c:f>('Continuous data '!$R$39,'Continuous data '!$R$39,'Continuous data '!$R$39,'Continuous data '!$R$39)</c:f>
                <c:numCache>
                  <c:formatCode>General</c:formatCode>
                  <c:ptCount val="4"/>
                  <c:pt idx="0">
                    <c:v>7.5177447556992807E-3</c:v>
                  </c:pt>
                  <c:pt idx="1">
                    <c:v>7.5177447556992807E-3</c:v>
                  </c:pt>
                  <c:pt idx="2">
                    <c:v>7.5177447556992807E-3</c:v>
                  </c:pt>
                  <c:pt idx="3">
                    <c:v>7.5177447556992807E-3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'!$R$34:$R$37</c:f>
              <c:numCache>
                <c:formatCode>0.0%</c:formatCode>
                <c:ptCount val="4"/>
                <c:pt idx="0">
                  <c:v>7.3363300526001915E-2</c:v>
                </c:pt>
                <c:pt idx="1">
                  <c:v>8.1766501867160724E-2</c:v>
                </c:pt>
                <c:pt idx="2">
                  <c:v>8.1771913144622732E-2</c:v>
                </c:pt>
                <c:pt idx="3">
                  <c:v>0.10317432809189261</c:v>
                </c:pt>
              </c:numCache>
            </c:numRef>
          </c:val>
        </c:ser>
        <c:ser>
          <c:idx val="3"/>
          <c:order val="1"/>
          <c:tx>
            <c:strRef>
              <c:f>'Continuous data '!$S$2</c:f>
              <c:strCache>
                <c:ptCount val="1"/>
                <c:pt idx="0">
                  <c:v>Oil out PR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'!$S$39,'Continuous data '!$S$39,'Continuous data '!$S$39,'Continuous data '!$S$39)</c:f>
                <c:numCache>
                  <c:formatCode>General</c:formatCode>
                  <c:ptCount val="4"/>
                  <c:pt idx="0">
                    <c:v>6.1744886251527981E-3</c:v>
                  </c:pt>
                  <c:pt idx="1">
                    <c:v>6.1744886251527981E-3</c:v>
                  </c:pt>
                  <c:pt idx="2">
                    <c:v>6.1744886251527981E-3</c:v>
                  </c:pt>
                  <c:pt idx="3">
                    <c:v>6.1744886251527981E-3</c:v>
                  </c:pt>
                </c:numCache>
              </c:numRef>
            </c:plus>
            <c:minus>
              <c:numRef>
                <c:f>('Continuous data '!$S$39,'Continuous data '!$S$39,'Continuous data '!$S$39,'Continuous data '!$S$39)</c:f>
                <c:numCache>
                  <c:formatCode>General</c:formatCode>
                  <c:ptCount val="4"/>
                  <c:pt idx="0">
                    <c:v>6.1744886251527981E-3</c:v>
                  </c:pt>
                  <c:pt idx="1">
                    <c:v>6.1744886251527981E-3</c:v>
                  </c:pt>
                  <c:pt idx="2">
                    <c:v>6.1744886251527981E-3</c:v>
                  </c:pt>
                  <c:pt idx="3">
                    <c:v>6.1744886251527981E-3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'!$S$34:$S$37</c:f>
              <c:numCache>
                <c:formatCode>0.0%</c:formatCode>
                <c:ptCount val="4"/>
                <c:pt idx="0">
                  <c:v>2.1564158818815609E-2</c:v>
                </c:pt>
                <c:pt idx="1">
                  <c:v>1.5390680504372631E-2</c:v>
                </c:pt>
                <c:pt idx="2">
                  <c:v>2.0284187926127864E-2</c:v>
                </c:pt>
                <c:pt idx="3">
                  <c:v>1.4055380840860965E-2</c:v>
                </c:pt>
              </c:numCache>
            </c:numRef>
          </c:val>
        </c:ser>
        <c:ser>
          <c:idx val="4"/>
          <c:order val="2"/>
          <c:tx>
            <c:strRef>
              <c:f>'Continuous data '!$T$2</c:f>
              <c:strCache>
                <c:ptCount val="1"/>
                <c:pt idx="0">
                  <c:v>Heavy Oil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'!$T$39,'Continuous data '!$T$39,'Continuous data '!$T$39,'Continuous data '!$T$39)</c:f>
                <c:numCache>
                  <c:formatCode>General</c:formatCode>
                  <c:ptCount val="4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  <c:pt idx="3">
                    <c:v>7.2796863740213812E-3</c:v>
                  </c:pt>
                </c:numCache>
              </c:numRef>
            </c:plus>
            <c:minus>
              <c:numRef>
                <c:f>('Continuous data '!$T$39,'Continuous data '!$T$39,'Continuous data '!$T$39,'Continuous data '!$T$39)</c:f>
                <c:numCache>
                  <c:formatCode>General</c:formatCode>
                  <c:ptCount val="4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  <c:pt idx="3">
                    <c:v>7.2796863740213812E-3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'!$T$34:$T$37</c:f>
              <c:numCache>
                <c:formatCode>0.0%</c:formatCode>
                <c:ptCount val="4"/>
                <c:pt idx="0">
                  <c:v>5.7895814881092265E-2</c:v>
                </c:pt>
                <c:pt idx="1">
                  <c:v>3.5339312823195475E-2</c:v>
                </c:pt>
                <c:pt idx="2">
                  <c:v>4.5219396720165943E-2</c:v>
                </c:pt>
                <c:pt idx="3">
                  <c:v>5.1630679156908742E-2</c:v>
                </c:pt>
              </c:numCache>
            </c:numRef>
          </c:val>
        </c:ser>
        <c:ser>
          <c:idx val="5"/>
          <c:order val="3"/>
          <c:tx>
            <c:strRef>
              <c:f>'Continuous data '!$U$2</c:f>
              <c:strCache>
                <c:ptCount val="1"/>
                <c:pt idx="0">
                  <c:v>Pipe Oil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'!$U$39,'Continuous data '!$U$39,'Continuous data '!$U$39,'Continuous data '!$U$39)</c:f>
                <c:numCache>
                  <c:formatCode>General</c:formatCode>
                  <c:ptCount val="4"/>
                  <c:pt idx="0">
                    <c:v>2.2904130260395852E-3</c:v>
                  </c:pt>
                  <c:pt idx="1">
                    <c:v>2.2904130260395852E-3</c:v>
                  </c:pt>
                  <c:pt idx="2">
                    <c:v>2.2904130260395852E-3</c:v>
                  </c:pt>
                  <c:pt idx="3">
                    <c:v>2.2904130260395852E-3</c:v>
                  </c:pt>
                </c:numCache>
              </c:numRef>
            </c:plus>
            <c:minus>
              <c:numRef>
                <c:f>('Continuous data '!$U$39,'Continuous data '!$U$39,'Continuous data '!$U$39,'Continuous data '!$U$39)</c:f>
                <c:numCache>
                  <c:formatCode>General</c:formatCode>
                  <c:ptCount val="4"/>
                  <c:pt idx="0">
                    <c:v>2.2904130260395852E-3</c:v>
                  </c:pt>
                  <c:pt idx="1">
                    <c:v>2.2904130260395852E-3</c:v>
                  </c:pt>
                  <c:pt idx="2">
                    <c:v>2.2904130260395852E-3</c:v>
                  </c:pt>
                  <c:pt idx="3">
                    <c:v>2.2904130260395852E-3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'!$U$34:$U$37</c:f>
              <c:numCache>
                <c:formatCode>0.0%</c:formatCode>
                <c:ptCount val="4"/>
                <c:pt idx="0">
                  <c:v>4.5273443384005435E-2</c:v>
                </c:pt>
                <c:pt idx="1">
                  <c:v>6.0248577449584208E-2</c:v>
                </c:pt>
                <c:pt idx="2">
                  <c:v>4.5997981711269773E-2</c:v>
                </c:pt>
                <c:pt idx="3">
                  <c:v>4.2340202966432545E-2</c:v>
                </c:pt>
              </c:numCache>
            </c:numRef>
          </c:val>
        </c:ser>
        <c:ser>
          <c:idx val="6"/>
          <c:order val="4"/>
          <c:tx>
            <c:strRef>
              <c:f>'Continuous data '!$V$2</c:f>
              <c:strCache>
                <c:ptCount val="1"/>
                <c:pt idx="0">
                  <c:v>Filter Oil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'!$V$39,'Continuous data '!$V$39,'Continuous data '!$V$39,'Continuous data '!$V$39)</c:f>
                <c:numCache>
                  <c:formatCode>General</c:formatCode>
                  <c:ptCount val="4"/>
                  <c:pt idx="0">
                    <c:v>2.8137836599861227E-4</c:v>
                  </c:pt>
                  <c:pt idx="1">
                    <c:v>2.8137836599861227E-4</c:v>
                  </c:pt>
                  <c:pt idx="2">
                    <c:v>2.8137836599861227E-4</c:v>
                  </c:pt>
                  <c:pt idx="3">
                    <c:v>2.8137836599861227E-4</c:v>
                  </c:pt>
                </c:numCache>
              </c:numRef>
            </c:plus>
            <c:minus>
              <c:numRef>
                <c:f>('Continuous data '!$V$39,'Continuous data '!$V$39,'Continuous data '!$V$39,'Continuous data '!$V$39)</c:f>
                <c:numCache>
                  <c:formatCode>General</c:formatCode>
                  <c:ptCount val="4"/>
                  <c:pt idx="0">
                    <c:v>2.8137836599861227E-4</c:v>
                  </c:pt>
                  <c:pt idx="1">
                    <c:v>2.8137836599861227E-4</c:v>
                  </c:pt>
                  <c:pt idx="2">
                    <c:v>2.8137836599861227E-4</c:v>
                  </c:pt>
                  <c:pt idx="3">
                    <c:v>2.8137836599861227E-4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'!$V$34:$V$37</c:f>
              <c:numCache>
                <c:formatCode>0.0%</c:formatCode>
                <c:ptCount val="4"/>
                <c:pt idx="0">
                  <c:v>2.3709284565189984E-3</c:v>
                </c:pt>
                <c:pt idx="1">
                  <c:v>2.1419241444326381E-3</c:v>
                </c:pt>
                <c:pt idx="2">
                  <c:v>2.4382003668779952E-3</c:v>
                </c:pt>
                <c:pt idx="3">
                  <c:v>2.0452102152336625E-3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1457192"/>
        <c:axId val="341457584"/>
      </c:barChart>
      <c:catAx>
        <c:axId val="341457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 temperature, </a:t>
                </a:r>
                <a:r>
                  <a:rPr lang="it-IT" sz="1000" b="0" i="0" u="none" strike="noStrike" baseline="0">
                    <a:effectLst/>
                  </a:rPr>
                  <a:t>°</a:t>
                </a:r>
                <a:r>
                  <a:rPr lang="it-IT" sz="1000" b="1" i="0" u="none" strike="noStrike" baseline="0"/>
                  <a:t> C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341457584"/>
        <c:crosses val="autoZero"/>
        <c:auto val="1"/>
        <c:lblAlgn val="ctr"/>
        <c:lblOffset val="100"/>
        <c:noMultiLvlLbl val="0"/>
      </c:catAx>
      <c:valAx>
        <c:axId val="341457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Oil</a:t>
                </a:r>
                <a:r>
                  <a:rPr lang="en-US" baseline="0"/>
                  <a:t> Yield</a:t>
                </a:r>
                <a:endParaRPr lang="en-US"/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crossAx val="341457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4.7331583552055598E-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791790123456801"/>
          <c:y val="8.0458128878230395E-2"/>
          <c:w val="0.75112530864197502"/>
          <c:h val="0.5799330311564480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'Continuous data '!$AM$2</c:f>
              <c:strCache>
                <c:ptCount val="1"/>
                <c:pt idx="0">
                  <c:v>Carbon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'!$AM$34:$AM$37</c:f>
              <c:numCache>
                <c:formatCode>0.0%</c:formatCode>
                <c:ptCount val="4"/>
                <c:pt idx="0">
                  <c:v>0.35007235323829916</c:v>
                </c:pt>
                <c:pt idx="1">
                  <c:v>0.40840314337398342</c:v>
                </c:pt>
                <c:pt idx="2">
                  <c:v>0.37722432855466831</c:v>
                </c:pt>
                <c:pt idx="3">
                  <c:v>0.41274629399652479</c:v>
                </c:pt>
              </c:numCache>
            </c:numRef>
          </c:val>
        </c:ser>
        <c:ser>
          <c:idx val="2"/>
          <c:order val="2"/>
          <c:tx>
            <c:strRef>
              <c:f>'Continuous data '!$AN$2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'!$AN$34:$AN$37</c:f>
              <c:numCache>
                <c:formatCode>0.0%</c:formatCode>
                <c:ptCount val="4"/>
                <c:pt idx="0">
                  <c:v>0.30824098265987998</c:v>
                </c:pt>
                <c:pt idx="1">
                  <c:v>0.45621918333492018</c:v>
                </c:pt>
                <c:pt idx="2">
                  <c:v>0.36750206006941583</c:v>
                </c:pt>
                <c:pt idx="3">
                  <c:v>0.37752117843010635</c:v>
                </c:pt>
              </c:numCache>
            </c:numRef>
          </c:val>
        </c:ser>
        <c:ser>
          <c:idx val="0"/>
          <c:order val="0"/>
          <c:tx>
            <c:strRef>
              <c:f>'Continuous data '!$AO$2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</c:spPr>
          <c:invertIfNegative val="0"/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'!$AO$34:$AO$37</c:f>
              <c:numCache>
                <c:formatCode>0.0%</c:formatCode>
                <c:ptCount val="4"/>
                <c:pt idx="0">
                  <c:v>0.16318469429136939</c:v>
                </c:pt>
                <c:pt idx="1">
                  <c:v>0.14432543197961725</c:v>
                </c:pt>
                <c:pt idx="2">
                  <c:v>0.13432478778876172</c:v>
                </c:pt>
                <c:pt idx="3">
                  <c:v>0.11720055024159642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158168"/>
        <c:axId val="344162480"/>
      </c:barChart>
      <c:catAx>
        <c:axId val="344158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 temperature, </a:t>
                </a:r>
                <a:r>
                  <a:rPr lang="it-IT"/>
                  <a:t>°</a:t>
                </a:r>
                <a:r>
                  <a:rPr lang="en-US"/>
                  <a:t>C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44162480"/>
        <c:crosses val="autoZero"/>
        <c:auto val="1"/>
        <c:lblAlgn val="ctr"/>
        <c:lblOffset val="100"/>
        <c:noMultiLvlLbl val="0"/>
      </c:catAx>
      <c:valAx>
        <c:axId val="344162480"/>
        <c:scaling>
          <c:orientation val="minMax"/>
          <c:max val="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recovery to oil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4158168"/>
        <c:crosses val="autoZero"/>
        <c:crossBetween val="between"/>
        <c:majorUnit val="0.1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solidFill>
        <a:srgbClr val="FFFFFF"/>
      </a:solidFill>
    </a:ln>
  </c:spPr>
  <c:txPr>
    <a:bodyPr/>
    <a:lstStyle/>
    <a:p>
      <a:pPr>
        <a:defRPr sz="8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1.5476815398075599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791790123456801"/>
          <c:y val="8.0458128878230395E-2"/>
          <c:w val="0.75112530864197502"/>
          <c:h val="0.573743944319661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'Continuous data '!$P$2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'!$P$55:$P$57</c:f>
                <c:numCache>
                  <c:formatCode>General</c:formatCode>
                  <c:ptCount val="3"/>
                  <c:pt idx="0">
                    <c:v>4.6153388637595008E-2</c:v>
                  </c:pt>
                  <c:pt idx="1">
                    <c:v>4.6153388637595008E-2</c:v>
                  </c:pt>
                  <c:pt idx="2">
                    <c:v>4.6153388637595008E-2</c:v>
                  </c:pt>
                </c:numCache>
              </c:numRef>
            </c:plus>
            <c:minus>
              <c:numRef>
                <c:f>'Continuous data '!$P$55:$P$57</c:f>
                <c:numCache>
                  <c:formatCode>General</c:formatCode>
                  <c:ptCount val="3"/>
                  <c:pt idx="0">
                    <c:v>4.6153388637595008E-2</c:v>
                  </c:pt>
                  <c:pt idx="1">
                    <c:v>4.6153388637595008E-2</c:v>
                  </c:pt>
                  <c:pt idx="2">
                    <c:v>4.6153388637595008E-2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'!$P$51:$P$53</c:f>
              <c:numCache>
                <c:formatCode>0.0%</c:formatCode>
                <c:ptCount val="3"/>
                <c:pt idx="0">
                  <c:v>0.27689358904453976</c:v>
                </c:pt>
                <c:pt idx="1">
                  <c:v>0.30986772731039308</c:v>
                </c:pt>
                <c:pt idx="2">
                  <c:v>0.35211252440559204</c:v>
                </c:pt>
              </c:numCache>
            </c:numRef>
          </c:val>
        </c:ser>
        <c:ser>
          <c:idx val="3"/>
          <c:order val="1"/>
          <c:tx>
            <c:strRef>
              <c:f>'Continuous data '!$T$2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'!$T$55:$T$57</c:f>
                <c:numCache>
                  <c:formatCode>General</c:formatCode>
                  <c:ptCount val="3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</c:numCache>
              </c:numRef>
            </c:plus>
            <c:minus>
              <c:numRef>
                <c:f>'Continuous data '!$T$55:$T$57</c:f>
                <c:numCache>
                  <c:formatCode>General</c:formatCode>
                  <c:ptCount val="3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'!$T$51:$T$53</c:f>
              <c:numCache>
                <c:formatCode>0.0%</c:formatCode>
                <c:ptCount val="3"/>
                <c:pt idx="0">
                  <c:v>4.8910166741836528E-2</c:v>
                </c:pt>
                <c:pt idx="1">
                  <c:v>3.5575606378067517E-2</c:v>
                </c:pt>
                <c:pt idx="2">
                  <c:v>4.2618999197216838E-2</c:v>
                </c:pt>
              </c:numCache>
            </c:numRef>
          </c:val>
        </c:ser>
        <c:ser>
          <c:idx val="0"/>
          <c:order val="2"/>
          <c:tx>
            <c:strRef>
              <c:f>'Continuous data '!$W$2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'!$W$55:$W$57</c:f>
                <c:numCache>
                  <c:formatCode>General</c:formatCode>
                  <c:ptCount val="3"/>
                  <c:pt idx="0">
                    <c:v>1.6264024772890212E-2</c:v>
                  </c:pt>
                  <c:pt idx="1">
                    <c:v>1.6264024772890212E-2</c:v>
                  </c:pt>
                  <c:pt idx="2">
                    <c:v>1.6264024772890212E-2</c:v>
                  </c:pt>
                </c:numCache>
              </c:numRef>
            </c:plus>
            <c:minus>
              <c:numRef>
                <c:f>'Continuous data '!$W$55:$W$57</c:f>
                <c:numCache>
                  <c:formatCode>General</c:formatCode>
                  <c:ptCount val="3"/>
                  <c:pt idx="0">
                    <c:v>1.6264024772890212E-2</c:v>
                  </c:pt>
                  <c:pt idx="1">
                    <c:v>1.6264024772890212E-2</c:v>
                  </c:pt>
                  <c:pt idx="2">
                    <c:v>1.6264024772890212E-2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'!$W$51:$W$53</c:f>
              <c:numCache>
                <c:formatCode>0.0%</c:formatCode>
                <c:ptCount val="3"/>
                <c:pt idx="0">
                  <c:v>0.15399111877018162</c:v>
                </c:pt>
                <c:pt idx="1">
                  <c:v>0.13943164411615044</c:v>
                </c:pt>
                <c:pt idx="2">
                  <c:v>0.17581170873844046</c:v>
                </c:pt>
              </c:numCache>
            </c:numRef>
          </c:val>
        </c:ser>
        <c:ser>
          <c:idx val="1"/>
          <c:order val="3"/>
          <c:tx>
            <c:strRef>
              <c:f>'Continuous data '!$Q$2</c:f>
              <c:strCache>
                <c:ptCount val="1"/>
                <c:pt idx="0">
                  <c:v>Water phase residue</c:v>
                </c:pt>
              </c:strCache>
            </c:strRef>
          </c:tx>
          <c:spPr>
            <a:solidFill>
              <a:schemeClr val="accent5"/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'!$Q$55:$Q$57</c:f>
                <c:numCache>
                  <c:formatCode>General</c:formatCode>
                  <c:ptCount val="3"/>
                  <c:pt idx="0">
                    <c:v>2.8167082712816083E-2</c:v>
                  </c:pt>
                  <c:pt idx="1">
                    <c:v>2.8167082712816083E-2</c:v>
                  </c:pt>
                  <c:pt idx="2">
                    <c:v>2.8167082712816083E-2</c:v>
                  </c:pt>
                </c:numCache>
              </c:numRef>
            </c:plus>
            <c:minus>
              <c:numRef>
                <c:f>'Continuous data '!$Q$55:$Q$57</c:f>
                <c:numCache>
                  <c:formatCode>General</c:formatCode>
                  <c:ptCount val="3"/>
                  <c:pt idx="0">
                    <c:v>2.8167082712816083E-2</c:v>
                  </c:pt>
                  <c:pt idx="1">
                    <c:v>2.8167082712816083E-2</c:v>
                  </c:pt>
                  <c:pt idx="2">
                    <c:v>2.8167082712816083E-2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'!$Q$51:$Q$53</c:f>
              <c:numCache>
                <c:formatCode>0.0%</c:formatCode>
                <c:ptCount val="3"/>
                <c:pt idx="0">
                  <c:v>0.13821355989291201</c:v>
                </c:pt>
                <c:pt idx="1">
                  <c:v>0.20540349094757721</c:v>
                </c:pt>
                <c:pt idx="2">
                  <c:v>0.20850967068487092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162872"/>
        <c:axId val="344159344"/>
      </c:barChart>
      <c:catAx>
        <c:axId val="344162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Feed flow, mL min</a:t>
                </a:r>
                <a:r>
                  <a:rPr lang="en-GB" baseline="30000"/>
                  <a:t>-1</a:t>
                </a:r>
                <a:endParaRPr lang="en-US" baseline="30000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44159344"/>
        <c:crosses val="autoZero"/>
        <c:auto val="1"/>
        <c:lblAlgn val="ctr"/>
        <c:lblOffset val="100"/>
        <c:noMultiLvlLbl val="0"/>
      </c:catAx>
      <c:valAx>
        <c:axId val="344159344"/>
        <c:scaling>
          <c:orientation val="minMax"/>
          <c:max val="0.4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416287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4.7331583552055598E-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791790123456801"/>
          <c:y val="8.0458128878230395E-2"/>
          <c:w val="0.75112530864197502"/>
          <c:h val="0.586122117993234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'Continuous data '!$AM$2</c:f>
              <c:strCache>
                <c:ptCount val="1"/>
                <c:pt idx="0">
                  <c:v>Carbon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'!$AM$51:$AM$53</c:f>
              <c:numCache>
                <c:formatCode>0.0%</c:formatCode>
                <c:ptCount val="3"/>
                <c:pt idx="0">
                  <c:v>0.37809927028347401</c:v>
                </c:pt>
                <c:pt idx="1">
                  <c:v>0.32436588926638266</c:v>
                </c:pt>
                <c:pt idx="2">
                  <c:v>0.40840314337398342</c:v>
                </c:pt>
              </c:numCache>
            </c:numRef>
          </c:val>
        </c:ser>
        <c:ser>
          <c:idx val="2"/>
          <c:order val="2"/>
          <c:tx>
            <c:strRef>
              <c:f>'Continuous data '!$AN$2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'!$AN$51:$AN$53</c:f>
              <c:numCache>
                <c:formatCode>0.0%</c:formatCode>
                <c:ptCount val="3"/>
                <c:pt idx="0">
                  <c:v>0.35609965398780818</c:v>
                </c:pt>
                <c:pt idx="1">
                  <c:v>0.35717902330995743</c:v>
                </c:pt>
                <c:pt idx="2">
                  <c:v>0.45621918333492018</c:v>
                </c:pt>
              </c:numCache>
            </c:numRef>
          </c:val>
        </c:ser>
        <c:ser>
          <c:idx val="0"/>
          <c:order val="0"/>
          <c:tx>
            <c:strRef>
              <c:f>'Continuous data '!$AO$2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</c:spPr>
          <c:invertIfNegative val="0"/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'!$AO$51:$AO$53</c:f>
              <c:numCache>
                <c:formatCode>0.0%</c:formatCode>
                <c:ptCount val="3"/>
                <c:pt idx="0">
                  <c:v>0.17958344656590622</c:v>
                </c:pt>
                <c:pt idx="1">
                  <c:v>0.12353274630285484</c:v>
                </c:pt>
                <c:pt idx="2">
                  <c:v>0.14432543197961725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160128"/>
        <c:axId val="344163264"/>
      </c:barChart>
      <c:catAx>
        <c:axId val="34416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 rate, mL min</a:t>
                </a:r>
                <a:r>
                  <a:rPr lang="en-US" baseline="30000"/>
                  <a:t>-1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44163264"/>
        <c:crosses val="autoZero"/>
        <c:auto val="1"/>
        <c:lblAlgn val="ctr"/>
        <c:lblOffset val="100"/>
        <c:noMultiLvlLbl val="0"/>
      </c:catAx>
      <c:valAx>
        <c:axId val="344163264"/>
        <c:scaling>
          <c:orientation val="minMax"/>
          <c:max val="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recovery to oil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4160128"/>
        <c:crosses val="autoZero"/>
        <c:crossBetween val="between"/>
        <c:majorUnit val="0.1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solidFill>
        <a:srgbClr val="FFFFFF"/>
      </a:solidFill>
    </a:ln>
  </c:spPr>
  <c:txPr>
    <a:bodyPr/>
    <a:lstStyle/>
    <a:p>
      <a:pPr>
        <a:defRPr sz="8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Effect of temperature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'Batch Data'!$AC$41:$AC$43</c:f>
                <c:numCache>
                  <c:formatCode>General</c:formatCode>
                  <c:ptCount val="3"/>
                  <c:pt idx="0">
                    <c:v>2.1046033774327101E-2</c:v>
                  </c:pt>
                  <c:pt idx="1">
                    <c:v>2.641084300658935E-2</c:v>
                  </c:pt>
                  <c:pt idx="2">
                    <c:v>6.9766638667386506E-3</c:v>
                  </c:pt>
                </c:numCache>
              </c:numRef>
            </c:plus>
            <c:minus>
              <c:numRef>
                <c:f>'Batch Data'!$AC$41:$AC$43</c:f>
                <c:numCache>
                  <c:formatCode>General</c:formatCode>
                  <c:ptCount val="3"/>
                  <c:pt idx="0">
                    <c:v>2.1046033774327101E-2</c:v>
                  </c:pt>
                  <c:pt idx="1">
                    <c:v>2.641084300658935E-2</c:v>
                  </c:pt>
                  <c:pt idx="2">
                    <c:v>6.9766638667386506E-3</c:v>
                  </c:pt>
                </c:numCache>
              </c:numRef>
            </c:minus>
          </c:errBars>
          <c:cat>
            <c:numRef>
              <c:f>'Batch Data'!$K$36:$K$38</c:f>
              <c:numCache>
                <c:formatCode>0.0</c:formatCode>
                <c:ptCount val="3"/>
                <c:pt idx="0">
                  <c:v>303</c:v>
                </c:pt>
                <c:pt idx="1">
                  <c:v>321.66666666666669</c:v>
                </c:pt>
                <c:pt idx="2">
                  <c:v>339.33333333333331</c:v>
                </c:pt>
              </c:numCache>
            </c:numRef>
          </c:cat>
          <c:val>
            <c:numRef>
              <c:f>'Batch Data'!$AC$36:$AC$38</c:f>
              <c:numCache>
                <c:formatCode>0.00%</c:formatCode>
                <c:ptCount val="3"/>
                <c:pt idx="0">
                  <c:v>0.43551571899590824</c:v>
                </c:pt>
                <c:pt idx="1">
                  <c:v>0.41495942602984731</c:v>
                </c:pt>
                <c:pt idx="2">
                  <c:v>0.38183440094520388</c:v>
                </c:pt>
              </c:numCache>
            </c:numRef>
          </c:val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'Batch Data'!$AD$41:$AD$43</c:f>
                <c:numCache>
                  <c:formatCode>General</c:formatCode>
                  <c:ptCount val="3"/>
                  <c:pt idx="0">
                    <c:v>1.1916258344938757E-2</c:v>
                  </c:pt>
                  <c:pt idx="1">
                    <c:v>1.2058503891087818E-2</c:v>
                  </c:pt>
                  <c:pt idx="2">
                    <c:v>1.3669557363065576E-3</c:v>
                  </c:pt>
                </c:numCache>
              </c:numRef>
            </c:plus>
            <c:minus>
              <c:numRef>
                <c:f>'Batch Data'!$AD$41:$AD$43</c:f>
                <c:numCache>
                  <c:formatCode>General</c:formatCode>
                  <c:ptCount val="3"/>
                  <c:pt idx="0">
                    <c:v>1.1916258344938757E-2</c:v>
                  </c:pt>
                  <c:pt idx="1">
                    <c:v>1.2058503891087818E-2</c:v>
                  </c:pt>
                  <c:pt idx="2">
                    <c:v>1.3669557363065576E-3</c:v>
                  </c:pt>
                </c:numCache>
              </c:numRef>
            </c:minus>
          </c:errBars>
          <c:cat>
            <c:numRef>
              <c:f>'Batch Data'!$K$36:$K$38</c:f>
              <c:numCache>
                <c:formatCode>0.0</c:formatCode>
                <c:ptCount val="3"/>
                <c:pt idx="0">
                  <c:v>303</c:v>
                </c:pt>
                <c:pt idx="1">
                  <c:v>321.66666666666669</c:v>
                </c:pt>
                <c:pt idx="2">
                  <c:v>339.33333333333331</c:v>
                </c:pt>
              </c:numCache>
            </c:numRef>
          </c:cat>
          <c:val>
            <c:numRef>
              <c:f>'Batch Data'!$AD$36:$AD$38</c:f>
              <c:numCache>
                <c:formatCode>0.00%</c:formatCode>
                <c:ptCount val="3"/>
                <c:pt idx="0">
                  <c:v>0.12105642656641168</c:v>
                </c:pt>
                <c:pt idx="1">
                  <c:v>0.1705980735062668</c:v>
                </c:pt>
                <c:pt idx="2">
                  <c:v>0.15871765209188282</c:v>
                </c:pt>
              </c:numCache>
            </c:numRef>
          </c:val>
        </c:ser>
        <c:ser>
          <c:idx val="3"/>
          <c:order val="3"/>
          <c:tx>
            <c:strRef>
              <c:f>'Batch Data'!$AE$3</c:f>
              <c:strCache>
                <c:ptCount val="1"/>
                <c:pt idx="0">
                  <c:v>Water residue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'Batch Data'!$AE$41:$AE$43</c:f>
                <c:numCache>
                  <c:formatCode>General</c:formatCode>
                  <c:ptCount val="3"/>
                  <c:pt idx="0">
                    <c:v>2.0817507541518451E-2</c:v>
                  </c:pt>
                  <c:pt idx="1">
                    <c:v>4.2483683114568479E-3</c:v>
                  </c:pt>
                  <c:pt idx="2">
                    <c:v>7.5085827708673948E-3</c:v>
                  </c:pt>
                </c:numCache>
              </c:numRef>
            </c:plus>
            <c:minus>
              <c:numRef>
                <c:f>'Batch Data'!$AE$41:$AE$43</c:f>
                <c:numCache>
                  <c:formatCode>General</c:formatCode>
                  <c:ptCount val="3"/>
                  <c:pt idx="0">
                    <c:v>2.0817507541518451E-2</c:v>
                  </c:pt>
                  <c:pt idx="1">
                    <c:v>4.2483683114568479E-3</c:v>
                  </c:pt>
                  <c:pt idx="2">
                    <c:v>7.5085827708673948E-3</c:v>
                  </c:pt>
                </c:numCache>
              </c:numRef>
            </c:minus>
          </c:errBars>
          <c:cat>
            <c:numRef>
              <c:f>'Batch Data'!$K$36:$K$38</c:f>
              <c:numCache>
                <c:formatCode>0.0</c:formatCode>
                <c:ptCount val="3"/>
                <c:pt idx="0">
                  <c:v>303</c:v>
                </c:pt>
                <c:pt idx="1">
                  <c:v>321.66666666666669</c:v>
                </c:pt>
                <c:pt idx="2">
                  <c:v>339.33333333333331</c:v>
                </c:pt>
              </c:numCache>
            </c:numRef>
          </c:cat>
          <c:val>
            <c:numRef>
              <c:f>'Batch Data'!$AE$36:$AE$38</c:f>
              <c:numCache>
                <c:formatCode>0.00%</c:formatCode>
                <c:ptCount val="3"/>
                <c:pt idx="0">
                  <c:v>0.29867518819804567</c:v>
                </c:pt>
                <c:pt idx="1">
                  <c:v>0.20666146418678774</c:v>
                </c:pt>
                <c:pt idx="2">
                  <c:v>0.24021334289121457</c:v>
                </c:pt>
              </c:numCache>
            </c:numRef>
          </c:val>
        </c:ser>
        <c:ser>
          <c:idx val="0"/>
          <c:order val="0"/>
          <c:tx>
            <c:strRef>
              <c:f>'Batch Data'!$AF$3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'Batch Data'!$AF$41:$AF$43</c:f>
                <c:numCache>
                  <c:formatCode>General</c:formatCode>
                  <c:ptCount val="3"/>
                  <c:pt idx="0">
                    <c:v>2.2373259966795706E-2</c:v>
                  </c:pt>
                  <c:pt idx="1">
                    <c:v>1.4785920509446446E-2</c:v>
                  </c:pt>
                  <c:pt idx="2">
                    <c:v>6.001259545476042E-3</c:v>
                  </c:pt>
                </c:numCache>
              </c:numRef>
            </c:plus>
            <c:minus>
              <c:numRef>
                <c:f>'Batch Data'!$AF$41:$AF$43</c:f>
                <c:numCache>
                  <c:formatCode>General</c:formatCode>
                  <c:ptCount val="3"/>
                  <c:pt idx="0">
                    <c:v>2.2373259966795706E-2</c:v>
                  </c:pt>
                  <c:pt idx="1">
                    <c:v>1.4785920509446446E-2</c:v>
                  </c:pt>
                  <c:pt idx="2">
                    <c:v>6.001259545476042E-3</c:v>
                  </c:pt>
                </c:numCache>
              </c:numRef>
            </c:minus>
          </c:errBars>
          <c:cat>
            <c:numRef>
              <c:f>'Batch Data'!$K$36:$K$38</c:f>
              <c:numCache>
                <c:formatCode>0.0</c:formatCode>
                <c:ptCount val="3"/>
                <c:pt idx="0">
                  <c:v>303</c:v>
                </c:pt>
                <c:pt idx="1">
                  <c:v>321.66666666666669</c:v>
                </c:pt>
                <c:pt idx="2">
                  <c:v>339.33333333333331</c:v>
                </c:pt>
              </c:numCache>
            </c:numRef>
          </c:cat>
          <c:val>
            <c:numRef>
              <c:f>'Batch Data'!$AF$36:$AF$38</c:f>
              <c:numCache>
                <c:formatCode>0.00%</c:formatCode>
                <c:ptCount val="3"/>
                <c:pt idx="0">
                  <c:v>5.3351532891060233E-2</c:v>
                </c:pt>
                <c:pt idx="1">
                  <c:v>6.8883976163288077E-2</c:v>
                </c:pt>
                <c:pt idx="2">
                  <c:v>7.5930843560465797E-2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160912"/>
        <c:axId val="344163656"/>
      </c:barChart>
      <c:catAx>
        <c:axId val="34416091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344163656"/>
        <c:crosses val="autoZero"/>
        <c:auto val="1"/>
        <c:lblAlgn val="ctr"/>
        <c:lblOffset val="100"/>
        <c:noMultiLvlLbl val="0"/>
      </c:catAx>
      <c:valAx>
        <c:axId val="34416365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44160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Effect of heating rate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plus>
            <c:min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minus>
          </c:errBars>
          <c:cat>
            <c:numRef>
              <c:f>'Batch Data'!$M$26:$M$29</c:f>
              <c:numCache>
                <c:formatCode>0.00</c:formatCode>
                <c:ptCount val="4"/>
                <c:pt idx="0">
                  <c:v>31.777777777777771</c:v>
                </c:pt>
                <c:pt idx="1">
                  <c:v>14.722222222222221</c:v>
                </c:pt>
                <c:pt idx="2">
                  <c:v>9.1388888888888822</c:v>
                </c:pt>
                <c:pt idx="3">
                  <c:v>6.1111111111110992</c:v>
                </c:pt>
              </c:numCache>
            </c:numRef>
          </c:cat>
          <c:val>
            <c:numRef>
              <c:f>'Batch Data'!$AC$26:$AC$29</c:f>
              <c:numCache>
                <c:formatCode>0.00%</c:formatCode>
                <c:ptCount val="4"/>
                <c:pt idx="0">
                  <c:v>0.40159796144294724</c:v>
                </c:pt>
                <c:pt idx="1">
                  <c:v>0.39654704531085233</c:v>
                </c:pt>
                <c:pt idx="2">
                  <c:v>0.41495942602984731</c:v>
                </c:pt>
                <c:pt idx="3">
                  <c:v>0.42788682982646914</c:v>
                </c:pt>
              </c:numCache>
            </c:numRef>
          </c:val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plus>
            <c:min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minus>
          </c:errBars>
          <c:cat>
            <c:numRef>
              <c:f>'Batch Data'!$M$26:$M$29</c:f>
              <c:numCache>
                <c:formatCode>0.00</c:formatCode>
                <c:ptCount val="4"/>
                <c:pt idx="0">
                  <c:v>31.777777777777771</c:v>
                </c:pt>
                <c:pt idx="1">
                  <c:v>14.722222222222221</c:v>
                </c:pt>
                <c:pt idx="2">
                  <c:v>9.1388888888888822</c:v>
                </c:pt>
                <c:pt idx="3">
                  <c:v>6.1111111111110992</c:v>
                </c:pt>
              </c:numCache>
            </c:numRef>
          </c:cat>
          <c:val>
            <c:numRef>
              <c:f>'Batch Data'!$AD$26:$AD$29</c:f>
              <c:numCache>
                <c:formatCode>0.00%</c:formatCode>
                <c:ptCount val="4"/>
                <c:pt idx="0">
                  <c:v>0.14860271079136481</c:v>
                </c:pt>
                <c:pt idx="1">
                  <c:v>0.15860901816188869</c:v>
                </c:pt>
                <c:pt idx="2">
                  <c:v>0.1705980735062668</c:v>
                </c:pt>
                <c:pt idx="3">
                  <c:v>0.13529344862326168</c:v>
                </c:pt>
              </c:numCache>
            </c:numRef>
          </c:val>
        </c:ser>
        <c:ser>
          <c:idx val="3"/>
          <c:order val="3"/>
          <c:tx>
            <c:strRef>
              <c:f>'Batch Data'!$AE$3</c:f>
              <c:strCache>
                <c:ptCount val="1"/>
                <c:pt idx="0">
                  <c:v>Water residue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plus>
            <c:min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minus>
          </c:errBars>
          <c:cat>
            <c:numRef>
              <c:f>'Batch Data'!$M$26:$M$29</c:f>
              <c:numCache>
                <c:formatCode>0.00</c:formatCode>
                <c:ptCount val="4"/>
                <c:pt idx="0">
                  <c:v>31.777777777777771</c:v>
                </c:pt>
                <c:pt idx="1">
                  <c:v>14.722222222222221</c:v>
                </c:pt>
                <c:pt idx="2">
                  <c:v>9.1388888888888822</c:v>
                </c:pt>
                <c:pt idx="3">
                  <c:v>6.1111111111110992</c:v>
                </c:pt>
              </c:numCache>
            </c:numRef>
          </c:cat>
          <c:val>
            <c:numRef>
              <c:f>'Batch Data'!$AE$26:$AE$29</c:f>
              <c:numCache>
                <c:formatCode>0.00%</c:formatCode>
                <c:ptCount val="4"/>
                <c:pt idx="0">
                  <c:v>0.2470906330352127</c:v>
                </c:pt>
                <c:pt idx="1">
                  <c:v>0.21353954308177556</c:v>
                </c:pt>
                <c:pt idx="2">
                  <c:v>0.20666146418678774</c:v>
                </c:pt>
                <c:pt idx="3">
                  <c:v>0.27663829900953557</c:v>
                </c:pt>
              </c:numCache>
            </c:numRef>
          </c:val>
        </c:ser>
        <c:ser>
          <c:idx val="0"/>
          <c:order val="0"/>
          <c:tx>
            <c:strRef>
              <c:f>'Batch Data'!$AF$3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'Batch Data'!$AF$31:$AF$34</c:f>
                <c:numCache>
                  <c:formatCode>General</c:formatCode>
                  <c:ptCount val="4"/>
                  <c:pt idx="0">
                    <c:v>5.7605820807236632E-3</c:v>
                  </c:pt>
                  <c:pt idx="1">
                    <c:v>6.9063231186225291E-3</c:v>
                  </c:pt>
                  <c:pt idx="2">
                    <c:v>1.4785920509446498E-2</c:v>
                  </c:pt>
                  <c:pt idx="3">
                    <c:v>1.9489477139900853E-2</c:v>
                  </c:pt>
                </c:numCache>
              </c:numRef>
            </c:plus>
            <c:minus>
              <c:numRef>
                <c:f>'Batch Data'!$AF$31:$AF$34</c:f>
                <c:numCache>
                  <c:formatCode>General</c:formatCode>
                  <c:ptCount val="4"/>
                  <c:pt idx="0">
                    <c:v>5.7605820807236632E-3</c:v>
                  </c:pt>
                  <c:pt idx="1">
                    <c:v>6.9063231186225291E-3</c:v>
                  </c:pt>
                  <c:pt idx="2">
                    <c:v>1.4785920509446498E-2</c:v>
                  </c:pt>
                  <c:pt idx="3">
                    <c:v>1.9489477139900853E-2</c:v>
                  </c:pt>
                </c:numCache>
              </c:numRef>
            </c:minus>
          </c:errBars>
          <c:cat>
            <c:numRef>
              <c:f>'Batch Data'!$M$26:$M$29</c:f>
              <c:numCache>
                <c:formatCode>0.00</c:formatCode>
                <c:ptCount val="4"/>
                <c:pt idx="0">
                  <c:v>31.777777777777771</c:v>
                </c:pt>
                <c:pt idx="1">
                  <c:v>14.722222222222221</c:v>
                </c:pt>
                <c:pt idx="2">
                  <c:v>9.1388888888888822</c:v>
                </c:pt>
                <c:pt idx="3">
                  <c:v>6.1111111111110992</c:v>
                </c:pt>
              </c:numCache>
            </c:numRef>
          </c:cat>
          <c:val>
            <c:numRef>
              <c:f>'Batch Data'!$AF$26:$AF$29</c:f>
              <c:numCache>
                <c:formatCode>0.00%</c:formatCode>
                <c:ptCount val="4"/>
                <c:pt idx="0">
                  <c:v>7.2958240262094687E-2</c:v>
                </c:pt>
                <c:pt idx="1">
                  <c:v>5.8639998236172018E-2</c:v>
                </c:pt>
                <c:pt idx="2">
                  <c:v>6.8883976163288063E-2</c:v>
                </c:pt>
                <c:pt idx="3">
                  <c:v>2.1752108185352795E-2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860992"/>
        <c:axId val="343865304"/>
      </c:barChart>
      <c:catAx>
        <c:axId val="34386099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343865304"/>
        <c:crosses val="autoZero"/>
        <c:auto val="1"/>
        <c:lblAlgn val="ctr"/>
        <c:lblOffset val="100"/>
        <c:noMultiLvlLbl val="0"/>
      </c:catAx>
      <c:valAx>
        <c:axId val="3438653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43860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Effect of heating rate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plus>
            <c:min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minus>
          </c:errBars>
          <c:xVal>
            <c:numRef>
              <c:f>'Batch Data'!$M$26:$M$29</c:f>
              <c:numCache>
                <c:formatCode>0.00</c:formatCode>
                <c:ptCount val="4"/>
                <c:pt idx="0">
                  <c:v>31.777777777777771</c:v>
                </c:pt>
                <c:pt idx="1">
                  <c:v>14.722222222222221</c:v>
                </c:pt>
                <c:pt idx="2">
                  <c:v>9.1388888888888822</c:v>
                </c:pt>
                <c:pt idx="3">
                  <c:v>6.1111111111110992</c:v>
                </c:pt>
              </c:numCache>
            </c:numRef>
          </c:xVal>
          <c:yVal>
            <c:numRef>
              <c:f>'Batch Data'!$AC$26:$AC$29</c:f>
              <c:numCache>
                <c:formatCode>0.00%</c:formatCode>
                <c:ptCount val="4"/>
                <c:pt idx="0">
                  <c:v>0.40159796144294724</c:v>
                </c:pt>
                <c:pt idx="1">
                  <c:v>0.39654704531085233</c:v>
                </c:pt>
                <c:pt idx="2">
                  <c:v>0.41495942602984731</c:v>
                </c:pt>
                <c:pt idx="3">
                  <c:v>0.42788682982646914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plus>
            <c:min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minus>
          </c:errBars>
          <c:xVal>
            <c:numRef>
              <c:f>'Batch Data'!$M$26:$M$29</c:f>
              <c:numCache>
                <c:formatCode>0.00</c:formatCode>
                <c:ptCount val="4"/>
                <c:pt idx="0">
                  <c:v>31.777777777777771</c:v>
                </c:pt>
                <c:pt idx="1">
                  <c:v>14.722222222222221</c:v>
                </c:pt>
                <c:pt idx="2">
                  <c:v>9.1388888888888822</c:v>
                </c:pt>
                <c:pt idx="3">
                  <c:v>6.1111111111110992</c:v>
                </c:pt>
              </c:numCache>
            </c:numRef>
          </c:xVal>
          <c:yVal>
            <c:numRef>
              <c:f>'Batch Data'!$AD$26:$AD$29</c:f>
              <c:numCache>
                <c:formatCode>0.00%</c:formatCode>
                <c:ptCount val="4"/>
                <c:pt idx="0">
                  <c:v>0.14860271079136481</c:v>
                </c:pt>
                <c:pt idx="1">
                  <c:v>0.15860901816188869</c:v>
                </c:pt>
                <c:pt idx="2">
                  <c:v>0.1705980735062668</c:v>
                </c:pt>
                <c:pt idx="3">
                  <c:v>0.13529344862326168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'Batch Data'!$AE$3</c:f>
              <c:strCache>
                <c:ptCount val="1"/>
                <c:pt idx="0">
                  <c:v>Water residue</c:v>
                </c:pt>
              </c:strCache>
            </c:strRef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plus>
            <c:min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minus>
          </c:errBars>
          <c:xVal>
            <c:numRef>
              <c:f>'Batch Data'!$M$26:$M$29</c:f>
              <c:numCache>
                <c:formatCode>0.00</c:formatCode>
                <c:ptCount val="4"/>
                <c:pt idx="0">
                  <c:v>31.777777777777771</c:v>
                </c:pt>
                <c:pt idx="1">
                  <c:v>14.722222222222221</c:v>
                </c:pt>
                <c:pt idx="2">
                  <c:v>9.1388888888888822</c:v>
                </c:pt>
                <c:pt idx="3">
                  <c:v>6.1111111111110992</c:v>
                </c:pt>
              </c:numCache>
            </c:numRef>
          </c:xVal>
          <c:yVal>
            <c:numRef>
              <c:f>'Batch Data'!$AE$26:$AE$29</c:f>
              <c:numCache>
                <c:formatCode>0.00%</c:formatCode>
                <c:ptCount val="4"/>
                <c:pt idx="0">
                  <c:v>0.2470906330352127</c:v>
                </c:pt>
                <c:pt idx="1">
                  <c:v>0.21353954308177556</c:v>
                </c:pt>
                <c:pt idx="2">
                  <c:v>0.20666146418678774</c:v>
                </c:pt>
                <c:pt idx="3">
                  <c:v>0.27663829900953557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'Batch Data'!$AF$3</c:f>
              <c:strCache>
                <c:ptCount val="1"/>
                <c:pt idx="0">
                  <c:v>Gas</c:v>
                </c:pt>
              </c:strCache>
            </c:strRef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'Batch Data'!$AF$31:$AF$34</c:f>
                <c:numCache>
                  <c:formatCode>General</c:formatCode>
                  <c:ptCount val="4"/>
                  <c:pt idx="0">
                    <c:v>5.7605820807236632E-3</c:v>
                  </c:pt>
                  <c:pt idx="1">
                    <c:v>6.9063231186225291E-3</c:v>
                  </c:pt>
                  <c:pt idx="2">
                    <c:v>1.4785920509446498E-2</c:v>
                  </c:pt>
                  <c:pt idx="3">
                    <c:v>1.9489477139900853E-2</c:v>
                  </c:pt>
                </c:numCache>
              </c:numRef>
            </c:plus>
            <c:minus>
              <c:numRef>
                <c:f>'Batch Data'!$AF$31:$AF$34</c:f>
                <c:numCache>
                  <c:formatCode>General</c:formatCode>
                  <c:ptCount val="4"/>
                  <c:pt idx="0">
                    <c:v>5.7605820807236632E-3</c:v>
                  </c:pt>
                  <c:pt idx="1">
                    <c:v>6.9063231186225291E-3</c:v>
                  </c:pt>
                  <c:pt idx="2">
                    <c:v>1.4785920509446498E-2</c:v>
                  </c:pt>
                  <c:pt idx="3">
                    <c:v>1.9489477139900853E-2</c:v>
                  </c:pt>
                </c:numCache>
              </c:numRef>
            </c:minus>
          </c:errBars>
          <c:xVal>
            <c:numRef>
              <c:f>'Batch Data'!$M$26:$M$29</c:f>
              <c:numCache>
                <c:formatCode>0.00</c:formatCode>
                <c:ptCount val="4"/>
                <c:pt idx="0">
                  <c:v>31.777777777777771</c:v>
                </c:pt>
                <c:pt idx="1">
                  <c:v>14.722222222222221</c:v>
                </c:pt>
                <c:pt idx="2">
                  <c:v>9.1388888888888822</c:v>
                </c:pt>
                <c:pt idx="3">
                  <c:v>6.1111111111110992</c:v>
                </c:pt>
              </c:numCache>
            </c:numRef>
          </c:xVal>
          <c:yVal>
            <c:numRef>
              <c:f>'Batch Data'!$AF$26:$AF$29</c:f>
              <c:numCache>
                <c:formatCode>0.00%</c:formatCode>
                <c:ptCount val="4"/>
                <c:pt idx="0">
                  <c:v>7.2958240262094687E-2</c:v>
                </c:pt>
                <c:pt idx="1">
                  <c:v>5.8639998236172018E-2</c:v>
                </c:pt>
                <c:pt idx="2">
                  <c:v>6.8883976163288063E-2</c:v>
                </c:pt>
                <c:pt idx="3">
                  <c:v>2.1752108185352795E-2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861776"/>
        <c:axId val="343865696"/>
      </c:scatterChart>
      <c:valAx>
        <c:axId val="3438617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343865696"/>
        <c:crosses val="autoZero"/>
        <c:crossBetween val="midCat"/>
      </c:valAx>
      <c:valAx>
        <c:axId val="3438656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43861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</a:t>
            </a:r>
          </a:p>
        </c:rich>
      </c:tx>
      <c:layout>
        <c:manualLayout>
          <c:xMode val="edge"/>
          <c:yMode val="edge"/>
          <c:x val="6.4960629921257697E-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4"/>
          <c:order val="1"/>
          <c:tx>
            <c:v>Residue batch</c:v>
          </c:tx>
          <c:spPr>
            <a:ln w="47625">
              <a:noFill/>
            </a:ln>
          </c:spPr>
          <c:marker>
            <c:symbol val="diamond"/>
            <c:size val="9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plus>
            <c:min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minus>
          </c:errBars>
          <c:xVal>
            <c:numRef>
              <c:f>'Batch Data'!$M$26:$M$29</c:f>
              <c:numCache>
                <c:formatCode>0.00</c:formatCode>
                <c:ptCount val="4"/>
                <c:pt idx="0">
                  <c:v>31.777777777777771</c:v>
                </c:pt>
                <c:pt idx="1">
                  <c:v>14.722222222222221</c:v>
                </c:pt>
                <c:pt idx="2">
                  <c:v>9.1388888888888822</c:v>
                </c:pt>
                <c:pt idx="3">
                  <c:v>6.1111111111110992</c:v>
                </c:pt>
              </c:numCache>
            </c:numRef>
          </c:xVal>
          <c:yVal>
            <c:numRef>
              <c:f>'Batch Data'!$AE$26:$AE$29</c:f>
              <c:numCache>
                <c:formatCode>0.00%</c:formatCode>
                <c:ptCount val="4"/>
                <c:pt idx="0">
                  <c:v>0.2470906330352127</c:v>
                </c:pt>
                <c:pt idx="1">
                  <c:v>0.21353954308177556</c:v>
                </c:pt>
                <c:pt idx="2">
                  <c:v>0.20666146418678774</c:v>
                </c:pt>
                <c:pt idx="3">
                  <c:v>0.27663829900953557</c:v>
                </c:pt>
              </c:numCache>
            </c:numRef>
          </c:yVal>
          <c:smooth val="0"/>
        </c:ser>
        <c:ser>
          <c:idx val="1"/>
          <c:order val="0"/>
          <c:tx>
            <c:v>Residue continuous</c:v>
          </c:tx>
          <c:spPr>
            <a:ln w="47625">
              <a:noFill/>
            </a:ln>
          </c:spPr>
          <c:marker>
            <c:symbol val="diamond"/>
            <c:size val="9"/>
            <c:spPr>
              <a:solidFill>
                <a:schemeClr val="accent5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079856"/>
        <c:axId val="345086520"/>
      </c:scatterChart>
      <c:valAx>
        <c:axId val="34507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Heating time,</a:t>
                </a:r>
                <a:r>
                  <a:rPr lang="en-GB" baseline="0"/>
                  <a:t> minutes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345086520"/>
        <c:crosses val="autoZero"/>
        <c:crossBetween val="midCat"/>
      </c:valAx>
      <c:valAx>
        <c:axId val="345086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</a:t>
                </a:r>
                <a:r>
                  <a:rPr lang="en-US" baseline="0"/>
                  <a:t> Yield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4507985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4.7331583552055598E-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plus>
            <c:min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plus>
            <c:min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minus>
          </c:errBars>
          <c:xVal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xVal>
          <c:yVal>
            <c:numRef>
              <c:f>'Batch Data'!$AC$26:$AC$29</c:f>
              <c:numCache>
                <c:formatCode>0.00%</c:formatCode>
                <c:ptCount val="4"/>
                <c:pt idx="0">
                  <c:v>0.40159796144294724</c:v>
                </c:pt>
                <c:pt idx="1">
                  <c:v>0.39654704531085233</c:v>
                </c:pt>
                <c:pt idx="2">
                  <c:v>0.41495942602984731</c:v>
                </c:pt>
                <c:pt idx="3">
                  <c:v>0.42788682982646914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plus>
            <c:min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plus>
            <c:min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minus>
          </c:errBars>
          <c:xVal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xVal>
          <c:yVal>
            <c:numRef>
              <c:f>'Batch Data'!$AD$26:$AD$29</c:f>
              <c:numCache>
                <c:formatCode>0.00%</c:formatCode>
                <c:ptCount val="4"/>
                <c:pt idx="0">
                  <c:v>0.14860271079136481</c:v>
                </c:pt>
                <c:pt idx="1">
                  <c:v>0.15860901816188869</c:v>
                </c:pt>
                <c:pt idx="2">
                  <c:v>0.1705980735062668</c:v>
                </c:pt>
                <c:pt idx="3">
                  <c:v>0.13529344862326168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'Batch Data'!$AF$3</c:f>
              <c:strCache>
                <c:ptCount val="1"/>
                <c:pt idx="0">
                  <c:v>Gas</c:v>
                </c:pt>
              </c:strCache>
            </c:strRef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plus>
            <c:min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plus>
            <c:min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minus>
          </c:errBars>
          <c:xVal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xVal>
          <c:yVal>
            <c:numRef>
              <c:f>'Batch Data'!$AE$26:$AE$29</c:f>
              <c:numCache>
                <c:formatCode>0.00%</c:formatCode>
                <c:ptCount val="4"/>
                <c:pt idx="0">
                  <c:v>0.2470906330352127</c:v>
                </c:pt>
                <c:pt idx="1">
                  <c:v>0.21353954308177556</c:v>
                </c:pt>
                <c:pt idx="2">
                  <c:v>0.20666146418678774</c:v>
                </c:pt>
                <c:pt idx="3">
                  <c:v>0.27663829900953557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085736"/>
        <c:axId val="345082992"/>
      </c:scatterChart>
      <c:valAx>
        <c:axId val="345085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Heating rate, </a:t>
                </a:r>
                <a:r>
                  <a:rPr lang="it-IT"/>
                  <a:t>°</a:t>
                </a:r>
                <a:r>
                  <a:rPr lang="en-US"/>
                  <a:t>C min</a:t>
                </a:r>
                <a:r>
                  <a:rPr lang="en-US" baseline="30000"/>
                  <a:t>-1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45082992"/>
        <c:crosses val="autoZero"/>
        <c:crossBetween val="midCat"/>
      </c:valAx>
      <c:valAx>
        <c:axId val="345082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5085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4.7331583552055598E-4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plus>
            <c:min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minus>
          </c:errBars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Data'!$AC$26:$AC$29</c:f>
              <c:numCache>
                <c:formatCode>0.00%</c:formatCode>
                <c:ptCount val="4"/>
                <c:pt idx="0">
                  <c:v>0.40159796144294724</c:v>
                </c:pt>
                <c:pt idx="1">
                  <c:v>0.39654704531085233</c:v>
                </c:pt>
                <c:pt idx="2">
                  <c:v>0.41495942602984731</c:v>
                </c:pt>
                <c:pt idx="3">
                  <c:v>0.42788682982646914</c:v>
                </c:pt>
              </c:numCache>
            </c:numRef>
          </c:val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plus>
            <c:min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minus>
          </c:errBars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Data'!$AD$26:$AD$29</c:f>
              <c:numCache>
                <c:formatCode>0.00%</c:formatCode>
                <c:ptCount val="4"/>
                <c:pt idx="0">
                  <c:v>0.14860271079136481</c:v>
                </c:pt>
                <c:pt idx="1">
                  <c:v>0.15860901816188869</c:v>
                </c:pt>
                <c:pt idx="2">
                  <c:v>0.1705980735062668</c:v>
                </c:pt>
                <c:pt idx="3">
                  <c:v>0.13529344862326168</c:v>
                </c:pt>
              </c:numCache>
            </c:numRef>
          </c:val>
        </c:ser>
        <c:ser>
          <c:idx val="0"/>
          <c:order val="0"/>
          <c:tx>
            <c:strRef>
              <c:f>'Batch Data'!$AE$3</c:f>
              <c:strCache>
                <c:ptCount val="1"/>
                <c:pt idx="0">
                  <c:v>Water residue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plus>
            <c:min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minus>
          </c:errBars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Data'!$AE$26:$AE$29</c:f>
              <c:numCache>
                <c:formatCode>0.00%</c:formatCode>
                <c:ptCount val="4"/>
                <c:pt idx="0">
                  <c:v>0.2470906330352127</c:v>
                </c:pt>
                <c:pt idx="1">
                  <c:v>0.21353954308177556</c:v>
                </c:pt>
                <c:pt idx="2">
                  <c:v>0.20666146418678774</c:v>
                </c:pt>
                <c:pt idx="3">
                  <c:v>0.27663829900953557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085344"/>
        <c:axId val="345084168"/>
      </c:barChart>
      <c:catAx>
        <c:axId val="34508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Heating rate, </a:t>
                </a:r>
                <a:r>
                  <a:rPr lang="it-IT"/>
                  <a:t>°</a:t>
                </a:r>
                <a:r>
                  <a:rPr lang="en-US"/>
                  <a:t>C min</a:t>
                </a:r>
                <a:r>
                  <a:rPr lang="en-US" baseline="30000"/>
                  <a:t>-1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45084168"/>
        <c:crosses val="autoZero"/>
        <c:auto val="1"/>
        <c:lblAlgn val="ctr"/>
        <c:lblOffset val="100"/>
        <c:noMultiLvlLbl val="0"/>
      </c:catAx>
      <c:valAx>
        <c:axId val="345084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yield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45085344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4.7331583552055598E-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12"/>
          </c:marker>
          <c:errBars>
            <c:errDir val="y"/>
            <c:errBarType val="both"/>
            <c:errValType val="cust"/>
            <c:noEndCap val="0"/>
            <c:pl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plus>
            <c:min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plus>
            <c:min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minus>
          </c:errBars>
          <c:xVal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xVal>
          <c:yVal>
            <c:numRef>
              <c:f>'Batch Data'!$AC$26:$AC$29</c:f>
              <c:numCache>
                <c:formatCode>0.00%</c:formatCode>
                <c:ptCount val="4"/>
                <c:pt idx="0">
                  <c:v>0.40159796144294724</c:v>
                </c:pt>
                <c:pt idx="1">
                  <c:v>0.39654704531085233</c:v>
                </c:pt>
                <c:pt idx="2">
                  <c:v>0.41495942602984731</c:v>
                </c:pt>
                <c:pt idx="3">
                  <c:v>0.42788682982646914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plus>
            <c:min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plus>
            <c:min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minus>
          </c:errBars>
          <c:xVal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xVal>
          <c:yVal>
            <c:numRef>
              <c:f>'Batch Data'!$AD$26:$AD$29</c:f>
              <c:numCache>
                <c:formatCode>0.00%</c:formatCode>
                <c:ptCount val="4"/>
                <c:pt idx="0">
                  <c:v>0.14860271079136481</c:v>
                </c:pt>
                <c:pt idx="1">
                  <c:v>0.15860901816188869</c:v>
                </c:pt>
                <c:pt idx="2">
                  <c:v>0.1705980735062668</c:v>
                </c:pt>
                <c:pt idx="3">
                  <c:v>0.13529344862326168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'Batch Data'!$AF$3</c:f>
              <c:strCache>
                <c:ptCount val="1"/>
                <c:pt idx="0">
                  <c:v>Gas</c:v>
                </c:pt>
              </c:strCache>
            </c:strRef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plus>
            <c:min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plus>
            <c:minus>
              <c:numRef>
                <c:f>'Batch Data'!$AG$31:$AG$34</c:f>
                <c:numCache>
                  <c:formatCode>General</c:formatCode>
                  <c:ptCount val="4"/>
                  <c:pt idx="0">
                    <c:v>0.2812953554010722</c:v>
                  </c:pt>
                  <c:pt idx="1">
                    <c:v>0.73105231660827186</c:v>
                  </c:pt>
                  <c:pt idx="2">
                    <c:v>0.60363207574870215</c:v>
                  </c:pt>
                  <c:pt idx="3">
                    <c:v>2.1176967313937975</c:v>
                  </c:pt>
                </c:numCache>
              </c:numRef>
            </c:minus>
          </c:errBars>
          <c:xVal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xVal>
          <c:yVal>
            <c:numRef>
              <c:f>'Batch Data'!$AE$26:$AE$29</c:f>
              <c:numCache>
                <c:formatCode>0.00%</c:formatCode>
                <c:ptCount val="4"/>
                <c:pt idx="0">
                  <c:v>0.2470906330352127</c:v>
                </c:pt>
                <c:pt idx="1">
                  <c:v>0.21353954308177556</c:v>
                </c:pt>
                <c:pt idx="2">
                  <c:v>0.20666146418678774</c:v>
                </c:pt>
                <c:pt idx="3">
                  <c:v>0.27663829900953557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082208"/>
        <c:axId val="345082600"/>
      </c:scatterChart>
      <c:valAx>
        <c:axId val="34508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Heating rate, </a:t>
                </a:r>
                <a:r>
                  <a:rPr lang="it-IT"/>
                  <a:t>°</a:t>
                </a:r>
                <a:r>
                  <a:rPr lang="en-US"/>
                  <a:t>C min</a:t>
                </a:r>
                <a:r>
                  <a:rPr lang="en-US" baseline="30000"/>
                  <a:t>-1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45082600"/>
        <c:crosses val="autoZero"/>
        <c:crossBetween val="midCat"/>
      </c:valAx>
      <c:valAx>
        <c:axId val="345082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yield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45082208"/>
        <c:crosses val="autoZero"/>
        <c:crossBetween val="midCat"/>
        <c:majorUnit val="0.1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4.7331583552055598E-4"/>
          <c:y val="0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'Continuous data '!$R$2</c:f>
              <c:strCache>
                <c:ptCount val="1"/>
                <c:pt idx="0">
                  <c:v>Oil out R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'!$R$55:$R$57</c:f>
                <c:numCache>
                  <c:formatCode>General</c:formatCode>
                  <c:ptCount val="3"/>
                  <c:pt idx="0">
                    <c:v>7.5177447556992807E-3</c:v>
                  </c:pt>
                  <c:pt idx="1">
                    <c:v>7.5177447556992807E-3</c:v>
                  </c:pt>
                  <c:pt idx="2">
                    <c:v>7.5177447556992807E-3</c:v>
                  </c:pt>
                </c:numCache>
              </c:numRef>
            </c:plus>
            <c:minus>
              <c:numRef>
                <c:f>'Continuous data '!$R$55:$R$57</c:f>
                <c:numCache>
                  <c:formatCode>General</c:formatCode>
                  <c:ptCount val="3"/>
                  <c:pt idx="0">
                    <c:v>7.5177447556992807E-3</c:v>
                  </c:pt>
                  <c:pt idx="1">
                    <c:v>7.5177447556992807E-3</c:v>
                  </c:pt>
                  <c:pt idx="2">
                    <c:v>7.5177447556992807E-3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'!$R$51:$R$53</c:f>
              <c:numCache>
                <c:formatCode>0.0%</c:formatCode>
                <c:ptCount val="3"/>
                <c:pt idx="0">
                  <c:v>4.8404123631147267E-2</c:v>
                </c:pt>
                <c:pt idx="1">
                  <c:v>6.1964712288552111E-2</c:v>
                </c:pt>
                <c:pt idx="2">
                  <c:v>8.9284246622859997E-2</c:v>
                </c:pt>
              </c:numCache>
            </c:numRef>
          </c:val>
        </c:ser>
        <c:ser>
          <c:idx val="3"/>
          <c:order val="1"/>
          <c:tx>
            <c:strRef>
              <c:f>'Continuous data '!$S$2</c:f>
              <c:strCache>
                <c:ptCount val="1"/>
                <c:pt idx="0">
                  <c:v>Oil out PR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'!$S$55:$S$57</c:f>
                <c:numCache>
                  <c:formatCode>General</c:formatCode>
                  <c:ptCount val="3"/>
                  <c:pt idx="0">
                    <c:v>6.1744886251527981E-3</c:v>
                  </c:pt>
                  <c:pt idx="1">
                    <c:v>6.1744886251527981E-3</c:v>
                  </c:pt>
                  <c:pt idx="2">
                    <c:v>6.1744886251527981E-3</c:v>
                  </c:pt>
                </c:numCache>
              </c:numRef>
            </c:plus>
            <c:minus>
              <c:numRef>
                <c:f>'Continuous data '!$S$55:$S$57</c:f>
                <c:numCache>
                  <c:formatCode>General</c:formatCode>
                  <c:ptCount val="3"/>
                  <c:pt idx="0">
                    <c:v>6.1744886251527981E-3</c:v>
                  </c:pt>
                  <c:pt idx="1">
                    <c:v>6.1744886251527981E-3</c:v>
                  </c:pt>
                  <c:pt idx="2">
                    <c:v>6.1744886251527981E-3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'!$S$51:$S$53</c:f>
              <c:numCache>
                <c:formatCode>0.0%</c:formatCode>
                <c:ptCount val="3"/>
                <c:pt idx="0">
                  <c:v>1.1418972802075145E-2</c:v>
                </c:pt>
                <c:pt idx="1">
                  <c:v>1.7644264119227836E-2</c:v>
                </c:pt>
                <c:pt idx="2">
                  <c:v>2.1565169129525431E-2</c:v>
                </c:pt>
              </c:numCache>
            </c:numRef>
          </c:val>
        </c:ser>
        <c:ser>
          <c:idx val="4"/>
          <c:order val="2"/>
          <c:tx>
            <c:strRef>
              <c:f>'Continuous data '!$T$2</c:f>
              <c:strCache>
                <c:ptCount val="1"/>
                <c:pt idx="0">
                  <c:v>Heavy Oil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'!$T$55:$T$57</c:f>
                <c:numCache>
                  <c:formatCode>General</c:formatCode>
                  <c:ptCount val="3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</c:numCache>
              </c:numRef>
            </c:plus>
            <c:minus>
              <c:numRef>
                <c:f>'Continuous data '!$T$55:$T$57</c:f>
                <c:numCache>
                  <c:formatCode>General</c:formatCode>
                  <c:ptCount val="3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'!$T$51:$T$53</c:f>
              <c:numCache>
                <c:formatCode>0.0%</c:formatCode>
                <c:ptCount val="3"/>
                <c:pt idx="0">
                  <c:v>4.8910166741836528E-2</c:v>
                </c:pt>
                <c:pt idx="1">
                  <c:v>3.5575606378067517E-2</c:v>
                </c:pt>
                <c:pt idx="2">
                  <c:v>4.2618999197216838E-2</c:v>
                </c:pt>
              </c:numCache>
            </c:numRef>
          </c:val>
        </c:ser>
        <c:ser>
          <c:idx val="5"/>
          <c:order val="3"/>
          <c:tx>
            <c:strRef>
              <c:f>'Continuous data '!$U$2</c:f>
              <c:strCache>
                <c:ptCount val="1"/>
                <c:pt idx="0">
                  <c:v>Pipe Oil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'!$U$55:$U$57</c:f>
                <c:numCache>
                  <c:formatCode>General</c:formatCode>
                  <c:ptCount val="3"/>
                  <c:pt idx="0">
                    <c:v>2.2904130260395852E-3</c:v>
                  </c:pt>
                  <c:pt idx="1">
                    <c:v>2.2904130260395852E-3</c:v>
                  </c:pt>
                  <c:pt idx="2">
                    <c:v>2.2904130260395852E-3</c:v>
                  </c:pt>
                </c:numCache>
              </c:numRef>
            </c:plus>
            <c:minus>
              <c:numRef>
                <c:f>'Continuous data '!$U$55:$U$57</c:f>
                <c:numCache>
                  <c:formatCode>General</c:formatCode>
                  <c:ptCount val="3"/>
                  <c:pt idx="0">
                    <c:v>2.2904130260395852E-3</c:v>
                  </c:pt>
                  <c:pt idx="1">
                    <c:v>2.2904130260395852E-3</c:v>
                  </c:pt>
                  <c:pt idx="2">
                    <c:v>2.2904130260395852E-3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'!$U$51:$U$53</c:f>
              <c:numCache>
                <c:formatCode>0.0%</c:formatCode>
                <c:ptCount val="3"/>
                <c:pt idx="0">
                  <c:v>9.3595973603136484E-2</c:v>
                </c:pt>
                <c:pt idx="1">
                  <c:v>5.8188530605963872E-2</c:v>
                </c:pt>
                <c:pt idx="2">
                  <c:v>6.2538990475623793E-2</c:v>
                </c:pt>
              </c:numCache>
            </c:numRef>
          </c:val>
        </c:ser>
        <c:ser>
          <c:idx val="6"/>
          <c:order val="4"/>
          <c:tx>
            <c:strRef>
              <c:f>'Continuous data '!$V$2</c:f>
              <c:strCache>
                <c:ptCount val="1"/>
                <c:pt idx="0">
                  <c:v>Filter Oil</c:v>
                </c:pt>
              </c:strCache>
            </c:strRef>
          </c:tx>
          <c:spPr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'!$V$55:$V$57</c:f>
                <c:numCache>
                  <c:formatCode>General</c:formatCode>
                  <c:ptCount val="3"/>
                  <c:pt idx="0">
                    <c:v>2.8137836599861227E-4</c:v>
                  </c:pt>
                  <c:pt idx="1">
                    <c:v>2.8137836599861227E-4</c:v>
                  </c:pt>
                  <c:pt idx="2">
                    <c:v>2.8137836599861227E-4</c:v>
                  </c:pt>
                </c:numCache>
              </c:numRef>
            </c:plus>
            <c:minus>
              <c:numRef>
                <c:f>'Continuous data '!$V$55:$V$57</c:f>
                <c:numCache>
                  <c:formatCode>General</c:formatCode>
                  <c:ptCount val="3"/>
                  <c:pt idx="0">
                    <c:v>2.8137836599861227E-4</c:v>
                  </c:pt>
                  <c:pt idx="1">
                    <c:v>2.8137836599861227E-4</c:v>
                  </c:pt>
                  <c:pt idx="2">
                    <c:v>2.8137836599861227E-4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'!$V$51:$V$53</c:f>
              <c:numCache>
                <c:formatCode>0.0%</c:formatCode>
                <c:ptCount val="3"/>
                <c:pt idx="0">
                  <c:v>5.7204873382272255E-4</c:v>
                </c:pt>
                <c:pt idx="1">
                  <c:v>1.6341371024066126E-3</c:v>
                </c:pt>
                <c:pt idx="2">
                  <c:v>2.4233025104312502E-3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1456408"/>
        <c:axId val="341458368"/>
      </c:barChart>
      <c:catAx>
        <c:axId val="341456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Feed flow, mL/min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341458368"/>
        <c:crosses val="autoZero"/>
        <c:auto val="1"/>
        <c:lblAlgn val="ctr"/>
        <c:lblOffset val="100"/>
        <c:noMultiLvlLbl val="0"/>
      </c:catAx>
      <c:valAx>
        <c:axId val="3414583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Oil</a:t>
                </a:r>
                <a:r>
                  <a:rPr lang="en-US" baseline="0"/>
                  <a:t> Yield</a:t>
                </a:r>
                <a:endParaRPr lang="en-US"/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crossAx val="341456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1.4045854562297201E-3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plus>
            <c:min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minus>
          </c:errBars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Data'!$AC$26:$AC$29</c:f>
              <c:numCache>
                <c:formatCode>0.00%</c:formatCode>
                <c:ptCount val="4"/>
                <c:pt idx="0">
                  <c:v>0.40159796144294724</c:v>
                </c:pt>
                <c:pt idx="1">
                  <c:v>0.39654704531085233</c:v>
                </c:pt>
                <c:pt idx="2">
                  <c:v>0.41495942602984731</c:v>
                </c:pt>
                <c:pt idx="3">
                  <c:v>0.42788682982646914</c:v>
                </c:pt>
              </c:numCache>
            </c:numRef>
          </c:val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plus>
            <c:min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minus>
          </c:errBars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Data'!$AD$26:$AD$29</c:f>
              <c:numCache>
                <c:formatCode>0.00%</c:formatCode>
                <c:ptCount val="4"/>
                <c:pt idx="0">
                  <c:v>0.14860271079136481</c:v>
                </c:pt>
                <c:pt idx="1">
                  <c:v>0.15860901816188869</c:v>
                </c:pt>
                <c:pt idx="2">
                  <c:v>0.1705980735062668</c:v>
                </c:pt>
                <c:pt idx="3">
                  <c:v>0.13529344862326168</c:v>
                </c:pt>
              </c:numCache>
            </c:numRef>
          </c:val>
        </c:ser>
        <c:ser>
          <c:idx val="0"/>
          <c:order val="0"/>
          <c:tx>
            <c:strRef>
              <c:f>'Batch Data'!$AE$3</c:f>
              <c:strCache>
                <c:ptCount val="1"/>
                <c:pt idx="0">
                  <c:v>Water residue</c:v>
                </c:pt>
              </c:strCache>
            </c:strRef>
          </c:tx>
          <c:spPr>
            <a:solidFill>
              <a:schemeClr val="accent5"/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plus>
            <c:min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minus>
          </c:errBars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Data'!$AE$26:$AE$29</c:f>
              <c:numCache>
                <c:formatCode>0.00%</c:formatCode>
                <c:ptCount val="4"/>
                <c:pt idx="0">
                  <c:v>0.2470906330352127</c:v>
                </c:pt>
                <c:pt idx="1">
                  <c:v>0.21353954308177556</c:v>
                </c:pt>
                <c:pt idx="2">
                  <c:v>0.20666146418678774</c:v>
                </c:pt>
                <c:pt idx="3">
                  <c:v>0.27663829900953557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081032"/>
        <c:axId val="345083384"/>
      </c:barChart>
      <c:catAx>
        <c:axId val="345081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Heating rate, </a:t>
                </a:r>
                <a:r>
                  <a:rPr lang="it-IT"/>
                  <a:t>°</a:t>
                </a:r>
                <a:r>
                  <a:rPr lang="en-US"/>
                  <a:t>C min</a:t>
                </a:r>
                <a:r>
                  <a:rPr lang="en-US" baseline="30000"/>
                  <a:t>-1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45083384"/>
        <c:crosses val="autoZero"/>
        <c:auto val="1"/>
        <c:lblAlgn val="ctr"/>
        <c:lblOffset val="100"/>
        <c:noMultiLvlLbl val="0"/>
      </c:catAx>
      <c:valAx>
        <c:axId val="345083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phase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508103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1.4045854562297201E-3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'Batch Data'!$AK$3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47625">
              <a:noFill/>
            </a:ln>
          </c:spPr>
          <c:invertIfNegative val="0"/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Data'!$AK$26:$AK$29</c:f>
              <c:numCache>
                <c:formatCode>0.0%</c:formatCode>
                <c:ptCount val="4"/>
                <c:pt idx="0">
                  <c:v>0.26880043958233529</c:v>
                </c:pt>
                <c:pt idx="1">
                  <c:v>0.28171888575013765</c:v>
                </c:pt>
                <c:pt idx="2">
                  <c:v>0.30231169833803784</c:v>
                </c:pt>
                <c:pt idx="3">
                  <c:v>0.23770822750004739</c:v>
                </c:pt>
              </c:numCache>
            </c:numRef>
          </c:val>
        </c:ser>
        <c:ser>
          <c:idx val="2"/>
          <c:order val="2"/>
          <c:tx>
            <c:strRef>
              <c:f>'Batch Data'!$AL$3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rgbClr val="FF0000"/>
            </a:solidFill>
            <a:ln w="47625">
              <a:noFill/>
            </a:ln>
          </c:spPr>
          <c:invertIfNegative val="0"/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Data'!$AL$26:$AL$29</c:f>
              <c:numCache>
                <c:formatCode>0.0%</c:formatCode>
                <c:ptCount val="4"/>
                <c:pt idx="0">
                  <c:v>0.22841261494914086</c:v>
                </c:pt>
                <c:pt idx="1">
                  <c:v>0.24939900786834915</c:v>
                </c:pt>
                <c:pt idx="2">
                  <c:v>0.27575119640021573</c:v>
                </c:pt>
                <c:pt idx="3">
                  <c:v>0.21297054929834122</c:v>
                </c:pt>
              </c:numCache>
            </c:numRef>
          </c:val>
        </c:ser>
        <c:ser>
          <c:idx val="0"/>
          <c:order val="0"/>
          <c:tx>
            <c:strRef>
              <c:f>'Batch Data'!$AM$3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008000"/>
            </a:solidFill>
            <a:ln w="47625">
              <a:noFill/>
            </a:ln>
          </c:spPr>
          <c:invertIfNegative val="0"/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Data'!$AM$26:$AM$29</c:f>
              <c:numCache>
                <c:formatCode>0.0%</c:formatCode>
                <c:ptCount val="4"/>
                <c:pt idx="0">
                  <c:v>0.10584898006368526</c:v>
                </c:pt>
                <c:pt idx="1">
                  <c:v>0.10348588398103556</c:v>
                </c:pt>
                <c:pt idx="2">
                  <c:v>0.11312609956276216</c:v>
                </c:pt>
                <c:pt idx="3">
                  <c:v>0.10679310739688605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084952"/>
        <c:axId val="345081424"/>
      </c:barChart>
      <c:catAx>
        <c:axId val="345084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Heating rate, </a:t>
                </a:r>
                <a:r>
                  <a:rPr lang="it-IT"/>
                  <a:t>°</a:t>
                </a:r>
                <a:r>
                  <a:rPr lang="en-US"/>
                  <a:t>C min</a:t>
                </a:r>
                <a:r>
                  <a:rPr lang="en-US" baseline="30000"/>
                  <a:t>-1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45081424"/>
        <c:crosses val="autoZero"/>
        <c:auto val="1"/>
        <c:lblAlgn val="ctr"/>
        <c:lblOffset val="100"/>
        <c:noMultiLvlLbl val="0"/>
      </c:catAx>
      <c:valAx>
        <c:axId val="345081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recovery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508495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1.4045854562297201E-3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Data'!$AC$41:$AC$43</c:f>
                <c:numCache>
                  <c:formatCode>General</c:formatCode>
                  <c:ptCount val="3"/>
                  <c:pt idx="0">
                    <c:v>2.1046033774327101E-2</c:v>
                  </c:pt>
                  <c:pt idx="1">
                    <c:v>2.641084300658935E-2</c:v>
                  </c:pt>
                  <c:pt idx="2">
                    <c:v>6.9766638667386506E-3</c:v>
                  </c:pt>
                </c:numCache>
              </c:numRef>
            </c:plus>
            <c:minus>
              <c:numRef>
                <c:f>'Batch Data'!$AC$41:$AC$43</c:f>
                <c:numCache>
                  <c:formatCode>General</c:formatCode>
                  <c:ptCount val="3"/>
                  <c:pt idx="0">
                    <c:v>2.1046033774327101E-2</c:v>
                  </c:pt>
                  <c:pt idx="1">
                    <c:v>2.641084300658935E-2</c:v>
                  </c:pt>
                  <c:pt idx="2">
                    <c:v>6.9766638667386506E-3</c:v>
                  </c:pt>
                </c:numCache>
              </c:numRef>
            </c:minus>
          </c:errBars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Data'!$AC$36:$AC$38</c:f>
              <c:numCache>
                <c:formatCode>0.00%</c:formatCode>
                <c:ptCount val="3"/>
                <c:pt idx="0">
                  <c:v>0.43551571899590824</c:v>
                </c:pt>
                <c:pt idx="1">
                  <c:v>0.41495942602984731</c:v>
                </c:pt>
                <c:pt idx="2">
                  <c:v>0.38183440094520388</c:v>
                </c:pt>
              </c:numCache>
            </c:numRef>
          </c:val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Data'!$AD$41:$AD$43</c:f>
                <c:numCache>
                  <c:formatCode>General</c:formatCode>
                  <c:ptCount val="3"/>
                  <c:pt idx="0">
                    <c:v>1.1916258344938757E-2</c:v>
                  </c:pt>
                  <c:pt idx="1">
                    <c:v>1.2058503891087818E-2</c:v>
                  </c:pt>
                  <c:pt idx="2">
                    <c:v>1.3669557363065576E-3</c:v>
                  </c:pt>
                </c:numCache>
              </c:numRef>
            </c:plus>
            <c:minus>
              <c:numRef>
                <c:f>'Batch Data'!$AD$41:$AD$43</c:f>
                <c:numCache>
                  <c:formatCode>General</c:formatCode>
                  <c:ptCount val="3"/>
                  <c:pt idx="0">
                    <c:v>1.1916258344938757E-2</c:v>
                  </c:pt>
                  <c:pt idx="1">
                    <c:v>1.2058503891087818E-2</c:v>
                  </c:pt>
                  <c:pt idx="2">
                    <c:v>1.3669557363065576E-3</c:v>
                  </c:pt>
                </c:numCache>
              </c:numRef>
            </c:minus>
          </c:errBars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Data'!$AD$36:$AD$38</c:f>
              <c:numCache>
                <c:formatCode>0.00%</c:formatCode>
                <c:ptCount val="3"/>
                <c:pt idx="0">
                  <c:v>0.12105642656641168</c:v>
                </c:pt>
                <c:pt idx="1">
                  <c:v>0.1705980735062668</c:v>
                </c:pt>
                <c:pt idx="2">
                  <c:v>0.15871765209188282</c:v>
                </c:pt>
              </c:numCache>
            </c:numRef>
          </c:val>
        </c:ser>
        <c:ser>
          <c:idx val="0"/>
          <c:order val="0"/>
          <c:tx>
            <c:strRef>
              <c:f>'Batch Data'!$AE$3</c:f>
              <c:strCache>
                <c:ptCount val="1"/>
                <c:pt idx="0">
                  <c:v>Water residue</c:v>
                </c:pt>
              </c:strCache>
            </c:strRef>
          </c:tx>
          <c:spPr>
            <a:solidFill>
              <a:schemeClr val="accent5"/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Data'!$AE$41:$AE$43</c:f>
                <c:numCache>
                  <c:formatCode>General</c:formatCode>
                  <c:ptCount val="3"/>
                  <c:pt idx="0">
                    <c:v>2.0817507541518451E-2</c:v>
                  </c:pt>
                  <c:pt idx="1">
                    <c:v>4.2483683114568479E-3</c:v>
                  </c:pt>
                  <c:pt idx="2">
                    <c:v>7.5085827708673948E-3</c:v>
                  </c:pt>
                </c:numCache>
              </c:numRef>
            </c:plus>
            <c:minus>
              <c:numRef>
                <c:f>'Batch Data'!$AE$41:$AE$43</c:f>
                <c:numCache>
                  <c:formatCode>General</c:formatCode>
                  <c:ptCount val="3"/>
                  <c:pt idx="0">
                    <c:v>2.0817507541518451E-2</c:v>
                  </c:pt>
                  <c:pt idx="1">
                    <c:v>4.2483683114568479E-3</c:v>
                  </c:pt>
                  <c:pt idx="2">
                    <c:v>7.5085827708673948E-3</c:v>
                  </c:pt>
                </c:numCache>
              </c:numRef>
            </c:minus>
          </c:errBars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Data'!$AE$36:$AE$38</c:f>
              <c:numCache>
                <c:formatCode>0.00%</c:formatCode>
                <c:ptCount val="3"/>
                <c:pt idx="0">
                  <c:v>0.29867518819804567</c:v>
                </c:pt>
                <c:pt idx="1">
                  <c:v>0.20666146418678774</c:v>
                </c:pt>
                <c:pt idx="2">
                  <c:v>0.24021334289121457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083776"/>
        <c:axId val="344156600"/>
      </c:barChart>
      <c:catAx>
        <c:axId val="345083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 temperature, </a:t>
                </a:r>
                <a:r>
                  <a:rPr lang="it-IT"/>
                  <a:t>°</a:t>
                </a:r>
                <a:r>
                  <a:rPr lang="en-US"/>
                  <a:t>C 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44156600"/>
        <c:crosses val="autoZero"/>
        <c:auto val="1"/>
        <c:lblAlgn val="ctr"/>
        <c:lblOffset val="100"/>
        <c:noMultiLvlLbl val="0"/>
      </c:catAx>
      <c:valAx>
        <c:axId val="344156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phase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508377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1.4045854562297201E-3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'Batch Data'!$AK$3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47625">
              <a:noFill/>
            </a:ln>
          </c:spPr>
          <c:invertIfNegative val="0"/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Data'!$AK$36:$AK$38</c:f>
              <c:numCache>
                <c:formatCode>0.0%</c:formatCode>
                <c:ptCount val="3"/>
                <c:pt idx="0">
                  <c:v>0.20943365568690298</c:v>
                </c:pt>
                <c:pt idx="1">
                  <c:v>0.30231169833803784</c:v>
                </c:pt>
                <c:pt idx="2">
                  <c:v>0.28511785706829867</c:v>
                </c:pt>
              </c:numCache>
            </c:numRef>
          </c:val>
        </c:ser>
        <c:ser>
          <c:idx val="2"/>
          <c:order val="2"/>
          <c:tx>
            <c:strRef>
              <c:f>'Batch Data'!$AL$3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rgbClr val="FF0000"/>
            </a:solidFill>
            <a:ln w="47625">
              <a:noFill/>
            </a:ln>
          </c:spPr>
          <c:invertIfNegative val="0"/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Data'!$AL$36:$AL$38</c:f>
              <c:numCache>
                <c:formatCode>0.0%</c:formatCode>
                <c:ptCount val="3"/>
                <c:pt idx="0">
                  <c:v>0.19869951395038604</c:v>
                </c:pt>
                <c:pt idx="1">
                  <c:v>0.27575119640021573</c:v>
                </c:pt>
                <c:pt idx="2">
                  <c:v>0.26954635743190442</c:v>
                </c:pt>
              </c:numCache>
            </c:numRef>
          </c:val>
        </c:ser>
        <c:ser>
          <c:idx val="0"/>
          <c:order val="0"/>
          <c:tx>
            <c:strRef>
              <c:f>'Batch Data'!$AM$3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008000"/>
            </a:solidFill>
            <a:ln w="47625">
              <a:noFill/>
            </a:ln>
          </c:spPr>
          <c:invertIfNegative val="0"/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Data'!$AM$36:$AM$38</c:f>
              <c:numCache>
                <c:formatCode>0.0%</c:formatCode>
                <c:ptCount val="3"/>
                <c:pt idx="0">
                  <c:v>0.10200492336907475</c:v>
                </c:pt>
                <c:pt idx="1">
                  <c:v>0.11312609956276216</c:v>
                </c:pt>
                <c:pt idx="2">
                  <c:v>0.12111978204716631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181168"/>
        <c:axId val="446179600"/>
      </c:barChart>
      <c:catAx>
        <c:axId val="44618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 temperature, </a:t>
                </a:r>
                <a:r>
                  <a:rPr lang="it-IT"/>
                  <a:t>°</a:t>
                </a:r>
                <a:r>
                  <a:rPr lang="en-US"/>
                  <a:t>C 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446179600"/>
        <c:crosses val="autoZero"/>
        <c:auto val="1"/>
        <c:lblAlgn val="ctr"/>
        <c:lblOffset val="100"/>
        <c:noMultiLvlLbl val="0"/>
      </c:catAx>
      <c:valAx>
        <c:axId val="446179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recovery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44618116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1.4045854562297201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791790123456801"/>
          <c:y val="8.1522611291202599E-2"/>
          <c:w val="0.75112530864197502"/>
          <c:h val="0.568104463498756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Data'!$AC$41:$AC$43</c:f>
                <c:numCache>
                  <c:formatCode>General</c:formatCode>
                  <c:ptCount val="3"/>
                  <c:pt idx="0">
                    <c:v>2.1046033774327101E-2</c:v>
                  </c:pt>
                  <c:pt idx="1">
                    <c:v>2.641084300658935E-2</c:v>
                  </c:pt>
                  <c:pt idx="2">
                    <c:v>6.9766638667386506E-3</c:v>
                  </c:pt>
                </c:numCache>
              </c:numRef>
            </c:plus>
            <c:minus>
              <c:numRef>
                <c:f>'Batch Data'!$AC$41:$AC$43</c:f>
                <c:numCache>
                  <c:formatCode>General</c:formatCode>
                  <c:ptCount val="3"/>
                  <c:pt idx="0">
                    <c:v>2.1046033774327101E-2</c:v>
                  </c:pt>
                  <c:pt idx="1">
                    <c:v>2.641084300658935E-2</c:v>
                  </c:pt>
                  <c:pt idx="2">
                    <c:v>6.9766638667386506E-3</c:v>
                  </c:pt>
                </c:numCache>
              </c:numRef>
            </c:minus>
          </c:errBars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Data'!$AC$36:$AC$38</c:f>
              <c:numCache>
                <c:formatCode>0.00%</c:formatCode>
                <c:ptCount val="3"/>
                <c:pt idx="0">
                  <c:v>0.43551571899590824</c:v>
                </c:pt>
                <c:pt idx="1">
                  <c:v>0.41495942602984731</c:v>
                </c:pt>
                <c:pt idx="2">
                  <c:v>0.38183440094520388</c:v>
                </c:pt>
              </c:numCache>
            </c:numRef>
          </c:val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Data'!$AD$41:$AD$43</c:f>
                <c:numCache>
                  <c:formatCode>General</c:formatCode>
                  <c:ptCount val="3"/>
                  <c:pt idx="0">
                    <c:v>1.1916258344938757E-2</c:v>
                  </c:pt>
                  <c:pt idx="1">
                    <c:v>1.2058503891087818E-2</c:v>
                  </c:pt>
                  <c:pt idx="2">
                    <c:v>1.3669557363065576E-3</c:v>
                  </c:pt>
                </c:numCache>
              </c:numRef>
            </c:plus>
            <c:minus>
              <c:numRef>
                <c:f>'Batch Data'!$AD$41:$AD$43</c:f>
                <c:numCache>
                  <c:formatCode>General</c:formatCode>
                  <c:ptCount val="3"/>
                  <c:pt idx="0">
                    <c:v>1.1916258344938757E-2</c:v>
                  </c:pt>
                  <c:pt idx="1">
                    <c:v>1.2058503891087818E-2</c:v>
                  </c:pt>
                  <c:pt idx="2">
                    <c:v>1.3669557363065576E-3</c:v>
                  </c:pt>
                </c:numCache>
              </c:numRef>
            </c:minus>
          </c:errBars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Data'!$AD$36:$AD$38</c:f>
              <c:numCache>
                <c:formatCode>0.00%</c:formatCode>
                <c:ptCount val="3"/>
                <c:pt idx="0">
                  <c:v>0.12105642656641168</c:v>
                </c:pt>
                <c:pt idx="1">
                  <c:v>0.1705980735062668</c:v>
                </c:pt>
                <c:pt idx="2">
                  <c:v>0.15871765209188282</c:v>
                </c:pt>
              </c:numCache>
            </c:numRef>
          </c:val>
        </c:ser>
        <c:ser>
          <c:idx val="0"/>
          <c:order val="0"/>
          <c:tx>
            <c:strRef>
              <c:f>'Batch Data'!$AE$3</c:f>
              <c:strCache>
                <c:ptCount val="1"/>
                <c:pt idx="0">
                  <c:v>Water residue</c:v>
                </c:pt>
              </c:strCache>
            </c:strRef>
          </c:tx>
          <c:spPr>
            <a:solidFill>
              <a:schemeClr val="accent5"/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Data'!$AE$41:$AE$43</c:f>
                <c:numCache>
                  <c:formatCode>General</c:formatCode>
                  <c:ptCount val="3"/>
                  <c:pt idx="0">
                    <c:v>2.0817507541518451E-2</c:v>
                  </c:pt>
                  <c:pt idx="1">
                    <c:v>4.2483683114568479E-3</c:v>
                  </c:pt>
                  <c:pt idx="2">
                    <c:v>7.5085827708673948E-3</c:v>
                  </c:pt>
                </c:numCache>
              </c:numRef>
            </c:plus>
            <c:minus>
              <c:numRef>
                <c:f>'Batch Data'!$AE$41:$AE$43</c:f>
                <c:numCache>
                  <c:formatCode>General</c:formatCode>
                  <c:ptCount val="3"/>
                  <c:pt idx="0">
                    <c:v>2.0817507541518451E-2</c:v>
                  </c:pt>
                  <c:pt idx="1">
                    <c:v>4.2483683114568479E-3</c:v>
                  </c:pt>
                  <c:pt idx="2">
                    <c:v>7.5085827708673948E-3</c:v>
                  </c:pt>
                </c:numCache>
              </c:numRef>
            </c:minus>
          </c:errBars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Data'!$AE$36:$AE$38</c:f>
              <c:numCache>
                <c:formatCode>0.00%</c:formatCode>
                <c:ptCount val="3"/>
                <c:pt idx="0">
                  <c:v>0.29867518819804567</c:v>
                </c:pt>
                <c:pt idx="1">
                  <c:v>0.20666146418678774</c:v>
                </c:pt>
                <c:pt idx="2">
                  <c:v>0.24021334289121457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183520"/>
        <c:axId val="446177640"/>
      </c:barChart>
      <c:catAx>
        <c:axId val="44618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 temperature, </a:t>
                </a:r>
                <a:r>
                  <a:rPr lang="it-IT"/>
                  <a:t>°</a:t>
                </a:r>
                <a:r>
                  <a:rPr lang="en-US"/>
                  <a:t>C 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446177640"/>
        <c:crosses val="autoZero"/>
        <c:auto val="1"/>
        <c:lblAlgn val="ctr"/>
        <c:lblOffset val="100"/>
        <c:noMultiLvlLbl val="0"/>
      </c:catAx>
      <c:valAx>
        <c:axId val="446177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phase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44618352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1.4045854562297201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791790123456801"/>
          <c:y val="8.1522611291202599E-2"/>
          <c:w val="0.75112530864197502"/>
          <c:h val="0.555562523300110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'Batch Data'!$AK$3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47625">
              <a:noFill/>
            </a:ln>
          </c:spPr>
          <c:invertIfNegative val="0"/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Data'!$AK$36:$AK$38</c:f>
              <c:numCache>
                <c:formatCode>0.0%</c:formatCode>
                <c:ptCount val="3"/>
                <c:pt idx="0">
                  <c:v>0.20943365568690298</c:v>
                </c:pt>
                <c:pt idx="1">
                  <c:v>0.30231169833803784</c:v>
                </c:pt>
                <c:pt idx="2">
                  <c:v>0.28511785706829867</c:v>
                </c:pt>
              </c:numCache>
            </c:numRef>
          </c:val>
        </c:ser>
        <c:ser>
          <c:idx val="2"/>
          <c:order val="2"/>
          <c:tx>
            <c:strRef>
              <c:f>'Batch Data'!$AL$3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rgbClr val="FF0000"/>
            </a:solidFill>
            <a:ln w="47625">
              <a:noFill/>
            </a:ln>
          </c:spPr>
          <c:invertIfNegative val="0"/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Data'!$AL$36:$AL$38</c:f>
              <c:numCache>
                <c:formatCode>0.0%</c:formatCode>
                <c:ptCount val="3"/>
                <c:pt idx="0">
                  <c:v>0.19869951395038604</c:v>
                </c:pt>
                <c:pt idx="1">
                  <c:v>0.27575119640021573</c:v>
                </c:pt>
                <c:pt idx="2">
                  <c:v>0.26954635743190442</c:v>
                </c:pt>
              </c:numCache>
            </c:numRef>
          </c:val>
        </c:ser>
        <c:ser>
          <c:idx val="0"/>
          <c:order val="0"/>
          <c:tx>
            <c:strRef>
              <c:f>'Batch Data'!$AM$3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008000"/>
            </a:solidFill>
            <a:ln w="47625">
              <a:noFill/>
            </a:ln>
          </c:spPr>
          <c:invertIfNegative val="0"/>
          <c:cat>
            <c:numRef>
              <c:f>'Batch Data'!$N$36:$N$38</c:f>
              <c:numCache>
                <c:formatCode>0.00</c:formatCode>
                <c:ptCount val="3"/>
                <c:pt idx="0">
                  <c:v>303.13333333333333</c:v>
                </c:pt>
                <c:pt idx="1">
                  <c:v>321.63333333333333</c:v>
                </c:pt>
                <c:pt idx="2">
                  <c:v>339.3</c:v>
                </c:pt>
              </c:numCache>
            </c:numRef>
          </c:cat>
          <c:val>
            <c:numRef>
              <c:f>'Batch Data'!$AM$36:$AM$38</c:f>
              <c:numCache>
                <c:formatCode>0.0%</c:formatCode>
                <c:ptCount val="3"/>
                <c:pt idx="0">
                  <c:v>0.10200492336907475</c:v>
                </c:pt>
                <c:pt idx="1">
                  <c:v>0.11312609956276216</c:v>
                </c:pt>
                <c:pt idx="2">
                  <c:v>0.12111978204716631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182344"/>
        <c:axId val="446179992"/>
      </c:barChart>
      <c:catAx>
        <c:axId val="446182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 temperature, </a:t>
                </a:r>
                <a:r>
                  <a:rPr lang="it-IT"/>
                  <a:t>°</a:t>
                </a:r>
                <a:r>
                  <a:rPr lang="en-US"/>
                  <a:t>C 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446179992"/>
        <c:crosses val="autoZero"/>
        <c:auto val="1"/>
        <c:lblAlgn val="ctr"/>
        <c:lblOffset val="100"/>
        <c:noMultiLvlLbl val="0"/>
      </c:catAx>
      <c:valAx>
        <c:axId val="446179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recovery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44618234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1.4045854562297201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791790123456801"/>
          <c:y val="8.1522611291202599E-2"/>
          <c:w val="0.75112530864197502"/>
          <c:h val="0.5869173737967270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'Batch Data'!$AC$3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plus>
            <c:minus>
              <c:numRef>
                <c:f>'Batch Data'!$AC$31:$AC$34</c:f>
                <c:numCache>
                  <c:formatCode>General</c:formatCode>
                  <c:ptCount val="4"/>
                  <c:pt idx="0">
                    <c:v>9.1622911896838376E-3</c:v>
                  </c:pt>
                  <c:pt idx="1">
                    <c:v>6.7609694953538772E-3</c:v>
                  </c:pt>
                  <c:pt idx="2">
                    <c:v>2.641084300658935E-2</c:v>
                  </c:pt>
                  <c:pt idx="3">
                    <c:v>9.7557723443070284E-3</c:v>
                  </c:pt>
                </c:numCache>
              </c:numRef>
            </c:minus>
          </c:errBars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Data'!$AC$26:$AC$29</c:f>
              <c:numCache>
                <c:formatCode>0.00%</c:formatCode>
                <c:ptCount val="4"/>
                <c:pt idx="0">
                  <c:v>0.40159796144294724</c:v>
                </c:pt>
                <c:pt idx="1">
                  <c:v>0.39654704531085233</c:v>
                </c:pt>
                <c:pt idx="2">
                  <c:v>0.41495942602984731</c:v>
                </c:pt>
                <c:pt idx="3">
                  <c:v>0.42788682982646914</c:v>
                </c:pt>
              </c:numCache>
            </c:numRef>
          </c:val>
        </c:ser>
        <c:ser>
          <c:idx val="2"/>
          <c:order val="2"/>
          <c:tx>
            <c:strRef>
              <c:f>'Batch Data'!$AD$3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plus>
            <c:minus>
              <c:numRef>
                <c:f>'Batch Data'!$AD$31:$AD$34</c:f>
                <c:numCache>
                  <c:formatCode>General</c:formatCode>
                  <c:ptCount val="4"/>
                  <c:pt idx="0">
                    <c:v>7.7481030929117669E-3</c:v>
                  </c:pt>
                  <c:pt idx="1">
                    <c:v>8.3161197965607898E-3</c:v>
                  </c:pt>
                  <c:pt idx="2">
                    <c:v>1.2058503891087818E-2</c:v>
                  </c:pt>
                  <c:pt idx="3">
                    <c:v>1.4804737469177109E-2</c:v>
                  </c:pt>
                </c:numCache>
              </c:numRef>
            </c:minus>
          </c:errBars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Data'!$AD$26:$AD$29</c:f>
              <c:numCache>
                <c:formatCode>0.00%</c:formatCode>
                <c:ptCount val="4"/>
                <c:pt idx="0">
                  <c:v>0.14860271079136481</c:v>
                </c:pt>
                <c:pt idx="1">
                  <c:v>0.15860901816188869</c:v>
                </c:pt>
                <c:pt idx="2">
                  <c:v>0.1705980735062668</c:v>
                </c:pt>
                <c:pt idx="3">
                  <c:v>0.13529344862326168</c:v>
                </c:pt>
              </c:numCache>
            </c:numRef>
          </c:val>
        </c:ser>
        <c:ser>
          <c:idx val="0"/>
          <c:order val="0"/>
          <c:tx>
            <c:strRef>
              <c:f>'Batch Data'!$AE$3</c:f>
              <c:strCache>
                <c:ptCount val="1"/>
                <c:pt idx="0">
                  <c:v>Water residue</c:v>
                </c:pt>
              </c:strCache>
            </c:strRef>
          </c:tx>
          <c:spPr>
            <a:solidFill>
              <a:schemeClr val="accent5"/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plus>
            <c:minus>
              <c:numRef>
                <c:f>'Batch Data'!$AE$31:$AE$34</c:f>
                <c:numCache>
                  <c:formatCode>General</c:formatCode>
                  <c:ptCount val="4"/>
                  <c:pt idx="0">
                    <c:v>6.5145583295236967E-2</c:v>
                  </c:pt>
                  <c:pt idx="1">
                    <c:v>5.5866005074845973E-2</c:v>
                  </c:pt>
                  <c:pt idx="2">
                    <c:v>4.2483683114568479E-3</c:v>
                  </c:pt>
                  <c:pt idx="3">
                    <c:v>7.2251395471825235E-3</c:v>
                  </c:pt>
                </c:numCache>
              </c:numRef>
            </c:minus>
          </c:errBars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Data'!$AE$26:$AE$29</c:f>
              <c:numCache>
                <c:formatCode>0.00%</c:formatCode>
                <c:ptCount val="4"/>
                <c:pt idx="0">
                  <c:v>0.2470906330352127</c:v>
                </c:pt>
                <c:pt idx="1">
                  <c:v>0.21353954308177556</c:v>
                </c:pt>
                <c:pt idx="2">
                  <c:v>0.20666146418678774</c:v>
                </c:pt>
                <c:pt idx="3">
                  <c:v>0.27663829900953557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178032"/>
        <c:axId val="446181560"/>
      </c:barChart>
      <c:catAx>
        <c:axId val="44617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Heating rate, </a:t>
                </a:r>
                <a:r>
                  <a:rPr lang="it-IT"/>
                  <a:t>°</a:t>
                </a:r>
                <a:r>
                  <a:rPr lang="en-US"/>
                  <a:t>C min</a:t>
                </a:r>
                <a:r>
                  <a:rPr lang="en-US" baseline="30000"/>
                  <a:t>-1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446181560"/>
        <c:crosses val="autoZero"/>
        <c:auto val="1"/>
        <c:lblAlgn val="ctr"/>
        <c:lblOffset val="100"/>
        <c:noMultiLvlLbl val="0"/>
      </c:catAx>
      <c:valAx>
        <c:axId val="446181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phase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44617803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1.4045854562297201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791790123456801"/>
          <c:y val="8.1249080349976299E-2"/>
          <c:w val="0.75112530864197502"/>
          <c:h val="0.582053451166644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'Batch Data'!$AK$3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47625">
              <a:noFill/>
            </a:ln>
          </c:spPr>
          <c:invertIfNegative val="0"/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Data'!$AK$26:$AK$29</c:f>
              <c:numCache>
                <c:formatCode>0.0%</c:formatCode>
                <c:ptCount val="4"/>
                <c:pt idx="0">
                  <c:v>0.26880043958233529</c:v>
                </c:pt>
                <c:pt idx="1">
                  <c:v>0.28171888575013765</c:v>
                </c:pt>
                <c:pt idx="2">
                  <c:v>0.30231169833803784</c:v>
                </c:pt>
                <c:pt idx="3">
                  <c:v>0.23770822750004739</c:v>
                </c:pt>
              </c:numCache>
            </c:numRef>
          </c:val>
        </c:ser>
        <c:ser>
          <c:idx val="2"/>
          <c:order val="2"/>
          <c:tx>
            <c:strRef>
              <c:f>'Batch Data'!$AL$3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rgbClr val="FF0000"/>
            </a:solidFill>
            <a:ln w="47625">
              <a:noFill/>
            </a:ln>
          </c:spPr>
          <c:invertIfNegative val="0"/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Data'!$AL$26:$AL$29</c:f>
              <c:numCache>
                <c:formatCode>0.0%</c:formatCode>
                <c:ptCount val="4"/>
                <c:pt idx="0">
                  <c:v>0.22841261494914086</c:v>
                </c:pt>
                <c:pt idx="1">
                  <c:v>0.24939900786834915</c:v>
                </c:pt>
                <c:pt idx="2">
                  <c:v>0.27575119640021573</c:v>
                </c:pt>
                <c:pt idx="3">
                  <c:v>0.21297054929834122</c:v>
                </c:pt>
              </c:numCache>
            </c:numRef>
          </c:val>
        </c:ser>
        <c:ser>
          <c:idx val="0"/>
          <c:order val="0"/>
          <c:tx>
            <c:strRef>
              <c:f>'Batch Data'!$AM$3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008000"/>
            </a:solidFill>
            <a:ln w="47625">
              <a:noFill/>
            </a:ln>
          </c:spPr>
          <c:invertIfNegative val="0"/>
          <c:cat>
            <c:numRef>
              <c:f>'Batch Data'!$AG$26:$AG$29</c:f>
              <c:numCache>
                <c:formatCode>0.0</c:formatCode>
                <c:ptCount val="4"/>
                <c:pt idx="0">
                  <c:v>10.076643799952484</c:v>
                </c:pt>
                <c:pt idx="1">
                  <c:v>21.792410414043804</c:v>
                </c:pt>
                <c:pt idx="2">
                  <c:v>35.207598949556107</c:v>
                </c:pt>
                <c:pt idx="3">
                  <c:v>52.642796655399486</c:v>
                </c:pt>
              </c:numCache>
            </c:numRef>
          </c:cat>
          <c:val>
            <c:numRef>
              <c:f>'Batch Data'!$AM$26:$AM$29</c:f>
              <c:numCache>
                <c:formatCode>0.0%</c:formatCode>
                <c:ptCount val="4"/>
                <c:pt idx="0">
                  <c:v>0.10584898006368526</c:v>
                </c:pt>
                <c:pt idx="1">
                  <c:v>0.10348588398103556</c:v>
                </c:pt>
                <c:pt idx="2">
                  <c:v>0.11312609956276216</c:v>
                </c:pt>
                <c:pt idx="3">
                  <c:v>0.10679310739688605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178816"/>
        <c:axId val="446181952"/>
      </c:barChart>
      <c:catAx>
        <c:axId val="44617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Heating rate, </a:t>
                </a:r>
                <a:r>
                  <a:rPr lang="it-IT"/>
                  <a:t>°</a:t>
                </a:r>
                <a:r>
                  <a:rPr lang="en-US"/>
                  <a:t>C min</a:t>
                </a:r>
                <a:r>
                  <a:rPr lang="en-US" baseline="30000"/>
                  <a:t>-1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446181952"/>
        <c:crosses val="autoZero"/>
        <c:auto val="1"/>
        <c:lblAlgn val="ctr"/>
        <c:lblOffset val="100"/>
        <c:noMultiLvlLbl val="0"/>
      </c:catAx>
      <c:valAx>
        <c:axId val="4461819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recovery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44617881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1.2379702537183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6575597358688"/>
          <c:y val="5.6521739130434803E-2"/>
          <c:w val="0.71710590210805802"/>
          <c:h val="0.586394385484423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'Continuous data '!$J$62</c:f>
              <c:strCache>
                <c:ptCount val="1"/>
                <c:pt idx="0">
                  <c:v>Oil from outlet</c:v>
                </c:pt>
              </c:strCache>
            </c:strRef>
          </c:tx>
          <c:spPr>
            <a:ln w="47625">
              <a:noFill/>
            </a:ln>
          </c:spPr>
          <c:xVal>
            <c:numRef>
              <c:f>'Continuous data '!$D$65:$D$71</c:f>
              <c:numCache>
                <c:formatCode>0.0</c:formatCode>
                <c:ptCount val="7"/>
                <c:pt idx="0">
                  <c:v>104.66666666666667</c:v>
                </c:pt>
                <c:pt idx="1">
                  <c:v>114.58000000000001</c:v>
                </c:pt>
                <c:pt idx="2">
                  <c:v>125.88</c:v>
                </c:pt>
                <c:pt idx="3">
                  <c:v>93.079999999999984</c:v>
                </c:pt>
                <c:pt idx="4">
                  <c:v>56.336363636363643</c:v>
                </c:pt>
                <c:pt idx="5">
                  <c:v>114.92000000000003</c:v>
                </c:pt>
                <c:pt idx="6">
                  <c:v>119.68888888888887</c:v>
                </c:pt>
              </c:numCache>
            </c:numRef>
          </c:xVal>
          <c:yVal>
            <c:numRef>
              <c:f>'Continuous data '!$J$65:$J$71</c:f>
              <c:numCache>
                <c:formatCode>0.0%</c:formatCode>
                <c:ptCount val="7"/>
                <c:pt idx="0">
                  <c:v>0.48535706240144205</c:v>
                </c:pt>
                <c:pt idx="1">
                  <c:v>0.53391959798994981</c:v>
                </c:pt>
                <c:pt idx="2">
                  <c:v>0.55933068054280177</c:v>
                </c:pt>
                <c:pt idx="3">
                  <c:v>0.46422712933753985</c:v>
                </c:pt>
                <c:pt idx="4">
                  <c:v>0.29765777488614209</c:v>
                </c:pt>
                <c:pt idx="5">
                  <c:v>0.51857506361323147</c:v>
                </c:pt>
                <c:pt idx="6">
                  <c:v>0.49797979797979774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'Continuous data '!$G$62</c:f>
              <c:strCache>
                <c:ptCount val="1"/>
                <c:pt idx="0">
                  <c:v>Oil from pipework</c:v>
                </c:pt>
              </c:strCache>
            </c:strRef>
          </c:tx>
          <c:spPr>
            <a:ln w="47625">
              <a:noFill/>
            </a:ln>
          </c:spPr>
          <c:xVal>
            <c:numRef>
              <c:f>'Continuous data '!$D$65:$D$71</c:f>
              <c:numCache>
                <c:formatCode>0.0</c:formatCode>
                <c:ptCount val="7"/>
                <c:pt idx="0">
                  <c:v>104.66666666666667</c:v>
                </c:pt>
                <c:pt idx="1">
                  <c:v>114.58000000000001</c:v>
                </c:pt>
                <c:pt idx="2">
                  <c:v>125.88</c:v>
                </c:pt>
                <c:pt idx="3">
                  <c:v>93.079999999999984</c:v>
                </c:pt>
                <c:pt idx="4">
                  <c:v>56.336363636363643</c:v>
                </c:pt>
                <c:pt idx="5">
                  <c:v>114.92000000000003</c:v>
                </c:pt>
                <c:pt idx="6">
                  <c:v>119.68888888888887</c:v>
                </c:pt>
              </c:numCache>
            </c:numRef>
          </c:xVal>
          <c:yVal>
            <c:numRef>
              <c:f>'Continuous data '!$G$65:$G$71</c:f>
              <c:numCache>
                <c:formatCode>0.0%</c:formatCode>
                <c:ptCount val="7"/>
                <c:pt idx="0">
                  <c:v>0.22583915296237869</c:v>
                </c:pt>
                <c:pt idx="1">
                  <c:v>0.23502931323283055</c:v>
                </c:pt>
                <c:pt idx="2">
                  <c:v>0.19855116824813798</c:v>
                </c:pt>
                <c:pt idx="3">
                  <c:v>0.33249211356466835</c:v>
                </c:pt>
                <c:pt idx="4">
                  <c:v>0.46128822381262174</c:v>
                </c:pt>
                <c:pt idx="5">
                  <c:v>0.28631043256997446</c:v>
                </c:pt>
                <c:pt idx="6">
                  <c:v>0.33825757575757576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'Continuous data '!$H$62</c:f>
              <c:strCache>
                <c:ptCount val="1"/>
                <c:pt idx="0">
                  <c:v>Oil from reactor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</c:marker>
          <c:xVal>
            <c:numRef>
              <c:f>'Continuous data '!$D$65:$D$71</c:f>
              <c:numCache>
                <c:formatCode>0.0</c:formatCode>
                <c:ptCount val="7"/>
                <c:pt idx="0">
                  <c:v>104.66666666666667</c:v>
                </c:pt>
                <c:pt idx="1">
                  <c:v>114.58000000000001</c:v>
                </c:pt>
                <c:pt idx="2">
                  <c:v>125.88</c:v>
                </c:pt>
                <c:pt idx="3">
                  <c:v>93.079999999999984</c:v>
                </c:pt>
                <c:pt idx="4">
                  <c:v>56.336363636363643</c:v>
                </c:pt>
                <c:pt idx="5">
                  <c:v>114.92000000000003</c:v>
                </c:pt>
                <c:pt idx="6">
                  <c:v>119.68888888888887</c:v>
                </c:pt>
              </c:numCache>
            </c:numRef>
          </c:xVal>
          <c:yVal>
            <c:numRef>
              <c:f>'Continuous data '!$H$65:$H$71</c:f>
              <c:numCache>
                <c:formatCode>0.0%</c:formatCode>
                <c:ptCount val="7"/>
                <c:pt idx="0">
                  <c:v>0.28880378463617917</c:v>
                </c:pt>
                <c:pt idx="1">
                  <c:v>0.2310510887772195</c:v>
                </c:pt>
                <c:pt idx="2">
                  <c:v>0.2421181512090603</c:v>
                </c:pt>
                <c:pt idx="3">
                  <c:v>0.20328075709779178</c:v>
                </c:pt>
                <c:pt idx="4">
                  <c:v>0.24105400130123625</c:v>
                </c:pt>
                <c:pt idx="5">
                  <c:v>0.19511450381679407</c:v>
                </c:pt>
                <c:pt idx="6">
                  <c:v>0.16376262626262644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866872"/>
        <c:axId val="343863736"/>
      </c:scatterChart>
      <c:valAx>
        <c:axId val="343866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Collection pot temperature, </a:t>
                </a:r>
                <a:r>
                  <a:rPr lang="it-IT"/>
                  <a:t>°C</a:t>
                </a:r>
                <a:r>
                  <a:rPr lang="en-US"/>
                  <a:t> 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43863736"/>
        <c:crosses val="autoZero"/>
        <c:crossBetween val="midCat"/>
        <c:majorUnit val="20"/>
      </c:valAx>
      <c:valAx>
        <c:axId val="343863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of total oil</a:t>
                </a:r>
              </a:p>
            </c:rich>
          </c:tx>
          <c:layout>
            <c:manualLayout>
              <c:xMode val="edge"/>
              <c:yMode val="edge"/>
              <c:x val="4.6109510086455301E-2"/>
              <c:y val="6.8490585415953403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34386687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3.78608923884529E-4"/>
          <c:y val="0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'Continuous data '!$J$62</c:f>
              <c:strCache>
                <c:ptCount val="1"/>
                <c:pt idx="0">
                  <c:v>Oil from outlet</c:v>
                </c:pt>
              </c:strCache>
            </c:strRef>
          </c:tx>
          <c:spPr>
            <a:ln w="47625">
              <a:noFill/>
            </a:ln>
          </c:spPr>
          <c:xVal>
            <c:numRef>
              <c:f>'Continuous data '!$B$65:$B$71</c:f>
              <c:numCache>
                <c:formatCode>0.0</c:formatCode>
                <c:ptCount val="7"/>
                <c:pt idx="0">
                  <c:v>302.08888888888885</c:v>
                </c:pt>
                <c:pt idx="1">
                  <c:v>328.44</c:v>
                </c:pt>
                <c:pt idx="2">
                  <c:v>344.21000000000004</c:v>
                </c:pt>
                <c:pt idx="3">
                  <c:v>316.63</c:v>
                </c:pt>
                <c:pt idx="4">
                  <c:v>318.79090909090905</c:v>
                </c:pt>
                <c:pt idx="5">
                  <c:v>319.62</c:v>
                </c:pt>
                <c:pt idx="6">
                  <c:v>320.81</c:v>
                </c:pt>
              </c:numCache>
            </c:numRef>
          </c:xVal>
          <c:yVal>
            <c:numRef>
              <c:f>'Continuous data '!$J$65:$J$71</c:f>
              <c:numCache>
                <c:formatCode>0.0%</c:formatCode>
                <c:ptCount val="7"/>
                <c:pt idx="0">
                  <c:v>0.48535706240144205</c:v>
                </c:pt>
                <c:pt idx="1">
                  <c:v>0.53391959798994981</c:v>
                </c:pt>
                <c:pt idx="2">
                  <c:v>0.55933068054280177</c:v>
                </c:pt>
                <c:pt idx="3">
                  <c:v>0.46422712933753985</c:v>
                </c:pt>
                <c:pt idx="4">
                  <c:v>0.29765777488614209</c:v>
                </c:pt>
                <c:pt idx="5">
                  <c:v>0.51857506361323147</c:v>
                </c:pt>
                <c:pt idx="6">
                  <c:v>0.49797979797979774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'Continuous data '!$G$62</c:f>
              <c:strCache>
                <c:ptCount val="1"/>
                <c:pt idx="0">
                  <c:v>Oil from pipework</c:v>
                </c:pt>
              </c:strCache>
            </c:strRef>
          </c:tx>
          <c:spPr>
            <a:ln w="47625">
              <a:noFill/>
            </a:ln>
          </c:spPr>
          <c:xVal>
            <c:numRef>
              <c:f>'Continuous data '!$B$65:$B$71</c:f>
              <c:numCache>
                <c:formatCode>0.0</c:formatCode>
                <c:ptCount val="7"/>
                <c:pt idx="0">
                  <c:v>302.08888888888885</c:v>
                </c:pt>
                <c:pt idx="1">
                  <c:v>328.44</c:v>
                </c:pt>
                <c:pt idx="2">
                  <c:v>344.21000000000004</c:v>
                </c:pt>
                <c:pt idx="3">
                  <c:v>316.63</c:v>
                </c:pt>
                <c:pt idx="4">
                  <c:v>318.79090909090905</c:v>
                </c:pt>
                <c:pt idx="5">
                  <c:v>319.62</c:v>
                </c:pt>
                <c:pt idx="6">
                  <c:v>320.81</c:v>
                </c:pt>
              </c:numCache>
            </c:numRef>
          </c:xVal>
          <c:yVal>
            <c:numRef>
              <c:f>'Continuous data '!$G$65:$G$71</c:f>
              <c:numCache>
                <c:formatCode>0.0%</c:formatCode>
                <c:ptCount val="7"/>
                <c:pt idx="0">
                  <c:v>0.22583915296237869</c:v>
                </c:pt>
                <c:pt idx="1">
                  <c:v>0.23502931323283055</c:v>
                </c:pt>
                <c:pt idx="2">
                  <c:v>0.19855116824813798</c:v>
                </c:pt>
                <c:pt idx="3">
                  <c:v>0.33249211356466835</c:v>
                </c:pt>
                <c:pt idx="4">
                  <c:v>0.46128822381262174</c:v>
                </c:pt>
                <c:pt idx="5">
                  <c:v>0.28631043256997446</c:v>
                </c:pt>
                <c:pt idx="6">
                  <c:v>0.33825757575757576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'Continuous data '!$H$62</c:f>
              <c:strCache>
                <c:ptCount val="1"/>
                <c:pt idx="0">
                  <c:v>Oil from reactor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9"/>
          </c:marker>
          <c:xVal>
            <c:numRef>
              <c:f>'Continuous data '!$B$65:$B$71</c:f>
              <c:numCache>
                <c:formatCode>0.0</c:formatCode>
                <c:ptCount val="7"/>
                <c:pt idx="0">
                  <c:v>302.08888888888885</c:v>
                </c:pt>
                <c:pt idx="1">
                  <c:v>328.44</c:v>
                </c:pt>
                <c:pt idx="2">
                  <c:v>344.21000000000004</c:v>
                </c:pt>
                <c:pt idx="3">
                  <c:v>316.63</c:v>
                </c:pt>
                <c:pt idx="4">
                  <c:v>318.79090909090905</c:v>
                </c:pt>
                <c:pt idx="5">
                  <c:v>319.62</c:v>
                </c:pt>
                <c:pt idx="6">
                  <c:v>320.81</c:v>
                </c:pt>
              </c:numCache>
            </c:numRef>
          </c:xVal>
          <c:yVal>
            <c:numRef>
              <c:f>'Continuous data '!$H$65:$H$71</c:f>
              <c:numCache>
                <c:formatCode>0.0%</c:formatCode>
                <c:ptCount val="7"/>
                <c:pt idx="0">
                  <c:v>0.28880378463617917</c:v>
                </c:pt>
                <c:pt idx="1">
                  <c:v>0.2310510887772195</c:v>
                </c:pt>
                <c:pt idx="2">
                  <c:v>0.2421181512090603</c:v>
                </c:pt>
                <c:pt idx="3">
                  <c:v>0.20328075709779178</c:v>
                </c:pt>
                <c:pt idx="4">
                  <c:v>0.24105400130123625</c:v>
                </c:pt>
                <c:pt idx="5">
                  <c:v>0.19511450381679407</c:v>
                </c:pt>
                <c:pt idx="6">
                  <c:v>0.16376262626262644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866088"/>
        <c:axId val="343862952"/>
      </c:scatterChart>
      <c:valAx>
        <c:axId val="343866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 temperature, </a:t>
                </a:r>
                <a:r>
                  <a:rPr lang="it-IT"/>
                  <a:t>°C</a:t>
                </a:r>
                <a:r>
                  <a:rPr lang="en-US"/>
                  <a:t> 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43862952"/>
        <c:crosses val="autoZero"/>
        <c:crossBetween val="midCat"/>
      </c:valAx>
      <c:valAx>
        <c:axId val="3438629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of total oil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386608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1.5476815398075599E-3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'Continuous data '!$P$2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4762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47625">
                <a:noFill/>
              </a:ln>
            </c:spPr>
          </c:dPt>
          <c:errBars>
            <c:errBarType val="both"/>
            <c:errValType val="cust"/>
            <c:noEndCap val="0"/>
            <c:plus>
              <c:numRef>
                <c:f>('Continuous data '!$P$39,'Continuous data '!$P$39,'Continuous data '!$P$39,'Continuous data '!$P$39)</c:f>
                <c:numCache>
                  <c:formatCode>General</c:formatCode>
                  <c:ptCount val="4"/>
                  <c:pt idx="0">
                    <c:v>4.6153388637595008E-2</c:v>
                  </c:pt>
                  <c:pt idx="1">
                    <c:v>4.6153388637595008E-2</c:v>
                  </c:pt>
                  <c:pt idx="2">
                    <c:v>4.6153388637595008E-2</c:v>
                  </c:pt>
                  <c:pt idx="3">
                    <c:v>4.6153388637595008E-2</c:v>
                  </c:pt>
                </c:numCache>
              </c:numRef>
            </c:plus>
            <c:minus>
              <c:numRef>
                <c:f>('Continuous data '!$P$39,'Continuous data '!$P$39,'Continuous data '!$P$39,'Continuous data '!$P$39)</c:f>
                <c:numCache>
                  <c:formatCode>General</c:formatCode>
                  <c:ptCount val="4"/>
                  <c:pt idx="0">
                    <c:v>4.6153388637595008E-2</c:v>
                  </c:pt>
                  <c:pt idx="1">
                    <c:v>4.6153388637595008E-2</c:v>
                  </c:pt>
                  <c:pt idx="2">
                    <c:v>4.6153388637595008E-2</c:v>
                  </c:pt>
                  <c:pt idx="3">
                    <c:v>4.6153388637595008E-2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'!$P$34:$P$37</c:f>
              <c:numCache>
                <c:formatCode>0.0%</c:formatCode>
                <c:ptCount val="4"/>
                <c:pt idx="0">
                  <c:v>0.29690798356922082</c:v>
                </c:pt>
                <c:pt idx="1">
                  <c:v>0.30595913576799716</c:v>
                </c:pt>
                <c:pt idx="2">
                  <c:v>0.26285439081241896</c:v>
                </c:pt>
                <c:pt idx="3">
                  <c:v>0.28241307014609146</c:v>
                </c:pt>
              </c:numCache>
            </c:numRef>
          </c:val>
        </c:ser>
        <c:ser>
          <c:idx val="3"/>
          <c:order val="1"/>
          <c:tx>
            <c:strRef>
              <c:f>'Continuous data '!$T$2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'!$T$39,'Continuous data '!$T$39,'Continuous data '!$T$39,'Continuous data '!$T$39)</c:f>
                <c:numCache>
                  <c:formatCode>General</c:formatCode>
                  <c:ptCount val="4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  <c:pt idx="3">
                    <c:v>7.2796863740213812E-3</c:v>
                  </c:pt>
                </c:numCache>
              </c:numRef>
            </c:plus>
            <c:minus>
              <c:numRef>
                <c:f>('Continuous data '!$T$39,'Continuous data '!$T$39,'Continuous data '!$T$39,'Continuous data '!$T$39)</c:f>
                <c:numCache>
                  <c:formatCode>General</c:formatCode>
                  <c:ptCount val="4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  <c:pt idx="3">
                    <c:v>7.2796863740213812E-3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'!$T$34:$T$37</c:f>
              <c:numCache>
                <c:formatCode>0.0%</c:formatCode>
                <c:ptCount val="4"/>
                <c:pt idx="0">
                  <c:v>5.7895814881092265E-2</c:v>
                </c:pt>
                <c:pt idx="1">
                  <c:v>3.5339312823195475E-2</c:v>
                </c:pt>
                <c:pt idx="2">
                  <c:v>4.5219396720165943E-2</c:v>
                </c:pt>
                <c:pt idx="3">
                  <c:v>5.1630679156908742E-2</c:v>
                </c:pt>
              </c:numCache>
            </c:numRef>
          </c:val>
        </c:ser>
        <c:ser>
          <c:idx val="0"/>
          <c:order val="2"/>
          <c:tx>
            <c:strRef>
              <c:f>'Continuous data '!$W$2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'!$W$39,'Continuous data '!$W$39,'Continuous data '!$W$39,'Continuous data '!$W$39)</c:f>
                <c:numCache>
                  <c:formatCode>General</c:formatCode>
                  <c:ptCount val="4"/>
                  <c:pt idx="0">
                    <c:v>1.6264024772890212E-2</c:v>
                  </c:pt>
                  <c:pt idx="1">
                    <c:v>1.6264024772890212E-2</c:v>
                  </c:pt>
                  <c:pt idx="2">
                    <c:v>1.6264024772890212E-2</c:v>
                  </c:pt>
                  <c:pt idx="3">
                    <c:v>1.6264024772890212E-2</c:v>
                  </c:pt>
                </c:numCache>
              </c:numRef>
            </c:plus>
            <c:minus>
              <c:numRef>
                <c:f>('Continuous data '!$W$39,'Continuous data '!$W$39,'Continuous data '!$W$39,'Continuous data '!$W$39)</c:f>
                <c:numCache>
                  <c:formatCode>General</c:formatCode>
                  <c:ptCount val="4"/>
                  <c:pt idx="0">
                    <c:v>1.6264024772890212E-2</c:v>
                  </c:pt>
                  <c:pt idx="1">
                    <c:v>1.6264024772890212E-2</c:v>
                  </c:pt>
                  <c:pt idx="2">
                    <c:v>1.6264024772890212E-2</c:v>
                  </c:pt>
                  <c:pt idx="3">
                    <c:v>1.6264024772890212E-2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'!$W$34:$W$37</c:f>
              <c:numCache>
                <c:formatCode>0.0%</c:formatCode>
                <c:ptCount val="4"/>
                <c:pt idx="0">
                  <c:v>0.14257183118534197</c:v>
                </c:pt>
                <c:pt idx="1">
                  <c:v>0.15954768396555019</c:v>
                </c:pt>
                <c:pt idx="2">
                  <c:v>0.15049228314889837</c:v>
                </c:pt>
                <c:pt idx="3">
                  <c:v>0.16161512211441978</c:v>
                </c:pt>
              </c:numCache>
            </c:numRef>
          </c:val>
        </c:ser>
        <c:ser>
          <c:idx val="1"/>
          <c:order val="3"/>
          <c:tx>
            <c:strRef>
              <c:f>'Continuous data '!$Q$2</c:f>
              <c:strCache>
                <c:ptCount val="1"/>
                <c:pt idx="0">
                  <c:v>Water phase residue</c:v>
                </c:pt>
              </c:strCache>
            </c:strRef>
          </c:tx>
          <c:spPr>
            <a:solidFill>
              <a:schemeClr val="accent5"/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'!$Q$39,'Continuous data '!$Q$39,'Continuous data '!$Q$39,'Continuous data '!$Q$39)</c:f>
                <c:numCache>
                  <c:formatCode>General</c:formatCode>
                  <c:ptCount val="4"/>
                  <c:pt idx="0">
                    <c:v>2.8167082712816083E-2</c:v>
                  </c:pt>
                  <c:pt idx="1">
                    <c:v>2.8167082712816083E-2</c:v>
                  </c:pt>
                  <c:pt idx="2">
                    <c:v>2.8167082712816083E-2</c:v>
                  </c:pt>
                  <c:pt idx="3">
                    <c:v>2.8167082712816083E-2</c:v>
                  </c:pt>
                </c:numCache>
              </c:numRef>
            </c:plus>
            <c:minus>
              <c:numRef>
                <c:f>('Continuous data '!$Q$39,'Continuous data '!$Q$39,'Continuous data '!$Q$39,'Continuous data '!$Q$39)</c:f>
                <c:numCache>
                  <c:formatCode>General</c:formatCode>
                  <c:ptCount val="4"/>
                  <c:pt idx="0">
                    <c:v>2.8167082712816083E-2</c:v>
                  </c:pt>
                  <c:pt idx="1">
                    <c:v>2.8167082712816083E-2</c:v>
                  </c:pt>
                  <c:pt idx="2">
                    <c:v>2.8167082712816083E-2</c:v>
                  </c:pt>
                  <c:pt idx="3">
                    <c:v>2.8167082712816083E-2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'!$Q$34:$Q$37</c:f>
              <c:numCache>
                <c:formatCode>0.0%</c:formatCode>
                <c:ptCount val="4"/>
                <c:pt idx="0">
                  <c:v>0.19796773986225788</c:v>
                </c:pt>
                <c:pt idx="1">
                  <c:v>0.18034258797205488</c:v>
                </c:pt>
                <c:pt idx="2">
                  <c:v>0.15518980874545252</c:v>
                </c:pt>
                <c:pt idx="3">
                  <c:v>0.13416548102498016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868440"/>
        <c:axId val="343868048"/>
      </c:barChart>
      <c:catAx>
        <c:axId val="343868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Reaction temperature, </a:t>
                </a:r>
                <a:r>
                  <a:rPr lang="it-IT"/>
                  <a:t>°</a:t>
                </a:r>
                <a:r>
                  <a:rPr lang="en-GB"/>
                  <a:t>C</a:t>
                </a:r>
                <a:endParaRPr lang="en-US"/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43868048"/>
        <c:crosses val="autoZero"/>
        <c:auto val="1"/>
        <c:lblAlgn val="ctr"/>
        <c:lblOffset val="100"/>
        <c:noMultiLvlLbl val="0"/>
      </c:catAx>
      <c:valAx>
        <c:axId val="3438680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386844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1.5476815398075599E-3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'Continuous data '!$P$2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'!$P$55:$P$57</c:f>
                <c:numCache>
                  <c:formatCode>General</c:formatCode>
                  <c:ptCount val="3"/>
                  <c:pt idx="0">
                    <c:v>4.6153388637595008E-2</c:v>
                  </c:pt>
                  <c:pt idx="1">
                    <c:v>4.6153388637595008E-2</c:v>
                  </c:pt>
                  <c:pt idx="2">
                    <c:v>4.6153388637595008E-2</c:v>
                  </c:pt>
                </c:numCache>
              </c:numRef>
            </c:plus>
            <c:minus>
              <c:numRef>
                <c:f>'Continuous data '!$P$55:$P$57</c:f>
                <c:numCache>
                  <c:formatCode>General</c:formatCode>
                  <c:ptCount val="3"/>
                  <c:pt idx="0">
                    <c:v>4.6153388637595008E-2</c:v>
                  </c:pt>
                  <c:pt idx="1">
                    <c:v>4.6153388637595008E-2</c:v>
                  </c:pt>
                  <c:pt idx="2">
                    <c:v>4.6153388637595008E-2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'!$P$51:$P$53</c:f>
              <c:numCache>
                <c:formatCode>0.0%</c:formatCode>
                <c:ptCount val="3"/>
                <c:pt idx="0">
                  <c:v>0.27689358904453976</c:v>
                </c:pt>
                <c:pt idx="1">
                  <c:v>0.30986772731039308</c:v>
                </c:pt>
                <c:pt idx="2">
                  <c:v>0.35211252440559204</c:v>
                </c:pt>
              </c:numCache>
            </c:numRef>
          </c:val>
        </c:ser>
        <c:ser>
          <c:idx val="3"/>
          <c:order val="1"/>
          <c:tx>
            <c:strRef>
              <c:f>'Continuous data '!$T$2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'!$T$55:$T$57</c:f>
                <c:numCache>
                  <c:formatCode>General</c:formatCode>
                  <c:ptCount val="3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</c:numCache>
              </c:numRef>
            </c:plus>
            <c:minus>
              <c:numRef>
                <c:f>'Continuous data '!$T$55:$T$57</c:f>
                <c:numCache>
                  <c:formatCode>General</c:formatCode>
                  <c:ptCount val="3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'!$T$51:$T$53</c:f>
              <c:numCache>
                <c:formatCode>0.0%</c:formatCode>
                <c:ptCount val="3"/>
                <c:pt idx="0">
                  <c:v>4.8910166741836528E-2</c:v>
                </c:pt>
                <c:pt idx="1">
                  <c:v>3.5575606378067517E-2</c:v>
                </c:pt>
                <c:pt idx="2">
                  <c:v>4.2618999197216838E-2</c:v>
                </c:pt>
              </c:numCache>
            </c:numRef>
          </c:val>
        </c:ser>
        <c:ser>
          <c:idx val="0"/>
          <c:order val="2"/>
          <c:tx>
            <c:strRef>
              <c:f>'Continuous data '!$W$2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'!$W$55:$W$57</c:f>
                <c:numCache>
                  <c:formatCode>General</c:formatCode>
                  <c:ptCount val="3"/>
                  <c:pt idx="0">
                    <c:v>1.6264024772890212E-2</c:v>
                  </c:pt>
                  <c:pt idx="1">
                    <c:v>1.6264024772890212E-2</c:v>
                  </c:pt>
                  <c:pt idx="2">
                    <c:v>1.6264024772890212E-2</c:v>
                  </c:pt>
                </c:numCache>
              </c:numRef>
            </c:plus>
            <c:minus>
              <c:numRef>
                <c:f>'Continuous data '!$W$55:$W$57</c:f>
                <c:numCache>
                  <c:formatCode>General</c:formatCode>
                  <c:ptCount val="3"/>
                  <c:pt idx="0">
                    <c:v>1.6264024772890212E-2</c:v>
                  </c:pt>
                  <c:pt idx="1">
                    <c:v>1.6264024772890212E-2</c:v>
                  </c:pt>
                  <c:pt idx="2">
                    <c:v>1.6264024772890212E-2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'!$W$51:$W$53</c:f>
              <c:numCache>
                <c:formatCode>0.0%</c:formatCode>
                <c:ptCount val="3"/>
                <c:pt idx="0">
                  <c:v>0.15399111877018162</c:v>
                </c:pt>
                <c:pt idx="1">
                  <c:v>0.13943164411615044</c:v>
                </c:pt>
                <c:pt idx="2">
                  <c:v>0.17581170873844046</c:v>
                </c:pt>
              </c:numCache>
            </c:numRef>
          </c:val>
        </c:ser>
        <c:ser>
          <c:idx val="1"/>
          <c:order val="3"/>
          <c:tx>
            <c:strRef>
              <c:f>'Continuous data '!$Q$2</c:f>
              <c:strCache>
                <c:ptCount val="1"/>
                <c:pt idx="0">
                  <c:v>Water phase residue</c:v>
                </c:pt>
              </c:strCache>
            </c:strRef>
          </c:tx>
          <c:spPr>
            <a:solidFill>
              <a:schemeClr val="accent5"/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'Continuous data '!$Q$55:$Q$57</c:f>
                <c:numCache>
                  <c:formatCode>General</c:formatCode>
                  <c:ptCount val="3"/>
                  <c:pt idx="0">
                    <c:v>2.8167082712816083E-2</c:v>
                  </c:pt>
                  <c:pt idx="1">
                    <c:v>2.8167082712816083E-2</c:v>
                  </c:pt>
                  <c:pt idx="2">
                    <c:v>2.8167082712816083E-2</c:v>
                  </c:pt>
                </c:numCache>
              </c:numRef>
            </c:plus>
            <c:minus>
              <c:numRef>
                <c:f>'Continuous data '!$Q$55:$Q$57</c:f>
                <c:numCache>
                  <c:formatCode>General</c:formatCode>
                  <c:ptCount val="3"/>
                  <c:pt idx="0">
                    <c:v>2.8167082712816083E-2</c:v>
                  </c:pt>
                  <c:pt idx="1">
                    <c:v>2.8167082712816083E-2</c:v>
                  </c:pt>
                  <c:pt idx="2">
                    <c:v>2.8167082712816083E-2</c:v>
                  </c:pt>
                </c:numCache>
              </c:numRef>
            </c:minus>
          </c:errBars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'!$Q$51:$Q$53</c:f>
              <c:numCache>
                <c:formatCode>0.0%</c:formatCode>
                <c:ptCount val="3"/>
                <c:pt idx="0">
                  <c:v>0.13821355989291201</c:v>
                </c:pt>
                <c:pt idx="1">
                  <c:v>0.20540349094757721</c:v>
                </c:pt>
                <c:pt idx="2">
                  <c:v>0.20850967068487092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862560"/>
        <c:axId val="343866480"/>
      </c:barChart>
      <c:catAx>
        <c:axId val="34386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Feed flow, mL min</a:t>
                </a:r>
                <a:r>
                  <a:rPr lang="en-GB" baseline="30000"/>
                  <a:t>-1</a:t>
                </a:r>
                <a:endParaRPr lang="en-US" baseline="30000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43866480"/>
        <c:crosses val="autoZero"/>
        <c:auto val="1"/>
        <c:lblAlgn val="ctr"/>
        <c:lblOffset val="100"/>
        <c:noMultiLvlLbl val="0"/>
      </c:catAx>
      <c:valAx>
        <c:axId val="343866480"/>
        <c:scaling>
          <c:orientation val="minMax"/>
          <c:max val="0.4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386256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4.7331583552055598E-4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'Continuous data '!$AM$2</c:f>
              <c:strCache>
                <c:ptCount val="1"/>
                <c:pt idx="0">
                  <c:v>Carbon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'!$AM$51:$AM$53</c:f>
              <c:numCache>
                <c:formatCode>0.0%</c:formatCode>
                <c:ptCount val="3"/>
                <c:pt idx="0">
                  <c:v>0.37809927028347401</c:v>
                </c:pt>
                <c:pt idx="1">
                  <c:v>0.32436588926638266</c:v>
                </c:pt>
                <c:pt idx="2">
                  <c:v>0.40840314337398342</c:v>
                </c:pt>
              </c:numCache>
            </c:numRef>
          </c:val>
        </c:ser>
        <c:ser>
          <c:idx val="2"/>
          <c:order val="2"/>
          <c:tx>
            <c:strRef>
              <c:f>'Continuous data '!$AN$2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'!$AN$51:$AN$53</c:f>
              <c:numCache>
                <c:formatCode>0.0%</c:formatCode>
                <c:ptCount val="3"/>
                <c:pt idx="0">
                  <c:v>0.35609965398780818</c:v>
                </c:pt>
                <c:pt idx="1">
                  <c:v>0.35717902330995743</c:v>
                </c:pt>
                <c:pt idx="2">
                  <c:v>0.45621918333492018</c:v>
                </c:pt>
              </c:numCache>
            </c:numRef>
          </c:val>
        </c:ser>
        <c:ser>
          <c:idx val="0"/>
          <c:order val="0"/>
          <c:tx>
            <c:strRef>
              <c:f>'Continuous data '!$AO$2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</c:spPr>
          <c:invertIfNegative val="0"/>
          <c:cat>
            <c:numRef>
              <c:f>'Continuous data '!$G$51:$G$53</c:f>
              <c:numCache>
                <c:formatCode>0.0</c:formatCode>
                <c:ptCount val="3"/>
                <c:pt idx="0">
                  <c:v>3.020814372872215</c:v>
                </c:pt>
                <c:pt idx="1">
                  <c:v>4.9783333333333335</c:v>
                </c:pt>
                <c:pt idx="2">
                  <c:v>6.8833333333333329</c:v>
                </c:pt>
              </c:numCache>
            </c:numRef>
          </c:cat>
          <c:val>
            <c:numRef>
              <c:f>'Continuous data '!$AO$51:$AO$53</c:f>
              <c:numCache>
                <c:formatCode>0.0%</c:formatCode>
                <c:ptCount val="3"/>
                <c:pt idx="0">
                  <c:v>0.17958344656590622</c:v>
                </c:pt>
                <c:pt idx="1">
                  <c:v>0.12353274630285484</c:v>
                </c:pt>
                <c:pt idx="2">
                  <c:v>0.14432543197961725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863344"/>
        <c:axId val="343864520"/>
      </c:barChart>
      <c:catAx>
        <c:axId val="34386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 rate, mL min</a:t>
                </a:r>
                <a:r>
                  <a:rPr lang="en-US" baseline="30000"/>
                  <a:t>-1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343864520"/>
        <c:crosses val="autoZero"/>
        <c:auto val="1"/>
        <c:lblAlgn val="ctr"/>
        <c:lblOffset val="100"/>
        <c:noMultiLvlLbl val="0"/>
      </c:catAx>
      <c:valAx>
        <c:axId val="343864520"/>
        <c:scaling>
          <c:orientation val="minMax"/>
          <c:max val="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recovery to oil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3863344"/>
        <c:crosses val="autoZero"/>
        <c:crossBetween val="between"/>
        <c:majorUnit val="0.1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solidFill>
        <a:srgbClr val="FFFFFF"/>
      </a:solidFill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4.7331583552055598E-4"/>
          <c:y val="0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'Continuous data '!$AM$2</c:f>
              <c:strCache>
                <c:ptCount val="1"/>
                <c:pt idx="0">
                  <c:v>Carbon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'!$AM$34:$AM$37</c:f>
              <c:numCache>
                <c:formatCode>0.0%</c:formatCode>
                <c:ptCount val="4"/>
                <c:pt idx="0">
                  <c:v>0.35007235323829916</c:v>
                </c:pt>
                <c:pt idx="1">
                  <c:v>0.40840314337398342</c:v>
                </c:pt>
                <c:pt idx="2">
                  <c:v>0.37722432855466831</c:v>
                </c:pt>
                <c:pt idx="3">
                  <c:v>0.41274629399652479</c:v>
                </c:pt>
              </c:numCache>
            </c:numRef>
          </c:val>
        </c:ser>
        <c:ser>
          <c:idx val="2"/>
          <c:order val="2"/>
          <c:tx>
            <c:strRef>
              <c:f>'Continuous data '!$AN$2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'!$AN$34:$AN$37</c:f>
              <c:numCache>
                <c:formatCode>0.0%</c:formatCode>
                <c:ptCount val="4"/>
                <c:pt idx="0">
                  <c:v>0.30824098265987998</c:v>
                </c:pt>
                <c:pt idx="1">
                  <c:v>0.45621918333492018</c:v>
                </c:pt>
                <c:pt idx="2">
                  <c:v>0.36750206006941583</c:v>
                </c:pt>
                <c:pt idx="3">
                  <c:v>0.37752117843010635</c:v>
                </c:pt>
              </c:numCache>
            </c:numRef>
          </c:val>
        </c:ser>
        <c:ser>
          <c:idx val="0"/>
          <c:order val="0"/>
          <c:tx>
            <c:strRef>
              <c:f>'Continuous data '!$AO$2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</c:spPr>
          <c:invertIfNegative val="0"/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'!$AO$34:$AO$37</c:f>
              <c:numCache>
                <c:formatCode>0.0%</c:formatCode>
                <c:ptCount val="4"/>
                <c:pt idx="0">
                  <c:v>0.16318469429136939</c:v>
                </c:pt>
                <c:pt idx="1">
                  <c:v>0.14432543197961725</c:v>
                </c:pt>
                <c:pt idx="2">
                  <c:v>0.13432478778876172</c:v>
                </c:pt>
                <c:pt idx="3">
                  <c:v>0.11720055024159642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162088"/>
        <c:axId val="344156992"/>
      </c:barChart>
      <c:catAx>
        <c:axId val="344162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 temperature, </a:t>
                </a:r>
                <a:r>
                  <a:rPr lang="it-IT"/>
                  <a:t>°</a:t>
                </a:r>
                <a:r>
                  <a:rPr lang="en-US"/>
                  <a:t>C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44156992"/>
        <c:crosses val="autoZero"/>
        <c:auto val="1"/>
        <c:lblAlgn val="ctr"/>
        <c:lblOffset val="100"/>
        <c:noMultiLvlLbl val="0"/>
      </c:catAx>
      <c:valAx>
        <c:axId val="344156992"/>
        <c:scaling>
          <c:orientation val="minMax"/>
          <c:max val="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recovery to oil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4162088"/>
        <c:crosses val="autoZero"/>
        <c:crossBetween val="between"/>
        <c:majorUnit val="0.1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solidFill>
        <a:srgbClr val="FFFFFF"/>
      </a:solidFill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1.5476815398075599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9791790123456801"/>
          <c:y val="8.0458128878230395E-2"/>
          <c:w val="0.75112530864197502"/>
          <c:h val="0.5613657706460869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'Continuous data '!$P$2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4762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47625">
                <a:noFill/>
              </a:ln>
            </c:spPr>
          </c:dPt>
          <c:errBars>
            <c:errBarType val="both"/>
            <c:errValType val="cust"/>
            <c:noEndCap val="0"/>
            <c:plus>
              <c:numRef>
                <c:f>('Continuous data '!$P$39,'Continuous data '!$P$39,'Continuous data '!$P$39,'Continuous data '!$P$39)</c:f>
                <c:numCache>
                  <c:formatCode>General</c:formatCode>
                  <c:ptCount val="4"/>
                  <c:pt idx="0">
                    <c:v>4.6153388637595008E-2</c:v>
                  </c:pt>
                  <c:pt idx="1">
                    <c:v>4.6153388637595008E-2</c:v>
                  </c:pt>
                  <c:pt idx="2">
                    <c:v>4.6153388637595008E-2</c:v>
                  </c:pt>
                  <c:pt idx="3">
                    <c:v>4.6153388637595008E-2</c:v>
                  </c:pt>
                </c:numCache>
              </c:numRef>
            </c:plus>
            <c:minus>
              <c:numRef>
                <c:f>('Continuous data '!$P$39,'Continuous data '!$P$39,'Continuous data '!$P$39,'Continuous data '!$P$39)</c:f>
                <c:numCache>
                  <c:formatCode>General</c:formatCode>
                  <c:ptCount val="4"/>
                  <c:pt idx="0">
                    <c:v>4.6153388637595008E-2</c:v>
                  </c:pt>
                  <c:pt idx="1">
                    <c:v>4.6153388637595008E-2</c:v>
                  </c:pt>
                  <c:pt idx="2">
                    <c:v>4.6153388637595008E-2</c:v>
                  </c:pt>
                  <c:pt idx="3">
                    <c:v>4.6153388637595008E-2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'!$P$34:$P$37</c:f>
              <c:numCache>
                <c:formatCode>0.0%</c:formatCode>
                <c:ptCount val="4"/>
                <c:pt idx="0">
                  <c:v>0.29690798356922082</c:v>
                </c:pt>
                <c:pt idx="1">
                  <c:v>0.30595913576799716</c:v>
                </c:pt>
                <c:pt idx="2">
                  <c:v>0.26285439081241896</c:v>
                </c:pt>
                <c:pt idx="3">
                  <c:v>0.28241307014609146</c:v>
                </c:pt>
              </c:numCache>
            </c:numRef>
          </c:val>
        </c:ser>
        <c:ser>
          <c:idx val="3"/>
          <c:order val="1"/>
          <c:tx>
            <c:strRef>
              <c:f>'Continuous data '!$T$2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'!$T$39,'Continuous data '!$T$39,'Continuous data '!$T$39,'Continuous data '!$T$39)</c:f>
                <c:numCache>
                  <c:formatCode>General</c:formatCode>
                  <c:ptCount val="4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  <c:pt idx="3">
                    <c:v>7.2796863740213812E-3</c:v>
                  </c:pt>
                </c:numCache>
              </c:numRef>
            </c:plus>
            <c:minus>
              <c:numRef>
                <c:f>('Continuous data '!$T$39,'Continuous data '!$T$39,'Continuous data '!$T$39,'Continuous data '!$T$39)</c:f>
                <c:numCache>
                  <c:formatCode>General</c:formatCode>
                  <c:ptCount val="4"/>
                  <c:pt idx="0">
                    <c:v>7.2796863740213812E-3</c:v>
                  </c:pt>
                  <c:pt idx="1">
                    <c:v>7.2796863740213812E-3</c:v>
                  </c:pt>
                  <c:pt idx="2">
                    <c:v>7.2796863740213812E-3</c:v>
                  </c:pt>
                  <c:pt idx="3">
                    <c:v>7.2796863740213812E-3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'!$T$34:$T$37</c:f>
              <c:numCache>
                <c:formatCode>0.0%</c:formatCode>
                <c:ptCount val="4"/>
                <c:pt idx="0">
                  <c:v>5.7895814881092265E-2</c:v>
                </c:pt>
                <c:pt idx="1">
                  <c:v>3.5339312823195475E-2</c:v>
                </c:pt>
                <c:pt idx="2">
                  <c:v>4.5219396720165943E-2</c:v>
                </c:pt>
                <c:pt idx="3">
                  <c:v>5.1630679156908742E-2</c:v>
                </c:pt>
              </c:numCache>
            </c:numRef>
          </c:val>
        </c:ser>
        <c:ser>
          <c:idx val="0"/>
          <c:order val="2"/>
          <c:tx>
            <c:strRef>
              <c:f>'Continuous data '!$W$2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'!$W$39,'Continuous data '!$W$39,'Continuous data '!$W$39,'Continuous data '!$W$39)</c:f>
                <c:numCache>
                  <c:formatCode>General</c:formatCode>
                  <c:ptCount val="4"/>
                  <c:pt idx="0">
                    <c:v>1.6264024772890212E-2</c:v>
                  </c:pt>
                  <c:pt idx="1">
                    <c:v>1.6264024772890212E-2</c:v>
                  </c:pt>
                  <c:pt idx="2">
                    <c:v>1.6264024772890212E-2</c:v>
                  </c:pt>
                  <c:pt idx="3">
                    <c:v>1.6264024772890212E-2</c:v>
                  </c:pt>
                </c:numCache>
              </c:numRef>
            </c:plus>
            <c:minus>
              <c:numRef>
                <c:f>('Continuous data '!$W$39,'Continuous data '!$W$39,'Continuous data '!$W$39,'Continuous data '!$W$39)</c:f>
                <c:numCache>
                  <c:formatCode>General</c:formatCode>
                  <c:ptCount val="4"/>
                  <c:pt idx="0">
                    <c:v>1.6264024772890212E-2</c:v>
                  </c:pt>
                  <c:pt idx="1">
                    <c:v>1.6264024772890212E-2</c:v>
                  </c:pt>
                  <c:pt idx="2">
                    <c:v>1.6264024772890212E-2</c:v>
                  </c:pt>
                  <c:pt idx="3">
                    <c:v>1.6264024772890212E-2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'!$W$34:$W$37</c:f>
              <c:numCache>
                <c:formatCode>0.0%</c:formatCode>
                <c:ptCount val="4"/>
                <c:pt idx="0">
                  <c:v>0.14257183118534197</c:v>
                </c:pt>
                <c:pt idx="1">
                  <c:v>0.15954768396555019</c:v>
                </c:pt>
                <c:pt idx="2">
                  <c:v>0.15049228314889837</c:v>
                </c:pt>
                <c:pt idx="3">
                  <c:v>0.16161512211441978</c:v>
                </c:pt>
              </c:numCache>
            </c:numRef>
          </c:val>
        </c:ser>
        <c:ser>
          <c:idx val="1"/>
          <c:order val="3"/>
          <c:tx>
            <c:strRef>
              <c:f>'Continuous data '!$Q$2</c:f>
              <c:strCache>
                <c:ptCount val="1"/>
                <c:pt idx="0">
                  <c:v>Water phase residue</c:v>
                </c:pt>
              </c:strCache>
            </c:strRef>
          </c:tx>
          <c:spPr>
            <a:solidFill>
              <a:schemeClr val="accent5"/>
            </a:solidFill>
            <a:ln w="4762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('Continuous data '!$Q$39,'Continuous data '!$Q$39,'Continuous data '!$Q$39,'Continuous data '!$Q$39)</c:f>
                <c:numCache>
                  <c:formatCode>General</c:formatCode>
                  <c:ptCount val="4"/>
                  <c:pt idx="0">
                    <c:v>2.8167082712816083E-2</c:v>
                  </c:pt>
                  <c:pt idx="1">
                    <c:v>2.8167082712816083E-2</c:v>
                  </c:pt>
                  <c:pt idx="2">
                    <c:v>2.8167082712816083E-2</c:v>
                  </c:pt>
                  <c:pt idx="3">
                    <c:v>2.8167082712816083E-2</c:v>
                  </c:pt>
                </c:numCache>
              </c:numRef>
            </c:plus>
            <c:minus>
              <c:numRef>
                <c:f>('Continuous data '!$Q$39,'Continuous data '!$Q$39,'Continuous data '!$Q$39,'Continuous data '!$Q$39)</c:f>
                <c:numCache>
                  <c:formatCode>General</c:formatCode>
                  <c:ptCount val="4"/>
                  <c:pt idx="0">
                    <c:v>2.8167082712816083E-2</c:v>
                  </c:pt>
                  <c:pt idx="1">
                    <c:v>2.8167082712816083E-2</c:v>
                  </c:pt>
                  <c:pt idx="2">
                    <c:v>2.8167082712816083E-2</c:v>
                  </c:pt>
                  <c:pt idx="3">
                    <c:v>2.8167082712816083E-2</c:v>
                  </c:pt>
                </c:numCache>
              </c:numRef>
            </c:minus>
          </c:errBars>
          <c:cat>
            <c:numRef>
              <c:f>'Continuous data '!$H$34:$H$37</c:f>
              <c:numCache>
                <c:formatCode>0.0</c:formatCode>
                <c:ptCount val="4"/>
                <c:pt idx="0">
                  <c:v>302.08888888888885</c:v>
                </c:pt>
                <c:pt idx="1">
                  <c:v>320.21500000000003</c:v>
                </c:pt>
                <c:pt idx="2">
                  <c:v>328.44</c:v>
                </c:pt>
                <c:pt idx="3">
                  <c:v>344.21000000000004</c:v>
                </c:pt>
              </c:numCache>
            </c:numRef>
          </c:cat>
          <c:val>
            <c:numRef>
              <c:f>'Continuous data '!$Q$34:$Q$37</c:f>
              <c:numCache>
                <c:formatCode>0.0%</c:formatCode>
                <c:ptCount val="4"/>
                <c:pt idx="0">
                  <c:v>0.19796773986225788</c:v>
                </c:pt>
                <c:pt idx="1">
                  <c:v>0.18034258797205488</c:v>
                </c:pt>
                <c:pt idx="2">
                  <c:v>0.15518980874545252</c:v>
                </c:pt>
                <c:pt idx="3">
                  <c:v>0.13416548102498016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161304"/>
        <c:axId val="344158560"/>
      </c:barChart>
      <c:catAx>
        <c:axId val="344161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Reaction temperature, </a:t>
                </a:r>
                <a:r>
                  <a:rPr lang="it-IT"/>
                  <a:t>°</a:t>
                </a:r>
                <a:r>
                  <a:rPr lang="en-GB"/>
                  <a:t>C</a:t>
                </a:r>
                <a:endParaRPr lang="en-US"/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44158560"/>
        <c:crosses val="autoZero"/>
        <c:auto val="1"/>
        <c:lblAlgn val="ctr"/>
        <c:lblOffset val="100"/>
        <c:noMultiLvlLbl val="0"/>
      </c:catAx>
      <c:valAx>
        <c:axId val="344158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416130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90</xdr:row>
      <xdr:rowOff>101600</xdr:rowOff>
    </xdr:from>
    <xdr:to>
      <xdr:col>35</xdr:col>
      <xdr:colOff>482600</xdr:colOff>
      <xdr:row>104</xdr:row>
      <xdr:rowOff>177800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406400</xdr:colOff>
      <xdr:row>84</xdr:row>
      <xdr:rowOff>139700</xdr:rowOff>
    </xdr:from>
    <xdr:to>
      <xdr:col>32</xdr:col>
      <xdr:colOff>25400</xdr:colOff>
      <xdr:row>99</xdr:row>
      <xdr:rowOff>25400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469900</xdr:colOff>
      <xdr:row>59</xdr:row>
      <xdr:rowOff>12700</xdr:rowOff>
    </xdr:from>
    <xdr:to>
      <xdr:col>15</xdr:col>
      <xdr:colOff>749300</xdr:colOff>
      <xdr:row>73</xdr:row>
      <xdr:rowOff>76200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152400</xdr:colOff>
      <xdr:row>59</xdr:row>
      <xdr:rowOff>38100</xdr:rowOff>
    </xdr:from>
    <xdr:to>
      <xdr:col>21</xdr:col>
      <xdr:colOff>596900</xdr:colOff>
      <xdr:row>73</xdr:row>
      <xdr:rowOff>101600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0</xdr:colOff>
      <xdr:row>25</xdr:row>
      <xdr:rowOff>0</xdr:rowOff>
    </xdr:from>
    <xdr:to>
      <xdr:col>49</xdr:col>
      <xdr:colOff>546100</xdr:colOff>
      <xdr:row>39</xdr:row>
      <xdr:rowOff>63500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41</xdr:row>
      <xdr:rowOff>0</xdr:rowOff>
    </xdr:from>
    <xdr:to>
      <xdr:col>49</xdr:col>
      <xdr:colOff>546100</xdr:colOff>
      <xdr:row>55</xdr:row>
      <xdr:rowOff>76200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50</xdr:col>
      <xdr:colOff>3</xdr:colOff>
      <xdr:row>41</xdr:row>
      <xdr:rowOff>0</xdr:rowOff>
    </xdr:from>
    <xdr:to>
      <xdr:col>55</xdr:col>
      <xdr:colOff>444498</xdr:colOff>
      <xdr:row>55</xdr:row>
      <xdr:rowOff>101600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50</xdr:col>
      <xdr:colOff>3</xdr:colOff>
      <xdr:row>25</xdr:row>
      <xdr:rowOff>0</xdr:rowOff>
    </xdr:from>
    <xdr:to>
      <xdr:col>55</xdr:col>
      <xdr:colOff>444498</xdr:colOff>
      <xdr:row>39</xdr:row>
      <xdr:rowOff>76200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56</xdr:col>
      <xdr:colOff>0</xdr:colOff>
      <xdr:row>25</xdr:row>
      <xdr:rowOff>0</xdr:rowOff>
    </xdr:from>
    <xdr:to>
      <xdr:col>59</xdr:col>
      <xdr:colOff>763500</xdr:colOff>
      <xdr:row>35</xdr:row>
      <xdr:rowOff>146999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0</xdr:colOff>
      <xdr:row>36</xdr:row>
      <xdr:rowOff>1</xdr:rowOff>
    </xdr:from>
    <xdr:to>
      <xdr:col>59</xdr:col>
      <xdr:colOff>763500</xdr:colOff>
      <xdr:row>46</xdr:row>
      <xdr:rowOff>96200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60</xdr:col>
      <xdr:colOff>0</xdr:colOff>
      <xdr:row>25</xdr:row>
      <xdr:rowOff>1</xdr:rowOff>
    </xdr:from>
    <xdr:to>
      <xdr:col>63</xdr:col>
      <xdr:colOff>763500</xdr:colOff>
      <xdr:row>35</xdr:row>
      <xdr:rowOff>147000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60</xdr:col>
      <xdr:colOff>0</xdr:colOff>
      <xdr:row>36</xdr:row>
      <xdr:rowOff>1</xdr:rowOff>
    </xdr:from>
    <xdr:to>
      <xdr:col>63</xdr:col>
      <xdr:colOff>763500</xdr:colOff>
      <xdr:row>46</xdr:row>
      <xdr:rowOff>96200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571500</xdr:colOff>
      <xdr:row>38</xdr:row>
      <xdr:rowOff>184150</xdr:rowOff>
    </xdr:from>
    <xdr:to>
      <xdr:col>55</xdr:col>
      <xdr:colOff>190500</xdr:colOff>
      <xdr:row>53</xdr:row>
      <xdr:rowOff>69850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50</xdr:col>
      <xdr:colOff>355600</xdr:colOff>
      <xdr:row>26</xdr:row>
      <xdr:rowOff>101600</xdr:rowOff>
    </xdr:from>
    <xdr:to>
      <xdr:col>55</xdr:col>
      <xdr:colOff>800100</xdr:colOff>
      <xdr:row>40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50</xdr:col>
      <xdr:colOff>0</xdr:colOff>
      <xdr:row>20</xdr:row>
      <xdr:rowOff>0</xdr:rowOff>
    </xdr:from>
    <xdr:to>
      <xdr:col>55</xdr:col>
      <xdr:colOff>444500</xdr:colOff>
      <xdr:row>34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47</xdr:col>
      <xdr:colOff>723900</xdr:colOff>
      <xdr:row>55</xdr:row>
      <xdr:rowOff>76200</xdr:rowOff>
    </xdr:from>
    <xdr:to>
      <xdr:col>53</xdr:col>
      <xdr:colOff>342900</xdr:colOff>
      <xdr:row>69</xdr:row>
      <xdr:rowOff>152400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50</xdr:col>
      <xdr:colOff>0</xdr:colOff>
      <xdr:row>11</xdr:row>
      <xdr:rowOff>0</xdr:rowOff>
    </xdr:from>
    <xdr:to>
      <xdr:col>55</xdr:col>
      <xdr:colOff>444500</xdr:colOff>
      <xdr:row>25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57</xdr:col>
      <xdr:colOff>0</xdr:colOff>
      <xdr:row>11</xdr:row>
      <xdr:rowOff>0</xdr:rowOff>
    </xdr:from>
    <xdr:to>
      <xdr:col>62</xdr:col>
      <xdr:colOff>444500</xdr:colOff>
      <xdr:row>25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57</xdr:col>
      <xdr:colOff>0</xdr:colOff>
      <xdr:row>26</xdr:row>
      <xdr:rowOff>0</xdr:rowOff>
    </xdr:from>
    <xdr:to>
      <xdr:col>62</xdr:col>
      <xdr:colOff>444500</xdr:colOff>
      <xdr:row>40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64</xdr:col>
      <xdr:colOff>482600</xdr:colOff>
      <xdr:row>13</xdr:row>
      <xdr:rowOff>114315</xdr:rowOff>
    </xdr:from>
    <xdr:to>
      <xdr:col>70</xdr:col>
      <xdr:colOff>497600</xdr:colOff>
      <xdr:row>29</xdr:row>
      <xdr:rowOff>171630</xdr:rowOff>
    </xdr:to>
    <xdr:graphicFrame macro="">
      <xdr:nvGraphicFramePr>
        <xdr:cNvPr id="13" name="Chart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64</xdr:col>
      <xdr:colOff>25400</xdr:colOff>
      <xdr:row>31</xdr:row>
      <xdr:rowOff>127001</xdr:rowOff>
    </xdr:from>
    <xdr:to>
      <xdr:col>70</xdr:col>
      <xdr:colOff>40400</xdr:colOff>
      <xdr:row>47</xdr:row>
      <xdr:rowOff>194770</xdr:rowOff>
    </xdr:to>
    <xdr:graphicFrame macro="">
      <xdr:nvGraphicFramePr>
        <xdr:cNvPr id="15" name="Chart 1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0</xdr:colOff>
      <xdr:row>14</xdr:row>
      <xdr:rowOff>15</xdr:rowOff>
    </xdr:from>
    <xdr:to>
      <xdr:col>77</xdr:col>
      <xdr:colOff>15000</xdr:colOff>
      <xdr:row>30</xdr:row>
      <xdr:rowOff>57330</xdr:rowOff>
    </xdr:to>
    <xdr:graphicFrame macro="">
      <xdr:nvGraphicFramePr>
        <xdr:cNvPr id="16" name="Chart 1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71</xdr:col>
      <xdr:colOff>0</xdr:colOff>
      <xdr:row>35</xdr:row>
      <xdr:rowOff>15</xdr:rowOff>
    </xdr:from>
    <xdr:to>
      <xdr:col>77</xdr:col>
      <xdr:colOff>15000</xdr:colOff>
      <xdr:row>51</xdr:row>
      <xdr:rowOff>57330</xdr:rowOff>
    </xdr:to>
    <xdr:graphicFrame macro="">
      <xdr:nvGraphicFramePr>
        <xdr:cNvPr id="17" name="Chart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78</xdr:col>
      <xdr:colOff>0</xdr:colOff>
      <xdr:row>14</xdr:row>
      <xdr:rowOff>0</xdr:rowOff>
    </xdr:from>
    <xdr:to>
      <xdr:col>81</xdr:col>
      <xdr:colOff>763500</xdr:colOff>
      <xdr:row>24</xdr:row>
      <xdr:rowOff>120205</xdr:rowOff>
    </xdr:to>
    <xdr:graphicFrame macro="">
      <xdr:nvGraphicFramePr>
        <xdr:cNvPr id="14" name="Chart 1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78</xdr:col>
      <xdr:colOff>0</xdr:colOff>
      <xdr:row>25</xdr:row>
      <xdr:rowOff>0</xdr:rowOff>
    </xdr:from>
    <xdr:to>
      <xdr:col>81</xdr:col>
      <xdr:colOff>763500</xdr:colOff>
      <xdr:row>35</xdr:row>
      <xdr:rowOff>120205</xdr:rowOff>
    </xdr:to>
    <xdr:graphicFrame macro="">
      <xdr:nvGraphicFramePr>
        <xdr:cNvPr id="18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82</xdr:col>
      <xdr:colOff>0</xdr:colOff>
      <xdr:row>14</xdr:row>
      <xdr:rowOff>0</xdr:rowOff>
    </xdr:from>
    <xdr:to>
      <xdr:col>85</xdr:col>
      <xdr:colOff>763500</xdr:colOff>
      <xdr:row>24</xdr:row>
      <xdr:rowOff>120205</xdr:rowOff>
    </xdr:to>
    <xdr:graphicFrame macro="">
      <xdr:nvGraphicFramePr>
        <xdr:cNvPr id="19" name="Chart 1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82</xdr:col>
      <xdr:colOff>0</xdr:colOff>
      <xdr:row>25</xdr:row>
      <xdr:rowOff>0</xdr:rowOff>
    </xdr:from>
    <xdr:to>
      <xdr:col>85</xdr:col>
      <xdr:colOff>763500</xdr:colOff>
      <xdr:row>35</xdr:row>
      <xdr:rowOff>127023</xdr:rowOff>
    </xdr:to>
    <xdr:graphicFrame macro="">
      <xdr:nvGraphicFramePr>
        <xdr:cNvPr id="20" name="Chart 1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6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BM47" sqref="BM47"/>
    </sheetView>
  </sheetViews>
  <sheetFormatPr defaultColWidth="11" defaultRowHeight="15.75" x14ac:dyDescent="0.25"/>
  <cols>
    <col min="2" max="18" width="10.875" customWidth="1"/>
    <col min="46" max="46" width="20.375" bestFit="1" customWidth="1"/>
  </cols>
  <sheetData>
    <row r="1" spans="1:44" x14ac:dyDescent="0.25">
      <c r="A1" s="11"/>
      <c r="B1" s="11"/>
      <c r="C1" s="62" t="s">
        <v>160</v>
      </c>
      <c r="D1" s="62"/>
      <c r="E1" s="62"/>
      <c r="F1" s="62" t="s">
        <v>159</v>
      </c>
      <c r="G1" s="62"/>
      <c r="H1" s="62"/>
      <c r="I1" s="62"/>
      <c r="J1" s="62"/>
      <c r="K1" s="62"/>
      <c r="L1" s="62" t="s">
        <v>157</v>
      </c>
      <c r="M1" s="62"/>
      <c r="N1" s="62"/>
      <c r="O1" s="62"/>
      <c r="P1" s="62" t="s">
        <v>155</v>
      </c>
      <c r="Q1" s="62"/>
      <c r="R1" s="62"/>
      <c r="S1" s="62"/>
      <c r="T1" s="62"/>
      <c r="U1" s="62"/>
      <c r="V1" s="62"/>
      <c r="W1" s="62"/>
      <c r="X1" s="62"/>
      <c r="Y1" s="62"/>
      <c r="Z1" s="11"/>
      <c r="AA1" s="62" t="s">
        <v>149</v>
      </c>
      <c r="AB1" s="62"/>
      <c r="AC1" s="62"/>
      <c r="AD1" s="62" t="s">
        <v>150</v>
      </c>
      <c r="AE1" s="62"/>
      <c r="AF1" s="62"/>
      <c r="AG1" s="62" t="s">
        <v>151</v>
      </c>
      <c r="AH1" s="62"/>
      <c r="AI1" s="62"/>
      <c r="AJ1" s="62" t="s">
        <v>152</v>
      </c>
      <c r="AK1" s="62"/>
      <c r="AL1" s="62"/>
      <c r="AM1" s="62" t="s">
        <v>129</v>
      </c>
      <c r="AN1" s="62"/>
      <c r="AO1" s="62"/>
      <c r="AP1" s="58" t="s">
        <v>169</v>
      </c>
      <c r="AQ1" s="58"/>
      <c r="AR1" s="58"/>
    </row>
    <row r="2" spans="1:44" x14ac:dyDescent="0.25">
      <c r="A2" s="11"/>
      <c r="B2" s="11" t="s">
        <v>7</v>
      </c>
      <c r="C2" s="11" t="s">
        <v>35</v>
      </c>
      <c r="D2" s="11" t="s">
        <v>18</v>
      </c>
      <c r="E2" s="11" t="s">
        <v>13</v>
      </c>
      <c r="F2" s="11" t="s">
        <v>36</v>
      </c>
      <c r="G2" s="11" t="s">
        <v>10</v>
      </c>
      <c r="H2" s="11" t="s">
        <v>37</v>
      </c>
      <c r="I2" s="11" t="s">
        <v>38</v>
      </c>
      <c r="J2" s="11" t="s">
        <v>39</v>
      </c>
      <c r="K2" s="11" t="s">
        <v>11</v>
      </c>
      <c r="L2" s="11" t="s">
        <v>32</v>
      </c>
      <c r="M2" s="11" t="s">
        <v>33</v>
      </c>
      <c r="N2" s="11" t="s">
        <v>158</v>
      </c>
      <c r="O2" s="11" t="s">
        <v>156</v>
      </c>
      <c r="P2" s="11" t="s">
        <v>18</v>
      </c>
      <c r="Q2" s="11" t="s">
        <v>167</v>
      </c>
      <c r="R2" s="11" t="s">
        <v>51</v>
      </c>
      <c r="S2" s="11" t="s">
        <v>50</v>
      </c>
      <c r="T2" s="11" t="s">
        <v>128</v>
      </c>
      <c r="U2" s="11" t="s">
        <v>52</v>
      </c>
      <c r="V2" s="11" t="s">
        <v>53</v>
      </c>
      <c r="W2" s="11" t="s">
        <v>124</v>
      </c>
      <c r="X2" s="11" t="s">
        <v>54</v>
      </c>
      <c r="Y2" s="11" t="s">
        <v>55</v>
      </c>
      <c r="Z2" s="11" t="s">
        <v>57</v>
      </c>
      <c r="AA2" s="11" t="s">
        <v>15</v>
      </c>
      <c r="AB2" s="11" t="s">
        <v>16</v>
      </c>
      <c r="AC2" s="11" t="s">
        <v>17</v>
      </c>
      <c r="AD2" s="11" t="s">
        <v>15</v>
      </c>
      <c r="AE2" s="11" t="s">
        <v>16</v>
      </c>
      <c r="AF2" s="11" t="s">
        <v>17</v>
      </c>
      <c r="AG2" s="11" t="s">
        <v>125</v>
      </c>
      <c r="AH2" s="11" t="s">
        <v>126</v>
      </c>
      <c r="AI2" s="11" t="s">
        <v>127</v>
      </c>
      <c r="AJ2" s="11" t="s">
        <v>125</v>
      </c>
      <c r="AK2" s="11" t="s">
        <v>126</v>
      </c>
      <c r="AL2" s="11" t="s">
        <v>127</v>
      </c>
      <c r="AM2" s="11" t="s">
        <v>130</v>
      </c>
      <c r="AN2" s="11" t="s">
        <v>131</v>
      </c>
      <c r="AO2" s="11" t="s">
        <v>132</v>
      </c>
      <c r="AP2" s="60" t="s">
        <v>130</v>
      </c>
      <c r="AQ2" s="60" t="s">
        <v>131</v>
      </c>
      <c r="AR2" s="60" t="s">
        <v>132</v>
      </c>
    </row>
    <row r="3" spans="1:44" ht="16.5" thickBo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15"/>
      <c r="AQ3" s="15"/>
      <c r="AR3" s="15"/>
    </row>
    <row r="4" spans="1:44" x14ac:dyDescent="0.25">
      <c r="A4" s="35" t="s">
        <v>153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15"/>
      <c r="AQ4" s="15"/>
      <c r="AR4" s="15"/>
    </row>
    <row r="5" spans="1:44" x14ac:dyDescent="0.25">
      <c r="A5" s="38" t="s">
        <v>85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>
        <v>40.1</v>
      </c>
      <c r="AB5" s="11">
        <v>5.8</v>
      </c>
      <c r="AC5" s="11">
        <v>6.1</v>
      </c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3"/>
      <c r="AP5" s="15"/>
      <c r="AQ5" s="15"/>
      <c r="AR5" s="15"/>
    </row>
    <row r="6" spans="1:44" x14ac:dyDescent="0.25">
      <c r="A6" s="38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3"/>
      <c r="AP6" s="15"/>
      <c r="AQ6" s="15"/>
      <c r="AR6" s="15"/>
    </row>
    <row r="7" spans="1:44" x14ac:dyDescent="0.25">
      <c r="A7" s="38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3"/>
      <c r="AP7" s="15"/>
      <c r="AQ7" s="15"/>
      <c r="AR7" s="15"/>
    </row>
    <row r="8" spans="1:44" x14ac:dyDescent="0.25">
      <c r="A8" s="38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3"/>
      <c r="AP8" s="15"/>
      <c r="AQ8" s="15"/>
      <c r="AR8" s="15"/>
    </row>
    <row r="9" spans="1:44" x14ac:dyDescent="0.25">
      <c r="A9" s="38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3"/>
      <c r="AP9" s="15"/>
      <c r="AQ9" s="15"/>
      <c r="AR9" s="15"/>
    </row>
    <row r="10" spans="1:44" x14ac:dyDescent="0.25">
      <c r="A10" s="38" t="s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3"/>
      <c r="AP10" s="15"/>
      <c r="AQ10" s="15"/>
      <c r="AR10" s="15"/>
    </row>
    <row r="11" spans="1:44" x14ac:dyDescent="0.25">
      <c r="A11" s="38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3"/>
      <c r="AP11" s="15"/>
      <c r="AQ11" s="15"/>
      <c r="AR11" s="15"/>
    </row>
    <row r="12" spans="1:44" x14ac:dyDescent="0.25">
      <c r="A12" s="38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3"/>
      <c r="AP12" s="15"/>
      <c r="AQ12" s="15"/>
      <c r="AR12" s="15"/>
    </row>
    <row r="13" spans="1:44" x14ac:dyDescent="0.25">
      <c r="A13" s="38" t="s">
        <v>40</v>
      </c>
      <c r="B13" s="19">
        <v>42720</v>
      </c>
      <c r="C13" s="20">
        <v>4.6681806712086812E-2</v>
      </c>
      <c r="D13" s="11"/>
      <c r="E13" s="11"/>
      <c r="F13" s="11">
        <v>915</v>
      </c>
      <c r="G13" s="23">
        <v>4.5750000000000002</v>
      </c>
      <c r="H13" s="23">
        <v>317.71999999999997</v>
      </c>
      <c r="I13" s="23">
        <v>268.5</v>
      </c>
      <c r="J13" s="23">
        <v>79.56</v>
      </c>
      <c r="K13" s="11">
        <v>450</v>
      </c>
      <c r="L13" s="11"/>
      <c r="M13" s="11"/>
      <c r="N13" s="11"/>
      <c r="O13" s="11"/>
      <c r="P13" s="21">
        <v>0.19494846256092155</v>
      </c>
      <c r="Q13" s="21">
        <v>0.11301201146571314</v>
      </c>
      <c r="R13" s="21">
        <v>2.4769481612760293E-2</v>
      </c>
      <c r="S13" s="21">
        <v>0</v>
      </c>
      <c r="T13" s="21">
        <v>2.0040336730172748E-2</v>
      </c>
      <c r="U13" s="21">
        <v>8.4164731945059773E-2</v>
      </c>
      <c r="V13" s="21">
        <v>0</v>
      </c>
      <c r="W13" s="21">
        <f>X13-T13</f>
        <v>0.10893421355782007</v>
      </c>
      <c r="X13" s="21">
        <f>SUM(R13:V13)</f>
        <v>0.12897455028799282</v>
      </c>
      <c r="Y13" s="21">
        <v>2.1575240205971243E-2</v>
      </c>
      <c r="Z13" s="11"/>
      <c r="AA13" s="11">
        <f>(75.71+75.76)/2</f>
        <v>75.734999999999999</v>
      </c>
      <c r="AB13" s="11">
        <f>(10.08+10.14)/2</f>
        <v>10.11</v>
      </c>
      <c r="AC13" s="11">
        <f>(4.29+4.36)/2</f>
        <v>4.3250000000000002</v>
      </c>
      <c r="AD13" s="11">
        <f>(79.28+79.36)/2</f>
        <v>79.319999999999993</v>
      </c>
      <c r="AE13" s="11">
        <f>(11.16+11.05)/2</f>
        <v>11.105</v>
      </c>
      <c r="AF13" s="11">
        <f>(3.02+3.07)/2</f>
        <v>3.0449999999999999</v>
      </c>
      <c r="AG13" s="21">
        <f>T13*AD13/AA$5</f>
        <v>3.9640885522127231E-2</v>
      </c>
      <c r="AH13" s="21">
        <f>T13*AE13/AB$5</f>
        <v>3.8370334377339374E-2</v>
      </c>
      <c r="AI13" s="21">
        <f>T13*AF13/AC$5</f>
        <v>1.0003741859569839E-2</v>
      </c>
      <c r="AJ13" s="21">
        <f>($X13-$T13)*AA13/AA$5</f>
        <v>0.20573896917210729</v>
      </c>
      <c r="AK13" s="21">
        <f>($X13-$T13)*AB13/AB$5</f>
        <v>0.18988360328785531</v>
      </c>
      <c r="AL13" s="21">
        <f>($X13-$T13)*AC13/AC$5</f>
        <v>7.7236143219274078E-2</v>
      </c>
      <c r="AM13" s="22">
        <f>AJ13+AG13</f>
        <v>0.24537985469423451</v>
      </c>
      <c r="AN13" s="22">
        <f>AK13+AH13</f>
        <v>0.22825393766519469</v>
      </c>
      <c r="AO13" s="40">
        <f>AL13+AI13</f>
        <v>8.7239885078843921E-2</v>
      </c>
      <c r="AP13" s="59">
        <f>(AA13*W13+AD13*T13)/X13/100</f>
        <v>0.76292044835723372</v>
      </c>
      <c r="AQ13" s="59">
        <f>(AB13*W13+AE13*T13)/X13/100</f>
        <v>0.10264605191504808</v>
      </c>
      <c r="AR13" s="59">
        <f>(AC13*W13+AF13*T13)/X13/100</f>
        <v>4.1261109094209478E-2</v>
      </c>
    </row>
    <row r="14" spans="1:44" x14ac:dyDescent="0.25">
      <c r="A14" s="38" t="s">
        <v>41</v>
      </c>
      <c r="B14" s="19"/>
      <c r="C14" s="20"/>
      <c r="D14" s="11"/>
      <c r="E14" s="11"/>
      <c r="F14" s="11"/>
      <c r="G14" s="23"/>
      <c r="H14" s="23"/>
      <c r="I14" s="23"/>
      <c r="J14" s="23"/>
      <c r="K14" s="11"/>
      <c r="L14" s="11"/>
      <c r="M14" s="11"/>
      <c r="N14" s="11"/>
      <c r="O14" s="1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11"/>
      <c r="AA14" s="11"/>
      <c r="AB14" s="11"/>
      <c r="AC14" s="11"/>
      <c r="AD14" s="11"/>
      <c r="AE14" s="11"/>
      <c r="AF14" s="11"/>
      <c r="AG14" s="22"/>
      <c r="AH14" s="22"/>
      <c r="AI14" s="22"/>
      <c r="AJ14" s="22"/>
      <c r="AK14" s="22"/>
      <c r="AL14" s="22"/>
      <c r="AM14" s="22"/>
      <c r="AN14" s="22"/>
      <c r="AO14" s="40"/>
      <c r="AP14" s="59"/>
      <c r="AQ14" s="59"/>
      <c r="AR14" s="59"/>
    </row>
    <row r="15" spans="1:44" x14ac:dyDescent="0.25">
      <c r="A15" s="38" t="s">
        <v>42</v>
      </c>
      <c r="B15" s="19">
        <v>42387</v>
      </c>
      <c r="C15" s="20">
        <v>5.632984901277583E-2</v>
      </c>
      <c r="D15" s="11"/>
      <c r="E15" s="11"/>
      <c r="F15" s="11">
        <v>964</v>
      </c>
      <c r="G15" s="23">
        <v>2.9308254963427371</v>
      </c>
      <c r="H15" s="23">
        <v>336.42727272727274</v>
      </c>
      <c r="I15" s="23">
        <v>289.14545454545453</v>
      </c>
      <c r="J15" s="23">
        <v>57.172727272727272</v>
      </c>
      <c r="K15" s="11">
        <v>450</v>
      </c>
      <c r="L15" s="11"/>
      <c r="M15" s="11"/>
      <c r="N15" s="11"/>
      <c r="O15" s="11"/>
      <c r="P15" s="21">
        <v>0.26969553407195113</v>
      </c>
      <c r="Q15" s="21">
        <v>6.854276957369787E-2</v>
      </c>
      <c r="R15" s="21">
        <v>3.4087158318004865E-2</v>
      </c>
      <c r="S15" s="21">
        <v>3.4750117636993642E-2</v>
      </c>
      <c r="T15" s="21">
        <v>2.0036103862771056E-2</v>
      </c>
      <c r="U15" s="21">
        <v>5.6296295504127972E-2</v>
      </c>
      <c r="V15" s="21">
        <v>0</v>
      </c>
      <c r="W15" s="21">
        <f t="shared" ref="W15:W22" si="0">X15-T15</f>
        <v>0.12513357145912646</v>
      </c>
      <c r="X15" s="21">
        <f t="shared" ref="X15:X22" si="1">SUM(R15:V15)</f>
        <v>0.14516967532189751</v>
      </c>
      <c r="Y15" s="21">
        <v>3.6161545140372647E-2</v>
      </c>
      <c r="Z15" s="11"/>
      <c r="AA15" s="23">
        <f>(79.69+79.55)/2</f>
        <v>79.62</v>
      </c>
      <c r="AB15" s="23">
        <f>(11.48+11.36)/2</f>
        <v>11.42</v>
      </c>
      <c r="AC15" s="23">
        <f>(2.75+2.79)/2</f>
        <v>2.77</v>
      </c>
      <c r="AD15" s="23">
        <f>(80.87+80.75)/2</f>
        <v>80.81</v>
      </c>
      <c r="AE15" s="23">
        <f>(10.66+10.6)/2</f>
        <v>10.629999999999999</v>
      </c>
      <c r="AF15" s="23">
        <f>(3.92+3.96)/2</f>
        <v>3.94</v>
      </c>
      <c r="AG15" s="21">
        <f t="shared" ref="AG15:AG22" si="2">T15*AD15/AA$5</f>
        <v>4.0376996337918428E-2</v>
      </c>
      <c r="AH15" s="21">
        <f t="shared" ref="AH15:AH22" si="3">T15*AE15/AB$5</f>
        <v>3.6721342079526945E-2</v>
      </c>
      <c r="AI15" s="21">
        <f t="shared" ref="AI15:AI22" si="4">T15*AF15/AC$5</f>
        <v>1.2941352331035732E-2</v>
      </c>
      <c r="AJ15" s="21">
        <f t="shared" ref="AJ15:AL22" si="5">($X15-$T15)*AA15/AA$5</f>
        <v>0.24845723091211094</v>
      </c>
      <c r="AK15" s="21">
        <f t="shared" si="5"/>
        <v>0.24638368725228002</v>
      </c>
      <c r="AL15" s="21">
        <f t="shared" si="5"/>
        <v>5.6822949662586941E-2</v>
      </c>
      <c r="AM15" s="22">
        <f t="shared" ref="AM15:AM22" si="6">AJ15+AG15</f>
        <v>0.28883422725002939</v>
      </c>
      <c r="AN15" s="22">
        <f t="shared" ref="AN15:AO22" si="7">AK15+AH15</f>
        <v>0.28310502933180698</v>
      </c>
      <c r="AO15" s="40">
        <f t="shared" si="7"/>
        <v>6.9764301993622671E-2</v>
      </c>
      <c r="AP15" s="59">
        <f t="shared" ref="AP15:AP22" si="8">(AA15*W15+AD15*T15)/X15/100</f>
        <v>0.79784242039832565</v>
      </c>
      <c r="AQ15" s="59">
        <f t="shared" ref="AQ15:AQ22" si="9">(AB15*W15+AE15*T15)/X15/100</f>
        <v>0.11310965368514525</v>
      </c>
      <c r="AR15" s="59">
        <f t="shared" ref="AR15:AR22" si="10">(AC15*W15+AF15*T15)/X15/100</f>
        <v>2.9314816694151972E-2</v>
      </c>
    </row>
    <row r="16" spans="1:44" x14ac:dyDescent="0.25">
      <c r="A16" s="38" t="s">
        <v>43</v>
      </c>
      <c r="B16" s="19">
        <v>42394</v>
      </c>
      <c r="C16" s="20">
        <v>4.556218938661151E-2</v>
      </c>
      <c r="D16" s="11"/>
      <c r="E16" s="11"/>
      <c r="F16" s="11">
        <v>972</v>
      </c>
      <c r="G16" s="23">
        <v>6.9333333333333345</v>
      </c>
      <c r="H16" s="23">
        <v>302.08888888888885</v>
      </c>
      <c r="I16" s="23">
        <v>247.61111111111111</v>
      </c>
      <c r="J16" s="23">
        <v>104.66666666666667</v>
      </c>
      <c r="K16" s="11">
        <v>450</v>
      </c>
      <c r="L16" s="11"/>
      <c r="M16" s="11"/>
      <c r="N16" s="11"/>
      <c r="O16" s="11"/>
      <c r="P16" s="21">
        <v>0.29690798356922082</v>
      </c>
      <c r="Q16" s="21">
        <v>0.19796773986225788</v>
      </c>
      <c r="R16" s="21">
        <v>7.3363300526001915E-2</v>
      </c>
      <c r="S16" s="21">
        <v>2.1564158818815609E-2</v>
      </c>
      <c r="T16" s="21">
        <v>5.7895814881092265E-2</v>
      </c>
      <c r="U16" s="21">
        <v>4.5273443384005435E-2</v>
      </c>
      <c r="V16" s="21">
        <v>2.3709284565189984E-3</v>
      </c>
      <c r="W16" s="21">
        <f t="shared" si="0"/>
        <v>0.14257183118534197</v>
      </c>
      <c r="X16" s="21">
        <f t="shared" si="1"/>
        <v>0.20046764606643425</v>
      </c>
      <c r="Y16" s="21">
        <v>1.7186380601086713E-2</v>
      </c>
      <c r="Z16" s="11"/>
      <c r="AA16" s="23">
        <f>(70.73+70.78)/2</f>
        <v>70.754999999999995</v>
      </c>
      <c r="AB16" s="23">
        <f>(8.59+8.66)/2</f>
        <v>8.625</v>
      </c>
      <c r="AC16" s="23">
        <f>(6.08+5.89)/2</f>
        <v>5.9849999999999994</v>
      </c>
      <c r="AD16" s="23">
        <f>(68.17+68.29)/2</f>
        <v>68.23</v>
      </c>
      <c r="AE16" s="23">
        <f>(9.6+9.68)/2</f>
        <v>9.64</v>
      </c>
      <c r="AF16" s="23">
        <f>(2.42+2.49)/2</f>
        <v>2.4550000000000001</v>
      </c>
      <c r="AG16" s="21">
        <f t="shared" si="2"/>
        <v>9.8509512452292405E-2</v>
      </c>
      <c r="AH16" s="21">
        <f t="shared" si="3"/>
        <v>9.6226837147194738E-2</v>
      </c>
      <c r="AI16" s="21">
        <f t="shared" si="4"/>
        <v>2.3300692710341235E-2</v>
      </c>
      <c r="AJ16" s="21">
        <f t="shared" si="5"/>
        <v>0.25156284078600677</v>
      </c>
      <c r="AK16" s="21">
        <f t="shared" si="5"/>
        <v>0.21201414551268527</v>
      </c>
      <c r="AL16" s="21">
        <f t="shared" si="5"/>
        <v>0.13988400158102815</v>
      </c>
      <c r="AM16" s="22">
        <f t="shared" si="6"/>
        <v>0.35007235323829916</v>
      </c>
      <c r="AN16" s="22">
        <f t="shared" si="7"/>
        <v>0.30824098265987998</v>
      </c>
      <c r="AO16" s="40">
        <f t="shared" si="7"/>
        <v>0.16318469429136939</v>
      </c>
      <c r="AP16" s="59">
        <f t="shared" si="8"/>
        <v>0.70025770443793645</v>
      </c>
      <c r="AQ16" s="59">
        <f t="shared" si="9"/>
        <v>8.9181358414057221E-2</v>
      </c>
      <c r="AR16" s="59">
        <f t="shared" si="10"/>
        <v>4.9655226402342871E-2</v>
      </c>
    </row>
    <row r="17" spans="1:44" x14ac:dyDescent="0.25">
      <c r="A17" s="38" t="s">
        <v>44</v>
      </c>
      <c r="B17" s="19">
        <v>42401</v>
      </c>
      <c r="C17" s="20">
        <v>5.0576672799892239E-2</v>
      </c>
      <c r="D17" s="11"/>
      <c r="E17" s="11"/>
      <c r="F17" s="11">
        <v>965</v>
      </c>
      <c r="G17" s="23">
        <v>6.8979761904761885</v>
      </c>
      <c r="H17" s="23">
        <v>328.44</v>
      </c>
      <c r="I17" s="23">
        <v>264.00999999999993</v>
      </c>
      <c r="J17" s="23">
        <v>114.58000000000001</v>
      </c>
      <c r="K17" s="11">
        <v>475</v>
      </c>
      <c r="L17" s="11"/>
      <c r="M17" s="11"/>
      <c r="N17" s="11"/>
      <c r="O17" s="11"/>
      <c r="P17" s="21">
        <v>0.26285439081241896</v>
      </c>
      <c r="Q17" s="21">
        <v>0.15518980874545252</v>
      </c>
      <c r="R17" s="21">
        <v>8.1771913144622732E-2</v>
      </c>
      <c r="S17" s="21">
        <v>2.0284187926127864E-2</v>
      </c>
      <c r="T17" s="21">
        <v>4.5219396720165943E-2</v>
      </c>
      <c r="U17" s="21">
        <v>4.5997981711269773E-2</v>
      </c>
      <c r="V17" s="21">
        <v>2.4382003668779952E-3</v>
      </c>
      <c r="W17" s="21">
        <f t="shared" si="0"/>
        <v>0.15049228314889837</v>
      </c>
      <c r="X17" s="21">
        <f t="shared" si="1"/>
        <v>0.19571167986906432</v>
      </c>
      <c r="Y17" s="21">
        <v>2.8298347681989858E-2</v>
      </c>
      <c r="Z17" s="11"/>
      <c r="AA17" s="23">
        <f>(76.68+76.73)/2</f>
        <v>76.705000000000013</v>
      </c>
      <c r="AB17" s="23">
        <f>(11.01+10.89)/2</f>
        <v>10.95</v>
      </c>
      <c r="AC17" s="23">
        <f>(4.4+4.38)/2</f>
        <v>4.3900000000000006</v>
      </c>
      <c r="AD17" s="23">
        <f>(79.21+79.27)/2</f>
        <v>79.239999999999995</v>
      </c>
      <c r="AE17" s="23">
        <f>(10.64+10.75)/2</f>
        <v>10.695</v>
      </c>
      <c r="AF17" s="23">
        <f>(3.48+3.54)/2</f>
        <v>3.51</v>
      </c>
      <c r="AG17" s="21">
        <f t="shared" si="2"/>
        <v>8.9356234316856575E-2</v>
      </c>
      <c r="AH17" s="21">
        <f t="shared" si="3"/>
        <v>8.3383008262443922E-2</v>
      </c>
      <c r="AI17" s="21">
        <f t="shared" si="4"/>
        <v>2.6019685653734827E-2</v>
      </c>
      <c r="AJ17" s="21">
        <f t="shared" si="5"/>
        <v>0.28786809423781173</v>
      </c>
      <c r="AK17" s="21">
        <f t="shared" si="5"/>
        <v>0.28411905180697189</v>
      </c>
      <c r="AL17" s="21">
        <f t="shared" si="5"/>
        <v>0.10830510213502689</v>
      </c>
      <c r="AM17" s="22">
        <f t="shared" si="6"/>
        <v>0.37722432855466831</v>
      </c>
      <c r="AN17" s="22">
        <f t="shared" si="7"/>
        <v>0.36750206006941583</v>
      </c>
      <c r="AO17" s="40">
        <f t="shared" si="7"/>
        <v>0.13432478778876172</v>
      </c>
      <c r="AP17" s="59">
        <f t="shared" si="8"/>
        <v>0.77290714510050251</v>
      </c>
      <c r="AQ17" s="59">
        <f t="shared" si="9"/>
        <v>0.10891081972361807</v>
      </c>
      <c r="AR17" s="59">
        <f t="shared" si="10"/>
        <v>4.1866750418760479E-2</v>
      </c>
    </row>
    <row r="18" spans="1:44" x14ac:dyDescent="0.25">
      <c r="A18" s="38" t="s">
        <v>45</v>
      </c>
      <c r="B18" s="19">
        <v>42415</v>
      </c>
      <c r="C18" s="20">
        <v>4.7091235263967149E-2</v>
      </c>
      <c r="D18" s="11"/>
      <c r="E18" s="11"/>
      <c r="F18" s="11">
        <v>976</v>
      </c>
      <c r="G18" s="23">
        <v>6.5066666666666659</v>
      </c>
      <c r="H18" s="23">
        <v>344.21000000000004</v>
      </c>
      <c r="I18" s="23">
        <v>298.54000000000002</v>
      </c>
      <c r="J18" s="23">
        <v>125.88</v>
      </c>
      <c r="K18" s="11">
        <v>500</v>
      </c>
      <c r="L18" s="11"/>
      <c r="M18" s="11"/>
      <c r="N18" s="11"/>
      <c r="O18" s="11"/>
      <c r="P18" s="21">
        <v>0.28241307014609146</v>
      </c>
      <c r="Q18" s="21">
        <v>0.13416548102498016</v>
      </c>
      <c r="R18" s="21">
        <v>0.10317432809189261</v>
      </c>
      <c r="S18" s="21">
        <v>1.4055380840860965E-2</v>
      </c>
      <c r="T18" s="21">
        <v>5.1630679156908742E-2</v>
      </c>
      <c r="U18" s="21">
        <v>4.2340202966432545E-2</v>
      </c>
      <c r="V18" s="21">
        <v>2.0452102152336625E-3</v>
      </c>
      <c r="W18" s="21">
        <f t="shared" si="0"/>
        <v>0.16161512211441978</v>
      </c>
      <c r="X18" s="21">
        <f t="shared" si="1"/>
        <v>0.21324580127132853</v>
      </c>
      <c r="Y18" s="21">
        <v>3.0434151585553085E-2</v>
      </c>
      <c r="Z18" s="11"/>
      <c r="AA18" s="23">
        <f>(76.82+76.89)/2</f>
        <v>76.85499999999999</v>
      </c>
      <c r="AB18" s="23">
        <f>(9.95+9.93)/2</f>
        <v>9.94</v>
      </c>
      <c r="AC18" s="23">
        <f>(3.32+3.39)/2</f>
        <v>3.355</v>
      </c>
      <c r="AD18" s="23">
        <f>(80.03+79.96)/2</f>
        <v>79.995000000000005</v>
      </c>
      <c r="AE18" s="23">
        <f>(11.34+11.25)/2</f>
        <v>11.295</v>
      </c>
      <c r="AF18" s="23">
        <f>(3.32+3.37)/2</f>
        <v>3.3449999999999998</v>
      </c>
      <c r="AG18" s="21">
        <f t="shared" si="2"/>
        <v>0.10299741095154401</v>
      </c>
      <c r="AH18" s="21">
        <f t="shared" si="3"/>
        <v>0.10054629673746281</v>
      </c>
      <c r="AI18" s="21">
        <f t="shared" si="4"/>
        <v>2.8312233078665532E-2</v>
      </c>
      <c r="AJ18" s="21">
        <f t="shared" si="5"/>
        <v>0.30974888304498077</v>
      </c>
      <c r="AK18" s="21">
        <f t="shared" si="5"/>
        <v>0.27697488169264356</v>
      </c>
      <c r="AL18" s="21">
        <f t="shared" si="5"/>
        <v>8.8888317162930885E-2</v>
      </c>
      <c r="AM18" s="22">
        <f t="shared" si="6"/>
        <v>0.41274629399652479</v>
      </c>
      <c r="AN18" s="22">
        <f t="shared" si="7"/>
        <v>0.37752117843010635</v>
      </c>
      <c r="AO18" s="40">
        <f t="shared" si="7"/>
        <v>0.11720055024159642</v>
      </c>
      <c r="AP18" s="59">
        <f t="shared" si="8"/>
        <v>0.77615250994796436</v>
      </c>
      <c r="AQ18" s="59">
        <f t="shared" si="9"/>
        <v>0.10268070094888276</v>
      </c>
      <c r="AR18" s="59">
        <f t="shared" si="10"/>
        <v>3.3525788184879092E-2</v>
      </c>
    </row>
    <row r="19" spans="1:44" x14ac:dyDescent="0.25">
      <c r="A19" s="38" t="s">
        <v>46</v>
      </c>
      <c r="B19" s="19">
        <v>41692</v>
      </c>
      <c r="C19" s="20">
        <v>4.6636290538729433E-2</v>
      </c>
      <c r="D19" s="11"/>
      <c r="E19" s="11"/>
      <c r="F19" s="11">
        <v>971</v>
      </c>
      <c r="G19" s="23">
        <v>4.9783333333333335</v>
      </c>
      <c r="H19" s="23">
        <v>316.63</v>
      </c>
      <c r="I19" s="23">
        <v>266.46000000000004</v>
      </c>
      <c r="J19" s="23">
        <v>93.079999999999984</v>
      </c>
      <c r="K19" s="11">
        <v>450</v>
      </c>
      <c r="L19" s="11"/>
      <c r="M19" s="11"/>
      <c r="N19" s="11"/>
      <c r="O19" s="11"/>
      <c r="P19" s="21">
        <v>0.30986772731039308</v>
      </c>
      <c r="Q19" s="21">
        <v>0.20540349094757721</v>
      </c>
      <c r="R19" s="21">
        <v>6.1964712288552111E-2</v>
      </c>
      <c r="S19" s="21">
        <v>1.7644264119227836E-2</v>
      </c>
      <c r="T19" s="21">
        <v>3.5575606378067517E-2</v>
      </c>
      <c r="U19" s="21">
        <v>5.8188530605963872E-2</v>
      </c>
      <c r="V19" s="21">
        <v>1.6341371024066126E-3</v>
      </c>
      <c r="W19" s="21">
        <f t="shared" si="0"/>
        <v>0.13943164411615044</v>
      </c>
      <c r="X19" s="21">
        <f t="shared" si="1"/>
        <v>0.17500725049421795</v>
      </c>
      <c r="Y19" s="21">
        <v>3.1698113874306655E-2</v>
      </c>
      <c r="Z19" s="11"/>
      <c r="AA19" s="11">
        <f>(72.87+72.92)/2</f>
        <v>72.89500000000001</v>
      </c>
      <c r="AB19" s="11">
        <f>(11.77+11.85)/2</f>
        <v>11.809999999999999</v>
      </c>
      <c r="AC19" s="11">
        <f>(4.23+4.28)/2</f>
        <v>4.2550000000000008</v>
      </c>
      <c r="AD19" s="11">
        <f>(79.87+79.97)/2</f>
        <v>79.92</v>
      </c>
      <c r="AE19" s="11">
        <f>(11.9+11.99)/2</f>
        <v>11.945</v>
      </c>
      <c r="AF19" s="11">
        <f>(4.47+4.54)/2</f>
        <v>4.5049999999999999</v>
      </c>
      <c r="AG19" s="21">
        <f t="shared" si="2"/>
        <v>7.090280453204878E-2</v>
      </c>
      <c r="AH19" s="21">
        <f t="shared" si="3"/>
        <v>7.3267347963106286E-2</v>
      </c>
      <c r="AI19" s="21">
        <f t="shared" si="4"/>
        <v>2.6273460120195765E-2</v>
      </c>
      <c r="AJ19" s="21">
        <f t="shared" si="5"/>
        <v>0.25346308473433388</v>
      </c>
      <c r="AK19" s="21">
        <f t="shared" si="5"/>
        <v>0.28391167534685113</v>
      </c>
      <c r="AL19" s="21">
        <f t="shared" si="5"/>
        <v>9.7259286182659069E-2</v>
      </c>
      <c r="AM19" s="22">
        <f t="shared" si="6"/>
        <v>0.32436588926638266</v>
      </c>
      <c r="AN19" s="22">
        <f t="shared" si="7"/>
        <v>0.35717902330995743</v>
      </c>
      <c r="AO19" s="40">
        <f t="shared" si="7"/>
        <v>0.12353274630285484</v>
      </c>
      <c r="AP19" s="59">
        <f t="shared" si="8"/>
        <v>0.74323047318612012</v>
      </c>
      <c r="AQ19" s="59">
        <f t="shared" si="9"/>
        <v>0.11837442902208202</v>
      </c>
      <c r="AR19" s="59">
        <f t="shared" si="10"/>
        <v>4.3058201892744494E-2</v>
      </c>
    </row>
    <row r="20" spans="1:44" x14ac:dyDescent="0.25">
      <c r="A20" s="38" t="s">
        <v>47</v>
      </c>
      <c r="B20" s="19">
        <v>42436</v>
      </c>
      <c r="C20" s="20">
        <v>4.5587435409300853E-2</v>
      </c>
      <c r="D20" s="11"/>
      <c r="E20" s="11"/>
      <c r="F20" s="11">
        <v>997</v>
      </c>
      <c r="G20" s="23">
        <v>3.020814372872215</v>
      </c>
      <c r="H20" s="23">
        <v>318.79090909090905</v>
      </c>
      <c r="I20" s="23">
        <v>273.80909090909091</v>
      </c>
      <c r="J20" s="23">
        <v>56.336363636363643</v>
      </c>
      <c r="K20" s="11">
        <v>435</v>
      </c>
      <c r="L20" s="11"/>
      <c r="M20" s="11"/>
      <c r="N20" s="11"/>
      <c r="O20" s="11"/>
      <c r="P20" s="21">
        <v>0.27689358904453976</v>
      </c>
      <c r="Q20" s="21">
        <v>0.13821355989291201</v>
      </c>
      <c r="R20" s="21">
        <v>4.8404123631147267E-2</v>
      </c>
      <c r="S20" s="21">
        <v>1.1418972802075145E-2</v>
      </c>
      <c r="T20" s="21">
        <v>4.8910166741836528E-2</v>
      </c>
      <c r="U20" s="21">
        <v>9.3595973603136484E-2</v>
      </c>
      <c r="V20" s="21">
        <v>5.7204873382272255E-4</v>
      </c>
      <c r="W20" s="21">
        <f t="shared" si="0"/>
        <v>0.15399111877018162</v>
      </c>
      <c r="X20" s="21">
        <f t="shared" si="1"/>
        <v>0.20290128551201814</v>
      </c>
      <c r="Y20" s="21">
        <v>3.7490550431850601E-2</v>
      </c>
      <c r="Z20" s="11"/>
      <c r="AA20" s="11">
        <f>(73.46+73.56)/2</f>
        <v>73.509999999999991</v>
      </c>
      <c r="AB20" s="11">
        <f>(9.29+9.41)/2</f>
        <v>9.35</v>
      </c>
      <c r="AC20" s="11">
        <f>(6.01+6.08)/2</f>
        <v>6.0449999999999999</v>
      </c>
      <c r="AD20" s="11">
        <f>(78.51+78.59)/2</f>
        <v>78.550000000000011</v>
      </c>
      <c r="AE20" s="11">
        <f>(12.75+12.83)/2</f>
        <v>12.79</v>
      </c>
      <c r="AF20" s="11">
        <f>(3.34+3.39)/2</f>
        <v>3.3650000000000002</v>
      </c>
      <c r="AG20" s="21">
        <f t="shared" si="2"/>
        <v>9.5807820388310719E-2</v>
      </c>
      <c r="AH20" s="21">
        <f t="shared" si="3"/>
        <v>0.10785535045311882</v>
      </c>
      <c r="AI20" s="21">
        <f t="shared" si="4"/>
        <v>2.6980772309226218E-2</v>
      </c>
      <c r="AJ20" s="21">
        <f t="shared" si="5"/>
        <v>0.2822914498951633</v>
      </c>
      <c r="AK20" s="21">
        <f t="shared" si="5"/>
        <v>0.24824430353468935</v>
      </c>
      <c r="AL20" s="21">
        <f t="shared" si="5"/>
        <v>0.15260267425668</v>
      </c>
      <c r="AM20" s="22">
        <f t="shared" si="6"/>
        <v>0.37809927028347401</v>
      </c>
      <c r="AN20" s="22">
        <f t="shared" si="7"/>
        <v>0.35609965398780818</v>
      </c>
      <c r="AO20" s="40">
        <f t="shared" si="7"/>
        <v>0.17958344656590622</v>
      </c>
      <c r="AP20" s="59">
        <f t="shared" si="8"/>
        <v>0.74724912166558222</v>
      </c>
      <c r="AQ20" s="59">
        <f t="shared" si="9"/>
        <v>0.10179225764476252</v>
      </c>
      <c r="AR20" s="59">
        <f t="shared" si="10"/>
        <v>5.3989752765126874E-2</v>
      </c>
    </row>
    <row r="21" spans="1:44" x14ac:dyDescent="0.25">
      <c r="A21" s="38" t="s">
        <v>48</v>
      </c>
      <c r="B21" s="19">
        <v>42443</v>
      </c>
      <c r="C21" s="20">
        <v>4.5024964336662136E-2</v>
      </c>
      <c r="D21" s="11"/>
      <c r="E21" s="11"/>
      <c r="F21" s="11">
        <v>999</v>
      </c>
      <c r="G21" s="23">
        <v>6.8833333333333329</v>
      </c>
      <c r="H21" s="23">
        <v>319.62</v>
      </c>
      <c r="I21" s="23">
        <v>262.01</v>
      </c>
      <c r="J21" s="23">
        <v>114.92000000000003</v>
      </c>
      <c r="K21" s="11">
        <v>470</v>
      </c>
      <c r="L21" s="11"/>
      <c r="M21" s="11"/>
      <c r="N21" s="11"/>
      <c r="O21" s="11"/>
      <c r="P21" s="21">
        <v>0.35211252440559204</v>
      </c>
      <c r="Q21" s="21">
        <v>0.20850967068487092</v>
      </c>
      <c r="R21" s="21">
        <v>8.9284246622859997E-2</v>
      </c>
      <c r="S21" s="21">
        <v>2.1565169129525431E-2</v>
      </c>
      <c r="T21" s="21">
        <v>4.2618999197216838E-2</v>
      </c>
      <c r="U21" s="21">
        <v>6.2538990475623793E-2</v>
      </c>
      <c r="V21" s="21">
        <v>2.4233025104312502E-3</v>
      </c>
      <c r="W21" s="21">
        <f t="shared" si="0"/>
        <v>0.17581170873844046</v>
      </c>
      <c r="X21" s="21">
        <f t="shared" si="1"/>
        <v>0.2184307079356573</v>
      </c>
      <c r="Y21" s="21">
        <v>2.613327785540211E-2</v>
      </c>
      <c r="Z21" s="11"/>
      <c r="AA21" s="11">
        <f>(73.81+73.87)/2</f>
        <v>73.84</v>
      </c>
      <c r="AB21" s="11">
        <f>(11.66+11.69)/2</f>
        <v>11.675000000000001</v>
      </c>
      <c r="AC21" s="11">
        <f>(4.34+4.4)/2</f>
        <v>4.37</v>
      </c>
      <c r="AD21" s="11">
        <f>(79.62+79.7)/2</f>
        <v>79.66</v>
      </c>
      <c r="AE21" s="11">
        <f>(13.94+13.91)/2</f>
        <v>13.925000000000001</v>
      </c>
      <c r="AF21" s="11">
        <f>(2.6+2.66)/2</f>
        <v>2.63</v>
      </c>
      <c r="AG21" s="21">
        <f t="shared" si="2"/>
        <v>8.4664076709483616E-2</v>
      </c>
      <c r="AH21" s="21">
        <f t="shared" si="3"/>
        <v>0.10232233858986975</v>
      </c>
      <c r="AI21" s="21">
        <f t="shared" si="4"/>
        <v>1.8375076703062342E-2</v>
      </c>
      <c r="AJ21" s="21">
        <f t="shared" si="5"/>
        <v>0.32373906666449981</v>
      </c>
      <c r="AK21" s="21">
        <f t="shared" si="5"/>
        <v>0.35389684474505045</v>
      </c>
      <c r="AL21" s="21">
        <f t="shared" si="5"/>
        <v>0.1259503552765549</v>
      </c>
      <c r="AM21" s="22">
        <f t="shared" si="6"/>
        <v>0.40840314337398342</v>
      </c>
      <c r="AN21" s="22">
        <f t="shared" si="7"/>
        <v>0.45621918333492018</v>
      </c>
      <c r="AO21" s="40">
        <f t="shared" si="7"/>
        <v>0.14432543197961725</v>
      </c>
      <c r="AP21" s="59">
        <f t="shared" si="8"/>
        <v>0.74975566412213734</v>
      </c>
      <c r="AQ21" s="59">
        <f t="shared" si="9"/>
        <v>0.12114007633587788</v>
      </c>
      <c r="AR21" s="59">
        <f t="shared" si="10"/>
        <v>4.0305007633587776E-2</v>
      </c>
    </row>
    <row r="22" spans="1:44" ht="16.5" thickBot="1" x14ac:dyDescent="0.3">
      <c r="A22" s="54" t="s">
        <v>49</v>
      </c>
      <c r="B22" s="43">
        <v>42451</v>
      </c>
      <c r="C22" s="44">
        <v>4.6831809483308541E-2</v>
      </c>
      <c r="D22" s="45"/>
      <c r="E22" s="45"/>
      <c r="F22" s="45">
        <v>987</v>
      </c>
      <c r="G22" s="46">
        <v>6.8267816091954003</v>
      </c>
      <c r="H22" s="46">
        <v>320.81</v>
      </c>
      <c r="I22" s="46">
        <v>272.12</v>
      </c>
      <c r="J22" s="46">
        <v>119.68888888888887</v>
      </c>
      <c r="K22" s="45" t="s">
        <v>56</v>
      </c>
      <c r="L22" s="45"/>
      <c r="M22" s="45"/>
      <c r="N22" s="45"/>
      <c r="O22" s="45"/>
      <c r="P22" s="48">
        <v>0.25980574713040233</v>
      </c>
      <c r="Q22" s="48">
        <v>0.15217550525923884</v>
      </c>
      <c r="R22" s="48">
        <v>7.4248757111461436E-2</v>
      </c>
      <c r="S22" s="48">
        <v>9.2161918792198327E-3</v>
      </c>
      <c r="T22" s="48">
        <v>2.8059626449174115E-2</v>
      </c>
      <c r="U22" s="48">
        <v>5.7958164423544623E-2</v>
      </c>
      <c r="V22" s="48">
        <v>1.8605457784340257E-3</v>
      </c>
      <c r="W22" s="48">
        <f t="shared" si="0"/>
        <v>0.14328365919265992</v>
      </c>
      <c r="X22" s="48">
        <f t="shared" si="1"/>
        <v>0.17134328564183404</v>
      </c>
      <c r="Y22" s="48">
        <v>2.585784161395608E-2</v>
      </c>
      <c r="Z22" s="45" t="s">
        <v>58</v>
      </c>
      <c r="AA22" s="45">
        <f>(73.17+73.27)/2</f>
        <v>73.22</v>
      </c>
      <c r="AB22" s="45">
        <f>(11.29+11.32)/2</f>
        <v>11.305</v>
      </c>
      <c r="AC22" s="45">
        <f>(4.49+4.6)/2</f>
        <v>4.5449999999999999</v>
      </c>
      <c r="AD22" s="45">
        <f>(79.67+79.78)/2</f>
        <v>79.724999999999994</v>
      </c>
      <c r="AE22" s="45">
        <f>(13.79+13.82)/2</f>
        <v>13.805</v>
      </c>
      <c r="AF22" s="45">
        <f>(2.4+2.46)/2</f>
        <v>2.4299999999999997</v>
      </c>
      <c r="AG22" s="48">
        <f t="shared" si="2"/>
        <v>5.5786875777067486E-2</v>
      </c>
      <c r="AH22" s="48">
        <f t="shared" si="3"/>
        <v>6.6786748815663557E-2</v>
      </c>
      <c r="AI22" s="48">
        <f t="shared" si="4"/>
        <v>1.1177851192048048E-2</v>
      </c>
      <c r="AJ22" s="48">
        <f t="shared" si="5"/>
        <v>0.26162667147348029</v>
      </c>
      <c r="AK22" s="48">
        <f t="shared" si="5"/>
        <v>0.27927961502983112</v>
      </c>
      <c r="AL22" s="48">
        <f t="shared" si="5"/>
        <v>0.10675807066076055</v>
      </c>
      <c r="AM22" s="56">
        <f t="shared" si="6"/>
        <v>0.31741354725054777</v>
      </c>
      <c r="AN22" s="56">
        <f t="shared" si="7"/>
        <v>0.34606636384549466</v>
      </c>
      <c r="AO22" s="57">
        <f t="shared" si="7"/>
        <v>0.1179359218528086</v>
      </c>
      <c r="AP22" s="59">
        <f t="shared" si="8"/>
        <v>0.74285275883838375</v>
      </c>
      <c r="AQ22" s="59">
        <f t="shared" si="9"/>
        <v>0.11714406565656567</v>
      </c>
      <c r="AR22" s="59">
        <f t="shared" si="10"/>
        <v>4.1986420454545446E-2</v>
      </c>
    </row>
    <row r="23" spans="1:44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15"/>
      <c r="AQ23" s="15"/>
      <c r="AR23" s="15"/>
    </row>
    <row r="24" spans="1:4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4"/>
      <c r="AF24" s="24"/>
      <c r="AG24" s="24"/>
      <c r="AH24" s="11"/>
      <c r="AI24" s="11"/>
      <c r="AJ24" s="11"/>
      <c r="AK24" s="11"/>
      <c r="AL24" s="11"/>
      <c r="AM24" s="11"/>
      <c r="AN24" s="11"/>
      <c r="AO24" s="11"/>
      <c r="AP24" s="15"/>
      <c r="AQ24" s="15"/>
      <c r="AR24" s="15"/>
    </row>
    <row r="25" spans="1:44" ht="16.5" thickBot="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9"/>
      <c r="AF25" s="29"/>
      <c r="AG25" s="29"/>
      <c r="AH25" s="30"/>
      <c r="AI25" s="28"/>
      <c r="AJ25" s="28"/>
      <c r="AK25" s="28"/>
      <c r="AL25" s="28"/>
      <c r="AM25" s="28"/>
      <c r="AN25" s="28"/>
      <c r="AO25" s="28"/>
      <c r="AP25" s="15"/>
      <c r="AQ25" s="15"/>
      <c r="AR25" s="15"/>
    </row>
    <row r="26" spans="1:44" x14ac:dyDescent="0.25">
      <c r="A26" s="35" t="s">
        <v>154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7"/>
      <c r="AP26" s="15"/>
      <c r="AQ26" s="15"/>
      <c r="AR26" s="15"/>
    </row>
    <row r="27" spans="1:44" x14ac:dyDescent="0.25">
      <c r="A27" s="3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3"/>
      <c r="AP27" s="15"/>
      <c r="AQ27" s="15"/>
      <c r="AR27" s="15"/>
    </row>
    <row r="28" spans="1:44" x14ac:dyDescent="0.25">
      <c r="A28" s="38" t="str">
        <f>A16</f>
        <v>cHTL11</v>
      </c>
      <c r="B28" s="19"/>
      <c r="C28" s="20">
        <f>C16</f>
        <v>4.556218938661151E-2</v>
      </c>
      <c r="D28" s="11"/>
      <c r="E28" s="11"/>
      <c r="F28" s="11">
        <f t="shared" ref="F28:X28" si="11">F16</f>
        <v>972</v>
      </c>
      <c r="G28" s="23">
        <f t="shared" si="11"/>
        <v>6.9333333333333345</v>
      </c>
      <c r="H28" s="25">
        <f>H16</f>
        <v>302.08888888888885</v>
      </c>
      <c r="I28" s="23">
        <f t="shared" si="11"/>
        <v>247.61111111111111</v>
      </c>
      <c r="J28" s="23">
        <f t="shared" si="11"/>
        <v>104.66666666666667</v>
      </c>
      <c r="K28" s="11">
        <f t="shared" si="11"/>
        <v>450</v>
      </c>
      <c r="L28" s="23">
        <f>46*(57-15.5)/57/G28</f>
        <v>4.8304655870445332</v>
      </c>
      <c r="M28" s="23">
        <f>N28-L28</f>
        <v>17.669534412955464</v>
      </c>
      <c r="N28" s="23">
        <f>156/G28</f>
        <v>22.499999999999996</v>
      </c>
      <c r="O28" s="23">
        <f>H28/L28</f>
        <v>62.53825504918224</v>
      </c>
      <c r="P28" s="21">
        <f t="shared" si="11"/>
        <v>0.29690798356922082</v>
      </c>
      <c r="Q28" s="21">
        <f t="shared" si="11"/>
        <v>0.19796773986225788</v>
      </c>
      <c r="R28" s="21">
        <f t="shared" si="11"/>
        <v>7.3363300526001915E-2</v>
      </c>
      <c r="S28" s="21">
        <f t="shared" si="11"/>
        <v>2.1564158818815609E-2</v>
      </c>
      <c r="T28" s="21">
        <f t="shared" si="11"/>
        <v>5.7895814881092265E-2</v>
      </c>
      <c r="U28" s="21">
        <f t="shared" si="11"/>
        <v>4.5273443384005435E-2</v>
      </c>
      <c r="V28" s="21">
        <f t="shared" si="11"/>
        <v>2.3709284565189984E-3</v>
      </c>
      <c r="W28" s="21">
        <f>X28-T28</f>
        <v>0.14257183118534197</v>
      </c>
      <c r="X28" s="21">
        <f t="shared" si="11"/>
        <v>0.20046764606643425</v>
      </c>
      <c r="Y28" s="21">
        <f>Y16</f>
        <v>1.7186380601086713E-2</v>
      </c>
      <c r="Z28" s="22">
        <f>1-X28-Q28-P28</f>
        <v>0.30465663050208697</v>
      </c>
      <c r="AA28" s="25">
        <f t="shared" ref="AA28:AF28" si="12">AA16</f>
        <v>70.754999999999995</v>
      </c>
      <c r="AB28" s="25">
        <f t="shared" si="12"/>
        <v>8.625</v>
      </c>
      <c r="AC28" s="25">
        <f t="shared" si="12"/>
        <v>5.9849999999999994</v>
      </c>
      <c r="AD28" s="25">
        <f t="shared" si="12"/>
        <v>68.23</v>
      </c>
      <c r="AE28" s="25">
        <f t="shared" si="12"/>
        <v>9.64</v>
      </c>
      <c r="AF28" s="25">
        <f t="shared" si="12"/>
        <v>2.4550000000000001</v>
      </c>
      <c r="AG28" s="21">
        <f t="shared" ref="AG28:AN28" si="13">AG16</f>
        <v>9.8509512452292405E-2</v>
      </c>
      <c r="AH28" s="21">
        <f t="shared" si="13"/>
        <v>9.6226837147194738E-2</v>
      </c>
      <c r="AI28" s="21">
        <f t="shared" si="13"/>
        <v>2.3300692710341235E-2</v>
      </c>
      <c r="AJ28" s="21">
        <f t="shared" si="13"/>
        <v>0.25156284078600677</v>
      </c>
      <c r="AK28" s="21">
        <f t="shared" si="13"/>
        <v>0.21201414551268527</v>
      </c>
      <c r="AL28" s="21">
        <f t="shared" si="13"/>
        <v>0.13988400158102815</v>
      </c>
      <c r="AM28" s="21">
        <f t="shared" si="13"/>
        <v>0.35007235323829916</v>
      </c>
      <c r="AN28" s="21">
        <f t="shared" si="13"/>
        <v>0.30824098265987998</v>
      </c>
      <c r="AO28" s="39">
        <f>AO16</f>
        <v>0.16318469429136939</v>
      </c>
      <c r="AP28" s="21">
        <f t="shared" ref="AP28:AR28" si="14">AP16</f>
        <v>0.70025770443793645</v>
      </c>
      <c r="AQ28" s="21">
        <f t="shared" si="14"/>
        <v>8.9181358414057221E-2</v>
      </c>
      <c r="AR28" s="21">
        <f t="shared" si="14"/>
        <v>4.9655226402342871E-2</v>
      </c>
    </row>
    <row r="29" spans="1:44" x14ac:dyDescent="0.25">
      <c r="A29" s="38" t="str">
        <f>A21</f>
        <v>cHTL16</v>
      </c>
      <c r="B29" s="19"/>
      <c r="C29" s="20">
        <f>C21</f>
        <v>4.5024964336662136E-2</v>
      </c>
      <c r="D29" s="11"/>
      <c r="E29" s="11"/>
      <c r="F29" s="11">
        <f t="shared" ref="F29:X30" si="15">F21</f>
        <v>999</v>
      </c>
      <c r="G29" s="23">
        <f t="shared" si="15"/>
        <v>6.8833333333333329</v>
      </c>
      <c r="H29" s="25">
        <f t="shared" si="15"/>
        <v>319.62</v>
      </c>
      <c r="I29" s="23">
        <f t="shared" si="15"/>
        <v>262.01</v>
      </c>
      <c r="J29" s="23">
        <f t="shared" si="15"/>
        <v>114.92000000000003</v>
      </c>
      <c r="K29" s="11">
        <f t="shared" si="15"/>
        <v>470</v>
      </c>
      <c r="L29" s="23">
        <f>46*(57-15.5)/57/G29</f>
        <v>4.8655537147954639</v>
      </c>
      <c r="M29" s="23">
        <f>N29-L29</f>
        <v>17.797884541863134</v>
      </c>
      <c r="N29" s="23">
        <f>156/G29</f>
        <v>22.663438256658598</v>
      </c>
      <c r="O29" s="23">
        <f>H29/L29</f>
        <v>65.690365112624406</v>
      </c>
      <c r="P29" s="21">
        <f t="shared" si="15"/>
        <v>0.35211252440559204</v>
      </c>
      <c r="Q29" s="21">
        <f t="shared" si="15"/>
        <v>0.20850967068487092</v>
      </c>
      <c r="R29" s="21">
        <f t="shared" si="15"/>
        <v>8.9284246622859997E-2</v>
      </c>
      <c r="S29" s="21">
        <f t="shared" si="15"/>
        <v>2.1565169129525431E-2</v>
      </c>
      <c r="T29" s="21">
        <f t="shared" si="15"/>
        <v>4.2618999197216838E-2</v>
      </c>
      <c r="U29" s="21">
        <f t="shared" si="15"/>
        <v>6.2538990475623793E-2</v>
      </c>
      <c r="V29" s="21">
        <f t="shared" si="15"/>
        <v>2.4233025104312502E-3</v>
      </c>
      <c r="W29" s="21">
        <f>X29-T29</f>
        <v>0.17581170873844046</v>
      </c>
      <c r="X29" s="21">
        <f t="shared" si="15"/>
        <v>0.2184307079356573</v>
      </c>
      <c r="Y29" s="21">
        <f t="shared" ref="Y29" si="16">Y21</f>
        <v>2.613327785540211E-2</v>
      </c>
      <c r="Z29" s="22">
        <f t="shared" ref="Z29:Z32" si="17">1-X29-Q29-P29</f>
        <v>0.22094709697387971</v>
      </c>
      <c r="AA29" s="25">
        <f t="shared" ref="AA29:AF29" si="18">AA21</f>
        <v>73.84</v>
      </c>
      <c r="AB29" s="25">
        <f t="shared" si="18"/>
        <v>11.675000000000001</v>
      </c>
      <c r="AC29" s="25">
        <f t="shared" si="18"/>
        <v>4.37</v>
      </c>
      <c r="AD29" s="25">
        <f t="shared" si="18"/>
        <v>79.66</v>
      </c>
      <c r="AE29" s="25">
        <f t="shared" si="18"/>
        <v>13.925000000000001</v>
      </c>
      <c r="AF29" s="25">
        <f t="shared" si="18"/>
        <v>2.63</v>
      </c>
      <c r="AG29" s="21">
        <f t="shared" ref="AG29:AO29" si="19">AG21</f>
        <v>8.4664076709483616E-2</v>
      </c>
      <c r="AH29" s="21">
        <f t="shared" si="19"/>
        <v>0.10232233858986975</v>
      </c>
      <c r="AI29" s="21">
        <f t="shared" si="19"/>
        <v>1.8375076703062342E-2</v>
      </c>
      <c r="AJ29" s="21">
        <f t="shared" si="19"/>
        <v>0.32373906666449981</v>
      </c>
      <c r="AK29" s="21">
        <f t="shared" si="19"/>
        <v>0.35389684474505045</v>
      </c>
      <c r="AL29" s="21">
        <f t="shared" si="19"/>
        <v>0.1259503552765549</v>
      </c>
      <c r="AM29" s="21">
        <f t="shared" si="19"/>
        <v>0.40840314337398342</v>
      </c>
      <c r="AN29" s="21">
        <f t="shared" si="19"/>
        <v>0.45621918333492018</v>
      </c>
      <c r="AO29" s="39">
        <f t="shared" si="19"/>
        <v>0.14432543197961725</v>
      </c>
      <c r="AP29" s="21">
        <f t="shared" ref="AP29:AR29" si="20">AP21</f>
        <v>0.74975566412213734</v>
      </c>
      <c r="AQ29" s="21">
        <f t="shared" si="20"/>
        <v>0.12114007633587788</v>
      </c>
      <c r="AR29" s="21">
        <f t="shared" si="20"/>
        <v>4.0305007633587776E-2</v>
      </c>
    </row>
    <row r="30" spans="1:44" x14ac:dyDescent="0.25">
      <c r="A30" s="38" t="str">
        <f>A22</f>
        <v>cHTL17</v>
      </c>
      <c r="B30" s="19"/>
      <c r="C30" s="20">
        <f>C22</f>
        <v>4.6831809483308541E-2</v>
      </c>
      <c r="D30" s="11"/>
      <c r="E30" s="11"/>
      <c r="F30" s="11">
        <f t="shared" si="15"/>
        <v>987</v>
      </c>
      <c r="G30" s="23">
        <f t="shared" si="15"/>
        <v>6.8267816091954003</v>
      </c>
      <c r="H30" s="25">
        <f t="shared" si="15"/>
        <v>320.81</v>
      </c>
      <c r="I30" s="23">
        <f t="shared" si="15"/>
        <v>272.12</v>
      </c>
      <c r="J30" s="23">
        <f t="shared" si="15"/>
        <v>119.68888888888887</v>
      </c>
      <c r="K30" s="11" t="str">
        <f t="shared" si="15"/>
        <v>465 - 510</v>
      </c>
      <c r="L30" s="23">
        <f>46*(57-15.5)/57/G30</f>
        <v>4.9058590104983146</v>
      </c>
      <c r="M30" s="23">
        <f>N30-L30</f>
        <v>17.94531873772118</v>
      </c>
      <c r="N30" s="23">
        <f>156/G30</f>
        <v>22.851177748219495</v>
      </c>
      <c r="O30" s="23">
        <f>H30/L30</f>
        <v>65.393236803887191</v>
      </c>
      <c r="P30" s="21">
        <f t="shared" si="15"/>
        <v>0.25980574713040233</v>
      </c>
      <c r="Q30" s="21">
        <f t="shared" si="15"/>
        <v>0.15217550525923884</v>
      </c>
      <c r="R30" s="21">
        <f t="shared" si="15"/>
        <v>7.4248757111461436E-2</v>
      </c>
      <c r="S30" s="21">
        <f t="shared" si="15"/>
        <v>9.2161918792198327E-3</v>
      </c>
      <c r="T30" s="21">
        <f t="shared" si="15"/>
        <v>2.8059626449174115E-2</v>
      </c>
      <c r="U30" s="21">
        <f t="shared" si="15"/>
        <v>5.7958164423544623E-2</v>
      </c>
      <c r="V30" s="21">
        <f t="shared" si="15"/>
        <v>1.8605457784340257E-3</v>
      </c>
      <c r="W30" s="21">
        <f>X30-T30</f>
        <v>0.14328365919265992</v>
      </c>
      <c r="X30" s="21">
        <f t="shared" si="15"/>
        <v>0.17134328564183404</v>
      </c>
      <c r="Y30" s="21">
        <f t="shared" ref="Y30" si="21">Y22</f>
        <v>2.585784161395608E-2</v>
      </c>
      <c r="Z30" s="22">
        <f t="shared" si="17"/>
        <v>0.41667546196852484</v>
      </c>
      <c r="AA30" s="25">
        <f t="shared" ref="AA30:AF30" si="22">AA22</f>
        <v>73.22</v>
      </c>
      <c r="AB30" s="25">
        <f t="shared" si="22"/>
        <v>11.305</v>
      </c>
      <c r="AC30" s="25">
        <f t="shared" si="22"/>
        <v>4.5449999999999999</v>
      </c>
      <c r="AD30" s="25">
        <f t="shared" si="22"/>
        <v>79.724999999999994</v>
      </c>
      <c r="AE30" s="25">
        <f t="shared" si="22"/>
        <v>13.805</v>
      </c>
      <c r="AF30" s="25">
        <f t="shared" si="22"/>
        <v>2.4299999999999997</v>
      </c>
      <c r="AG30" s="21"/>
      <c r="AH30" s="21"/>
      <c r="AI30" s="21"/>
      <c r="AJ30" s="21"/>
      <c r="AK30" s="21"/>
      <c r="AL30" s="21"/>
      <c r="AM30" s="21"/>
      <c r="AN30" s="21"/>
      <c r="AO30" s="39"/>
      <c r="AP30" s="21"/>
      <c r="AQ30" s="21"/>
      <c r="AR30" s="21"/>
    </row>
    <row r="31" spans="1:44" x14ac:dyDescent="0.25">
      <c r="A31" s="38" t="str">
        <f>A17</f>
        <v>cHTL12</v>
      </c>
      <c r="B31" s="19"/>
      <c r="C31" s="20">
        <f>C17</f>
        <v>5.0576672799892239E-2</v>
      </c>
      <c r="D31" s="11"/>
      <c r="E31" s="11"/>
      <c r="F31" s="11">
        <f t="shared" ref="F31:X32" si="23">F17</f>
        <v>965</v>
      </c>
      <c r="G31" s="23">
        <f t="shared" si="23"/>
        <v>6.8979761904761885</v>
      </c>
      <c r="H31" s="25">
        <f t="shared" si="23"/>
        <v>328.44</v>
      </c>
      <c r="I31" s="23">
        <f t="shared" si="23"/>
        <v>264.00999999999993</v>
      </c>
      <c r="J31" s="23">
        <f t="shared" si="23"/>
        <v>114.58000000000001</v>
      </c>
      <c r="K31" s="11">
        <f t="shared" si="23"/>
        <v>475</v>
      </c>
      <c r="L31" s="23">
        <f>46*(57-15.5)/57/G31</f>
        <v>4.8552252349632186</v>
      </c>
      <c r="M31" s="23">
        <f>N31-L31</f>
        <v>17.760103622707259</v>
      </c>
      <c r="N31" s="23">
        <f>156/G31</f>
        <v>22.615328857670477</v>
      </c>
      <c r="O31" s="23">
        <f>H31/L31</f>
        <v>67.646707228915645</v>
      </c>
      <c r="P31" s="21">
        <f t="shared" si="23"/>
        <v>0.26285439081241896</v>
      </c>
      <c r="Q31" s="21">
        <f t="shared" si="23"/>
        <v>0.15518980874545252</v>
      </c>
      <c r="R31" s="21">
        <f t="shared" si="23"/>
        <v>8.1771913144622732E-2</v>
      </c>
      <c r="S31" s="21">
        <f t="shared" si="23"/>
        <v>2.0284187926127864E-2</v>
      </c>
      <c r="T31" s="21">
        <f t="shared" si="23"/>
        <v>4.5219396720165943E-2</v>
      </c>
      <c r="U31" s="21">
        <f t="shared" si="23"/>
        <v>4.5997981711269773E-2</v>
      </c>
      <c r="V31" s="21">
        <f t="shared" si="23"/>
        <v>2.4382003668779952E-3</v>
      </c>
      <c r="W31" s="21">
        <f>X31-T31</f>
        <v>0.15049228314889837</v>
      </c>
      <c r="X31" s="21">
        <f t="shared" si="23"/>
        <v>0.19571167986906432</v>
      </c>
      <c r="Y31" s="21">
        <f t="shared" ref="Y31" si="24">Y17</f>
        <v>2.8298347681989858E-2</v>
      </c>
      <c r="Z31" s="22">
        <f t="shared" si="17"/>
        <v>0.38624412057306418</v>
      </c>
      <c r="AA31" s="25">
        <f t="shared" ref="AA31:AF31" si="25">AA17</f>
        <v>76.705000000000013</v>
      </c>
      <c r="AB31" s="25">
        <f t="shared" si="25"/>
        <v>10.95</v>
      </c>
      <c r="AC31" s="25">
        <f t="shared" si="25"/>
        <v>4.3900000000000006</v>
      </c>
      <c r="AD31" s="25">
        <f t="shared" si="25"/>
        <v>79.239999999999995</v>
      </c>
      <c r="AE31" s="25">
        <f t="shared" si="25"/>
        <v>10.695</v>
      </c>
      <c r="AF31" s="25">
        <f t="shared" si="25"/>
        <v>3.51</v>
      </c>
      <c r="AG31" s="21">
        <f t="shared" ref="AG31:AO31" si="26">AG17</f>
        <v>8.9356234316856575E-2</v>
      </c>
      <c r="AH31" s="21">
        <f t="shared" si="26"/>
        <v>8.3383008262443922E-2</v>
      </c>
      <c r="AI31" s="21">
        <f t="shared" si="26"/>
        <v>2.6019685653734827E-2</v>
      </c>
      <c r="AJ31" s="21">
        <f t="shared" si="26"/>
        <v>0.28786809423781173</v>
      </c>
      <c r="AK31" s="21">
        <f t="shared" si="26"/>
        <v>0.28411905180697189</v>
      </c>
      <c r="AL31" s="21">
        <f t="shared" si="26"/>
        <v>0.10830510213502689</v>
      </c>
      <c r="AM31" s="21">
        <f t="shared" si="26"/>
        <v>0.37722432855466831</v>
      </c>
      <c r="AN31" s="21">
        <f t="shared" si="26"/>
        <v>0.36750206006941583</v>
      </c>
      <c r="AO31" s="39">
        <f t="shared" si="26"/>
        <v>0.13432478778876172</v>
      </c>
      <c r="AP31" s="21">
        <f t="shared" ref="AP31:AR31" si="27">AP17</f>
        <v>0.77290714510050251</v>
      </c>
      <c r="AQ31" s="21">
        <f t="shared" si="27"/>
        <v>0.10891081972361807</v>
      </c>
      <c r="AR31" s="21">
        <f t="shared" si="27"/>
        <v>4.1866750418760479E-2</v>
      </c>
    </row>
    <row r="32" spans="1:44" x14ac:dyDescent="0.25">
      <c r="A32" s="38" t="str">
        <f>A18</f>
        <v>cHTL13</v>
      </c>
      <c r="B32" s="19"/>
      <c r="C32" s="20">
        <f>C18</f>
        <v>4.7091235263967149E-2</v>
      </c>
      <c r="D32" s="11"/>
      <c r="E32" s="11"/>
      <c r="F32" s="11">
        <f t="shared" si="23"/>
        <v>976</v>
      </c>
      <c r="G32" s="23">
        <f t="shared" si="23"/>
        <v>6.5066666666666659</v>
      </c>
      <c r="H32" s="25">
        <f t="shared" si="23"/>
        <v>344.21000000000004</v>
      </c>
      <c r="I32" s="23">
        <f t="shared" si="23"/>
        <v>298.54000000000002</v>
      </c>
      <c r="J32" s="23">
        <f t="shared" si="23"/>
        <v>125.88</v>
      </c>
      <c r="K32" s="11">
        <f t="shared" si="23"/>
        <v>500</v>
      </c>
      <c r="L32" s="23">
        <f>46*(57-15.5)/57/G32</f>
        <v>5.1472174288179469</v>
      </c>
      <c r="M32" s="23">
        <f>N32-L32</f>
        <v>18.828192407247631</v>
      </c>
      <c r="N32" s="23">
        <f>156/G32</f>
        <v>23.975409836065577</v>
      </c>
      <c r="O32" s="23">
        <f>H32/L32</f>
        <v>66.873025039287583</v>
      </c>
      <c r="P32" s="21">
        <f t="shared" si="23"/>
        <v>0.28241307014609146</v>
      </c>
      <c r="Q32" s="21">
        <f t="shared" si="23"/>
        <v>0.13416548102498016</v>
      </c>
      <c r="R32" s="21">
        <f t="shared" si="23"/>
        <v>0.10317432809189261</v>
      </c>
      <c r="S32" s="21">
        <f t="shared" si="23"/>
        <v>1.4055380840860965E-2</v>
      </c>
      <c r="T32" s="21">
        <f t="shared" si="23"/>
        <v>5.1630679156908742E-2</v>
      </c>
      <c r="U32" s="21">
        <f t="shared" si="23"/>
        <v>4.2340202966432545E-2</v>
      </c>
      <c r="V32" s="21">
        <f t="shared" si="23"/>
        <v>2.0452102152336625E-3</v>
      </c>
      <c r="W32" s="21">
        <f>X32-T32</f>
        <v>0.16161512211441978</v>
      </c>
      <c r="X32" s="21">
        <f t="shared" si="23"/>
        <v>0.21324580127132853</v>
      </c>
      <c r="Y32" s="21">
        <f t="shared" ref="Y32" si="28">Y18</f>
        <v>3.0434151585553085E-2</v>
      </c>
      <c r="Z32" s="22">
        <f t="shared" si="17"/>
        <v>0.37017564755759985</v>
      </c>
      <c r="AA32" s="25">
        <f t="shared" ref="AA32:AF32" si="29">AA18</f>
        <v>76.85499999999999</v>
      </c>
      <c r="AB32" s="25">
        <f t="shared" si="29"/>
        <v>9.94</v>
      </c>
      <c r="AC32" s="25">
        <f t="shared" si="29"/>
        <v>3.355</v>
      </c>
      <c r="AD32" s="25">
        <f t="shared" si="29"/>
        <v>79.995000000000005</v>
      </c>
      <c r="AE32" s="25">
        <f t="shared" si="29"/>
        <v>11.295</v>
      </c>
      <c r="AF32" s="25">
        <f t="shared" si="29"/>
        <v>3.3449999999999998</v>
      </c>
      <c r="AG32" s="21">
        <f t="shared" ref="AG32:AO32" si="30">AG18</f>
        <v>0.10299741095154401</v>
      </c>
      <c r="AH32" s="21">
        <f t="shared" si="30"/>
        <v>0.10054629673746281</v>
      </c>
      <c r="AI32" s="21">
        <f t="shared" si="30"/>
        <v>2.8312233078665532E-2</v>
      </c>
      <c r="AJ32" s="21">
        <f t="shared" si="30"/>
        <v>0.30974888304498077</v>
      </c>
      <c r="AK32" s="21">
        <f t="shared" si="30"/>
        <v>0.27697488169264356</v>
      </c>
      <c r="AL32" s="21">
        <f t="shared" si="30"/>
        <v>8.8888317162930885E-2</v>
      </c>
      <c r="AM32" s="21">
        <f t="shared" si="30"/>
        <v>0.41274629399652479</v>
      </c>
      <c r="AN32" s="21">
        <f t="shared" si="30"/>
        <v>0.37752117843010635</v>
      </c>
      <c r="AO32" s="39">
        <f t="shared" si="30"/>
        <v>0.11720055024159642</v>
      </c>
      <c r="AP32" s="21">
        <f t="shared" ref="AP32:AR32" si="31">AP18</f>
        <v>0.77615250994796436</v>
      </c>
      <c r="AQ32" s="21">
        <f t="shared" si="31"/>
        <v>0.10268070094888276</v>
      </c>
      <c r="AR32" s="21">
        <f t="shared" si="31"/>
        <v>3.3525788184879092E-2</v>
      </c>
    </row>
    <row r="33" spans="1:44" x14ac:dyDescent="0.25">
      <c r="A33" s="38"/>
      <c r="B33" s="11"/>
      <c r="C33" s="11"/>
      <c r="D33" s="11"/>
      <c r="E33" s="11"/>
      <c r="F33" s="11"/>
      <c r="G33" s="23"/>
      <c r="H33" s="23"/>
      <c r="I33" s="23"/>
      <c r="J33" s="23"/>
      <c r="K33" s="11"/>
      <c r="L33" s="23"/>
      <c r="M33" s="23"/>
      <c r="N33" s="23"/>
      <c r="O33" s="23"/>
      <c r="P33" s="22"/>
      <c r="Q33" s="22"/>
      <c r="R33" s="22"/>
      <c r="S33" s="22"/>
      <c r="T33" s="22"/>
      <c r="U33" s="22"/>
      <c r="V33" s="22"/>
      <c r="W33" s="21"/>
      <c r="X33" s="22"/>
      <c r="Y33" s="22"/>
      <c r="Z33" s="11"/>
      <c r="AA33" s="23"/>
      <c r="AB33" s="23"/>
      <c r="AC33" s="23"/>
      <c r="AD33" s="23"/>
      <c r="AE33" s="23"/>
      <c r="AF33" s="23"/>
      <c r="AG33" s="22"/>
      <c r="AH33" s="22"/>
      <c r="AI33" s="22"/>
      <c r="AJ33" s="22"/>
      <c r="AK33" s="22"/>
      <c r="AL33" s="22"/>
      <c r="AM33" s="22"/>
      <c r="AN33" s="22"/>
      <c r="AO33" s="40"/>
      <c r="AP33" s="22"/>
      <c r="AQ33" s="22"/>
      <c r="AR33" s="22"/>
    </row>
    <row r="34" spans="1:44" x14ac:dyDescent="0.25">
      <c r="A34" s="41" t="s">
        <v>59</v>
      </c>
      <c r="B34" s="11">
        <v>300</v>
      </c>
      <c r="C34" s="20">
        <f>C28</f>
        <v>4.556218938661151E-2</v>
      </c>
      <c r="D34" s="11"/>
      <c r="E34" s="11"/>
      <c r="F34" s="11">
        <f t="shared" ref="F34:L34" si="32">F28</f>
        <v>972</v>
      </c>
      <c r="G34" s="23">
        <f t="shared" si="32"/>
        <v>6.9333333333333345</v>
      </c>
      <c r="H34" s="25">
        <f t="shared" si="32"/>
        <v>302.08888888888885</v>
      </c>
      <c r="I34" s="23">
        <f t="shared" si="32"/>
        <v>247.61111111111111</v>
      </c>
      <c r="J34" s="23">
        <f t="shared" si="32"/>
        <v>104.66666666666667</v>
      </c>
      <c r="K34" s="11">
        <f t="shared" si="32"/>
        <v>450</v>
      </c>
      <c r="L34" s="23">
        <f t="shared" si="32"/>
        <v>4.8304655870445332</v>
      </c>
      <c r="M34" s="23">
        <f>N34-L34</f>
        <v>17.669534412955464</v>
      </c>
      <c r="N34" s="23">
        <f>N28</f>
        <v>22.499999999999996</v>
      </c>
      <c r="O34" s="23">
        <f t="shared" ref="O34:O39" si="33">H34/L34</f>
        <v>62.53825504918224</v>
      </c>
      <c r="P34" s="21">
        <f t="shared" ref="P34:Y34" si="34">P28</f>
        <v>0.29690798356922082</v>
      </c>
      <c r="Q34" s="21">
        <f t="shared" si="34"/>
        <v>0.19796773986225788</v>
      </c>
      <c r="R34" s="21">
        <f t="shared" si="34"/>
        <v>7.3363300526001915E-2</v>
      </c>
      <c r="S34" s="21">
        <f t="shared" si="34"/>
        <v>2.1564158818815609E-2</v>
      </c>
      <c r="T34" s="21">
        <f t="shared" si="34"/>
        <v>5.7895814881092265E-2</v>
      </c>
      <c r="U34" s="21">
        <f t="shared" si="34"/>
        <v>4.5273443384005435E-2</v>
      </c>
      <c r="V34" s="21">
        <f t="shared" si="34"/>
        <v>2.3709284565189984E-3</v>
      </c>
      <c r="W34" s="21">
        <f t="shared" si="34"/>
        <v>0.14257183118534197</v>
      </c>
      <c r="X34" s="21">
        <f t="shared" si="34"/>
        <v>0.20046764606643425</v>
      </c>
      <c r="Y34" s="21">
        <f t="shared" si="34"/>
        <v>1.7186380601086713E-2</v>
      </c>
      <c r="Z34" s="21">
        <f t="shared" ref="Z34:AF34" si="35">Z28</f>
        <v>0.30465663050208697</v>
      </c>
      <c r="AA34" s="25">
        <f t="shared" si="35"/>
        <v>70.754999999999995</v>
      </c>
      <c r="AB34" s="25">
        <f t="shared" si="35"/>
        <v>8.625</v>
      </c>
      <c r="AC34" s="25">
        <f t="shared" si="35"/>
        <v>5.9849999999999994</v>
      </c>
      <c r="AD34" s="25">
        <f t="shared" si="35"/>
        <v>68.23</v>
      </c>
      <c r="AE34" s="25">
        <f t="shared" si="35"/>
        <v>9.64</v>
      </c>
      <c r="AF34" s="25">
        <f t="shared" si="35"/>
        <v>2.4550000000000001</v>
      </c>
      <c r="AG34" s="21">
        <f t="shared" ref="AG34:AO34" si="36">AG28</f>
        <v>9.8509512452292405E-2</v>
      </c>
      <c r="AH34" s="21">
        <f t="shared" si="36"/>
        <v>9.6226837147194738E-2</v>
      </c>
      <c r="AI34" s="21">
        <f t="shared" si="36"/>
        <v>2.3300692710341235E-2</v>
      </c>
      <c r="AJ34" s="21">
        <f t="shared" si="36"/>
        <v>0.25156284078600677</v>
      </c>
      <c r="AK34" s="21">
        <f t="shared" si="36"/>
        <v>0.21201414551268527</v>
      </c>
      <c r="AL34" s="21">
        <f t="shared" si="36"/>
        <v>0.13988400158102815</v>
      </c>
      <c r="AM34" s="21">
        <f t="shared" si="36"/>
        <v>0.35007235323829916</v>
      </c>
      <c r="AN34" s="21">
        <f t="shared" si="36"/>
        <v>0.30824098265987998</v>
      </c>
      <c r="AO34" s="39">
        <f t="shared" si="36"/>
        <v>0.16318469429136939</v>
      </c>
      <c r="AP34" s="21">
        <f t="shared" ref="AP34:AR34" si="37">AP28</f>
        <v>0.70025770443793645</v>
      </c>
      <c r="AQ34" s="21">
        <f t="shared" si="37"/>
        <v>8.9181358414057221E-2</v>
      </c>
      <c r="AR34" s="21">
        <f t="shared" si="37"/>
        <v>4.9655226402342871E-2</v>
      </c>
    </row>
    <row r="35" spans="1:44" x14ac:dyDescent="0.25">
      <c r="A35" s="38"/>
      <c r="B35" s="11">
        <v>320</v>
      </c>
      <c r="C35" s="20">
        <f>AVERAGE(C29:C30)</f>
        <v>4.5928386909985339E-2</v>
      </c>
      <c r="D35" s="11"/>
      <c r="E35" s="11"/>
      <c r="F35" s="11">
        <f t="shared" ref="F35:L35" si="38">AVERAGE(F29:F30)</f>
        <v>993</v>
      </c>
      <c r="G35" s="23">
        <f t="shared" si="38"/>
        <v>6.8550574712643666</v>
      </c>
      <c r="H35" s="25">
        <f>AVERAGE(H29:H30)</f>
        <v>320.21500000000003</v>
      </c>
      <c r="I35" s="23">
        <f t="shared" si="38"/>
        <v>267.065</v>
      </c>
      <c r="J35" s="23">
        <f t="shared" si="38"/>
        <v>117.30444444444444</v>
      </c>
      <c r="K35" s="11">
        <f t="shared" si="38"/>
        <v>470</v>
      </c>
      <c r="L35" s="23">
        <f t="shared" si="38"/>
        <v>4.8857063626468893</v>
      </c>
      <c r="M35" s="23">
        <f t="shared" ref="M35:M39" si="39">N35-L35</f>
        <v>17.871601639792157</v>
      </c>
      <c r="N35" s="23">
        <f>AVERAGE(N29:N30)</f>
        <v>22.757308002439046</v>
      </c>
      <c r="O35" s="23">
        <f t="shared" si="33"/>
        <v>65.54118815820928</v>
      </c>
      <c r="P35" s="21">
        <f t="shared" ref="P35:Y35" si="40">AVERAGE(P29:P30)</f>
        <v>0.30595913576799716</v>
      </c>
      <c r="Q35" s="21">
        <f t="shared" si="40"/>
        <v>0.18034258797205488</v>
      </c>
      <c r="R35" s="21">
        <f t="shared" si="40"/>
        <v>8.1766501867160724E-2</v>
      </c>
      <c r="S35" s="21">
        <f t="shared" si="40"/>
        <v>1.5390680504372631E-2</v>
      </c>
      <c r="T35" s="21">
        <f t="shared" si="40"/>
        <v>3.5339312823195475E-2</v>
      </c>
      <c r="U35" s="21">
        <f t="shared" si="40"/>
        <v>6.0248577449584208E-2</v>
      </c>
      <c r="V35" s="21">
        <f t="shared" si="40"/>
        <v>2.1419241444326381E-3</v>
      </c>
      <c r="W35" s="21">
        <f t="shared" si="40"/>
        <v>0.15954768396555019</v>
      </c>
      <c r="X35" s="21">
        <f t="shared" si="40"/>
        <v>0.19488699678874566</v>
      </c>
      <c r="Y35" s="21">
        <f t="shared" si="40"/>
        <v>2.5995559734679097E-2</v>
      </c>
      <c r="Z35" s="21">
        <f t="shared" ref="Z35" si="41">AVERAGE(Z29:Z30)</f>
        <v>0.31881127947120225</v>
      </c>
      <c r="AA35" s="25">
        <f t="shared" ref="AA35:AF35" si="42">AVERAGE(AA29:AA30)</f>
        <v>73.53</v>
      </c>
      <c r="AB35" s="25">
        <f t="shared" si="42"/>
        <v>11.49</v>
      </c>
      <c r="AC35" s="25">
        <f t="shared" si="42"/>
        <v>4.4574999999999996</v>
      </c>
      <c r="AD35" s="25">
        <f t="shared" si="42"/>
        <v>79.692499999999995</v>
      </c>
      <c r="AE35" s="25">
        <f t="shared" si="42"/>
        <v>13.865</v>
      </c>
      <c r="AF35" s="25">
        <f t="shared" si="42"/>
        <v>2.5299999999999998</v>
      </c>
      <c r="AG35" s="21">
        <f t="shared" ref="AG35:AO35" si="43">AVERAGE(AG29:AG30)</f>
        <v>8.4664076709483616E-2</v>
      </c>
      <c r="AH35" s="21">
        <f t="shared" si="43"/>
        <v>0.10232233858986975</v>
      </c>
      <c r="AI35" s="21">
        <f t="shared" si="43"/>
        <v>1.8375076703062342E-2</v>
      </c>
      <c r="AJ35" s="21">
        <f t="shared" si="43"/>
        <v>0.32373906666449981</v>
      </c>
      <c r="AK35" s="21">
        <f t="shared" si="43"/>
        <v>0.35389684474505045</v>
      </c>
      <c r="AL35" s="21">
        <f t="shared" si="43"/>
        <v>0.1259503552765549</v>
      </c>
      <c r="AM35" s="21">
        <f t="shared" si="43"/>
        <v>0.40840314337398342</v>
      </c>
      <c r="AN35" s="21">
        <f t="shared" si="43"/>
        <v>0.45621918333492018</v>
      </c>
      <c r="AO35" s="39">
        <f t="shared" si="43"/>
        <v>0.14432543197961725</v>
      </c>
      <c r="AP35" s="21">
        <f t="shared" ref="AP35:AR35" si="44">AVERAGE(AP29:AP30)</f>
        <v>0.74975566412213734</v>
      </c>
      <c r="AQ35" s="21">
        <f t="shared" si="44"/>
        <v>0.12114007633587788</v>
      </c>
      <c r="AR35" s="21">
        <f t="shared" si="44"/>
        <v>4.0305007633587776E-2</v>
      </c>
    </row>
    <row r="36" spans="1:44" x14ac:dyDescent="0.25">
      <c r="A36" s="38"/>
      <c r="B36" s="11">
        <v>330</v>
      </c>
      <c r="C36" s="20">
        <f>C31</f>
        <v>5.0576672799892239E-2</v>
      </c>
      <c r="D36" s="11"/>
      <c r="E36" s="11"/>
      <c r="F36" s="11">
        <f t="shared" ref="F36:L37" si="45">F31</f>
        <v>965</v>
      </c>
      <c r="G36" s="23">
        <f t="shared" si="45"/>
        <v>6.8979761904761885</v>
      </c>
      <c r="H36" s="25">
        <f t="shared" si="45"/>
        <v>328.44</v>
      </c>
      <c r="I36" s="23">
        <f t="shared" si="45"/>
        <v>264.00999999999993</v>
      </c>
      <c r="J36" s="23">
        <f t="shared" si="45"/>
        <v>114.58000000000001</v>
      </c>
      <c r="K36" s="11">
        <f t="shared" si="45"/>
        <v>475</v>
      </c>
      <c r="L36" s="23">
        <f t="shared" si="45"/>
        <v>4.8552252349632186</v>
      </c>
      <c r="M36" s="23">
        <f t="shared" si="39"/>
        <v>17.760103622707259</v>
      </c>
      <c r="N36" s="23">
        <f>N31</f>
        <v>22.615328857670477</v>
      </c>
      <c r="O36" s="23">
        <f t="shared" si="33"/>
        <v>67.646707228915645</v>
      </c>
      <c r="P36" s="21">
        <f t="shared" ref="P36:Y36" si="46">P31</f>
        <v>0.26285439081241896</v>
      </c>
      <c r="Q36" s="21">
        <f t="shared" si="46"/>
        <v>0.15518980874545252</v>
      </c>
      <c r="R36" s="21">
        <f t="shared" si="46"/>
        <v>8.1771913144622732E-2</v>
      </c>
      <c r="S36" s="21">
        <f t="shared" si="46"/>
        <v>2.0284187926127864E-2</v>
      </c>
      <c r="T36" s="21">
        <f t="shared" si="46"/>
        <v>4.5219396720165943E-2</v>
      </c>
      <c r="U36" s="21">
        <f t="shared" si="46"/>
        <v>4.5997981711269773E-2</v>
      </c>
      <c r="V36" s="21">
        <f t="shared" si="46"/>
        <v>2.4382003668779952E-3</v>
      </c>
      <c r="W36" s="21">
        <f t="shared" si="46"/>
        <v>0.15049228314889837</v>
      </c>
      <c r="X36" s="21">
        <f t="shared" si="46"/>
        <v>0.19571167986906432</v>
      </c>
      <c r="Y36" s="21">
        <f t="shared" si="46"/>
        <v>2.8298347681989858E-2</v>
      </c>
      <c r="Z36" s="21">
        <f t="shared" ref="Z36:AF36" si="47">Z31</f>
        <v>0.38624412057306418</v>
      </c>
      <c r="AA36" s="25">
        <f t="shared" si="47"/>
        <v>76.705000000000013</v>
      </c>
      <c r="AB36" s="25">
        <f t="shared" si="47"/>
        <v>10.95</v>
      </c>
      <c r="AC36" s="25">
        <f t="shared" si="47"/>
        <v>4.3900000000000006</v>
      </c>
      <c r="AD36" s="25">
        <f t="shared" si="47"/>
        <v>79.239999999999995</v>
      </c>
      <c r="AE36" s="25">
        <f t="shared" si="47"/>
        <v>10.695</v>
      </c>
      <c r="AF36" s="25">
        <f t="shared" si="47"/>
        <v>3.51</v>
      </c>
      <c r="AG36" s="21">
        <f t="shared" ref="AG36:AO36" si="48">AG31</f>
        <v>8.9356234316856575E-2</v>
      </c>
      <c r="AH36" s="21">
        <f t="shared" si="48"/>
        <v>8.3383008262443922E-2</v>
      </c>
      <c r="AI36" s="21">
        <f t="shared" si="48"/>
        <v>2.6019685653734827E-2</v>
      </c>
      <c r="AJ36" s="21">
        <f t="shared" si="48"/>
        <v>0.28786809423781173</v>
      </c>
      <c r="AK36" s="21">
        <f t="shared" si="48"/>
        <v>0.28411905180697189</v>
      </c>
      <c r="AL36" s="21">
        <f t="shared" si="48"/>
        <v>0.10830510213502689</v>
      </c>
      <c r="AM36" s="21">
        <f t="shared" si="48"/>
        <v>0.37722432855466831</v>
      </c>
      <c r="AN36" s="21">
        <f t="shared" si="48"/>
        <v>0.36750206006941583</v>
      </c>
      <c r="AO36" s="39">
        <f t="shared" si="48"/>
        <v>0.13432478778876172</v>
      </c>
      <c r="AP36" s="21">
        <f t="shared" ref="AP36:AR36" si="49">AP31</f>
        <v>0.77290714510050251</v>
      </c>
      <c r="AQ36" s="21">
        <f t="shared" si="49"/>
        <v>0.10891081972361807</v>
      </c>
      <c r="AR36" s="21">
        <f t="shared" si="49"/>
        <v>4.1866750418760479E-2</v>
      </c>
    </row>
    <row r="37" spans="1:44" x14ac:dyDescent="0.25">
      <c r="A37" s="38"/>
      <c r="B37" s="11">
        <v>345</v>
      </c>
      <c r="C37" s="20">
        <f>C32</f>
        <v>4.7091235263967149E-2</v>
      </c>
      <c r="D37" s="11"/>
      <c r="E37" s="11"/>
      <c r="F37" s="11">
        <f t="shared" si="45"/>
        <v>976</v>
      </c>
      <c r="G37" s="23">
        <f t="shared" si="45"/>
        <v>6.5066666666666659</v>
      </c>
      <c r="H37" s="25">
        <f t="shared" si="45"/>
        <v>344.21000000000004</v>
      </c>
      <c r="I37" s="23">
        <f t="shared" si="45"/>
        <v>298.54000000000002</v>
      </c>
      <c r="J37" s="23">
        <f t="shared" si="45"/>
        <v>125.88</v>
      </c>
      <c r="K37" s="11">
        <f t="shared" si="45"/>
        <v>500</v>
      </c>
      <c r="L37" s="23">
        <f t="shared" si="45"/>
        <v>5.1472174288179469</v>
      </c>
      <c r="M37" s="23">
        <f t="shared" si="39"/>
        <v>18.828192407247631</v>
      </c>
      <c r="N37" s="23">
        <f>N32</f>
        <v>23.975409836065577</v>
      </c>
      <c r="O37" s="23">
        <f t="shared" si="33"/>
        <v>66.873025039287583</v>
      </c>
      <c r="P37" s="21">
        <f t="shared" ref="P37:Y37" si="50">P32</f>
        <v>0.28241307014609146</v>
      </c>
      <c r="Q37" s="21">
        <f t="shared" si="50"/>
        <v>0.13416548102498016</v>
      </c>
      <c r="R37" s="21">
        <f t="shared" si="50"/>
        <v>0.10317432809189261</v>
      </c>
      <c r="S37" s="21">
        <f t="shared" si="50"/>
        <v>1.4055380840860965E-2</v>
      </c>
      <c r="T37" s="21">
        <f t="shared" si="50"/>
        <v>5.1630679156908742E-2</v>
      </c>
      <c r="U37" s="21">
        <f t="shared" si="50"/>
        <v>4.2340202966432545E-2</v>
      </c>
      <c r="V37" s="21">
        <f t="shared" si="50"/>
        <v>2.0452102152336625E-3</v>
      </c>
      <c r="W37" s="21">
        <f t="shared" si="50"/>
        <v>0.16161512211441978</v>
      </c>
      <c r="X37" s="21">
        <f t="shared" si="50"/>
        <v>0.21324580127132853</v>
      </c>
      <c r="Y37" s="21">
        <f t="shared" si="50"/>
        <v>3.0434151585553085E-2</v>
      </c>
      <c r="Z37" s="21">
        <f t="shared" ref="Z37:AF37" si="51">Z32</f>
        <v>0.37017564755759985</v>
      </c>
      <c r="AA37" s="25">
        <f t="shared" si="51"/>
        <v>76.85499999999999</v>
      </c>
      <c r="AB37" s="25">
        <f t="shared" si="51"/>
        <v>9.94</v>
      </c>
      <c r="AC37" s="25">
        <f t="shared" si="51"/>
        <v>3.355</v>
      </c>
      <c r="AD37" s="25">
        <f t="shared" si="51"/>
        <v>79.995000000000005</v>
      </c>
      <c r="AE37" s="25">
        <f t="shared" si="51"/>
        <v>11.295</v>
      </c>
      <c r="AF37" s="25">
        <f t="shared" si="51"/>
        <v>3.3449999999999998</v>
      </c>
      <c r="AG37" s="21">
        <f t="shared" ref="AG37:AO37" si="52">AG32</f>
        <v>0.10299741095154401</v>
      </c>
      <c r="AH37" s="21">
        <f t="shared" si="52"/>
        <v>0.10054629673746281</v>
      </c>
      <c r="AI37" s="21">
        <f t="shared" si="52"/>
        <v>2.8312233078665532E-2</v>
      </c>
      <c r="AJ37" s="21">
        <f t="shared" si="52"/>
        <v>0.30974888304498077</v>
      </c>
      <c r="AK37" s="21">
        <f t="shared" si="52"/>
        <v>0.27697488169264356</v>
      </c>
      <c r="AL37" s="21">
        <f t="shared" si="52"/>
        <v>8.8888317162930885E-2</v>
      </c>
      <c r="AM37" s="21">
        <f t="shared" si="52"/>
        <v>0.41274629399652479</v>
      </c>
      <c r="AN37" s="21">
        <f t="shared" si="52"/>
        <v>0.37752117843010635</v>
      </c>
      <c r="AO37" s="39">
        <f t="shared" si="52"/>
        <v>0.11720055024159642</v>
      </c>
      <c r="AP37" s="21">
        <f t="shared" ref="AP37:AR37" si="53">AP32</f>
        <v>0.77615250994796436</v>
      </c>
      <c r="AQ37" s="21">
        <f t="shared" si="53"/>
        <v>0.10268070094888276</v>
      </c>
      <c r="AR37" s="21">
        <f t="shared" si="53"/>
        <v>3.3525788184879092E-2</v>
      </c>
    </row>
    <row r="38" spans="1:44" x14ac:dyDescent="0.25">
      <c r="A38" s="38"/>
      <c r="B38" s="11"/>
      <c r="C38" s="20"/>
      <c r="D38" s="11"/>
      <c r="E38" s="11"/>
      <c r="F38" s="11"/>
      <c r="G38" s="23"/>
      <c r="H38" s="26"/>
      <c r="I38" s="23"/>
      <c r="J38" s="23"/>
      <c r="K38" s="11"/>
      <c r="L38" s="23"/>
      <c r="M38" s="23"/>
      <c r="N38" s="23"/>
      <c r="O38" s="23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1"/>
      <c r="AB38" s="11"/>
      <c r="AC38" s="11"/>
      <c r="AD38" s="11"/>
      <c r="AE38" s="11"/>
      <c r="AF38" s="11"/>
      <c r="AG38" s="21"/>
      <c r="AH38" s="21"/>
      <c r="AI38" s="21"/>
      <c r="AJ38" s="21"/>
      <c r="AK38" s="21"/>
      <c r="AL38" s="21"/>
      <c r="AM38" s="21"/>
      <c r="AN38" s="21"/>
      <c r="AO38" s="39"/>
      <c r="AP38" s="21"/>
      <c r="AQ38" s="21"/>
      <c r="AR38" s="21"/>
    </row>
    <row r="39" spans="1:44" ht="16.5" thickBot="1" x14ac:dyDescent="0.3">
      <c r="A39" s="42" t="s">
        <v>60</v>
      </c>
      <c r="B39" s="43"/>
      <c r="C39" s="44">
        <f>_xlfn.STDEV.P(C29:C30)</f>
        <v>9.0342257332320236E-4</v>
      </c>
      <c r="D39" s="45"/>
      <c r="E39" s="45"/>
      <c r="F39" s="45">
        <f t="shared" ref="F39:L39" si="54">_xlfn.STDEV.P(F29:F30)</f>
        <v>6</v>
      </c>
      <c r="G39" s="46">
        <f t="shared" si="54"/>
        <v>2.8275862068966262E-2</v>
      </c>
      <c r="H39" s="47">
        <f t="shared" si="54"/>
        <v>0.59499999999999886</v>
      </c>
      <c r="I39" s="46">
        <f t="shared" si="54"/>
        <v>5.0550000000000068</v>
      </c>
      <c r="J39" s="46">
        <f t="shared" si="54"/>
        <v>2.3844444444444193</v>
      </c>
      <c r="K39" s="45">
        <f t="shared" si="54"/>
        <v>0</v>
      </c>
      <c r="L39" s="46">
        <f t="shared" si="54"/>
        <v>2.0152647851425343E-2</v>
      </c>
      <c r="M39" s="46">
        <f t="shared" si="39"/>
        <v>7.3717097929023367E-2</v>
      </c>
      <c r="N39" s="46">
        <f>_xlfn.STDEV.P(N29:N30)</f>
        <v>9.386974578044871E-2</v>
      </c>
      <c r="O39" s="46">
        <f t="shared" si="33"/>
        <v>29.524656233097236</v>
      </c>
      <c r="P39" s="48">
        <f t="shared" ref="P39:Y39" si="55">_xlfn.STDEV.P(P29:P30)</f>
        <v>4.6153388637595008E-2</v>
      </c>
      <c r="Q39" s="48">
        <f t="shared" si="55"/>
        <v>2.8167082712816083E-2</v>
      </c>
      <c r="R39" s="48">
        <f t="shared" si="55"/>
        <v>7.5177447556992807E-3</v>
      </c>
      <c r="S39" s="48">
        <f t="shared" si="55"/>
        <v>6.1744886251527981E-3</v>
      </c>
      <c r="T39" s="48">
        <f t="shared" si="55"/>
        <v>7.2796863740213812E-3</v>
      </c>
      <c r="U39" s="48">
        <f t="shared" si="55"/>
        <v>2.2904130260395852E-3</v>
      </c>
      <c r="V39" s="48">
        <f t="shared" si="55"/>
        <v>2.8137836599861227E-4</v>
      </c>
      <c r="W39" s="48">
        <f t="shared" si="55"/>
        <v>1.6264024772890212E-2</v>
      </c>
      <c r="X39" s="48">
        <f t="shared" si="55"/>
        <v>2.3543711146911759E-2</v>
      </c>
      <c r="Y39" s="48">
        <f t="shared" si="55"/>
        <v>1.3771812072301513E-4</v>
      </c>
      <c r="Z39" s="48">
        <f t="shared" ref="Z39" si="56">_xlfn.STDEV.P(Z29:Z30)</f>
        <v>9.7864182497322622E-2</v>
      </c>
      <c r="AA39" s="45"/>
      <c r="AB39" s="45"/>
      <c r="AC39" s="45"/>
      <c r="AD39" s="45"/>
      <c r="AE39" s="45"/>
      <c r="AF39" s="45"/>
      <c r="AG39" s="48">
        <f>_xlfn.STDEV.P(AG29:AG30)</f>
        <v>0</v>
      </c>
      <c r="AH39" s="48">
        <f t="shared" ref="AH39:AO39" si="57">_xlfn.STDEV.P(AH29:AH30)</f>
        <v>0</v>
      </c>
      <c r="AI39" s="48">
        <f t="shared" si="57"/>
        <v>0</v>
      </c>
      <c r="AJ39" s="48">
        <f t="shared" si="57"/>
        <v>0</v>
      </c>
      <c r="AK39" s="48">
        <f t="shared" si="57"/>
        <v>0</v>
      </c>
      <c r="AL39" s="48">
        <f t="shared" si="57"/>
        <v>0</v>
      </c>
      <c r="AM39" s="48">
        <f t="shared" si="57"/>
        <v>0</v>
      </c>
      <c r="AN39" s="48">
        <f t="shared" si="57"/>
        <v>0</v>
      </c>
      <c r="AO39" s="48">
        <f t="shared" si="57"/>
        <v>0</v>
      </c>
      <c r="AP39" s="48">
        <f t="shared" ref="AP39:AR39" si="58">_xlfn.STDEV.P(AP29:AP30)</f>
        <v>0</v>
      </c>
      <c r="AQ39" s="48">
        <f t="shared" si="58"/>
        <v>0</v>
      </c>
      <c r="AR39" s="48">
        <f t="shared" si="58"/>
        <v>0</v>
      </c>
    </row>
    <row r="40" spans="1:4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2"/>
      <c r="X40" s="31"/>
      <c r="Y40" s="31"/>
      <c r="Z40" s="31"/>
      <c r="AA40" s="31"/>
      <c r="AB40" s="31"/>
      <c r="AC40" s="31"/>
      <c r="AD40" s="31"/>
      <c r="AE40" s="31"/>
      <c r="AF40" s="33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</row>
    <row r="41" spans="1:44" ht="16.5" thickBo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50"/>
      <c r="X41" s="28"/>
      <c r="Y41" s="28"/>
      <c r="Z41" s="28"/>
      <c r="AA41" s="28"/>
      <c r="AB41" s="28"/>
      <c r="AC41" s="28"/>
      <c r="AD41" s="28"/>
      <c r="AE41" s="28"/>
      <c r="AF41" s="30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</row>
    <row r="42" spans="1:44" x14ac:dyDescent="0.25">
      <c r="A42" s="35" t="s">
        <v>161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52"/>
      <c r="AH42" s="52"/>
      <c r="AI42" s="52"/>
      <c r="AJ42" s="52"/>
      <c r="AK42" s="52"/>
      <c r="AL42" s="52"/>
      <c r="AM42" s="52"/>
      <c r="AN42" s="52"/>
      <c r="AO42" s="53"/>
      <c r="AP42" s="52"/>
      <c r="AQ42" s="52"/>
      <c r="AR42" s="52"/>
    </row>
    <row r="43" spans="1:44" x14ac:dyDescent="0.25">
      <c r="A43" s="38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22"/>
      <c r="AH43" s="22"/>
      <c r="AI43" s="22"/>
      <c r="AJ43" s="22"/>
      <c r="AK43" s="22"/>
      <c r="AL43" s="22"/>
      <c r="AM43" s="22"/>
      <c r="AN43" s="22"/>
      <c r="AO43" s="40"/>
      <c r="AP43" s="22"/>
      <c r="AQ43" s="22"/>
      <c r="AR43" s="22"/>
    </row>
    <row r="44" spans="1:44" x14ac:dyDescent="0.25">
      <c r="A44" s="38" t="str">
        <f>A15</f>
        <v>cHTL10</v>
      </c>
      <c r="B44" s="19"/>
      <c r="C44" s="20"/>
      <c r="D44" s="11"/>
      <c r="E44" s="11"/>
      <c r="F44" s="11"/>
      <c r="G44" s="23"/>
      <c r="H44" s="25"/>
      <c r="I44" s="23"/>
      <c r="J44" s="23"/>
      <c r="K44" s="11"/>
      <c r="L44" s="23"/>
      <c r="M44" s="23"/>
      <c r="N44" s="23"/>
      <c r="O44" s="23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11"/>
      <c r="AA44" s="11"/>
      <c r="AB44" s="11"/>
      <c r="AC44" s="11"/>
      <c r="AD44" s="11"/>
      <c r="AE44" s="11"/>
      <c r="AF44" s="11"/>
      <c r="AG44" s="21"/>
      <c r="AH44" s="21"/>
      <c r="AI44" s="21"/>
      <c r="AJ44" s="21"/>
      <c r="AK44" s="21"/>
      <c r="AL44" s="21"/>
      <c r="AM44" s="21"/>
      <c r="AN44" s="21"/>
      <c r="AO44" s="39"/>
      <c r="AP44" s="21"/>
      <c r="AQ44" s="21"/>
      <c r="AR44" s="21"/>
    </row>
    <row r="45" spans="1:44" x14ac:dyDescent="0.25">
      <c r="A45" s="38" t="str">
        <f>A20</f>
        <v>cHTL15</v>
      </c>
      <c r="B45" s="19"/>
      <c r="C45" s="20">
        <f>C20</f>
        <v>4.5587435409300853E-2</v>
      </c>
      <c r="D45" s="11"/>
      <c r="E45" s="11"/>
      <c r="F45" s="11">
        <f>F20</f>
        <v>997</v>
      </c>
      <c r="G45" s="25">
        <f>G20</f>
        <v>3.020814372872215</v>
      </c>
      <c r="H45" s="27">
        <f>H20</f>
        <v>318.79090909090905</v>
      </c>
      <c r="I45" s="23">
        <f t="shared" ref="I45:X45" si="59">I20</f>
        <v>273.80909090909091</v>
      </c>
      <c r="J45" s="23">
        <f t="shared" si="59"/>
        <v>56.336363636363643</v>
      </c>
      <c r="K45" s="11">
        <f t="shared" si="59"/>
        <v>435</v>
      </c>
      <c r="L45" s="23">
        <f>46*(57-15.5)/57/G45</f>
        <v>11.086820948329805</v>
      </c>
      <c r="M45" s="23">
        <f>N45-L45</f>
        <v>40.55488249459772</v>
      </c>
      <c r="N45" s="23">
        <f>156/G45</f>
        <v>51.641703442927522</v>
      </c>
      <c r="O45" s="23">
        <f>H45/L45</f>
        <v>28.754041449450295</v>
      </c>
      <c r="P45" s="21">
        <f t="shared" si="59"/>
        <v>0.27689358904453976</v>
      </c>
      <c r="Q45" s="21">
        <f t="shared" si="59"/>
        <v>0.13821355989291201</v>
      </c>
      <c r="R45" s="21">
        <f t="shared" si="59"/>
        <v>4.8404123631147267E-2</v>
      </c>
      <c r="S45" s="21">
        <f t="shared" si="59"/>
        <v>1.1418972802075145E-2</v>
      </c>
      <c r="T45" s="21">
        <f t="shared" si="59"/>
        <v>4.8910166741836528E-2</v>
      </c>
      <c r="U45" s="21">
        <f t="shared" si="59"/>
        <v>9.3595973603136484E-2</v>
      </c>
      <c r="V45" s="21">
        <f t="shared" si="59"/>
        <v>5.7204873382272255E-4</v>
      </c>
      <c r="W45" s="21">
        <f>X45-T45</f>
        <v>0.15399111877018162</v>
      </c>
      <c r="X45" s="21">
        <f t="shared" si="59"/>
        <v>0.20290128551201814</v>
      </c>
      <c r="Y45" s="21">
        <f t="shared" ref="Y45" si="60">Y20</f>
        <v>3.7490550431850601E-2</v>
      </c>
      <c r="Z45" s="11"/>
      <c r="AA45" s="61"/>
      <c r="AB45" s="61"/>
      <c r="AC45" s="61"/>
      <c r="AD45" s="61"/>
      <c r="AE45" s="61"/>
      <c r="AF45" s="61"/>
      <c r="AG45" s="21">
        <f t="shared" ref="AG45:AO45" si="61">AG20</f>
        <v>9.5807820388310719E-2</v>
      </c>
      <c r="AH45" s="21">
        <f t="shared" si="61"/>
        <v>0.10785535045311882</v>
      </c>
      <c r="AI45" s="21">
        <f t="shared" si="61"/>
        <v>2.6980772309226218E-2</v>
      </c>
      <c r="AJ45" s="21">
        <f t="shared" si="61"/>
        <v>0.2822914498951633</v>
      </c>
      <c r="AK45" s="21">
        <f t="shared" si="61"/>
        <v>0.24824430353468935</v>
      </c>
      <c r="AL45" s="21">
        <f t="shared" si="61"/>
        <v>0.15260267425668</v>
      </c>
      <c r="AM45" s="21">
        <f t="shared" si="61"/>
        <v>0.37809927028347401</v>
      </c>
      <c r="AN45" s="21">
        <f t="shared" si="61"/>
        <v>0.35609965398780818</v>
      </c>
      <c r="AO45" s="39">
        <f t="shared" si="61"/>
        <v>0.17958344656590622</v>
      </c>
      <c r="AP45" s="21">
        <f t="shared" ref="AP45:AR45" si="62">AP20</f>
        <v>0.74724912166558222</v>
      </c>
      <c r="AQ45" s="21">
        <f t="shared" si="62"/>
        <v>0.10179225764476252</v>
      </c>
      <c r="AR45" s="21">
        <f t="shared" si="62"/>
        <v>5.3989752765126874E-2</v>
      </c>
    </row>
    <row r="46" spans="1:44" x14ac:dyDescent="0.25">
      <c r="A46" s="38" t="str">
        <f>A13</f>
        <v>cHTL8</v>
      </c>
      <c r="B46" s="19"/>
      <c r="C46" s="20"/>
      <c r="D46" s="11"/>
      <c r="E46" s="11"/>
      <c r="F46" s="11"/>
      <c r="G46" s="25"/>
      <c r="H46" s="27"/>
      <c r="I46" s="23"/>
      <c r="J46" s="23"/>
      <c r="K46" s="11"/>
      <c r="L46" s="23"/>
      <c r="M46" s="23"/>
      <c r="N46" s="23"/>
      <c r="O46" s="23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11"/>
      <c r="AA46" s="61"/>
      <c r="AB46" s="61"/>
      <c r="AC46" s="61"/>
      <c r="AD46" s="61"/>
      <c r="AE46" s="61"/>
      <c r="AF46" s="61"/>
      <c r="AG46" s="21"/>
      <c r="AH46" s="21"/>
      <c r="AI46" s="21"/>
      <c r="AJ46" s="21"/>
      <c r="AK46" s="21"/>
      <c r="AL46" s="21"/>
      <c r="AM46" s="21"/>
      <c r="AN46" s="21"/>
      <c r="AO46" s="39"/>
      <c r="AP46" s="21"/>
      <c r="AQ46" s="21"/>
      <c r="AR46" s="21"/>
    </row>
    <row r="47" spans="1:44" x14ac:dyDescent="0.25">
      <c r="A47" s="38" t="str">
        <f>A19</f>
        <v>cHTL14</v>
      </c>
      <c r="B47" s="19"/>
      <c r="C47" s="20">
        <f>C19</f>
        <v>4.6636290538729433E-2</v>
      </c>
      <c r="D47" s="11"/>
      <c r="E47" s="11"/>
      <c r="F47" s="11">
        <f t="shared" ref="F47:X47" si="63">F19</f>
        <v>971</v>
      </c>
      <c r="G47" s="25">
        <f t="shared" si="63"/>
        <v>4.9783333333333335</v>
      </c>
      <c r="H47" s="27">
        <f t="shared" si="63"/>
        <v>316.63</v>
      </c>
      <c r="I47" s="23">
        <f t="shared" si="63"/>
        <v>266.46000000000004</v>
      </c>
      <c r="J47" s="23">
        <f t="shared" si="63"/>
        <v>93.079999999999984</v>
      </c>
      <c r="K47" s="11">
        <f t="shared" si="63"/>
        <v>450</v>
      </c>
      <c r="L47" s="23">
        <f t="shared" ref="L47:L53" si="64">46*(57-15.5)/57/G47</f>
        <v>6.7273976706077212</v>
      </c>
      <c r="M47" s="23">
        <f t="shared" ref="M47:M53" si="65">N47-L47</f>
        <v>24.608390745863652</v>
      </c>
      <c r="N47" s="23">
        <f t="shared" ref="N47:N53" si="66">156/G47</f>
        <v>31.335788416471374</v>
      </c>
      <c r="O47" s="23">
        <f t="shared" ref="O47:O53" si="67">H47/L47</f>
        <v>47.065747485594549</v>
      </c>
      <c r="P47" s="21">
        <f t="shared" si="63"/>
        <v>0.30986772731039308</v>
      </c>
      <c r="Q47" s="21">
        <f t="shared" si="63"/>
        <v>0.20540349094757721</v>
      </c>
      <c r="R47" s="21">
        <f t="shared" si="63"/>
        <v>6.1964712288552111E-2</v>
      </c>
      <c r="S47" s="21">
        <f t="shared" si="63"/>
        <v>1.7644264119227836E-2</v>
      </c>
      <c r="T47" s="21">
        <f t="shared" si="63"/>
        <v>3.5575606378067517E-2</v>
      </c>
      <c r="U47" s="21">
        <f t="shared" si="63"/>
        <v>5.8188530605963872E-2</v>
      </c>
      <c r="V47" s="21">
        <f t="shared" si="63"/>
        <v>1.6341371024066126E-3</v>
      </c>
      <c r="W47" s="21">
        <f>X47-T47</f>
        <v>0.13943164411615044</v>
      </c>
      <c r="X47" s="21">
        <f t="shared" si="63"/>
        <v>0.17500725049421795</v>
      </c>
      <c r="Y47" s="21">
        <f t="shared" ref="Y47" si="68">Y19</f>
        <v>3.1698113874306655E-2</v>
      </c>
      <c r="Z47" s="11"/>
      <c r="AA47" s="61"/>
      <c r="AB47" s="61"/>
      <c r="AC47" s="61"/>
      <c r="AD47" s="61"/>
      <c r="AE47" s="61"/>
      <c r="AF47" s="61"/>
      <c r="AG47" s="21">
        <f t="shared" ref="AG47:AO47" si="69">AG19</f>
        <v>7.090280453204878E-2</v>
      </c>
      <c r="AH47" s="21">
        <f t="shared" si="69"/>
        <v>7.3267347963106286E-2</v>
      </c>
      <c r="AI47" s="21">
        <f t="shared" si="69"/>
        <v>2.6273460120195765E-2</v>
      </c>
      <c r="AJ47" s="21">
        <f t="shared" si="69"/>
        <v>0.25346308473433388</v>
      </c>
      <c r="AK47" s="21">
        <f t="shared" si="69"/>
        <v>0.28391167534685113</v>
      </c>
      <c r="AL47" s="21">
        <f t="shared" si="69"/>
        <v>9.7259286182659069E-2</v>
      </c>
      <c r="AM47" s="21">
        <f t="shared" si="69"/>
        <v>0.32436588926638266</v>
      </c>
      <c r="AN47" s="21">
        <f t="shared" si="69"/>
        <v>0.35717902330995743</v>
      </c>
      <c r="AO47" s="39">
        <f t="shared" si="69"/>
        <v>0.12353274630285484</v>
      </c>
      <c r="AP47" s="21">
        <f t="shared" ref="AP47:AR47" si="70">AP19</f>
        <v>0.74323047318612012</v>
      </c>
      <c r="AQ47" s="21">
        <f t="shared" si="70"/>
        <v>0.11837442902208202</v>
      </c>
      <c r="AR47" s="21">
        <f t="shared" si="70"/>
        <v>4.3058201892744494E-2</v>
      </c>
    </row>
    <row r="48" spans="1:44" x14ac:dyDescent="0.25">
      <c r="A48" s="38" t="str">
        <f>A22</f>
        <v>cHTL17</v>
      </c>
      <c r="B48" s="19"/>
      <c r="C48" s="20">
        <f>C22</f>
        <v>4.6831809483308541E-2</v>
      </c>
      <c r="D48" s="11"/>
      <c r="E48" s="11"/>
      <c r="F48" s="11"/>
      <c r="G48" s="25"/>
      <c r="H48" s="27"/>
      <c r="I48" s="23"/>
      <c r="J48" s="23"/>
      <c r="K48" s="11"/>
      <c r="L48" s="23"/>
      <c r="M48" s="23"/>
      <c r="N48" s="23"/>
      <c r="O48" s="23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11"/>
      <c r="AA48" s="61"/>
      <c r="AB48" s="61"/>
      <c r="AC48" s="61"/>
      <c r="AD48" s="61"/>
      <c r="AE48" s="61"/>
      <c r="AF48" s="61"/>
      <c r="AG48" s="21"/>
      <c r="AH48" s="21"/>
      <c r="AI48" s="21"/>
      <c r="AJ48" s="21"/>
      <c r="AK48" s="21"/>
      <c r="AL48" s="21"/>
      <c r="AM48" s="21"/>
      <c r="AN48" s="21"/>
      <c r="AO48" s="39"/>
      <c r="AP48" s="21"/>
      <c r="AQ48" s="21"/>
      <c r="AR48" s="21"/>
    </row>
    <row r="49" spans="1:44" x14ac:dyDescent="0.25">
      <c r="A49" s="38" t="str">
        <f>A21</f>
        <v>cHTL16</v>
      </c>
      <c r="B49" s="19"/>
      <c r="C49" s="20">
        <f>C21</f>
        <v>4.5024964336662136E-2</v>
      </c>
      <c r="D49" s="11"/>
      <c r="E49" s="11"/>
      <c r="F49" s="11">
        <f t="shared" ref="F49:X49" si="71">F21</f>
        <v>999</v>
      </c>
      <c r="G49" s="25">
        <f t="shared" si="71"/>
        <v>6.8833333333333329</v>
      </c>
      <c r="H49" s="27">
        <f t="shared" si="71"/>
        <v>319.62</v>
      </c>
      <c r="I49" s="23">
        <f t="shared" si="71"/>
        <v>262.01</v>
      </c>
      <c r="J49" s="23">
        <f t="shared" si="71"/>
        <v>114.92000000000003</v>
      </c>
      <c r="K49" s="11">
        <f t="shared" si="71"/>
        <v>470</v>
      </c>
      <c r="L49" s="23">
        <f t="shared" si="64"/>
        <v>4.8655537147954639</v>
      </c>
      <c r="M49" s="23">
        <f t="shared" si="65"/>
        <v>17.797884541863134</v>
      </c>
      <c r="N49" s="23">
        <f t="shared" si="66"/>
        <v>22.663438256658598</v>
      </c>
      <c r="O49" s="23">
        <f t="shared" si="67"/>
        <v>65.690365112624406</v>
      </c>
      <c r="P49" s="21">
        <f t="shared" si="71"/>
        <v>0.35211252440559204</v>
      </c>
      <c r="Q49" s="21">
        <f t="shared" si="71"/>
        <v>0.20850967068487092</v>
      </c>
      <c r="R49" s="21">
        <f t="shared" si="71"/>
        <v>8.9284246622859997E-2</v>
      </c>
      <c r="S49" s="21">
        <f t="shared" si="71"/>
        <v>2.1565169129525431E-2</v>
      </c>
      <c r="T49" s="21">
        <f t="shared" si="71"/>
        <v>4.2618999197216838E-2</v>
      </c>
      <c r="U49" s="21">
        <f t="shared" si="71"/>
        <v>6.2538990475623793E-2</v>
      </c>
      <c r="V49" s="21">
        <f t="shared" si="71"/>
        <v>2.4233025104312502E-3</v>
      </c>
      <c r="W49" s="21">
        <f>X49-T49</f>
        <v>0.17581170873844046</v>
      </c>
      <c r="X49" s="21">
        <f t="shared" si="71"/>
        <v>0.2184307079356573</v>
      </c>
      <c r="Y49" s="21">
        <f t="shared" ref="Y49" si="72">Y21</f>
        <v>2.613327785540211E-2</v>
      </c>
      <c r="Z49" s="11"/>
      <c r="AA49" s="61"/>
      <c r="AB49" s="61"/>
      <c r="AC49" s="61"/>
      <c r="AD49" s="61"/>
      <c r="AE49" s="61"/>
      <c r="AF49" s="61"/>
      <c r="AG49" s="21">
        <f t="shared" ref="AG49:AO49" si="73">AG21</f>
        <v>8.4664076709483616E-2</v>
      </c>
      <c r="AH49" s="21">
        <f t="shared" si="73"/>
        <v>0.10232233858986975</v>
      </c>
      <c r="AI49" s="21">
        <f t="shared" si="73"/>
        <v>1.8375076703062342E-2</v>
      </c>
      <c r="AJ49" s="21">
        <f t="shared" si="73"/>
        <v>0.32373906666449981</v>
      </c>
      <c r="AK49" s="21">
        <f t="shared" si="73"/>
        <v>0.35389684474505045</v>
      </c>
      <c r="AL49" s="21">
        <f t="shared" si="73"/>
        <v>0.1259503552765549</v>
      </c>
      <c r="AM49" s="21">
        <f t="shared" si="73"/>
        <v>0.40840314337398342</v>
      </c>
      <c r="AN49" s="21">
        <f t="shared" si="73"/>
        <v>0.45621918333492018</v>
      </c>
      <c r="AO49" s="39">
        <f t="shared" si="73"/>
        <v>0.14432543197961725</v>
      </c>
      <c r="AP49" s="21">
        <f t="shared" ref="AP49:AQ49" si="74">AP21</f>
        <v>0.74975566412213734</v>
      </c>
      <c r="AQ49" s="21">
        <f t="shared" si="74"/>
        <v>0.12114007633587788</v>
      </c>
      <c r="AR49" s="21">
        <f>AR21</f>
        <v>4.0305007633587776E-2</v>
      </c>
    </row>
    <row r="50" spans="1:44" x14ac:dyDescent="0.25">
      <c r="A50" s="38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23"/>
      <c r="M50" s="23"/>
      <c r="N50" s="23"/>
      <c r="O50" s="23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61"/>
      <c r="AB50" s="61"/>
      <c r="AC50" s="61"/>
      <c r="AD50" s="61"/>
      <c r="AE50" s="61"/>
      <c r="AF50" s="61"/>
      <c r="AG50" s="22"/>
      <c r="AH50" s="22"/>
      <c r="AI50" s="22"/>
      <c r="AJ50" s="22"/>
      <c r="AK50" s="22"/>
      <c r="AL50" s="22"/>
      <c r="AM50" s="22"/>
      <c r="AN50" s="22"/>
      <c r="AO50" s="40"/>
      <c r="AP50" s="22"/>
      <c r="AQ50" s="22"/>
      <c r="AR50" s="22"/>
    </row>
    <row r="51" spans="1:44" x14ac:dyDescent="0.25">
      <c r="A51" s="41" t="s">
        <v>59</v>
      </c>
      <c r="B51" s="11">
        <v>3</v>
      </c>
      <c r="C51" s="20">
        <f>AVERAGE(C44:C45)</f>
        <v>4.5587435409300853E-2</v>
      </c>
      <c r="D51" s="11"/>
      <c r="E51" s="11"/>
      <c r="F51" s="11">
        <f t="shared" ref="F51:K51" si="75">AVERAGE(F44:F45)</f>
        <v>997</v>
      </c>
      <c r="G51" s="25">
        <f t="shared" si="75"/>
        <v>3.020814372872215</v>
      </c>
      <c r="H51" s="27">
        <f t="shared" si="75"/>
        <v>318.79090909090905</v>
      </c>
      <c r="I51" s="23">
        <f t="shared" si="75"/>
        <v>273.80909090909091</v>
      </c>
      <c r="J51" s="23">
        <f t="shared" si="75"/>
        <v>56.336363636363643</v>
      </c>
      <c r="K51" s="11">
        <f t="shared" si="75"/>
        <v>435</v>
      </c>
      <c r="L51" s="23">
        <f t="shared" si="64"/>
        <v>11.086820948329805</v>
      </c>
      <c r="M51" s="23">
        <f t="shared" si="65"/>
        <v>40.55488249459772</v>
      </c>
      <c r="N51" s="23">
        <f t="shared" si="66"/>
        <v>51.641703442927522</v>
      </c>
      <c r="O51" s="23">
        <f t="shared" si="67"/>
        <v>28.754041449450295</v>
      </c>
      <c r="P51" s="21">
        <f t="shared" ref="P51:Y51" si="76">AVERAGE(P44:P45)</f>
        <v>0.27689358904453976</v>
      </c>
      <c r="Q51" s="21">
        <f t="shared" si="76"/>
        <v>0.13821355989291201</v>
      </c>
      <c r="R51" s="21">
        <f t="shared" si="76"/>
        <v>4.8404123631147267E-2</v>
      </c>
      <c r="S51" s="21">
        <f t="shared" si="76"/>
        <v>1.1418972802075145E-2</v>
      </c>
      <c r="T51" s="21">
        <f t="shared" si="76"/>
        <v>4.8910166741836528E-2</v>
      </c>
      <c r="U51" s="21">
        <f t="shared" si="76"/>
        <v>9.3595973603136484E-2</v>
      </c>
      <c r="V51" s="21">
        <f t="shared" si="76"/>
        <v>5.7204873382272255E-4</v>
      </c>
      <c r="W51" s="21">
        <f t="shared" si="76"/>
        <v>0.15399111877018162</v>
      </c>
      <c r="X51" s="21">
        <f t="shared" si="76"/>
        <v>0.20290128551201814</v>
      </c>
      <c r="Y51" s="21">
        <f t="shared" si="76"/>
        <v>3.7490550431850601E-2</v>
      </c>
      <c r="Z51" s="11"/>
      <c r="AA51" s="61"/>
      <c r="AB51" s="61"/>
      <c r="AC51" s="61"/>
      <c r="AD51" s="61"/>
      <c r="AE51" s="61"/>
      <c r="AF51" s="61"/>
      <c r="AG51" s="21">
        <f t="shared" ref="AG51:AO51" si="77">AVERAGE(AG44:AG45)</f>
        <v>9.5807820388310719E-2</v>
      </c>
      <c r="AH51" s="21">
        <f t="shared" si="77"/>
        <v>0.10785535045311882</v>
      </c>
      <c r="AI51" s="21">
        <f t="shared" si="77"/>
        <v>2.6980772309226218E-2</v>
      </c>
      <c r="AJ51" s="21">
        <f t="shared" si="77"/>
        <v>0.2822914498951633</v>
      </c>
      <c r="AK51" s="21">
        <f t="shared" si="77"/>
        <v>0.24824430353468935</v>
      </c>
      <c r="AL51" s="21">
        <f t="shared" si="77"/>
        <v>0.15260267425668</v>
      </c>
      <c r="AM51" s="21">
        <f t="shared" si="77"/>
        <v>0.37809927028347401</v>
      </c>
      <c r="AN51" s="21">
        <f t="shared" si="77"/>
        <v>0.35609965398780818</v>
      </c>
      <c r="AO51" s="39">
        <f t="shared" si="77"/>
        <v>0.17958344656590622</v>
      </c>
      <c r="AP51" s="21">
        <f t="shared" ref="AP51:AR51" si="78">AVERAGE(AP44:AP45)</f>
        <v>0.74724912166558222</v>
      </c>
      <c r="AQ51" s="21">
        <f t="shared" si="78"/>
        <v>0.10179225764476252</v>
      </c>
      <c r="AR51" s="21">
        <f t="shared" si="78"/>
        <v>5.3989752765126874E-2</v>
      </c>
    </row>
    <row r="52" spans="1:44" x14ac:dyDescent="0.25">
      <c r="A52" s="38"/>
      <c r="B52" s="11">
        <v>5</v>
      </c>
      <c r="C52" s="20">
        <f>AVERAGE(C46:C47)</f>
        <v>4.6636290538729433E-2</v>
      </c>
      <c r="D52" s="11"/>
      <c r="E52" s="11"/>
      <c r="F52" s="11">
        <f t="shared" ref="F52:K52" si="79">AVERAGE(F46:F47)</f>
        <v>971</v>
      </c>
      <c r="G52" s="25">
        <f t="shared" si="79"/>
        <v>4.9783333333333335</v>
      </c>
      <c r="H52" s="27">
        <f t="shared" si="79"/>
        <v>316.63</v>
      </c>
      <c r="I52" s="23">
        <f t="shared" si="79"/>
        <v>266.46000000000004</v>
      </c>
      <c r="J52" s="23">
        <f t="shared" si="79"/>
        <v>93.079999999999984</v>
      </c>
      <c r="K52" s="11">
        <f t="shared" si="79"/>
        <v>450</v>
      </c>
      <c r="L52" s="23">
        <f t="shared" si="64"/>
        <v>6.7273976706077212</v>
      </c>
      <c r="M52" s="23">
        <f t="shared" si="65"/>
        <v>24.608390745863652</v>
      </c>
      <c r="N52" s="23">
        <f t="shared" si="66"/>
        <v>31.335788416471374</v>
      </c>
      <c r="O52" s="23">
        <f t="shared" si="67"/>
        <v>47.065747485594549</v>
      </c>
      <c r="P52" s="21">
        <f t="shared" ref="P52:Y52" si="80">AVERAGE(P46:P47)</f>
        <v>0.30986772731039308</v>
      </c>
      <c r="Q52" s="21">
        <f t="shared" si="80"/>
        <v>0.20540349094757721</v>
      </c>
      <c r="R52" s="21">
        <f t="shared" si="80"/>
        <v>6.1964712288552111E-2</v>
      </c>
      <c r="S52" s="21">
        <f t="shared" si="80"/>
        <v>1.7644264119227836E-2</v>
      </c>
      <c r="T52" s="21">
        <f t="shared" si="80"/>
        <v>3.5575606378067517E-2</v>
      </c>
      <c r="U52" s="21">
        <f t="shared" si="80"/>
        <v>5.8188530605963872E-2</v>
      </c>
      <c r="V52" s="21">
        <f t="shared" si="80"/>
        <v>1.6341371024066126E-3</v>
      </c>
      <c r="W52" s="21">
        <f t="shared" si="80"/>
        <v>0.13943164411615044</v>
      </c>
      <c r="X52" s="21">
        <f t="shared" si="80"/>
        <v>0.17500725049421795</v>
      </c>
      <c r="Y52" s="21">
        <f t="shared" si="80"/>
        <v>3.1698113874306655E-2</v>
      </c>
      <c r="Z52" s="11"/>
      <c r="AA52" s="61"/>
      <c r="AB52" s="61"/>
      <c r="AC52" s="61"/>
      <c r="AD52" s="61"/>
      <c r="AE52" s="61"/>
      <c r="AF52" s="61"/>
      <c r="AG52" s="21">
        <f t="shared" ref="AG52:AO52" si="81">AVERAGE(AG46:AG47)</f>
        <v>7.090280453204878E-2</v>
      </c>
      <c r="AH52" s="21">
        <f t="shared" si="81"/>
        <v>7.3267347963106286E-2</v>
      </c>
      <c r="AI52" s="21">
        <f t="shared" si="81"/>
        <v>2.6273460120195765E-2</v>
      </c>
      <c r="AJ52" s="21">
        <f t="shared" si="81"/>
        <v>0.25346308473433388</v>
      </c>
      <c r="AK52" s="21">
        <f t="shared" si="81"/>
        <v>0.28391167534685113</v>
      </c>
      <c r="AL52" s="21">
        <f t="shared" si="81"/>
        <v>9.7259286182659069E-2</v>
      </c>
      <c r="AM52" s="21">
        <f t="shared" si="81"/>
        <v>0.32436588926638266</v>
      </c>
      <c r="AN52" s="21">
        <f t="shared" si="81"/>
        <v>0.35717902330995743</v>
      </c>
      <c r="AO52" s="39">
        <f t="shared" si="81"/>
        <v>0.12353274630285484</v>
      </c>
      <c r="AP52" s="21">
        <f t="shared" ref="AP52:AR52" si="82">AVERAGE(AP46:AP47)</f>
        <v>0.74323047318612012</v>
      </c>
      <c r="AQ52" s="21">
        <f t="shared" si="82"/>
        <v>0.11837442902208202</v>
      </c>
      <c r="AR52" s="21">
        <f t="shared" si="82"/>
        <v>4.3058201892744494E-2</v>
      </c>
    </row>
    <row r="53" spans="1:44" x14ac:dyDescent="0.25">
      <c r="A53" s="38"/>
      <c r="B53" s="11">
        <v>7</v>
      </c>
      <c r="C53" s="20">
        <f>AVERAGE(C48:C49)</f>
        <v>4.5928386909985339E-2</v>
      </c>
      <c r="D53" s="11"/>
      <c r="E53" s="11"/>
      <c r="F53" s="11">
        <f t="shared" ref="F53:K53" si="83">AVERAGE(F48:F49)</f>
        <v>999</v>
      </c>
      <c r="G53" s="25">
        <f t="shared" si="83"/>
        <v>6.8833333333333329</v>
      </c>
      <c r="H53" s="27">
        <f t="shared" si="83"/>
        <v>319.62</v>
      </c>
      <c r="I53" s="23">
        <f t="shared" si="83"/>
        <v>262.01</v>
      </c>
      <c r="J53" s="23">
        <f t="shared" si="83"/>
        <v>114.92000000000003</v>
      </c>
      <c r="K53" s="11">
        <f t="shared" si="83"/>
        <v>470</v>
      </c>
      <c r="L53" s="23">
        <f t="shared" si="64"/>
        <v>4.8655537147954639</v>
      </c>
      <c r="M53" s="23">
        <f t="shared" si="65"/>
        <v>17.797884541863134</v>
      </c>
      <c r="N53" s="23">
        <f t="shared" si="66"/>
        <v>22.663438256658598</v>
      </c>
      <c r="O53" s="23">
        <f t="shared" si="67"/>
        <v>65.690365112624406</v>
      </c>
      <c r="P53" s="21">
        <f t="shared" ref="P53:Y53" si="84">AVERAGE(P48:P49)</f>
        <v>0.35211252440559204</v>
      </c>
      <c r="Q53" s="21">
        <f t="shared" si="84"/>
        <v>0.20850967068487092</v>
      </c>
      <c r="R53" s="21">
        <f t="shared" si="84"/>
        <v>8.9284246622859997E-2</v>
      </c>
      <c r="S53" s="21">
        <f t="shared" si="84"/>
        <v>2.1565169129525431E-2</v>
      </c>
      <c r="T53" s="21">
        <f t="shared" si="84"/>
        <v>4.2618999197216838E-2</v>
      </c>
      <c r="U53" s="21">
        <f t="shared" si="84"/>
        <v>6.2538990475623793E-2</v>
      </c>
      <c r="V53" s="21">
        <f t="shared" si="84"/>
        <v>2.4233025104312502E-3</v>
      </c>
      <c r="W53" s="21">
        <f t="shared" si="84"/>
        <v>0.17581170873844046</v>
      </c>
      <c r="X53" s="21">
        <f t="shared" si="84"/>
        <v>0.2184307079356573</v>
      </c>
      <c r="Y53" s="21">
        <f t="shared" si="84"/>
        <v>2.613327785540211E-2</v>
      </c>
      <c r="Z53" s="11"/>
      <c r="AA53" s="61"/>
      <c r="AB53" s="61"/>
      <c r="AC53" s="61"/>
      <c r="AD53" s="61"/>
      <c r="AE53" s="61"/>
      <c r="AF53" s="61"/>
      <c r="AG53" s="21">
        <f t="shared" ref="AG53:AO53" si="85">AVERAGE(AG48:AG49)</f>
        <v>8.4664076709483616E-2</v>
      </c>
      <c r="AH53" s="21">
        <f t="shared" si="85"/>
        <v>0.10232233858986975</v>
      </c>
      <c r="AI53" s="21">
        <f t="shared" si="85"/>
        <v>1.8375076703062342E-2</v>
      </c>
      <c r="AJ53" s="21">
        <f t="shared" si="85"/>
        <v>0.32373906666449981</v>
      </c>
      <c r="AK53" s="21">
        <f t="shared" si="85"/>
        <v>0.35389684474505045</v>
      </c>
      <c r="AL53" s="21">
        <f t="shared" si="85"/>
        <v>0.1259503552765549</v>
      </c>
      <c r="AM53" s="21">
        <f t="shared" si="85"/>
        <v>0.40840314337398342</v>
      </c>
      <c r="AN53" s="21">
        <f t="shared" si="85"/>
        <v>0.45621918333492018</v>
      </c>
      <c r="AO53" s="39">
        <f t="shared" si="85"/>
        <v>0.14432543197961725</v>
      </c>
      <c r="AP53" s="21">
        <f t="shared" ref="AP53:AQ53" si="86">AVERAGE(AP48:AP49)</f>
        <v>0.74975566412213734</v>
      </c>
      <c r="AQ53" s="21">
        <f t="shared" si="86"/>
        <v>0.12114007633587788</v>
      </c>
      <c r="AR53" s="21">
        <f>AVERAGE(AR48:AR49)</f>
        <v>4.0305007633587776E-2</v>
      </c>
    </row>
    <row r="54" spans="1:44" x14ac:dyDescent="0.25">
      <c r="A54" s="38"/>
      <c r="B54" s="11"/>
      <c r="C54" s="20"/>
      <c r="D54" s="11"/>
      <c r="E54" s="11"/>
      <c r="F54" s="11"/>
      <c r="G54" s="25"/>
      <c r="H54" s="27"/>
      <c r="I54" s="23"/>
      <c r="J54" s="23"/>
      <c r="K54" s="11"/>
      <c r="L54" s="23"/>
      <c r="M54" s="23"/>
      <c r="N54" s="23"/>
      <c r="O54" s="23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11"/>
      <c r="AA54" s="11"/>
      <c r="AB54" s="11"/>
      <c r="AC54" s="11"/>
      <c r="AD54" s="11"/>
      <c r="AE54" s="11"/>
      <c r="AF54" s="11"/>
      <c r="AG54" s="21"/>
      <c r="AH54" s="21"/>
      <c r="AI54" s="21"/>
      <c r="AJ54" s="21"/>
      <c r="AK54" s="21"/>
      <c r="AL54" s="21"/>
      <c r="AM54" s="21"/>
      <c r="AN54" s="21"/>
      <c r="AO54" s="39"/>
      <c r="AP54" s="21"/>
      <c r="AQ54" s="21"/>
      <c r="AR54" s="21"/>
    </row>
    <row r="55" spans="1:44" x14ac:dyDescent="0.25">
      <c r="A55" s="41" t="s">
        <v>60</v>
      </c>
      <c r="B55" s="19"/>
      <c r="C55" s="20">
        <f>_xlfn.STDEV.P(C44:C45)</f>
        <v>0</v>
      </c>
      <c r="D55" s="11"/>
      <c r="E55" s="11"/>
      <c r="F55" s="11">
        <f t="shared" ref="F55:K55" si="87">_xlfn.STDEV.P(F44:F45)</f>
        <v>0</v>
      </c>
      <c r="G55" s="25">
        <f t="shared" si="87"/>
        <v>0</v>
      </c>
      <c r="H55" s="27">
        <f t="shared" si="87"/>
        <v>0</v>
      </c>
      <c r="I55" s="23">
        <f t="shared" si="87"/>
        <v>0</v>
      </c>
      <c r="J55" s="23">
        <f t="shared" si="87"/>
        <v>0</v>
      </c>
      <c r="K55" s="11">
        <f t="shared" si="87"/>
        <v>0</v>
      </c>
      <c r="L55" s="23">
        <f t="shared" ref="L55:O55" si="88">_xlfn.STDEV.P(L44:L45)</f>
        <v>0</v>
      </c>
      <c r="M55" s="23">
        <f t="shared" si="88"/>
        <v>0</v>
      </c>
      <c r="N55" s="23">
        <f t="shared" si="88"/>
        <v>0</v>
      </c>
      <c r="O55" s="23">
        <f t="shared" si="88"/>
        <v>0</v>
      </c>
      <c r="P55" s="21">
        <f t="shared" ref="P55:Y55" si="89">P39</f>
        <v>4.6153388637595008E-2</v>
      </c>
      <c r="Q55" s="21">
        <f t="shared" si="89"/>
        <v>2.8167082712816083E-2</v>
      </c>
      <c r="R55" s="21">
        <f t="shared" si="89"/>
        <v>7.5177447556992807E-3</v>
      </c>
      <c r="S55" s="21">
        <f t="shared" si="89"/>
        <v>6.1744886251527981E-3</v>
      </c>
      <c r="T55" s="21">
        <f t="shared" si="89"/>
        <v>7.2796863740213812E-3</v>
      </c>
      <c r="U55" s="21">
        <f t="shared" si="89"/>
        <v>2.2904130260395852E-3</v>
      </c>
      <c r="V55" s="21">
        <f t="shared" si="89"/>
        <v>2.8137836599861227E-4</v>
      </c>
      <c r="W55" s="21">
        <f t="shared" si="89"/>
        <v>1.6264024772890212E-2</v>
      </c>
      <c r="X55" s="21">
        <f t="shared" si="89"/>
        <v>2.3543711146911759E-2</v>
      </c>
      <c r="Y55" s="21">
        <f t="shared" si="89"/>
        <v>1.3771812072301513E-4</v>
      </c>
      <c r="Z55" s="11"/>
      <c r="AA55" s="11"/>
      <c r="AB55" s="11"/>
      <c r="AC55" s="11"/>
      <c r="AD55" s="11"/>
      <c r="AE55" s="11"/>
      <c r="AF55" s="11"/>
      <c r="AG55" s="21">
        <f>AG39</f>
        <v>0</v>
      </c>
      <c r="AH55" s="21">
        <f t="shared" ref="AH55:AO55" si="90">_xlfn.STDEV.P(AH44:AH45)</f>
        <v>0</v>
      </c>
      <c r="AI55" s="21">
        <f t="shared" si="90"/>
        <v>0</v>
      </c>
      <c r="AJ55" s="21">
        <f t="shared" si="90"/>
        <v>0</v>
      </c>
      <c r="AK55" s="21">
        <f t="shared" si="90"/>
        <v>0</v>
      </c>
      <c r="AL55" s="21">
        <f t="shared" si="90"/>
        <v>0</v>
      </c>
      <c r="AM55" s="21">
        <f t="shared" si="90"/>
        <v>0</v>
      </c>
      <c r="AN55" s="21">
        <f t="shared" si="90"/>
        <v>0</v>
      </c>
      <c r="AO55" s="39">
        <f t="shared" si="90"/>
        <v>0</v>
      </c>
      <c r="AP55" s="21">
        <f t="shared" ref="AP55:AR55" si="91">_xlfn.STDEV.P(AP44:AP45)</f>
        <v>0</v>
      </c>
      <c r="AQ55" s="21">
        <f t="shared" si="91"/>
        <v>0</v>
      </c>
      <c r="AR55" s="21">
        <f t="shared" si="91"/>
        <v>0</v>
      </c>
    </row>
    <row r="56" spans="1:44" x14ac:dyDescent="0.25">
      <c r="A56" s="38"/>
      <c r="B56" s="19"/>
      <c r="C56" s="20">
        <f>_xlfn.STDEV.P(C46:C47)</f>
        <v>0</v>
      </c>
      <c r="D56" s="11"/>
      <c r="E56" s="11"/>
      <c r="F56" s="11">
        <f t="shared" ref="F56:K56" si="92">_xlfn.STDEV.P(F46:F47)</f>
        <v>0</v>
      </c>
      <c r="G56" s="25">
        <f t="shared" si="92"/>
        <v>0</v>
      </c>
      <c r="H56" s="27">
        <f t="shared" si="92"/>
        <v>0</v>
      </c>
      <c r="I56" s="23">
        <f t="shared" si="92"/>
        <v>0</v>
      </c>
      <c r="J56" s="23">
        <f t="shared" si="92"/>
        <v>0</v>
      </c>
      <c r="K56" s="11">
        <f t="shared" si="92"/>
        <v>0</v>
      </c>
      <c r="L56" s="23">
        <f t="shared" ref="L56:O56" si="93">_xlfn.STDEV.P(L46:L47)</f>
        <v>0</v>
      </c>
      <c r="M56" s="23">
        <f t="shared" si="93"/>
        <v>0</v>
      </c>
      <c r="N56" s="23">
        <f t="shared" si="93"/>
        <v>0</v>
      </c>
      <c r="O56" s="23">
        <f t="shared" si="93"/>
        <v>0</v>
      </c>
      <c r="P56" s="21">
        <f t="shared" ref="P56:Y56" si="94">P39</f>
        <v>4.6153388637595008E-2</v>
      </c>
      <c r="Q56" s="21">
        <f t="shared" si="94"/>
        <v>2.8167082712816083E-2</v>
      </c>
      <c r="R56" s="21">
        <f t="shared" si="94"/>
        <v>7.5177447556992807E-3</v>
      </c>
      <c r="S56" s="21">
        <f t="shared" si="94"/>
        <v>6.1744886251527981E-3</v>
      </c>
      <c r="T56" s="21">
        <f t="shared" si="94"/>
        <v>7.2796863740213812E-3</v>
      </c>
      <c r="U56" s="21">
        <f t="shared" si="94"/>
        <v>2.2904130260395852E-3</v>
      </c>
      <c r="V56" s="21">
        <f t="shared" si="94"/>
        <v>2.8137836599861227E-4</v>
      </c>
      <c r="W56" s="21">
        <f t="shared" si="94"/>
        <v>1.6264024772890212E-2</v>
      </c>
      <c r="X56" s="21">
        <f t="shared" si="94"/>
        <v>2.3543711146911759E-2</v>
      </c>
      <c r="Y56" s="21">
        <f t="shared" si="94"/>
        <v>1.3771812072301513E-4</v>
      </c>
      <c r="Z56" s="11"/>
      <c r="AA56" s="11"/>
      <c r="AB56" s="11"/>
      <c r="AC56" s="11"/>
      <c r="AD56" s="11"/>
      <c r="AE56" s="11"/>
      <c r="AF56" s="11"/>
      <c r="AG56" s="21">
        <f>AG39</f>
        <v>0</v>
      </c>
      <c r="AH56" s="21">
        <f t="shared" ref="AH56:AO56" si="95">_xlfn.STDEV.P(AH46:AH47)</f>
        <v>0</v>
      </c>
      <c r="AI56" s="21">
        <f t="shared" si="95"/>
        <v>0</v>
      </c>
      <c r="AJ56" s="21">
        <f t="shared" si="95"/>
        <v>0</v>
      </c>
      <c r="AK56" s="21">
        <f t="shared" si="95"/>
        <v>0</v>
      </c>
      <c r="AL56" s="21">
        <f t="shared" si="95"/>
        <v>0</v>
      </c>
      <c r="AM56" s="21">
        <f t="shared" si="95"/>
        <v>0</v>
      </c>
      <c r="AN56" s="21">
        <f t="shared" si="95"/>
        <v>0</v>
      </c>
      <c r="AO56" s="39">
        <f t="shared" si="95"/>
        <v>0</v>
      </c>
      <c r="AP56" s="21">
        <f t="shared" ref="AP56:AR56" si="96">_xlfn.STDEV.P(AP46:AP47)</f>
        <v>0</v>
      </c>
      <c r="AQ56" s="21">
        <f t="shared" si="96"/>
        <v>0</v>
      </c>
      <c r="AR56" s="21">
        <f t="shared" si="96"/>
        <v>0</v>
      </c>
    </row>
    <row r="57" spans="1:44" ht="16.5" thickBot="1" x14ac:dyDescent="0.3">
      <c r="A57" s="54"/>
      <c r="B57" s="43"/>
      <c r="C57" s="44">
        <f>_xlfn.STDEV.P(C48:C49)</f>
        <v>9.0342257332320236E-4</v>
      </c>
      <c r="D57" s="45"/>
      <c r="E57" s="45"/>
      <c r="F57" s="45">
        <f t="shared" ref="F57:K57" si="97">_xlfn.STDEV.P(F48:F49)</f>
        <v>0</v>
      </c>
      <c r="G57" s="47">
        <f t="shared" si="97"/>
        <v>0</v>
      </c>
      <c r="H57" s="55">
        <f t="shared" si="97"/>
        <v>0</v>
      </c>
      <c r="I57" s="46">
        <f t="shared" si="97"/>
        <v>0</v>
      </c>
      <c r="J57" s="46">
        <f t="shared" si="97"/>
        <v>0</v>
      </c>
      <c r="K57" s="45">
        <f t="shared" si="97"/>
        <v>0</v>
      </c>
      <c r="L57" s="46">
        <f t="shared" ref="L57:O57" si="98">_xlfn.STDEV.P(L48:L49)</f>
        <v>0</v>
      </c>
      <c r="M57" s="46">
        <f t="shared" si="98"/>
        <v>0</v>
      </c>
      <c r="N57" s="46">
        <f t="shared" si="98"/>
        <v>0</v>
      </c>
      <c r="O57" s="46">
        <f t="shared" si="98"/>
        <v>0</v>
      </c>
      <c r="P57" s="48">
        <f t="shared" ref="P57:Y57" si="99">P39</f>
        <v>4.6153388637595008E-2</v>
      </c>
      <c r="Q57" s="48">
        <f t="shared" si="99"/>
        <v>2.8167082712816083E-2</v>
      </c>
      <c r="R57" s="48">
        <f t="shared" si="99"/>
        <v>7.5177447556992807E-3</v>
      </c>
      <c r="S57" s="48">
        <f t="shared" si="99"/>
        <v>6.1744886251527981E-3</v>
      </c>
      <c r="T57" s="48">
        <f t="shared" si="99"/>
        <v>7.2796863740213812E-3</v>
      </c>
      <c r="U57" s="48">
        <f t="shared" si="99"/>
        <v>2.2904130260395852E-3</v>
      </c>
      <c r="V57" s="48">
        <f t="shared" si="99"/>
        <v>2.8137836599861227E-4</v>
      </c>
      <c r="W57" s="48">
        <f t="shared" si="99"/>
        <v>1.6264024772890212E-2</v>
      </c>
      <c r="X57" s="48">
        <f t="shared" si="99"/>
        <v>2.3543711146911759E-2</v>
      </c>
      <c r="Y57" s="48">
        <f t="shared" si="99"/>
        <v>1.3771812072301513E-4</v>
      </c>
      <c r="Z57" s="45"/>
      <c r="AA57" s="45"/>
      <c r="AB57" s="45"/>
      <c r="AC57" s="45"/>
      <c r="AD57" s="45"/>
      <c r="AE57" s="45"/>
      <c r="AF57" s="45"/>
      <c r="AG57" s="48">
        <f>AG39</f>
        <v>0</v>
      </c>
      <c r="AH57" s="48">
        <f t="shared" ref="AH57:AO57" si="100">_xlfn.STDEV.P(AH48:AH49)</f>
        <v>0</v>
      </c>
      <c r="AI57" s="48">
        <f t="shared" si="100"/>
        <v>0</v>
      </c>
      <c r="AJ57" s="48">
        <f t="shared" si="100"/>
        <v>0</v>
      </c>
      <c r="AK57" s="48">
        <f t="shared" si="100"/>
        <v>0</v>
      </c>
      <c r="AL57" s="48">
        <f t="shared" si="100"/>
        <v>0</v>
      </c>
      <c r="AM57" s="48">
        <f t="shared" si="100"/>
        <v>0</v>
      </c>
      <c r="AN57" s="48">
        <f t="shared" si="100"/>
        <v>0</v>
      </c>
      <c r="AO57" s="49">
        <f t="shared" si="100"/>
        <v>0</v>
      </c>
      <c r="AP57" s="48">
        <f t="shared" ref="AP57:AR57" si="101">_xlfn.STDEV.P(AP48:AP49)</f>
        <v>0</v>
      </c>
      <c r="AQ57" s="48">
        <f t="shared" si="101"/>
        <v>0</v>
      </c>
      <c r="AR57" s="48">
        <f t="shared" si="101"/>
        <v>0</v>
      </c>
    </row>
    <row r="58" spans="1:44" x14ac:dyDescent="0.25">
      <c r="X58" s="4"/>
      <c r="Y58" s="4"/>
    </row>
    <row r="59" spans="1:44" ht="16.5" thickBot="1" x14ac:dyDescent="0.3"/>
    <row r="60" spans="1:44" x14ac:dyDescent="0.25">
      <c r="A60" s="35" t="s">
        <v>162</v>
      </c>
      <c r="B60" s="36"/>
      <c r="C60" s="36"/>
      <c r="D60" s="36"/>
      <c r="E60" s="36"/>
      <c r="F60" s="36"/>
      <c r="G60" s="36"/>
      <c r="H60" s="36"/>
      <c r="I60" s="36"/>
      <c r="J60" s="37"/>
    </row>
    <row r="61" spans="1:44" x14ac:dyDescent="0.25">
      <c r="A61" s="38"/>
      <c r="B61" s="11"/>
      <c r="C61" s="11"/>
      <c r="D61" s="11"/>
      <c r="E61" s="62" t="s">
        <v>166</v>
      </c>
      <c r="F61" s="62"/>
      <c r="G61" s="62"/>
      <c r="H61" s="62"/>
      <c r="I61" s="62"/>
      <c r="J61" s="63"/>
    </row>
    <row r="62" spans="1:44" x14ac:dyDescent="0.25">
      <c r="A62" s="38" t="s">
        <v>133</v>
      </c>
      <c r="B62" s="11" t="s">
        <v>163</v>
      </c>
      <c r="C62" s="11" t="s">
        <v>164</v>
      </c>
      <c r="D62" s="11" t="s">
        <v>165</v>
      </c>
      <c r="E62" s="11" t="s">
        <v>135</v>
      </c>
      <c r="F62" s="11" t="s">
        <v>134</v>
      </c>
      <c r="G62" s="11" t="s">
        <v>139</v>
      </c>
      <c r="H62" s="11" t="s">
        <v>12</v>
      </c>
      <c r="I62" s="11" t="s">
        <v>53</v>
      </c>
      <c r="J62" s="13" t="s">
        <v>138</v>
      </c>
    </row>
    <row r="63" spans="1:44" x14ac:dyDescent="0.25">
      <c r="A63" s="38" t="str">
        <f>A13</f>
        <v>cHTL8</v>
      </c>
      <c r="B63" s="23">
        <f>H13</f>
        <v>317.71999999999997</v>
      </c>
      <c r="C63" s="23">
        <f>I13</f>
        <v>268.5</v>
      </c>
      <c r="D63" s="23">
        <f>J13</f>
        <v>79.56</v>
      </c>
      <c r="E63" s="22">
        <f>R13/X13</f>
        <v>0.1920493737520422</v>
      </c>
      <c r="F63" s="22">
        <f>S13/X13</f>
        <v>0</v>
      </c>
      <c r="G63" s="22">
        <f>U13/X13</f>
        <v>0.65256852423307332</v>
      </c>
      <c r="H63" s="22">
        <f>T13/X13</f>
        <v>0.15538210201488448</v>
      </c>
      <c r="I63" s="22">
        <f>V13/X13</f>
        <v>0</v>
      </c>
      <c r="J63" s="40">
        <f t="shared" ref="J63:J71" si="102">F63+E63+I63</f>
        <v>0.1920493737520422</v>
      </c>
      <c r="L63" s="2"/>
      <c r="M63" s="2"/>
      <c r="N63" s="2"/>
      <c r="O63" s="2"/>
    </row>
    <row r="64" spans="1:44" x14ac:dyDescent="0.25">
      <c r="A64" s="38" t="str">
        <f t="shared" ref="A64:A71" si="103">A15</f>
        <v>cHTL10</v>
      </c>
      <c r="B64" s="23">
        <f t="shared" ref="B64:D71" si="104">H15</f>
        <v>336.42727272727274</v>
      </c>
      <c r="C64" s="23">
        <f t="shared" si="104"/>
        <v>289.14545454545453</v>
      </c>
      <c r="D64" s="23">
        <f t="shared" si="104"/>
        <v>57.172727272727272</v>
      </c>
      <c r="E64" s="22">
        <f t="shared" ref="E64:E71" si="105">R15/X15</f>
        <v>0.23480908283648363</v>
      </c>
      <c r="F64" s="22">
        <f t="shared" ref="F64:F71" si="106">S15/X15</f>
        <v>0.23937587212990002</v>
      </c>
      <c r="G64" s="22">
        <f t="shared" ref="G64:G71" si="107">U15/X15</f>
        <v>0.3877965241659268</v>
      </c>
      <c r="H64" s="22">
        <f t="shared" ref="H64:H71" si="108">T15/X15</f>
        <v>0.13801852086768973</v>
      </c>
      <c r="I64" s="22">
        <f t="shared" ref="I64:I71" si="109">V15/X15</f>
        <v>0</v>
      </c>
      <c r="J64" s="40">
        <f t="shared" si="102"/>
        <v>0.47418495496638369</v>
      </c>
      <c r="L64" s="2"/>
      <c r="M64" s="2"/>
      <c r="N64" s="2"/>
      <c r="O64" s="2"/>
      <c r="AE64" s="2"/>
      <c r="AF64" s="2"/>
    </row>
    <row r="65" spans="1:32" x14ac:dyDescent="0.25">
      <c r="A65" s="38" t="str">
        <f t="shared" si="103"/>
        <v>cHTL11</v>
      </c>
      <c r="B65" s="23">
        <f t="shared" si="104"/>
        <v>302.08888888888885</v>
      </c>
      <c r="C65" s="23">
        <f t="shared" si="104"/>
        <v>247.61111111111111</v>
      </c>
      <c r="D65" s="23">
        <f t="shared" si="104"/>
        <v>104.66666666666667</v>
      </c>
      <c r="E65" s="22">
        <f t="shared" si="105"/>
        <v>0.36596080198242853</v>
      </c>
      <c r="F65" s="22">
        <f t="shared" si="106"/>
        <v>0.10756927235863949</v>
      </c>
      <c r="G65" s="22">
        <f t="shared" si="107"/>
        <v>0.22583915296237869</v>
      </c>
      <c r="H65" s="22">
        <f t="shared" si="108"/>
        <v>0.28880378463617917</v>
      </c>
      <c r="I65" s="22">
        <f t="shared" si="109"/>
        <v>1.1826988060373999E-2</v>
      </c>
      <c r="J65" s="40">
        <f t="shared" si="102"/>
        <v>0.48535706240144205</v>
      </c>
      <c r="L65" s="2"/>
      <c r="M65" s="2"/>
      <c r="N65" s="2"/>
      <c r="O65" s="2"/>
      <c r="AE65" s="2"/>
      <c r="AF65" s="2"/>
    </row>
    <row r="66" spans="1:32" x14ac:dyDescent="0.25">
      <c r="A66" s="38" t="str">
        <f t="shared" si="103"/>
        <v>cHTL12</v>
      </c>
      <c r="B66" s="23">
        <f t="shared" si="104"/>
        <v>328.44</v>
      </c>
      <c r="C66" s="23">
        <f t="shared" si="104"/>
        <v>264.00999999999993</v>
      </c>
      <c r="D66" s="23">
        <f t="shared" si="104"/>
        <v>114.58000000000001</v>
      </c>
      <c r="E66" s="22">
        <f t="shared" si="105"/>
        <v>0.41781825795644922</v>
      </c>
      <c r="F66" s="22">
        <f t="shared" si="106"/>
        <v>0.10364321608040183</v>
      </c>
      <c r="G66" s="22">
        <f t="shared" si="107"/>
        <v>0.23502931323283055</v>
      </c>
      <c r="H66" s="22">
        <f t="shared" si="108"/>
        <v>0.2310510887772195</v>
      </c>
      <c r="I66" s="22">
        <f t="shared" si="109"/>
        <v>1.2458123953098805E-2</v>
      </c>
      <c r="J66" s="40">
        <f t="shared" si="102"/>
        <v>0.53391959798994981</v>
      </c>
      <c r="L66" s="2"/>
      <c r="M66" s="2"/>
      <c r="N66" s="2"/>
      <c r="O66" s="2"/>
      <c r="AE66" s="2"/>
      <c r="AF66" s="2"/>
    </row>
    <row r="67" spans="1:32" x14ac:dyDescent="0.25">
      <c r="A67" s="38" t="str">
        <f t="shared" si="103"/>
        <v>cHTL13</v>
      </c>
      <c r="B67" s="23">
        <f t="shared" si="104"/>
        <v>344.21000000000004</v>
      </c>
      <c r="C67" s="23">
        <f t="shared" si="104"/>
        <v>298.54000000000002</v>
      </c>
      <c r="D67" s="23">
        <f t="shared" si="104"/>
        <v>125.88</v>
      </c>
      <c r="E67" s="22">
        <f t="shared" si="105"/>
        <v>0.48382818079787759</v>
      </c>
      <c r="F67" s="22">
        <f t="shared" si="106"/>
        <v>6.5911641669217466E-2</v>
      </c>
      <c r="G67" s="22">
        <f t="shared" si="107"/>
        <v>0.19855116824813798</v>
      </c>
      <c r="H67" s="22">
        <f t="shared" si="108"/>
        <v>0.2421181512090603</v>
      </c>
      <c r="I67" s="22">
        <f t="shared" si="109"/>
        <v>9.5908580757066778E-3</v>
      </c>
      <c r="J67" s="40">
        <f t="shared" si="102"/>
        <v>0.55933068054280177</v>
      </c>
      <c r="L67" s="2"/>
      <c r="M67" s="2"/>
      <c r="N67" s="2"/>
      <c r="O67" s="2"/>
      <c r="AE67" s="2"/>
      <c r="AF67" s="2"/>
    </row>
    <row r="68" spans="1:32" x14ac:dyDescent="0.25">
      <c r="A68" s="38" t="str">
        <f t="shared" si="103"/>
        <v>cHTL14</v>
      </c>
      <c r="B68" s="23">
        <f t="shared" si="104"/>
        <v>316.63</v>
      </c>
      <c r="C68" s="23">
        <f t="shared" si="104"/>
        <v>266.46000000000004</v>
      </c>
      <c r="D68" s="23">
        <f t="shared" si="104"/>
        <v>93.079999999999984</v>
      </c>
      <c r="E68" s="22">
        <f t="shared" si="105"/>
        <v>0.35406940063091474</v>
      </c>
      <c r="F68" s="22">
        <f t="shared" si="106"/>
        <v>0.10082018927444827</v>
      </c>
      <c r="G68" s="22">
        <f t="shared" si="107"/>
        <v>0.33249211356466835</v>
      </c>
      <c r="H68" s="22">
        <f t="shared" si="108"/>
        <v>0.20328075709779178</v>
      </c>
      <c r="I68" s="22">
        <f t="shared" si="109"/>
        <v>9.3375394321768557E-3</v>
      </c>
      <c r="J68" s="40">
        <f t="shared" si="102"/>
        <v>0.46422712933753985</v>
      </c>
      <c r="L68" s="2"/>
      <c r="M68" s="2"/>
      <c r="N68" s="2"/>
      <c r="O68" s="2"/>
      <c r="AE68" s="2"/>
      <c r="AF68" s="2"/>
    </row>
    <row r="69" spans="1:32" x14ac:dyDescent="0.25">
      <c r="A69" s="38" t="str">
        <f t="shared" si="103"/>
        <v>cHTL15</v>
      </c>
      <c r="B69" s="23">
        <f t="shared" si="104"/>
        <v>318.79090909090905</v>
      </c>
      <c r="C69" s="23">
        <f t="shared" si="104"/>
        <v>273.80909090909091</v>
      </c>
      <c r="D69" s="23">
        <f t="shared" si="104"/>
        <v>56.336363636363643</v>
      </c>
      <c r="E69" s="22">
        <f t="shared" si="105"/>
        <v>0.2385599653003688</v>
      </c>
      <c r="F69" s="22">
        <f t="shared" si="106"/>
        <v>5.6278464541314022E-2</v>
      </c>
      <c r="G69" s="22">
        <f t="shared" si="107"/>
        <v>0.46128822381262174</v>
      </c>
      <c r="H69" s="22">
        <f t="shared" si="108"/>
        <v>0.24105400130123625</v>
      </c>
      <c r="I69" s="22">
        <f t="shared" si="109"/>
        <v>2.819345044459264E-3</v>
      </c>
      <c r="J69" s="40">
        <f t="shared" si="102"/>
        <v>0.29765777488614209</v>
      </c>
      <c r="L69" s="2"/>
      <c r="M69" s="2"/>
      <c r="N69" s="2"/>
      <c r="O69" s="2"/>
      <c r="AE69" s="2"/>
      <c r="AF69" s="2"/>
    </row>
    <row r="70" spans="1:32" x14ac:dyDescent="0.25">
      <c r="A70" s="38" t="str">
        <f t="shared" si="103"/>
        <v>cHTL16</v>
      </c>
      <c r="B70" s="23">
        <f t="shared" si="104"/>
        <v>319.62</v>
      </c>
      <c r="C70" s="23">
        <f t="shared" si="104"/>
        <v>262.01</v>
      </c>
      <c r="D70" s="23">
        <f t="shared" si="104"/>
        <v>114.92000000000003</v>
      </c>
      <c r="E70" s="22">
        <f t="shared" si="105"/>
        <v>0.40875318066157751</v>
      </c>
      <c r="F70" s="22">
        <f t="shared" si="106"/>
        <v>9.872773536895664E-2</v>
      </c>
      <c r="G70" s="22">
        <f t="shared" si="107"/>
        <v>0.28631043256997446</v>
      </c>
      <c r="H70" s="22">
        <f t="shared" si="108"/>
        <v>0.19511450381679407</v>
      </c>
      <c r="I70" s="22">
        <f t="shared" si="109"/>
        <v>1.1094147582697382E-2</v>
      </c>
      <c r="J70" s="40">
        <f t="shared" si="102"/>
        <v>0.51857506361323147</v>
      </c>
      <c r="L70" s="2"/>
      <c r="M70" s="2"/>
      <c r="N70" s="2"/>
      <c r="O70" s="2"/>
      <c r="AE70" s="2"/>
      <c r="AF70" s="2"/>
    </row>
    <row r="71" spans="1:32" ht="16.5" thickBot="1" x14ac:dyDescent="0.3">
      <c r="A71" s="54" t="str">
        <f t="shared" si="103"/>
        <v>cHTL17</v>
      </c>
      <c r="B71" s="46">
        <f t="shared" si="104"/>
        <v>320.81</v>
      </c>
      <c r="C71" s="46">
        <f t="shared" si="104"/>
        <v>272.12</v>
      </c>
      <c r="D71" s="46">
        <f t="shared" si="104"/>
        <v>119.68888888888887</v>
      </c>
      <c r="E71" s="56">
        <f t="shared" si="105"/>
        <v>0.43333333333333346</v>
      </c>
      <c r="F71" s="56">
        <f t="shared" si="106"/>
        <v>5.3787878787878621E-2</v>
      </c>
      <c r="G71" s="56">
        <f t="shared" si="107"/>
        <v>0.33825757575757576</v>
      </c>
      <c r="H71" s="56">
        <f t="shared" si="108"/>
        <v>0.16376262626262644</v>
      </c>
      <c r="I71" s="56">
        <f t="shared" si="109"/>
        <v>1.0858585858585679E-2</v>
      </c>
      <c r="J71" s="57">
        <f t="shared" si="102"/>
        <v>0.49797979797979774</v>
      </c>
      <c r="L71" s="2"/>
      <c r="M71" s="2"/>
      <c r="N71" s="2"/>
      <c r="O71" s="2"/>
      <c r="AE71" s="2"/>
      <c r="AF71" s="2"/>
    </row>
    <row r="72" spans="1:32" x14ac:dyDescent="0.25">
      <c r="B72" s="4"/>
      <c r="C72" s="10"/>
      <c r="D72" s="2"/>
      <c r="E72" s="10"/>
      <c r="F72" s="10"/>
      <c r="G72" s="2"/>
      <c r="AD72" s="2"/>
      <c r="AE72" s="2"/>
    </row>
    <row r="73" spans="1:32" x14ac:dyDescent="0.25">
      <c r="B73" s="4"/>
      <c r="C73" s="23">
        <f>MIN(C63:C71)</f>
        <v>247.61111111111111</v>
      </c>
      <c r="D73" s="23">
        <f>MAX(D63:D71)</f>
        <v>125.88</v>
      </c>
      <c r="E73" s="10"/>
      <c r="F73" s="10"/>
      <c r="G73" s="2"/>
    </row>
    <row r="74" spans="1:32" x14ac:dyDescent="0.25">
      <c r="P74" t="s">
        <v>20</v>
      </c>
      <c r="AD74" s="2"/>
      <c r="AE74" s="2"/>
    </row>
    <row r="75" spans="1:32" x14ac:dyDescent="0.25">
      <c r="AD75" s="2"/>
      <c r="AE75" s="2"/>
    </row>
    <row r="76" spans="1:32" x14ac:dyDescent="0.25">
      <c r="AD76" s="2"/>
      <c r="AE76" s="2"/>
    </row>
    <row r="77" spans="1:32" x14ac:dyDescent="0.25">
      <c r="AD77" s="2"/>
      <c r="AE77" s="2"/>
    </row>
    <row r="78" spans="1:32" x14ac:dyDescent="0.25">
      <c r="AD78" s="2"/>
      <c r="AE78" s="2"/>
    </row>
    <row r="79" spans="1:32" x14ac:dyDescent="0.25">
      <c r="AD79" s="2"/>
      <c r="AE79" s="2"/>
    </row>
    <row r="80" spans="1:32" x14ac:dyDescent="0.25">
      <c r="AD80" s="2"/>
      <c r="AE80" s="2"/>
    </row>
    <row r="81" spans="7:31" x14ac:dyDescent="0.25">
      <c r="AD81" s="2"/>
      <c r="AE81" s="2"/>
    </row>
    <row r="82" spans="7:31" x14ac:dyDescent="0.25">
      <c r="AD82" s="2"/>
      <c r="AE82" s="2"/>
    </row>
    <row r="86" spans="7:31" x14ac:dyDescent="0.25">
      <c r="G86" t="s">
        <v>20</v>
      </c>
    </row>
  </sheetData>
  <mergeCells count="10">
    <mergeCell ref="L1:O1"/>
    <mergeCell ref="F1:K1"/>
    <mergeCell ref="C1:E1"/>
    <mergeCell ref="E61:J61"/>
    <mergeCell ref="AA1:AC1"/>
    <mergeCell ref="AD1:AF1"/>
    <mergeCell ref="AG1:AI1"/>
    <mergeCell ref="AJ1:AL1"/>
    <mergeCell ref="AM1:AO1"/>
    <mergeCell ref="P1:Y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7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I24" sqref="CI24"/>
    </sheetView>
  </sheetViews>
  <sheetFormatPr defaultColWidth="11" defaultRowHeight="15.75" x14ac:dyDescent="0.25"/>
  <sheetData>
    <row r="2" spans="1:48" x14ac:dyDescent="0.25">
      <c r="A2" t="s">
        <v>61</v>
      </c>
      <c r="B2" t="s">
        <v>7</v>
      </c>
      <c r="C2" t="s">
        <v>62</v>
      </c>
      <c r="D2" t="s">
        <v>63</v>
      </c>
      <c r="E2" t="s">
        <v>64</v>
      </c>
      <c r="H2" t="s">
        <v>11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O2" t="s">
        <v>70</v>
      </c>
      <c r="P2" t="s">
        <v>71</v>
      </c>
      <c r="R2" t="s">
        <v>72</v>
      </c>
      <c r="T2" t="s">
        <v>73</v>
      </c>
      <c r="V2" t="s">
        <v>74</v>
      </c>
      <c r="Y2" t="s">
        <v>75</v>
      </c>
      <c r="AC2" t="s">
        <v>76</v>
      </c>
      <c r="AH2" t="s">
        <v>137</v>
      </c>
      <c r="AK2" t="s">
        <v>140</v>
      </c>
      <c r="AN2" t="s">
        <v>148</v>
      </c>
    </row>
    <row r="3" spans="1:48" x14ac:dyDescent="0.25">
      <c r="E3" t="s">
        <v>77</v>
      </c>
      <c r="F3" t="s">
        <v>78</v>
      </c>
      <c r="G3" t="s">
        <v>79</v>
      </c>
      <c r="M3" t="s">
        <v>80</v>
      </c>
      <c r="N3" t="s">
        <v>14</v>
      </c>
      <c r="P3" t="s">
        <v>77</v>
      </c>
      <c r="Q3" t="s">
        <v>81</v>
      </c>
      <c r="R3" t="s">
        <v>82</v>
      </c>
      <c r="S3" t="s">
        <v>83</v>
      </c>
      <c r="T3" t="s">
        <v>77</v>
      </c>
      <c r="U3" t="s">
        <v>81</v>
      </c>
      <c r="V3" t="s">
        <v>77</v>
      </c>
      <c r="W3" t="s">
        <v>84</v>
      </c>
      <c r="X3" t="s">
        <v>79</v>
      </c>
      <c r="Y3" t="s">
        <v>85</v>
      </c>
      <c r="Z3" t="s">
        <v>86</v>
      </c>
      <c r="AA3" t="s">
        <v>35</v>
      </c>
      <c r="AB3" t="s">
        <v>87</v>
      </c>
      <c r="AC3" t="s">
        <v>18</v>
      </c>
      <c r="AD3" t="s">
        <v>88</v>
      </c>
      <c r="AE3" t="s">
        <v>19</v>
      </c>
      <c r="AF3" t="s">
        <v>89</v>
      </c>
      <c r="AG3" t="s">
        <v>136</v>
      </c>
      <c r="AH3" t="s">
        <v>15</v>
      </c>
      <c r="AI3" t="s">
        <v>16</v>
      </c>
      <c r="AJ3" t="s">
        <v>17</v>
      </c>
      <c r="AK3" t="s">
        <v>15</v>
      </c>
      <c r="AL3" t="s">
        <v>16</v>
      </c>
      <c r="AM3" t="s">
        <v>17</v>
      </c>
      <c r="AN3" s="11" t="s">
        <v>8</v>
      </c>
      <c r="AO3" s="11" t="s">
        <v>141</v>
      </c>
      <c r="AP3" s="11" t="s">
        <v>142</v>
      </c>
      <c r="AQ3" s="12" t="s">
        <v>143</v>
      </c>
      <c r="AR3" s="11" t="s">
        <v>144</v>
      </c>
      <c r="AS3" s="11" t="s">
        <v>145</v>
      </c>
      <c r="AT3" s="13" t="s">
        <v>146</v>
      </c>
      <c r="AU3" s="14" t="s">
        <v>147</v>
      </c>
      <c r="AV3" s="12" t="s">
        <v>168</v>
      </c>
    </row>
    <row r="4" spans="1:48" x14ac:dyDescent="0.25">
      <c r="A4" t="s">
        <v>85</v>
      </c>
      <c r="AH4">
        <v>40.1</v>
      </c>
      <c r="AI4">
        <v>5.8</v>
      </c>
      <c r="AJ4">
        <v>6.1</v>
      </c>
      <c r="AN4" s="15">
        <v>1</v>
      </c>
      <c r="AO4" s="15">
        <v>0.28899999999999998</v>
      </c>
      <c r="AP4" s="15">
        <v>0.28399999999999997</v>
      </c>
      <c r="AQ4" s="12">
        <v>0.29099999999999998</v>
      </c>
      <c r="AR4" s="15">
        <f>AVERAGE(AO4:AQ4)</f>
        <v>0.28799999999999998</v>
      </c>
      <c r="AS4" s="16">
        <v>28.305522</v>
      </c>
    </row>
    <row r="5" spans="1:48" x14ac:dyDescent="0.25">
      <c r="A5" t="s">
        <v>90</v>
      </c>
      <c r="B5" s="1">
        <v>42464</v>
      </c>
      <c r="C5">
        <v>30</v>
      </c>
      <c r="D5">
        <v>20.690999999999999</v>
      </c>
      <c r="E5">
        <v>17.355</v>
      </c>
      <c r="F5">
        <v>30.992999999999999</v>
      </c>
      <c r="G5">
        <v>18.056000000000001</v>
      </c>
      <c r="H5">
        <v>500</v>
      </c>
      <c r="I5" s="8">
        <v>0.50208333333333333</v>
      </c>
      <c r="J5" s="8">
        <v>0.54999999999999993</v>
      </c>
      <c r="K5">
        <v>320</v>
      </c>
      <c r="L5">
        <v>115</v>
      </c>
      <c r="M5">
        <v>68.500000000000014</v>
      </c>
      <c r="N5">
        <v>320.89999999999998</v>
      </c>
      <c r="O5">
        <v>54</v>
      </c>
      <c r="P5">
        <v>17.308</v>
      </c>
      <c r="Q5">
        <v>17.47</v>
      </c>
      <c r="R5">
        <v>1.165</v>
      </c>
      <c r="S5">
        <v>1.585</v>
      </c>
      <c r="T5">
        <v>17.256</v>
      </c>
      <c r="U5">
        <v>31.917999999999999</v>
      </c>
      <c r="V5">
        <v>7.1340000000000003</v>
      </c>
      <c r="W5">
        <v>9.8800000000000008</v>
      </c>
      <c r="X5">
        <v>7.1550000000000002</v>
      </c>
      <c r="Y5" s="7">
        <f>D5*(G5-E5)/(F5-E5)</f>
        <v>1.063527716674</v>
      </c>
      <c r="Z5" s="7">
        <f>(D5-Y5)</f>
        <v>19.627472283326</v>
      </c>
      <c r="AA5" s="9">
        <f>Y5/Z5</f>
        <v>5.4185669011362805E-2</v>
      </c>
      <c r="AB5" s="9">
        <f>(U5-T5)/Z5</f>
        <v>0.74701417423249727</v>
      </c>
      <c r="AC5" s="9">
        <f>(S5-R5)/Y5</f>
        <v>0.39491213384967311</v>
      </c>
      <c r="AD5" s="9">
        <f>(Q5-P5)/Y5</f>
        <v>0.15232325162773017</v>
      </c>
      <c r="AE5" s="9">
        <f>(X5-V5)/(W5-V5)*(U5-T5)/Y5</f>
        <v>0.10542974702301312</v>
      </c>
      <c r="AF5" s="9">
        <f>100000*(O5/1000000)/(8.314*298)*44/Y5</f>
        <v>9.0171924658767624E-2</v>
      </c>
      <c r="AG5" s="5">
        <f>N5/M5</f>
        <v>4.6846715328467141</v>
      </c>
      <c r="AN5">
        <v>0.2</v>
      </c>
      <c r="AO5">
        <v>0.53400000000000003</v>
      </c>
      <c r="AP5">
        <v>0.53800000000000003</v>
      </c>
      <c r="AQ5">
        <v>0.54400000000000004</v>
      </c>
      <c r="AR5" s="17">
        <f>AVERAGE(AO5:AQ5)</f>
        <v>0.53866666666666674</v>
      </c>
      <c r="AS5" s="4">
        <f>AR5/$AR$4*$AS$4*$AN$4/AN5</f>
        <v>264.70904833333339</v>
      </c>
      <c r="AT5" s="4">
        <f>AS5*Z5/100</f>
        <v>51.955695093081033</v>
      </c>
      <c r="AU5" s="3">
        <f>AT5/1000/Y5</f>
        <v>4.8852224797265774E-2</v>
      </c>
    </row>
    <row r="6" spans="1:48" x14ac:dyDescent="0.25">
      <c r="A6" t="s">
        <v>91</v>
      </c>
      <c r="B6" s="1">
        <v>42465</v>
      </c>
      <c r="C6" t="s">
        <v>92</v>
      </c>
      <c r="D6">
        <v>21.626999999999999</v>
      </c>
      <c r="E6">
        <v>17.449000000000002</v>
      </c>
      <c r="F6">
        <v>28.864000000000001</v>
      </c>
      <c r="G6">
        <v>18.026</v>
      </c>
      <c r="H6">
        <v>600</v>
      </c>
      <c r="I6" s="8">
        <v>0.42430555555555555</v>
      </c>
      <c r="J6" s="8">
        <v>0.4375</v>
      </c>
      <c r="K6">
        <v>320</v>
      </c>
      <c r="L6">
        <v>119</v>
      </c>
      <c r="M6" s="4">
        <v>18.333333333333332</v>
      </c>
      <c r="N6" s="4">
        <v>322.5</v>
      </c>
      <c r="O6">
        <v>40</v>
      </c>
      <c r="P6">
        <v>16.957999999999998</v>
      </c>
      <c r="Q6">
        <v>17.129000000000001</v>
      </c>
      <c r="R6">
        <v>1.2010000000000001</v>
      </c>
      <c r="S6">
        <v>1.625</v>
      </c>
      <c r="T6">
        <v>16.959</v>
      </c>
      <c r="U6">
        <v>33.639000000000003</v>
      </c>
      <c r="V6">
        <v>7.2249999999999996</v>
      </c>
      <c r="W6">
        <v>10.632999999999999</v>
      </c>
      <c r="X6">
        <v>7.27</v>
      </c>
      <c r="Y6" s="7">
        <f>D6*(G6-E6)/(F6-E6)</f>
        <v>1.0931913272010478</v>
      </c>
      <c r="Z6" s="7">
        <f t="shared" ref="Z6:Z24" si="0">(D6-Y6)</f>
        <v>20.533808672798951</v>
      </c>
      <c r="AA6" s="9">
        <f t="shared" ref="AA6:AA24" si="1">Y6/Z6</f>
        <v>5.3238604908654563E-2</v>
      </c>
      <c r="AB6" s="9">
        <f t="shared" ref="AB6:AB24" si="2">(U6-T6)/Z6</f>
        <v>0.8123188574409933</v>
      </c>
      <c r="AC6" s="9">
        <f t="shared" ref="AC6:AC24" si="3">(S6-R6)/Y6</f>
        <v>0.38785525410779487</v>
      </c>
      <c r="AD6" s="9">
        <f t="shared" ref="AD6:AD24" si="4">(Q6-P6)/Y6</f>
        <v>0.15642275578404261</v>
      </c>
      <c r="AE6" s="9">
        <f t="shared" ref="AE6:AE24" si="5">(X6-V6)/(W6-V6)*(U6-T6)/Y6</f>
        <v>0.20147111799463979</v>
      </c>
      <c r="AF6" s="9">
        <f>100000*(O6/1000000)/(8.314*298)*44/Y6</f>
        <v>6.4981570898059449E-2</v>
      </c>
      <c r="AG6" s="5">
        <f t="shared" ref="AG6:AG24" si="6">N6/M6</f>
        <v>17.590909090909093</v>
      </c>
      <c r="AN6">
        <v>0.2</v>
      </c>
      <c r="AO6">
        <v>0.53400000000000003</v>
      </c>
      <c r="AP6">
        <v>0.53800000000000003</v>
      </c>
      <c r="AQ6">
        <v>0.54400000000000004</v>
      </c>
      <c r="AR6" s="17">
        <f t="shared" ref="AR6:AR24" si="7">AVERAGE(AO6:AQ6)</f>
        <v>0.53866666666666674</v>
      </c>
      <c r="AS6" s="4">
        <f t="shared" ref="AS6:AS24" si="8">AR6/$AR$4*$AS$4*$AN$4/AN6</f>
        <v>264.70904833333339</v>
      </c>
      <c r="AT6" s="4">
        <f t="shared" ref="AT6:AT24" si="9">AS6*Z6/100</f>
        <v>54.354849524353575</v>
      </c>
      <c r="AU6" s="3">
        <f t="shared" ref="AU6:AU24" si="10">AT6/1000/Y6</f>
        <v>4.9721259373252627E-2</v>
      </c>
    </row>
    <row r="7" spans="1:48" x14ac:dyDescent="0.25">
      <c r="A7" t="s">
        <v>93</v>
      </c>
      <c r="B7" s="1">
        <v>42465</v>
      </c>
      <c r="C7" t="s">
        <v>92</v>
      </c>
      <c r="D7">
        <v>20.361000000000001</v>
      </c>
      <c r="E7">
        <v>7.226</v>
      </c>
      <c r="F7">
        <v>13.234999999999999</v>
      </c>
      <c r="G7">
        <v>7.5289999999999999</v>
      </c>
      <c r="H7">
        <v>700</v>
      </c>
      <c r="I7" s="8">
        <v>0.61875000000000002</v>
      </c>
      <c r="J7" s="8">
        <v>0.62569444444444444</v>
      </c>
      <c r="K7">
        <v>324</v>
      </c>
      <c r="L7">
        <v>130</v>
      </c>
      <c r="M7" s="4">
        <v>9.4166666666666288</v>
      </c>
      <c r="N7" s="4">
        <v>324.2</v>
      </c>
      <c r="O7">
        <v>50</v>
      </c>
      <c r="P7">
        <v>16.882999999999999</v>
      </c>
      <c r="Q7">
        <v>17.053999999999998</v>
      </c>
      <c r="R7">
        <v>1.1910000000000001</v>
      </c>
      <c r="S7">
        <v>1.5980000000000001</v>
      </c>
      <c r="T7">
        <v>16.907</v>
      </c>
      <c r="U7">
        <v>32.433999999999997</v>
      </c>
      <c r="V7">
        <v>7.2439999999999998</v>
      </c>
      <c r="W7">
        <v>10.305999999999999</v>
      </c>
      <c r="X7">
        <v>7.2850000000000001</v>
      </c>
      <c r="Y7" s="7">
        <f t="shared" ref="Y7:Y24" si="11">D7*(G7-E7)/(F7-E7)</f>
        <v>1.0266904643035446</v>
      </c>
      <c r="Z7" s="7">
        <f t="shared" si="0"/>
        <v>19.334309535696455</v>
      </c>
      <c r="AA7" s="9">
        <f t="shared" si="1"/>
        <v>5.3101997896950574E-2</v>
      </c>
      <c r="AB7" s="9">
        <f t="shared" si="2"/>
        <v>0.80308013954844792</v>
      </c>
      <c r="AC7" s="9">
        <f t="shared" si="3"/>
        <v>0.39641938261897508</v>
      </c>
      <c r="AD7" s="9">
        <f t="shared" si="4"/>
        <v>0.1665545809037948</v>
      </c>
      <c r="AE7" s="9">
        <f t="shared" si="5"/>
        <v>0.20250077747110104</v>
      </c>
      <c r="AF7" s="9">
        <f t="shared" ref="AF7:AF24" si="12">100000*(O7/1000000)/(8.314*298)*44/Y7</f>
        <v>8.6488201901542369E-2</v>
      </c>
      <c r="AG7" s="5">
        <f t="shared" si="6"/>
        <v>34.428318584070936</v>
      </c>
      <c r="AH7">
        <f>(71+71.12)/2</f>
        <v>71.06</v>
      </c>
      <c r="AI7">
        <f>(9.3+9.45)/2</f>
        <v>9.375</v>
      </c>
      <c r="AJ7">
        <f>(4.01+4.08)/2</f>
        <v>4.0449999999999999</v>
      </c>
      <c r="AN7">
        <v>0.2</v>
      </c>
      <c r="AO7">
        <v>0.53400000000000003</v>
      </c>
      <c r="AP7">
        <v>0.53800000000000003</v>
      </c>
      <c r="AQ7">
        <v>0.54400000000000004</v>
      </c>
      <c r="AR7" s="17">
        <f t="shared" si="7"/>
        <v>0.53866666666666674</v>
      </c>
      <c r="AS7" s="4">
        <f t="shared" si="8"/>
        <v>264.70904833333339</v>
      </c>
      <c r="AT7" s="4">
        <f t="shared" si="9"/>
        <v>51.179666773763017</v>
      </c>
      <c r="AU7" s="3">
        <f t="shared" si="10"/>
        <v>4.9849169300000017E-2</v>
      </c>
    </row>
    <row r="8" spans="1:48" x14ac:dyDescent="0.25">
      <c r="A8" t="s">
        <v>94</v>
      </c>
      <c r="B8" s="1">
        <v>42466</v>
      </c>
      <c r="C8">
        <v>37</v>
      </c>
      <c r="D8">
        <v>20.509</v>
      </c>
      <c r="E8">
        <v>7.234</v>
      </c>
      <c r="F8">
        <v>11.444000000000001</v>
      </c>
      <c r="G8">
        <v>7.4409999999999998</v>
      </c>
      <c r="H8">
        <v>500</v>
      </c>
      <c r="I8" s="8">
        <v>0.43333333333333335</v>
      </c>
      <c r="J8" s="8">
        <v>0.45555555555555555</v>
      </c>
      <c r="K8">
        <v>320</v>
      </c>
      <c r="L8">
        <v>119</v>
      </c>
      <c r="M8" s="4">
        <v>32.666666666666671</v>
      </c>
      <c r="N8" s="4">
        <v>320.2</v>
      </c>
      <c r="O8">
        <v>46</v>
      </c>
      <c r="P8">
        <v>16.942</v>
      </c>
      <c r="Q8">
        <v>17.102</v>
      </c>
      <c r="R8">
        <v>1.173</v>
      </c>
      <c r="S8">
        <v>1.591</v>
      </c>
      <c r="T8">
        <v>16.776</v>
      </c>
      <c r="U8">
        <v>32.137999999999998</v>
      </c>
      <c r="V8">
        <v>7.2789999999999999</v>
      </c>
      <c r="W8">
        <v>10.914999999999999</v>
      </c>
      <c r="X8">
        <v>7.3170000000000002</v>
      </c>
      <c r="Y8" s="7">
        <f t="shared" si="11"/>
        <v>1.0083997624703078</v>
      </c>
      <c r="Z8" s="7">
        <f t="shared" si="0"/>
        <v>19.500600237529692</v>
      </c>
      <c r="AA8" s="9">
        <f t="shared" si="1"/>
        <v>5.1711216587559276E-2</v>
      </c>
      <c r="AB8" s="9">
        <f t="shared" si="2"/>
        <v>0.78777062310293455</v>
      </c>
      <c r="AC8" s="9">
        <f t="shared" si="3"/>
        <v>0.41451814603368459</v>
      </c>
      <c r="AD8" s="9">
        <f t="shared" si="4"/>
        <v>0.15866723293155408</v>
      </c>
      <c r="AE8" s="9">
        <f t="shared" si="5"/>
        <v>0.15921161514575227</v>
      </c>
      <c r="AF8" s="9">
        <f t="shared" si="12"/>
        <v>8.1012398290913737E-2</v>
      </c>
      <c r="AG8" s="5">
        <f t="shared" si="6"/>
        <v>9.802040816326528</v>
      </c>
      <c r="AN8">
        <v>0.2</v>
      </c>
      <c r="AO8">
        <v>0.53400000000000003</v>
      </c>
      <c r="AP8">
        <v>0.53800000000000003</v>
      </c>
      <c r="AQ8">
        <v>0.54400000000000004</v>
      </c>
      <c r="AR8" s="17">
        <f t="shared" si="7"/>
        <v>0.53866666666666674</v>
      </c>
      <c r="AS8" s="4">
        <f t="shared" si="8"/>
        <v>264.70904833333339</v>
      </c>
      <c r="AT8" s="4">
        <f t="shared" si="9"/>
        <v>51.619853308052598</v>
      </c>
      <c r="AU8" s="3">
        <f t="shared" si="10"/>
        <v>5.1189870554508916E-2</v>
      </c>
    </row>
    <row r="9" spans="1:48" x14ac:dyDescent="0.25">
      <c r="A9" t="s">
        <v>95</v>
      </c>
      <c r="B9" s="1">
        <v>42466</v>
      </c>
      <c r="C9">
        <v>37</v>
      </c>
      <c r="D9">
        <v>20.123999999999999</v>
      </c>
      <c r="E9">
        <v>7.2140000000000004</v>
      </c>
      <c r="F9">
        <v>11.412000000000001</v>
      </c>
      <c r="G9">
        <v>7.4210000000000003</v>
      </c>
      <c r="H9">
        <v>600</v>
      </c>
      <c r="I9" s="8">
        <v>0.61944444444444446</v>
      </c>
      <c r="J9" s="8">
        <v>0.62986111111111109</v>
      </c>
      <c r="K9">
        <v>322</v>
      </c>
      <c r="L9">
        <v>120</v>
      </c>
      <c r="M9" s="4">
        <v>14.5</v>
      </c>
      <c r="N9" s="4">
        <v>321.5</v>
      </c>
      <c r="O9">
        <v>38</v>
      </c>
      <c r="P9">
        <v>16.831</v>
      </c>
      <c r="Q9">
        <v>16.998000000000001</v>
      </c>
      <c r="R9">
        <v>1.1619999999999999</v>
      </c>
      <c r="S9">
        <v>1.5509999999999999</v>
      </c>
      <c r="T9">
        <v>16.952000000000002</v>
      </c>
      <c r="U9">
        <v>25.913</v>
      </c>
      <c r="V9">
        <v>7.2050000000000001</v>
      </c>
      <c r="W9">
        <v>10.553000000000001</v>
      </c>
      <c r="X9">
        <v>7.2549999999999999</v>
      </c>
      <c r="Y9" s="7">
        <f t="shared" si="11"/>
        <v>0.99229823725583521</v>
      </c>
      <c r="Z9" s="7">
        <f t="shared" si="0"/>
        <v>19.131701762744164</v>
      </c>
      <c r="AA9" s="9">
        <f t="shared" si="1"/>
        <v>5.1866700075169081E-2</v>
      </c>
      <c r="AB9" s="9">
        <f t="shared" si="2"/>
        <v>0.46838488865899369</v>
      </c>
      <c r="AC9" s="9">
        <f t="shared" si="3"/>
        <v>0.39201923917124493</v>
      </c>
      <c r="AD9" s="9">
        <f t="shared" si="4"/>
        <v>0.16829617722775972</v>
      </c>
      <c r="AE9" s="9">
        <f t="shared" si="5"/>
        <v>0.13486486204454304</v>
      </c>
      <c r="AF9" s="9">
        <f t="shared" si="12"/>
        <v>6.8009216093746341E-2</v>
      </c>
      <c r="AG9" s="5">
        <f t="shared" si="6"/>
        <v>22.172413793103448</v>
      </c>
      <c r="AN9">
        <v>0.2</v>
      </c>
      <c r="AO9">
        <v>0.53400000000000003</v>
      </c>
      <c r="AP9">
        <v>0.53800000000000003</v>
      </c>
      <c r="AQ9">
        <v>0.54400000000000004</v>
      </c>
      <c r="AR9" s="17">
        <f t="shared" si="7"/>
        <v>0.53866666666666674</v>
      </c>
      <c r="AS9" s="4">
        <f t="shared" si="8"/>
        <v>264.70904833333339</v>
      </c>
      <c r="AT9" s="4">
        <f t="shared" si="9"/>
        <v>50.643345666131644</v>
      </c>
      <c r="AU9" s="3">
        <f t="shared" si="10"/>
        <v>5.1036416033735967E-2</v>
      </c>
    </row>
    <row r="10" spans="1:48" x14ac:dyDescent="0.25">
      <c r="A10" t="s">
        <v>96</v>
      </c>
      <c r="B10" s="1">
        <v>42467</v>
      </c>
      <c r="C10">
        <v>27</v>
      </c>
      <c r="D10">
        <v>21.469000000000001</v>
      </c>
      <c r="E10">
        <v>7.1660000000000004</v>
      </c>
      <c r="F10">
        <v>11.18</v>
      </c>
      <c r="G10">
        <v>7.3639999999999999</v>
      </c>
      <c r="H10">
        <v>700</v>
      </c>
      <c r="I10" s="8">
        <v>0.41944444444444445</v>
      </c>
      <c r="J10" s="8">
        <v>0.42569444444444443</v>
      </c>
      <c r="K10">
        <v>321</v>
      </c>
      <c r="L10">
        <v>121</v>
      </c>
      <c r="M10" s="4">
        <v>9.0833333333333321</v>
      </c>
      <c r="N10" s="4">
        <v>320.60000000000002</v>
      </c>
      <c r="O10">
        <v>30</v>
      </c>
      <c r="P10">
        <v>16.904</v>
      </c>
      <c r="Q10">
        <v>17.102</v>
      </c>
      <c r="R10">
        <v>1.171</v>
      </c>
      <c r="S10">
        <v>1.65</v>
      </c>
      <c r="T10">
        <v>16.818999999999999</v>
      </c>
      <c r="U10">
        <v>30.071999999999999</v>
      </c>
      <c r="V10">
        <v>7.1710000000000003</v>
      </c>
      <c r="W10">
        <v>10.834</v>
      </c>
      <c r="X10">
        <v>7.2309999999999999</v>
      </c>
      <c r="Y10" s="7">
        <f t="shared" si="11"/>
        <v>1.0590089686098632</v>
      </c>
      <c r="Z10" s="7">
        <f t="shared" si="0"/>
        <v>20.409991031390138</v>
      </c>
      <c r="AA10" s="9">
        <f t="shared" si="1"/>
        <v>5.1886792452830066E-2</v>
      </c>
      <c r="AB10" s="9">
        <f t="shared" si="2"/>
        <v>0.64933884486363391</v>
      </c>
      <c r="AC10" s="9">
        <f t="shared" si="3"/>
        <v>0.45230967272049849</v>
      </c>
      <c r="AD10" s="9">
        <f t="shared" si="4"/>
        <v>0.18696725511202278</v>
      </c>
      <c r="AE10" s="9">
        <f t="shared" si="5"/>
        <v>0.20498821399909142</v>
      </c>
      <c r="AF10" s="9">
        <f t="shared" si="12"/>
        <v>5.0309269212498474E-2</v>
      </c>
      <c r="AG10" s="5">
        <f t="shared" si="6"/>
        <v>35.295412844036704</v>
      </c>
      <c r="AN10">
        <v>0.2</v>
      </c>
      <c r="AO10">
        <v>0.53400000000000003</v>
      </c>
      <c r="AP10">
        <v>0.53800000000000003</v>
      </c>
      <c r="AQ10">
        <v>0.54400000000000004</v>
      </c>
      <c r="AR10" s="17">
        <f t="shared" si="7"/>
        <v>0.53866666666666674</v>
      </c>
      <c r="AS10" s="4">
        <f t="shared" si="8"/>
        <v>264.70904833333339</v>
      </c>
      <c r="AT10" s="4">
        <f t="shared" si="9"/>
        <v>54.027093024111529</v>
      </c>
      <c r="AU10" s="3">
        <f t="shared" si="10"/>
        <v>5.1016652951515286E-2</v>
      </c>
    </row>
    <row r="11" spans="1:48" x14ac:dyDescent="0.25">
      <c r="A11" t="s">
        <v>97</v>
      </c>
      <c r="B11" s="1">
        <v>42467</v>
      </c>
      <c r="C11">
        <v>19</v>
      </c>
      <c r="D11">
        <v>20.183</v>
      </c>
      <c r="E11">
        <v>7.1680000000000001</v>
      </c>
      <c r="F11">
        <v>9.6489999999999991</v>
      </c>
      <c r="G11">
        <v>7.2990000000000004</v>
      </c>
      <c r="H11">
        <v>500</v>
      </c>
      <c r="I11" s="8">
        <v>0.61388888888888882</v>
      </c>
      <c r="J11" s="8">
        <v>0.63541666666666663</v>
      </c>
      <c r="K11">
        <v>320</v>
      </c>
      <c r="L11">
        <v>116</v>
      </c>
      <c r="M11" s="4">
        <v>30.583333333333314</v>
      </c>
      <c r="N11" s="4">
        <v>320</v>
      </c>
      <c r="O11">
        <v>42</v>
      </c>
      <c r="P11">
        <v>16.773</v>
      </c>
      <c r="Q11">
        <v>16.93</v>
      </c>
      <c r="R11">
        <v>1.173</v>
      </c>
      <c r="S11">
        <v>1.595</v>
      </c>
      <c r="T11">
        <v>16.863</v>
      </c>
      <c r="U11">
        <v>31.515000000000001</v>
      </c>
      <c r="V11">
        <v>7.1609999999999996</v>
      </c>
      <c r="W11">
        <v>9.6489999999999991</v>
      </c>
      <c r="X11">
        <v>7.218</v>
      </c>
      <c r="Y11" s="7">
        <f t="shared" si="11"/>
        <v>1.0656884320838393</v>
      </c>
      <c r="Z11" s="7">
        <f t="shared" si="0"/>
        <v>19.117311567916161</v>
      </c>
      <c r="AA11" s="9">
        <f t="shared" si="1"/>
        <v>5.5744680851063946E-2</v>
      </c>
      <c r="AB11" s="9">
        <f t="shared" si="2"/>
        <v>0.76642575751027053</v>
      </c>
      <c r="AC11" s="9">
        <f t="shared" si="3"/>
        <v>0.39598815872930537</v>
      </c>
      <c r="AD11" s="9">
        <f t="shared" si="4"/>
        <v>0.14732260881635301</v>
      </c>
      <c r="AE11" s="9">
        <f t="shared" si="5"/>
        <v>0.31498591780547003</v>
      </c>
      <c r="AF11" s="9">
        <f t="shared" si="12"/>
        <v>6.9991520949974503E-2</v>
      </c>
      <c r="AG11" s="5">
        <f t="shared" si="6"/>
        <v>10.463215258855593</v>
      </c>
      <c r="AH11">
        <f>(72.49+72.58)/2</f>
        <v>72.534999999999997</v>
      </c>
      <c r="AI11">
        <f>(8.86+8.97)/2</f>
        <v>8.9149999999999991</v>
      </c>
      <c r="AJ11">
        <f>(4.27+4.42)/2</f>
        <v>4.3449999999999998</v>
      </c>
      <c r="AN11">
        <v>0.2</v>
      </c>
      <c r="AO11">
        <v>0.53400000000000003</v>
      </c>
      <c r="AP11">
        <v>0.53800000000000003</v>
      </c>
      <c r="AQ11">
        <v>0.54400000000000004</v>
      </c>
      <c r="AR11" s="17">
        <f t="shared" si="7"/>
        <v>0.53866666666666674</v>
      </c>
      <c r="AS11" s="4">
        <f t="shared" si="8"/>
        <v>264.70904833333339</v>
      </c>
      <c r="AT11" s="4">
        <f t="shared" si="9"/>
        <v>50.60525351834913</v>
      </c>
      <c r="AU11" s="3">
        <f t="shared" si="10"/>
        <v>4.7485974319338334E-2</v>
      </c>
    </row>
    <row r="12" spans="1:48" x14ac:dyDescent="0.25">
      <c r="A12" t="s">
        <v>98</v>
      </c>
      <c r="B12" s="1">
        <v>42468</v>
      </c>
      <c r="C12">
        <v>18</v>
      </c>
      <c r="D12">
        <v>21.869</v>
      </c>
      <c r="E12">
        <v>7.2320000000000002</v>
      </c>
      <c r="F12">
        <v>10.721</v>
      </c>
      <c r="G12">
        <v>7.4080000000000004</v>
      </c>
      <c r="H12">
        <v>600</v>
      </c>
      <c r="I12" s="8">
        <v>0.47291666666666665</v>
      </c>
      <c r="J12" s="8">
        <v>0.48402777777777778</v>
      </c>
      <c r="K12">
        <v>320</v>
      </c>
      <c r="L12">
        <v>120</v>
      </c>
      <c r="M12" s="4">
        <v>15.416666666666666</v>
      </c>
      <c r="N12" s="4">
        <v>320.2</v>
      </c>
      <c r="O12">
        <v>35</v>
      </c>
      <c r="P12">
        <v>16.994</v>
      </c>
      <c r="Q12">
        <v>17.170000000000002</v>
      </c>
      <c r="R12">
        <v>1.161</v>
      </c>
      <c r="S12">
        <v>1.609</v>
      </c>
      <c r="T12">
        <v>16.988</v>
      </c>
      <c r="U12">
        <v>33.917000000000002</v>
      </c>
      <c r="V12">
        <v>7.2679999999999998</v>
      </c>
      <c r="W12">
        <v>10.566000000000001</v>
      </c>
      <c r="X12">
        <v>7.3209999999999997</v>
      </c>
      <c r="Y12" s="7">
        <f t="shared" si="11"/>
        <v>1.1031653768988259</v>
      </c>
      <c r="Z12" s="7">
        <f t="shared" si="0"/>
        <v>20.765834623101174</v>
      </c>
      <c r="AA12" s="9">
        <f t="shared" si="1"/>
        <v>5.3124056746151574E-2</v>
      </c>
      <c r="AB12" s="9">
        <f t="shared" si="2"/>
        <v>0.81523330543946237</v>
      </c>
      <c r="AC12" s="9">
        <f t="shared" si="3"/>
        <v>0.40610411583021172</v>
      </c>
      <c r="AD12" s="9">
        <f t="shared" si="4"/>
        <v>0.15954090264758494</v>
      </c>
      <c r="AE12" s="9">
        <f t="shared" si="5"/>
        <v>0.24661296252000081</v>
      </c>
      <c r="AF12" s="9">
        <f t="shared" si="12"/>
        <v>5.6344796363792971E-2</v>
      </c>
      <c r="AG12" s="5">
        <f t="shared" si="6"/>
        <v>20.769729729729729</v>
      </c>
      <c r="AH12">
        <f>(71.17+71.28)/2</f>
        <v>71.224999999999994</v>
      </c>
      <c r="AI12">
        <f>(9.09+9.15)/2</f>
        <v>9.120000000000001</v>
      </c>
      <c r="AJ12">
        <f>(3.94+4.02)/2</f>
        <v>3.9799999999999995</v>
      </c>
      <c r="AN12">
        <v>0.2</v>
      </c>
      <c r="AO12">
        <v>0.53400000000000003</v>
      </c>
      <c r="AP12">
        <v>0.53800000000000003</v>
      </c>
      <c r="AQ12">
        <v>0.54400000000000004</v>
      </c>
      <c r="AR12" s="17">
        <f t="shared" si="7"/>
        <v>0.53866666666666674</v>
      </c>
      <c r="AS12" s="4">
        <f t="shared" si="8"/>
        <v>264.70904833333339</v>
      </c>
      <c r="AT12" s="4">
        <f t="shared" si="9"/>
        <v>54.969043209284962</v>
      </c>
      <c r="AU12" s="3">
        <f t="shared" si="10"/>
        <v>4.9828470291382536E-2</v>
      </c>
    </row>
    <row r="13" spans="1:48" x14ac:dyDescent="0.25">
      <c r="A13" t="s">
        <v>99</v>
      </c>
      <c r="B13" s="1">
        <v>42468</v>
      </c>
      <c r="C13">
        <v>20</v>
      </c>
      <c r="D13">
        <v>21.067</v>
      </c>
      <c r="E13">
        <v>7.28</v>
      </c>
      <c r="F13">
        <v>10.93</v>
      </c>
      <c r="G13">
        <v>7.4649999999999999</v>
      </c>
      <c r="H13">
        <v>700</v>
      </c>
      <c r="I13" s="8">
        <v>0.67847222222222225</v>
      </c>
      <c r="J13" s="8">
        <v>0.68472222222222223</v>
      </c>
      <c r="K13">
        <v>320</v>
      </c>
      <c r="L13">
        <v>122</v>
      </c>
      <c r="M13" s="4">
        <v>8.9166666666666856</v>
      </c>
      <c r="N13" s="4">
        <v>320.10000000000002</v>
      </c>
      <c r="O13">
        <v>42</v>
      </c>
      <c r="P13">
        <v>16.783999999999999</v>
      </c>
      <c r="Q13">
        <v>16.952999999999999</v>
      </c>
      <c r="R13">
        <v>1.1539999999999999</v>
      </c>
      <c r="S13">
        <v>1.577</v>
      </c>
      <c r="T13">
        <v>17.021999999999998</v>
      </c>
      <c r="U13">
        <v>30.271999999999998</v>
      </c>
      <c r="V13">
        <v>7.3259999999999996</v>
      </c>
      <c r="W13">
        <v>10.420999999999999</v>
      </c>
      <c r="X13">
        <v>7.3789999999999996</v>
      </c>
      <c r="Y13" s="7">
        <f t="shared" si="11"/>
        <v>1.0677794520547925</v>
      </c>
      <c r="Z13" s="7">
        <f t="shared" si="0"/>
        <v>19.999220547945207</v>
      </c>
      <c r="AA13" s="9">
        <f t="shared" si="1"/>
        <v>5.3391053391053288E-2</v>
      </c>
      <c r="AB13" s="9">
        <f t="shared" si="2"/>
        <v>0.66252582035560148</v>
      </c>
      <c r="AC13" s="9">
        <f t="shared" si="3"/>
        <v>0.39614922275006847</v>
      </c>
      <c r="AD13" s="9">
        <f t="shared" si="4"/>
        <v>0.15827238450298287</v>
      </c>
      <c r="AE13" s="9">
        <f t="shared" si="5"/>
        <v>0.21249540109017079</v>
      </c>
      <c r="AF13" s="9">
        <f t="shared" si="12"/>
        <v>6.9854457375823353E-2</v>
      </c>
      <c r="AG13" s="5">
        <f t="shared" si="6"/>
        <v>35.899065420560675</v>
      </c>
      <c r="AN13">
        <v>0.2</v>
      </c>
      <c r="AO13">
        <v>0.53400000000000003</v>
      </c>
      <c r="AP13">
        <v>0.53800000000000003</v>
      </c>
      <c r="AQ13">
        <v>0.54400000000000004</v>
      </c>
      <c r="AR13" s="17">
        <f t="shared" si="7"/>
        <v>0.53866666666666674</v>
      </c>
      <c r="AS13" s="4">
        <f t="shared" si="8"/>
        <v>264.70904833333339</v>
      </c>
      <c r="AT13" s="4">
        <f t="shared" si="9"/>
        <v>52.939746386550226</v>
      </c>
      <c r="AU13" s="3">
        <f t="shared" si="10"/>
        <v>4.9579289322973084E-2</v>
      </c>
    </row>
    <row r="14" spans="1:48" x14ac:dyDescent="0.25">
      <c r="A14" t="s">
        <v>100</v>
      </c>
      <c r="B14" s="1">
        <v>42471</v>
      </c>
      <c r="C14">
        <v>18</v>
      </c>
      <c r="D14">
        <v>20.475999999999999</v>
      </c>
      <c r="E14">
        <v>7.1989999999999998</v>
      </c>
      <c r="F14">
        <v>8.8330000000000002</v>
      </c>
      <c r="G14">
        <v>7.282</v>
      </c>
      <c r="H14">
        <v>700</v>
      </c>
      <c r="I14" s="8">
        <v>0.53472222222222221</v>
      </c>
      <c r="J14" s="8">
        <v>0.54166666666666663</v>
      </c>
      <c r="K14">
        <v>339</v>
      </c>
      <c r="L14">
        <v>158</v>
      </c>
      <c r="M14" s="4">
        <v>10.250000000000002</v>
      </c>
      <c r="N14" s="4">
        <v>339.2</v>
      </c>
      <c r="O14">
        <v>40</v>
      </c>
      <c r="P14">
        <v>16.794</v>
      </c>
      <c r="Q14">
        <v>16.96</v>
      </c>
      <c r="R14">
        <v>1.21</v>
      </c>
      <c r="S14">
        <v>1.61</v>
      </c>
      <c r="T14">
        <v>17.347999999999999</v>
      </c>
      <c r="U14">
        <v>32.530999999999999</v>
      </c>
      <c r="V14">
        <v>7.3390000000000004</v>
      </c>
      <c r="W14">
        <v>10.946</v>
      </c>
      <c r="X14">
        <v>7.4</v>
      </c>
      <c r="Y14" s="7">
        <f t="shared" si="11"/>
        <v>1.0400905752753999</v>
      </c>
      <c r="Z14" s="7">
        <f t="shared" si="0"/>
        <v>19.435909424724599</v>
      </c>
      <c r="AA14" s="9">
        <f t="shared" si="1"/>
        <v>5.3513862024500439E-2</v>
      </c>
      <c r="AB14" s="9">
        <f t="shared" si="2"/>
        <v>0.78118289544432462</v>
      </c>
      <c r="AC14" s="9">
        <f t="shared" si="3"/>
        <v>0.38458189075897192</v>
      </c>
      <c r="AD14" s="9">
        <f t="shared" si="4"/>
        <v>0.15960148466497365</v>
      </c>
      <c r="AE14" s="9">
        <f t="shared" si="5"/>
        <v>0.24687102695522686</v>
      </c>
      <c r="AF14" s="9">
        <f t="shared" si="12"/>
        <v>6.8299138000408294E-2</v>
      </c>
      <c r="AG14" s="5">
        <f t="shared" si="6"/>
        <v>33.092682926829262</v>
      </c>
      <c r="AH14">
        <f>(71.97+72.1)/2</f>
        <v>72.034999999999997</v>
      </c>
      <c r="AI14">
        <f>(9.79+9.91)/2</f>
        <v>9.85</v>
      </c>
      <c r="AJ14">
        <f>(4.59+4.72)/2</f>
        <v>4.6549999999999994</v>
      </c>
      <c r="AN14">
        <v>0.2</v>
      </c>
      <c r="AO14">
        <v>0.53400000000000003</v>
      </c>
      <c r="AP14">
        <v>0.53800000000000003</v>
      </c>
      <c r="AQ14">
        <v>0.54400000000000004</v>
      </c>
      <c r="AR14" s="17">
        <f t="shared" si="7"/>
        <v>0.53866666666666674</v>
      </c>
      <c r="AS14" s="4">
        <f t="shared" si="8"/>
        <v>264.70904833333339</v>
      </c>
      <c r="AT14" s="4">
        <f t="shared" si="9"/>
        <v>51.44861087311714</v>
      </c>
      <c r="AU14" s="3">
        <f t="shared" si="10"/>
        <v>4.946551011626496E-2</v>
      </c>
    </row>
    <row r="15" spans="1:48" x14ac:dyDescent="0.25">
      <c r="A15" t="s">
        <v>101</v>
      </c>
      <c r="B15" s="1">
        <v>42471</v>
      </c>
      <c r="C15">
        <v>30</v>
      </c>
      <c r="D15">
        <v>20.533000000000001</v>
      </c>
      <c r="E15">
        <v>7.1790000000000003</v>
      </c>
      <c r="F15">
        <v>9.4079999999999995</v>
      </c>
      <c r="G15">
        <v>7.2939999999999996</v>
      </c>
      <c r="H15">
        <v>700</v>
      </c>
      <c r="I15" s="8">
        <v>0.73749999999999993</v>
      </c>
      <c r="J15" s="8">
        <v>0.72222222222222221</v>
      </c>
      <c r="K15">
        <v>303</v>
      </c>
      <c r="L15">
        <v>100</v>
      </c>
      <c r="M15" s="4">
        <v>8.5</v>
      </c>
      <c r="N15" s="4">
        <v>303.39999999999998</v>
      </c>
      <c r="O15">
        <v>20</v>
      </c>
      <c r="P15">
        <v>17.488</v>
      </c>
      <c r="Q15">
        <v>17.629000000000001</v>
      </c>
      <c r="R15">
        <v>1.159</v>
      </c>
      <c r="S15">
        <v>1.593</v>
      </c>
      <c r="T15">
        <v>16.858000000000001</v>
      </c>
      <c r="U15">
        <v>32.472000000000001</v>
      </c>
      <c r="V15">
        <v>7.165</v>
      </c>
      <c r="W15">
        <v>10.318</v>
      </c>
      <c r="X15">
        <v>7.2249999999999996</v>
      </c>
      <c r="Y15" s="7">
        <f t="shared" si="11"/>
        <v>1.0593517272319368</v>
      </c>
      <c r="Z15" s="7">
        <f t="shared" si="0"/>
        <v>19.473648272768063</v>
      </c>
      <c r="AA15" s="9">
        <f t="shared" si="1"/>
        <v>5.4399243140964684E-2</v>
      </c>
      <c r="AB15" s="9">
        <f t="shared" si="2"/>
        <v>0.80180147968650584</v>
      </c>
      <c r="AC15" s="9">
        <f t="shared" si="3"/>
        <v>0.40968451633531816</v>
      </c>
      <c r="AD15" s="9">
        <f t="shared" si="4"/>
        <v>0.13310026913198295</v>
      </c>
      <c r="AE15" s="9">
        <f t="shared" si="5"/>
        <v>0.28047959757701107</v>
      </c>
      <c r="AF15" s="9">
        <f t="shared" si="12"/>
        <v>3.3528660928923718E-2</v>
      </c>
      <c r="AG15" s="5">
        <f t="shared" si="6"/>
        <v>35.694117647058818</v>
      </c>
      <c r="AN15">
        <v>0.2</v>
      </c>
      <c r="AO15">
        <v>0.53400000000000003</v>
      </c>
      <c r="AP15">
        <v>0.53800000000000003</v>
      </c>
      <c r="AQ15">
        <v>0.54400000000000004</v>
      </c>
      <c r="AR15" s="17">
        <f t="shared" si="7"/>
        <v>0.53866666666666674</v>
      </c>
      <c r="AS15" s="4">
        <f t="shared" si="8"/>
        <v>264.70904833333339</v>
      </c>
      <c r="AT15" s="4">
        <f t="shared" si="9"/>
        <v>51.548509018624955</v>
      </c>
      <c r="AU15" s="3">
        <f t="shared" si="10"/>
        <v>4.8660428537101737E-2</v>
      </c>
    </row>
    <row r="16" spans="1:48" x14ac:dyDescent="0.25">
      <c r="A16" t="s">
        <v>102</v>
      </c>
      <c r="B16" s="1">
        <v>42472</v>
      </c>
      <c r="C16">
        <v>20</v>
      </c>
      <c r="D16">
        <v>20.658999999999999</v>
      </c>
      <c r="E16">
        <v>7.2080000000000002</v>
      </c>
      <c r="F16">
        <v>8.8369999999999997</v>
      </c>
      <c r="G16">
        <v>7.2939999999999996</v>
      </c>
      <c r="H16">
        <v>700</v>
      </c>
      <c r="I16" s="8">
        <v>0.46666666666666662</v>
      </c>
      <c r="J16" s="8">
        <v>0.47361111111111115</v>
      </c>
      <c r="K16">
        <v>340</v>
      </c>
      <c r="L16">
        <v>155</v>
      </c>
      <c r="M16" s="4">
        <v>9.9166666666667425</v>
      </c>
      <c r="N16" s="4">
        <v>339.8</v>
      </c>
      <c r="O16">
        <v>47</v>
      </c>
      <c r="P16">
        <v>17.568999999999999</v>
      </c>
      <c r="Q16">
        <v>17.739999999999998</v>
      </c>
      <c r="R16">
        <v>1.839</v>
      </c>
      <c r="S16">
        <v>2.2450000000000001</v>
      </c>
      <c r="T16">
        <v>17.538</v>
      </c>
      <c r="U16">
        <v>32.591000000000001</v>
      </c>
      <c r="V16">
        <v>7.2519999999999998</v>
      </c>
      <c r="W16">
        <v>10.419</v>
      </c>
      <c r="X16">
        <v>7.3079999999999998</v>
      </c>
      <c r="Y16" s="7">
        <f t="shared" si="11"/>
        <v>1.0906531614487343</v>
      </c>
      <c r="Z16" s="7">
        <f t="shared" si="0"/>
        <v>19.568346838551264</v>
      </c>
      <c r="AA16" s="9">
        <f t="shared" si="1"/>
        <v>5.5735580038884902E-2</v>
      </c>
      <c r="AB16" s="9">
        <f t="shared" si="2"/>
        <v>0.7692525139806059</v>
      </c>
      <c r="AC16" s="9">
        <f t="shared" si="3"/>
        <v>0.37225399820113575</v>
      </c>
      <c r="AD16" s="9">
        <f t="shared" si="4"/>
        <v>0.15678678249358119</v>
      </c>
      <c r="AE16" s="9">
        <f t="shared" si="5"/>
        <v>0.2440486236260444</v>
      </c>
      <c r="AF16" s="9">
        <f t="shared" si="12"/>
        <v>7.6531035151611068E-2</v>
      </c>
      <c r="AG16" s="5">
        <f t="shared" si="6"/>
        <v>34.265546218487131</v>
      </c>
      <c r="AN16">
        <v>0.2</v>
      </c>
      <c r="AO16">
        <v>0.53400000000000003</v>
      </c>
      <c r="AP16">
        <v>0.53800000000000003</v>
      </c>
      <c r="AQ16">
        <v>0.54400000000000004</v>
      </c>
      <c r="AR16" s="17">
        <f t="shared" si="7"/>
        <v>0.53866666666666674</v>
      </c>
      <c r="AS16" s="4">
        <f t="shared" si="8"/>
        <v>264.70904833333339</v>
      </c>
      <c r="AT16" s="4">
        <f t="shared" si="9"/>
        <v>51.799184690894982</v>
      </c>
      <c r="AU16" s="3">
        <f t="shared" si="10"/>
        <v>4.7493728090504221E-2</v>
      </c>
    </row>
    <row r="17" spans="1:58" x14ac:dyDescent="0.25">
      <c r="A17" t="s">
        <v>103</v>
      </c>
      <c r="B17" s="1">
        <v>42472</v>
      </c>
      <c r="C17">
        <v>18</v>
      </c>
      <c r="D17">
        <v>20.407</v>
      </c>
      <c r="E17">
        <v>7.1859999999999999</v>
      </c>
      <c r="F17">
        <v>10.317</v>
      </c>
      <c r="G17">
        <v>7.3470000000000004</v>
      </c>
      <c r="H17">
        <v>700</v>
      </c>
      <c r="I17" s="8">
        <v>0.62430555555555556</v>
      </c>
      <c r="J17" s="8">
        <v>0.62986111111111109</v>
      </c>
      <c r="K17">
        <v>305</v>
      </c>
      <c r="L17">
        <v>80</v>
      </c>
      <c r="M17" s="4">
        <v>7.4166666666665151</v>
      </c>
      <c r="N17" s="4">
        <v>305</v>
      </c>
      <c r="O17">
        <v>50</v>
      </c>
      <c r="P17">
        <v>17.481999999999999</v>
      </c>
      <c r="Q17">
        <v>17.591999999999999</v>
      </c>
      <c r="R17">
        <v>1.1930000000000001</v>
      </c>
      <c r="S17">
        <v>1.677</v>
      </c>
      <c r="T17">
        <v>17.407</v>
      </c>
      <c r="U17">
        <v>32.817999999999998</v>
      </c>
      <c r="V17">
        <v>7.2370000000000001</v>
      </c>
      <c r="W17">
        <v>10.597</v>
      </c>
      <c r="X17">
        <v>7.3120000000000003</v>
      </c>
      <c r="Y17" s="7">
        <f t="shared" si="11"/>
        <v>1.0493538805493483</v>
      </c>
      <c r="Z17" s="7">
        <f t="shared" si="0"/>
        <v>19.357646119450653</v>
      </c>
      <c r="AA17" s="9">
        <f t="shared" si="1"/>
        <v>5.4208754208754373E-2</v>
      </c>
      <c r="AB17" s="9">
        <f t="shared" si="2"/>
        <v>0.79611952325727009</v>
      </c>
      <c r="AC17" s="9">
        <f t="shared" si="3"/>
        <v>0.46123620350707684</v>
      </c>
      <c r="AD17" s="9">
        <f t="shared" si="4"/>
        <v>0.10482640988797147</v>
      </c>
      <c r="AE17" s="9">
        <f t="shared" si="5"/>
        <v>0.32781651842198467</v>
      </c>
      <c r="AF17" s="9">
        <f t="shared" si="12"/>
        <v>8.4620273306262747E-2</v>
      </c>
      <c r="AG17" s="5">
        <f t="shared" si="6"/>
        <v>41.123595505618816</v>
      </c>
      <c r="AN17">
        <v>0.2</v>
      </c>
      <c r="AO17">
        <v>0.53400000000000003</v>
      </c>
      <c r="AP17">
        <v>0.53800000000000003</v>
      </c>
      <c r="AQ17">
        <v>0.54400000000000004</v>
      </c>
      <c r="AR17" s="17">
        <f t="shared" si="7"/>
        <v>0.53866666666666674</v>
      </c>
      <c r="AS17" s="4">
        <f t="shared" si="8"/>
        <v>264.70904833333339</v>
      </c>
      <c r="AT17" s="4">
        <f t="shared" si="9"/>
        <v>51.241440822532262</v>
      </c>
      <c r="AU17" s="3">
        <f t="shared" si="10"/>
        <v>4.8831420717391168E-2</v>
      </c>
    </row>
    <row r="18" spans="1:58" x14ac:dyDescent="0.25">
      <c r="A18" t="s">
        <v>104</v>
      </c>
      <c r="B18" s="1">
        <v>42473</v>
      </c>
      <c r="C18">
        <v>18</v>
      </c>
      <c r="D18">
        <v>20.414000000000001</v>
      </c>
      <c r="E18">
        <v>7.1429999999999998</v>
      </c>
      <c r="F18">
        <v>10.29</v>
      </c>
      <c r="G18">
        <v>7.3079999999999998</v>
      </c>
      <c r="H18">
        <v>700</v>
      </c>
      <c r="I18" s="8">
        <v>0.44305555555555554</v>
      </c>
      <c r="J18" s="8">
        <v>0.45</v>
      </c>
      <c r="K18">
        <v>339</v>
      </c>
      <c r="L18">
        <v>154</v>
      </c>
      <c r="M18" s="4">
        <v>9.9166666666666661</v>
      </c>
      <c r="N18" s="4">
        <v>338.9</v>
      </c>
      <c r="O18">
        <v>50</v>
      </c>
      <c r="P18">
        <v>17.472000000000001</v>
      </c>
      <c r="Q18">
        <v>17.643000000000001</v>
      </c>
      <c r="R18">
        <v>1.173</v>
      </c>
      <c r="S18">
        <v>1.589</v>
      </c>
      <c r="T18">
        <v>17.442</v>
      </c>
      <c r="U18">
        <v>32.155000000000001</v>
      </c>
      <c r="V18">
        <v>7.3380000000000001</v>
      </c>
      <c r="W18">
        <v>10.689</v>
      </c>
      <c r="X18">
        <v>7.3940000000000001</v>
      </c>
      <c r="Y18" s="7">
        <f t="shared" si="11"/>
        <v>1.0703241182078176</v>
      </c>
      <c r="Z18" s="7">
        <f t="shared" si="0"/>
        <v>19.343675881792183</v>
      </c>
      <c r="AA18" s="9">
        <f t="shared" si="1"/>
        <v>5.5331991951710291E-2</v>
      </c>
      <c r="AB18" s="9">
        <f t="shared" si="2"/>
        <v>0.7606103457228135</v>
      </c>
      <c r="AC18" s="9">
        <f t="shared" si="3"/>
        <v>0.38866731387550402</v>
      </c>
      <c r="AD18" s="9">
        <f t="shared" si="4"/>
        <v>0.15976468911709366</v>
      </c>
      <c r="AE18" s="9">
        <f t="shared" si="5"/>
        <v>0.22972037809237245</v>
      </c>
      <c r="AF18" s="9">
        <f t="shared" si="12"/>
        <v>8.2962357529378028E-2</v>
      </c>
      <c r="AG18" s="5">
        <f t="shared" si="6"/>
        <v>34.174789915966386</v>
      </c>
      <c r="AN18">
        <v>0.2</v>
      </c>
      <c r="AO18">
        <v>0.53400000000000003</v>
      </c>
      <c r="AP18">
        <v>0.53800000000000003</v>
      </c>
      <c r="AQ18">
        <v>0.54400000000000004</v>
      </c>
      <c r="AR18" s="17">
        <f t="shared" si="7"/>
        <v>0.53866666666666674</v>
      </c>
      <c r="AS18" s="4">
        <f t="shared" si="8"/>
        <v>264.70904833333339</v>
      </c>
      <c r="AT18" s="4">
        <f t="shared" si="9"/>
        <v>51.204460339376617</v>
      </c>
      <c r="AU18" s="3">
        <f t="shared" si="10"/>
        <v>4.7840144371515125E-2</v>
      </c>
    </row>
    <row r="19" spans="1:58" x14ac:dyDescent="0.25">
      <c r="A19" t="s">
        <v>105</v>
      </c>
      <c r="B19" s="1">
        <v>42473</v>
      </c>
      <c r="C19">
        <v>27</v>
      </c>
      <c r="D19">
        <v>21.068000000000001</v>
      </c>
      <c r="E19">
        <v>7.1870000000000003</v>
      </c>
      <c r="F19">
        <v>9.2520000000000007</v>
      </c>
      <c r="G19">
        <v>7.2949999999999999</v>
      </c>
      <c r="H19">
        <v>700</v>
      </c>
      <c r="I19" s="8">
        <v>0.63402777777777775</v>
      </c>
      <c r="J19" s="8">
        <v>0.63958333333333328</v>
      </c>
      <c r="K19">
        <v>301</v>
      </c>
      <c r="L19">
        <v>95</v>
      </c>
      <c r="M19" s="4">
        <v>8.3333333333333144</v>
      </c>
      <c r="N19" s="4">
        <v>301</v>
      </c>
      <c r="O19">
        <v>26</v>
      </c>
      <c r="P19">
        <v>17.579000000000001</v>
      </c>
      <c r="Q19">
        <v>17.716999999999999</v>
      </c>
      <c r="R19">
        <v>1.2010000000000001</v>
      </c>
      <c r="S19">
        <v>1.681</v>
      </c>
      <c r="T19">
        <v>17.576000000000001</v>
      </c>
      <c r="U19">
        <v>32.944000000000003</v>
      </c>
      <c r="V19">
        <v>7.17</v>
      </c>
      <c r="W19">
        <v>10.853999999999999</v>
      </c>
      <c r="X19">
        <v>7.2460000000000004</v>
      </c>
      <c r="Y19" s="7">
        <f t="shared" si="11"/>
        <v>1.1018615012106501</v>
      </c>
      <c r="Z19" s="7">
        <f t="shared" si="0"/>
        <v>19.966138498789352</v>
      </c>
      <c r="AA19" s="9">
        <f t="shared" si="1"/>
        <v>5.5186509964230766E-2</v>
      </c>
      <c r="AB19" s="9">
        <f t="shared" si="2"/>
        <v>0.76970316523306903</v>
      </c>
      <c r="AC19" s="9">
        <f t="shared" si="3"/>
        <v>0.43562643714532978</v>
      </c>
      <c r="AD19" s="9">
        <f t="shared" si="4"/>
        <v>0.12524260067928061</v>
      </c>
      <c r="AE19" s="9">
        <f t="shared" si="5"/>
        <v>0.28772944859514127</v>
      </c>
      <c r="AF19" s="9">
        <f t="shared" si="12"/>
        <v>4.190566443799424E-2</v>
      </c>
      <c r="AG19" s="5">
        <f t="shared" si="6"/>
        <v>36.120000000000083</v>
      </c>
      <c r="AH19">
        <f>(69.37+69.38)/2</f>
        <v>69.375</v>
      </c>
      <c r="AI19">
        <f>(9.51+9.53)/2</f>
        <v>9.52</v>
      </c>
      <c r="AJ19">
        <f>(5.1+5.18)/2</f>
        <v>5.14</v>
      </c>
      <c r="AN19">
        <v>0.2</v>
      </c>
      <c r="AO19">
        <v>0.53400000000000003</v>
      </c>
      <c r="AP19">
        <v>0.53800000000000003</v>
      </c>
      <c r="AQ19">
        <v>0.54400000000000004</v>
      </c>
      <c r="AR19" s="17">
        <f t="shared" si="7"/>
        <v>0.53866666666666674</v>
      </c>
      <c r="AS19" s="4">
        <f t="shared" si="8"/>
        <v>264.70904833333339</v>
      </c>
      <c r="AT19" s="4">
        <f t="shared" si="9"/>
        <v>52.85217520906059</v>
      </c>
      <c r="AU19" s="3">
        <f t="shared" si="10"/>
        <v>4.7966259961882897E-2</v>
      </c>
    </row>
    <row r="20" spans="1:58" x14ac:dyDescent="0.25">
      <c r="A20" t="s">
        <v>106</v>
      </c>
      <c r="B20" s="1">
        <v>42474</v>
      </c>
      <c r="C20">
        <v>27</v>
      </c>
      <c r="D20">
        <v>20.052</v>
      </c>
      <c r="E20">
        <v>7.18</v>
      </c>
      <c r="F20">
        <v>8.2080000000000002</v>
      </c>
      <c r="G20">
        <v>7.2350000000000003</v>
      </c>
      <c r="H20">
        <v>500</v>
      </c>
      <c r="I20" s="8">
        <v>0.43333333333333335</v>
      </c>
      <c r="J20" s="8">
        <v>0.45555555555555555</v>
      </c>
      <c r="K20">
        <v>320</v>
      </c>
      <c r="L20">
        <v>118</v>
      </c>
      <c r="M20" s="4">
        <v>32.083333333333329</v>
      </c>
      <c r="N20" s="4">
        <v>319.7</v>
      </c>
      <c r="O20">
        <v>41</v>
      </c>
      <c r="P20">
        <v>17.507000000000001</v>
      </c>
      <c r="Q20">
        <v>17.657</v>
      </c>
      <c r="R20">
        <v>1.161</v>
      </c>
      <c r="S20">
        <v>1.5840000000000001</v>
      </c>
      <c r="T20">
        <v>17.585000000000001</v>
      </c>
      <c r="U20">
        <v>32.795999999999999</v>
      </c>
      <c r="V20">
        <v>7.266</v>
      </c>
      <c r="W20">
        <v>10.875999999999999</v>
      </c>
      <c r="X20">
        <v>7.3339999999999996</v>
      </c>
      <c r="Y20" s="7">
        <f t="shared" si="11"/>
        <v>1.0728210116731631</v>
      </c>
      <c r="Z20" s="7">
        <f t="shared" si="0"/>
        <v>18.979178988326836</v>
      </c>
      <c r="AA20" s="9">
        <f t="shared" si="1"/>
        <v>5.6526207605344929E-2</v>
      </c>
      <c r="AB20" s="9">
        <f t="shared" si="2"/>
        <v>0.80145721842633655</v>
      </c>
      <c r="AC20" s="9">
        <f t="shared" si="3"/>
        <v>0.39428757956585192</v>
      </c>
      <c r="AD20" s="9">
        <f t="shared" si="4"/>
        <v>0.13981829062618728</v>
      </c>
      <c r="AE20" s="9">
        <f t="shared" si="5"/>
        <v>0.26707436615441577</v>
      </c>
      <c r="AF20" s="9">
        <f t="shared" si="12"/>
        <v>6.7870801545395834E-2</v>
      </c>
      <c r="AG20" s="5">
        <f t="shared" si="6"/>
        <v>9.9646753246753264</v>
      </c>
      <c r="AN20">
        <v>0.2</v>
      </c>
      <c r="AO20">
        <v>0.53400000000000003</v>
      </c>
      <c r="AP20">
        <v>0.53800000000000003</v>
      </c>
      <c r="AQ20">
        <v>0.54400000000000004</v>
      </c>
      <c r="AR20" s="17">
        <f t="shared" si="7"/>
        <v>0.53866666666666674</v>
      </c>
      <c r="AS20" s="4">
        <f t="shared" si="8"/>
        <v>264.70904833333339</v>
      </c>
      <c r="AT20" s="4">
        <f t="shared" si="9"/>
        <v>50.239604081479939</v>
      </c>
      <c r="AU20" s="3">
        <f t="shared" si="10"/>
        <v>4.6829437096060092E-2</v>
      </c>
    </row>
    <row r="21" spans="1:58" x14ac:dyDescent="0.25">
      <c r="A21" t="s">
        <v>107</v>
      </c>
      <c r="B21" s="1">
        <v>42474</v>
      </c>
      <c r="C21">
        <v>19</v>
      </c>
      <c r="D21">
        <v>20.437000000000001</v>
      </c>
      <c r="E21">
        <v>7.19</v>
      </c>
      <c r="F21">
        <v>11.497</v>
      </c>
      <c r="G21">
        <v>7.415</v>
      </c>
      <c r="H21">
        <v>600</v>
      </c>
      <c r="I21" s="8">
        <v>0.58680555555555558</v>
      </c>
      <c r="J21" s="8">
        <v>0.59722222222222221</v>
      </c>
      <c r="K21">
        <v>320</v>
      </c>
      <c r="L21">
        <v>120</v>
      </c>
      <c r="M21" s="4">
        <v>14.25</v>
      </c>
      <c r="N21" s="4">
        <v>319.7</v>
      </c>
      <c r="O21">
        <v>31</v>
      </c>
      <c r="P21">
        <v>17.526</v>
      </c>
      <c r="Q21">
        <v>17.684000000000001</v>
      </c>
      <c r="R21">
        <v>1.1930000000000001</v>
      </c>
      <c r="S21">
        <v>1.611</v>
      </c>
      <c r="T21">
        <v>17.481999999999999</v>
      </c>
      <c r="U21">
        <v>32.750999999999998</v>
      </c>
      <c r="V21">
        <v>7.3769999999999998</v>
      </c>
      <c r="W21">
        <v>10.302</v>
      </c>
      <c r="X21">
        <v>7.43</v>
      </c>
      <c r="Y21" s="7">
        <f t="shared" si="11"/>
        <v>1.0676398885535161</v>
      </c>
      <c r="Z21" s="7">
        <f t="shared" si="0"/>
        <v>19.369360111446486</v>
      </c>
      <c r="AA21" s="9">
        <f t="shared" si="1"/>
        <v>5.512003919647223E-2</v>
      </c>
      <c r="AB21" s="9">
        <f t="shared" si="2"/>
        <v>0.78830688841272845</v>
      </c>
      <c r="AC21" s="9">
        <f t="shared" si="3"/>
        <v>0.39151778093110035</v>
      </c>
      <c r="AD21" s="9">
        <f t="shared" si="4"/>
        <v>0.14798997461032143</v>
      </c>
      <c r="AE21" s="9">
        <f t="shared" si="5"/>
        <v>0.25914080468078282</v>
      </c>
      <c r="AF21" s="9">
        <f t="shared" si="12"/>
        <v>5.156598225097675E-2</v>
      </c>
      <c r="AG21" s="5">
        <f t="shared" si="6"/>
        <v>22.435087719298245</v>
      </c>
      <c r="AN21">
        <v>0.2</v>
      </c>
      <c r="AO21">
        <v>0.53400000000000003</v>
      </c>
      <c r="AP21">
        <v>0.53800000000000003</v>
      </c>
      <c r="AQ21">
        <v>0.54400000000000004</v>
      </c>
      <c r="AR21" s="17">
        <f t="shared" si="7"/>
        <v>0.53866666666666674</v>
      </c>
      <c r="AS21" s="4">
        <f t="shared" si="8"/>
        <v>264.70904833333339</v>
      </c>
      <c r="AT21" s="4">
        <f t="shared" si="9"/>
        <v>51.272448819266273</v>
      </c>
      <c r="AU21" s="3">
        <f t="shared" si="10"/>
        <v>4.8024103790963044E-2</v>
      </c>
      <c r="BF21" t="s">
        <v>20</v>
      </c>
    </row>
    <row r="22" spans="1:58" x14ac:dyDescent="0.25">
      <c r="A22" t="s">
        <v>108</v>
      </c>
      <c r="B22" s="1">
        <v>42474</v>
      </c>
      <c r="C22">
        <v>19</v>
      </c>
      <c r="D22">
        <v>20.715</v>
      </c>
      <c r="E22">
        <v>7.2030000000000003</v>
      </c>
      <c r="F22">
        <v>12.138</v>
      </c>
      <c r="G22">
        <v>7.4619999999999997</v>
      </c>
      <c r="H22">
        <v>800</v>
      </c>
      <c r="I22" s="8">
        <v>0.7319444444444444</v>
      </c>
      <c r="J22" s="8">
        <v>0.73611111111111116</v>
      </c>
      <c r="K22">
        <v>320</v>
      </c>
      <c r="L22">
        <v>119</v>
      </c>
      <c r="M22" s="4">
        <v>6.4166666666666288</v>
      </c>
      <c r="N22" s="4">
        <v>320.3</v>
      </c>
      <c r="O22">
        <v>11</v>
      </c>
      <c r="P22">
        <v>17.501000000000001</v>
      </c>
      <c r="Q22">
        <v>17.667000000000002</v>
      </c>
      <c r="R22">
        <v>1.139</v>
      </c>
      <c r="S22">
        <v>1.597</v>
      </c>
      <c r="T22">
        <v>17.366</v>
      </c>
      <c r="U22">
        <v>32.777999999999999</v>
      </c>
      <c r="V22">
        <v>7.2750000000000004</v>
      </c>
      <c r="W22">
        <v>11.787000000000001</v>
      </c>
      <c r="X22">
        <v>7.36</v>
      </c>
      <c r="Y22" s="7">
        <f t="shared" si="11"/>
        <v>1.0871702127659553</v>
      </c>
      <c r="Z22" s="7">
        <f t="shared" si="0"/>
        <v>19.627829787234045</v>
      </c>
      <c r="AA22" s="9">
        <f t="shared" si="1"/>
        <v>5.5389221556886109E-2</v>
      </c>
      <c r="AB22" s="9">
        <f t="shared" si="2"/>
        <v>0.78521161876102952</v>
      </c>
      <c r="AC22" s="9">
        <f t="shared" si="3"/>
        <v>0.42127717869933734</v>
      </c>
      <c r="AD22" s="9">
        <f t="shared" si="4"/>
        <v>0.1526899817993235</v>
      </c>
      <c r="AE22" s="9">
        <f t="shared" si="5"/>
        <v>0.26706150393695688</v>
      </c>
      <c r="AF22" s="9">
        <f t="shared" si="12"/>
        <v>1.7968901693006224E-2</v>
      </c>
      <c r="AG22" s="5">
        <f t="shared" si="6"/>
        <v>49.916883116883412</v>
      </c>
      <c r="AN22">
        <v>0.2</v>
      </c>
      <c r="AO22">
        <v>0.53400000000000003</v>
      </c>
      <c r="AP22">
        <v>0.53800000000000003</v>
      </c>
      <c r="AQ22">
        <v>0.54400000000000004</v>
      </c>
      <c r="AR22" s="17">
        <f t="shared" si="7"/>
        <v>0.53866666666666674</v>
      </c>
      <c r="AS22" s="4">
        <f t="shared" si="8"/>
        <v>264.70904833333339</v>
      </c>
      <c r="AT22" s="4">
        <f t="shared" si="9"/>
        <v>51.95664143827377</v>
      </c>
      <c r="AU22" s="3">
        <f t="shared" si="10"/>
        <v>4.7790714672072181E-2</v>
      </c>
    </row>
    <row r="23" spans="1:58" x14ac:dyDescent="0.25">
      <c r="A23" t="s">
        <v>109</v>
      </c>
      <c r="B23" s="1">
        <v>42475</v>
      </c>
      <c r="C23">
        <v>30</v>
      </c>
      <c r="D23">
        <v>21.832999999999998</v>
      </c>
      <c r="E23">
        <v>7.2480000000000002</v>
      </c>
      <c r="F23">
        <v>10.532</v>
      </c>
      <c r="G23">
        <v>7.4210000000000003</v>
      </c>
      <c r="H23">
        <v>800</v>
      </c>
      <c r="I23" s="8">
        <v>0.46111111111111108</v>
      </c>
      <c r="J23" s="8">
        <v>0.46527777777777773</v>
      </c>
      <c r="K23">
        <v>321</v>
      </c>
      <c r="L23">
        <v>121</v>
      </c>
      <c r="M23" s="4">
        <v>5.8333333333333339</v>
      </c>
      <c r="N23" s="4">
        <v>321.3</v>
      </c>
      <c r="P23">
        <v>17.675999999999998</v>
      </c>
      <c r="Q23">
        <v>17.809999999999999</v>
      </c>
      <c r="R23">
        <v>1.161</v>
      </c>
      <c r="S23">
        <v>1.669</v>
      </c>
      <c r="T23">
        <v>17.414000000000001</v>
      </c>
      <c r="U23">
        <v>32.905999999999999</v>
      </c>
      <c r="V23">
        <v>7.34</v>
      </c>
      <c r="W23">
        <v>10.795999999999999</v>
      </c>
      <c r="X23">
        <v>7.4130000000000003</v>
      </c>
      <c r="Y23" s="7">
        <f t="shared" si="11"/>
        <v>1.1501549939098663</v>
      </c>
      <c r="Z23" s="7">
        <f t="shared" si="0"/>
        <v>20.682845006090133</v>
      </c>
      <c r="AA23" s="9">
        <f t="shared" si="1"/>
        <v>5.5609128897460641E-2</v>
      </c>
      <c r="AB23" s="9">
        <f t="shared" si="2"/>
        <v>0.74902654810971725</v>
      </c>
      <c r="AC23" s="9">
        <f t="shared" si="3"/>
        <v>0.44167960204484424</v>
      </c>
      <c r="AD23" s="9">
        <f t="shared" si="4"/>
        <v>0.11650603675986078</v>
      </c>
      <c r="AE23" s="9">
        <f t="shared" si="5"/>
        <v>0.28451177504041231</v>
      </c>
      <c r="AF23" s="9">
        <f t="shared" si="12"/>
        <v>0</v>
      </c>
      <c r="AG23" s="5">
        <f t="shared" si="6"/>
        <v>55.08</v>
      </c>
      <c r="AN23">
        <v>0.2</v>
      </c>
      <c r="AO23">
        <v>0.53400000000000003</v>
      </c>
      <c r="AP23">
        <v>0.53800000000000003</v>
      </c>
      <c r="AQ23">
        <v>0.54400000000000004</v>
      </c>
      <c r="AR23" s="17">
        <f t="shared" si="7"/>
        <v>0.53866666666666674</v>
      </c>
      <c r="AS23" s="4">
        <f t="shared" si="8"/>
        <v>264.70904833333339</v>
      </c>
      <c r="AT23" s="4">
        <f t="shared" si="9"/>
        <v>54.749362183879555</v>
      </c>
      <c r="AU23" s="3">
        <f t="shared" si="10"/>
        <v>4.7601725396820796E-2</v>
      </c>
    </row>
    <row r="24" spans="1:58" x14ac:dyDescent="0.25">
      <c r="A24" t="s">
        <v>110</v>
      </c>
      <c r="B24" s="1">
        <v>42478</v>
      </c>
      <c r="C24">
        <v>37</v>
      </c>
      <c r="D24">
        <v>22.082999999999998</v>
      </c>
      <c r="E24">
        <v>7.3129999999999997</v>
      </c>
      <c r="F24">
        <v>11.233000000000001</v>
      </c>
      <c r="G24">
        <v>7.5129999999999999</v>
      </c>
      <c r="H24">
        <v>800</v>
      </c>
      <c r="I24" s="8">
        <v>0.43958333333333338</v>
      </c>
      <c r="J24" s="8">
        <v>0.44375000000000003</v>
      </c>
      <c r="K24">
        <v>322</v>
      </c>
      <c r="L24">
        <v>122</v>
      </c>
      <c r="M24" s="4">
        <v>6.0833333333333339</v>
      </c>
      <c r="N24" s="4">
        <v>322</v>
      </c>
      <c r="O24">
        <v>30</v>
      </c>
      <c r="P24">
        <v>17.262</v>
      </c>
      <c r="Q24">
        <v>17.416</v>
      </c>
      <c r="R24">
        <v>1.181</v>
      </c>
      <c r="S24">
        <v>1.655</v>
      </c>
      <c r="T24">
        <v>17.449000000000002</v>
      </c>
      <c r="U24">
        <v>33.948</v>
      </c>
      <c r="V24">
        <v>7.23</v>
      </c>
      <c r="W24">
        <v>11.018000000000001</v>
      </c>
      <c r="X24">
        <v>7.3019999999999996</v>
      </c>
      <c r="Y24" s="7">
        <f t="shared" si="11"/>
        <v>1.1266836734693884</v>
      </c>
      <c r="Z24" s="7">
        <f t="shared" si="0"/>
        <v>20.956316326530612</v>
      </c>
      <c r="AA24" s="9">
        <f t="shared" si="1"/>
        <v>5.3763440860215082E-2</v>
      </c>
      <c r="AB24" s="9">
        <f t="shared" si="2"/>
        <v>0.78730439753442405</v>
      </c>
      <c r="AC24" s="9">
        <f t="shared" si="3"/>
        <v>0.42070370873522595</v>
      </c>
      <c r="AD24" s="9">
        <f t="shared" si="4"/>
        <v>0.13668432731060076</v>
      </c>
      <c r="AE24" s="9">
        <f t="shared" si="5"/>
        <v>0.27834161805123758</v>
      </c>
      <c r="AF24" s="9">
        <f t="shared" si="12"/>
        <v>4.728742286305216E-2</v>
      </c>
      <c r="AG24" s="5">
        <f t="shared" si="6"/>
        <v>52.931506849315063</v>
      </c>
      <c r="AH24">
        <f>(70.42+70.49)/2</f>
        <v>70.454999999999998</v>
      </c>
      <c r="AI24">
        <f>(9.06+9.2)/2</f>
        <v>9.129999999999999</v>
      </c>
      <c r="AJ24">
        <f>(4.78+4.85)/2</f>
        <v>4.8149999999999995</v>
      </c>
      <c r="AN24">
        <v>0.2</v>
      </c>
      <c r="AO24">
        <v>0.53400000000000003</v>
      </c>
      <c r="AP24">
        <v>0.53800000000000003</v>
      </c>
      <c r="AQ24">
        <v>0.54400000000000004</v>
      </c>
      <c r="AR24" s="17">
        <f t="shared" si="7"/>
        <v>0.53866666666666674</v>
      </c>
      <c r="AS24" s="4">
        <f t="shared" si="8"/>
        <v>264.70904833333339</v>
      </c>
      <c r="AT24" s="4">
        <f t="shared" si="9"/>
        <v>55.473265513682151</v>
      </c>
      <c r="AU24" s="3">
        <f t="shared" si="10"/>
        <v>4.9235882989999979E-2</v>
      </c>
    </row>
    <row r="26" spans="1:58" x14ac:dyDescent="0.25">
      <c r="A26" t="s">
        <v>111</v>
      </c>
      <c r="B26" s="1"/>
      <c r="D26" s="7">
        <f>AVERAGE(D8,D11,D20)</f>
        <v>20.248000000000001</v>
      </c>
      <c r="E26" s="7">
        <f t="shared" ref="E26:AG26" si="13">AVERAGE(E8,E11,E20)</f>
        <v>7.194</v>
      </c>
      <c r="F26" s="7">
        <f t="shared" si="13"/>
        <v>9.7670000000000012</v>
      </c>
      <c r="G26" s="7">
        <f t="shared" si="13"/>
        <v>7.3250000000000002</v>
      </c>
      <c r="H26">
        <f t="shared" si="13"/>
        <v>500</v>
      </c>
      <c r="I26" s="8">
        <f t="shared" si="13"/>
        <v>0.49351851851851847</v>
      </c>
      <c r="J26" s="8">
        <f t="shared" si="13"/>
        <v>0.51550925925925928</v>
      </c>
      <c r="K26" s="5">
        <f t="shared" si="13"/>
        <v>320</v>
      </c>
      <c r="L26" s="5">
        <f t="shared" si="13"/>
        <v>117.66666666666667</v>
      </c>
      <c r="M26" s="4">
        <f t="shared" si="13"/>
        <v>31.777777777777771</v>
      </c>
      <c r="N26" s="4">
        <f t="shared" si="13"/>
        <v>319.9666666666667</v>
      </c>
      <c r="O26" s="5">
        <f t="shared" si="13"/>
        <v>43</v>
      </c>
      <c r="P26" s="7">
        <f t="shared" si="13"/>
        <v>17.074000000000002</v>
      </c>
      <c r="Q26" s="7">
        <f t="shared" si="13"/>
        <v>17.229666666666663</v>
      </c>
      <c r="R26" s="7">
        <f t="shared" si="13"/>
        <v>1.169</v>
      </c>
      <c r="S26" s="7">
        <f t="shared" si="13"/>
        <v>1.5899999999999999</v>
      </c>
      <c r="T26" s="7">
        <f t="shared" si="13"/>
        <v>17.074666666666666</v>
      </c>
      <c r="U26" s="7">
        <f t="shared" si="13"/>
        <v>32.149666666666668</v>
      </c>
      <c r="V26" s="7">
        <f t="shared" si="13"/>
        <v>7.2353333333333332</v>
      </c>
      <c r="W26" s="7">
        <f t="shared" si="13"/>
        <v>10.479999999999999</v>
      </c>
      <c r="X26" s="7">
        <f t="shared" si="13"/>
        <v>7.2896666666666663</v>
      </c>
      <c r="Y26" s="7">
        <f t="shared" si="13"/>
        <v>1.0489697354091034</v>
      </c>
      <c r="Z26" s="7">
        <f t="shared" si="13"/>
        <v>19.199030264590899</v>
      </c>
      <c r="AA26" s="9">
        <f t="shared" si="13"/>
        <v>5.466070168132272E-2</v>
      </c>
      <c r="AB26" s="9">
        <f t="shared" si="13"/>
        <v>0.78521786634651392</v>
      </c>
      <c r="AC26" s="9">
        <f t="shared" si="13"/>
        <v>0.40159796144294724</v>
      </c>
      <c r="AD26" s="9">
        <f t="shared" si="13"/>
        <v>0.14860271079136481</v>
      </c>
      <c r="AE26" s="9">
        <f t="shared" si="13"/>
        <v>0.2470906330352127</v>
      </c>
      <c r="AF26" s="9">
        <f t="shared" si="13"/>
        <v>7.2958240262094687E-2</v>
      </c>
      <c r="AG26" s="5">
        <f t="shared" si="13"/>
        <v>10.076643799952484</v>
      </c>
      <c r="AH26">
        <f>AVERAGE(AH8,AH11,AH20)</f>
        <v>72.534999999999997</v>
      </c>
      <c r="AI26">
        <f t="shared" ref="AI26:AJ26" si="14">AVERAGE(AI8,AI11,AI20)</f>
        <v>8.9149999999999991</v>
      </c>
      <c r="AJ26">
        <f t="shared" si="14"/>
        <v>4.3449999999999998</v>
      </c>
      <c r="AK26" s="6">
        <f>AH26*AD26/$AH$4</f>
        <v>0.26880043958233529</v>
      </c>
      <c r="AL26" s="6">
        <f>AI26*AD26/$AI$4</f>
        <v>0.22841261494914086</v>
      </c>
      <c r="AM26" s="6">
        <f>AJ26*AD26/$AJ$4</f>
        <v>0.10584898006368526</v>
      </c>
      <c r="AN26" s="18"/>
      <c r="AU26" s="3">
        <f t="shared" ref="AU26" si="15">AVERAGE(AU8,AU11,AU20)</f>
        <v>4.8501760656635785E-2</v>
      </c>
      <c r="AV26" s="6">
        <f t="shared" ref="AV26:AV34" si="16">AU26*14/17*100/$AJ$4</f>
        <v>0.65479715447724296</v>
      </c>
    </row>
    <row r="27" spans="1:58" x14ac:dyDescent="0.25">
      <c r="A27" t="s">
        <v>112</v>
      </c>
      <c r="B27" s="1"/>
      <c r="D27" s="7">
        <f>AVERAGE(D9,D12,D21)</f>
        <v>20.81</v>
      </c>
      <c r="E27" s="7">
        <f t="shared" ref="E27:AG27" si="17">AVERAGE(E9,E12,E21)</f>
        <v>7.2120000000000006</v>
      </c>
      <c r="F27" s="7">
        <f t="shared" si="17"/>
        <v>11.21</v>
      </c>
      <c r="G27" s="7">
        <f t="shared" si="17"/>
        <v>7.4146666666666663</v>
      </c>
      <c r="H27">
        <f t="shared" si="17"/>
        <v>600</v>
      </c>
      <c r="I27" s="8">
        <f t="shared" si="17"/>
        <v>0.55972222222222223</v>
      </c>
      <c r="J27" s="8">
        <f t="shared" si="17"/>
        <v>0.57037037037037042</v>
      </c>
      <c r="K27" s="5">
        <f t="shared" si="17"/>
        <v>320.66666666666669</v>
      </c>
      <c r="L27" s="5">
        <f t="shared" si="17"/>
        <v>120</v>
      </c>
      <c r="M27" s="4">
        <f t="shared" si="17"/>
        <v>14.722222222222221</v>
      </c>
      <c r="N27" s="4">
        <f t="shared" si="17"/>
        <v>320.4666666666667</v>
      </c>
      <c r="O27" s="5">
        <f t="shared" si="17"/>
        <v>34.666666666666664</v>
      </c>
      <c r="P27" s="7">
        <f t="shared" si="17"/>
        <v>17.117000000000001</v>
      </c>
      <c r="Q27" s="7">
        <f t="shared" si="17"/>
        <v>17.284000000000002</v>
      </c>
      <c r="R27" s="7">
        <f t="shared" si="17"/>
        <v>1.1719999999999999</v>
      </c>
      <c r="S27" s="7">
        <f t="shared" si="17"/>
        <v>1.5903333333333334</v>
      </c>
      <c r="T27" s="7">
        <f t="shared" si="17"/>
        <v>17.140666666666664</v>
      </c>
      <c r="U27" s="7">
        <f t="shared" si="17"/>
        <v>30.86033333333333</v>
      </c>
      <c r="V27" s="7">
        <f t="shared" si="17"/>
        <v>7.2833333333333323</v>
      </c>
      <c r="W27" s="7">
        <f t="shared" si="17"/>
        <v>10.473666666666666</v>
      </c>
      <c r="X27" s="7">
        <f t="shared" si="17"/>
        <v>7.3353333333333337</v>
      </c>
      <c r="Y27" s="7">
        <f t="shared" si="17"/>
        <v>1.054367834236059</v>
      </c>
      <c r="Z27" s="7">
        <f t="shared" si="17"/>
        <v>19.755632165763942</v>
      </c>
      <c r="AA27" s="9">
        <f t="shared" si="17"/>
        <v>5.337026533926429E-2</v>
      </c>
      <c r="AB27" s="9">
        <f t="shared" si="17"/>
        <v>0.69064169417039489</v>
      </c>
      <c r="AC27" s="9">
        <f t="shared" si="17"/>
        <v>0.39654704531085233</v>
      </c>
      <c r="AD27" s="9">
        <f t="shared" si="17"/>
        <v>0.15860901816188869</v>
      </c>
      <c r="AE27" s="9">
        <f t="shared" si="17"/>
        <v>0.21353954308177556</v>
      </c>
      <c r="AF27" s="9">
        <f t="shared" si="17"/>
        <v>5.8639998236172018E-2</v>
      </c>
      <c r="AG27" s="5">
        <f t="shared" si="17"/>
        <v>21.792410414043804</v>
      </c>
      <c r="AH27">
        <f>AVERAGE(AH9,AH12,AH21)</f>
        <v>71.224999999999994</v>
      </c>
      <c r="AI27">
        <f t="shared" ref="AI27:AJ27" si="18">AVERAGE(AI9,AI12,AI21)</f>
        <v>9.120000000000001</v>
      </c>
      <c r="AJ27">
        <f t="shared" si="18"/>
        <v>3.9799999999999995</v>
      </c>
      <c r="AK27" s="6">
        <f t="shared" ref="AK27:AK29" si="19">AH27*AD27/$AH$4</f>
        <v>0.28171888575013765</v>
      </c>
      <c r="AL27" s="6">
        <f t="shared" ref="AL27:AL29" si="20">AI27*AD27/$AI$4</f>
        <v>0.24939900786834915</v>
      </c>
      <c r="AM27" s="6">
        <f t="shared" ref="AM27:AM29" si="21">AJ27*AD27/$AJ$4</f>
        <v>0.10348588398103556</v>
      </c>
      <c r="AN27" s="18"/>
      <c r="AU27" s="3">
        <f t="shared" ref="AU27" si="22">AVERAGE(AU9,AU12,AU21)</f>
        <v>4.9629663372027177E-2</v>
      </c>
      <c r="AV27" s="6">
        <f t="shared" si="16"/>
        <v>0.67002438496468719</v>
      </c>
    </row>
    <row r="28" spans="1:58" x14ac:dyDescent="0.25">
      <c r="A28" t="s">
        <v>113</v>
      </c>
      <c r="B28" s="1"/>
      <c r="D28" s="7">
        <f>AVERAGE(D7,D10,D13)</f>
        <v>20.965666666666667</v>
      </c>
      <c r="E28" s="7">
        <f t="shared" ref="E28:AG28" si="23">AVERAGE(E7,E10,E13)</f>
        <v>7.2240000000000002</v>
      </c>
      <c r="F28" s="7">
        <f t="shared" si="23"/>
        <v>11.781666666666666</v>
      </c>
      <c r="G28" s="7">
        <f t="shared" si="23"/>
        <v>7.4526666666666666</v>
      </c>
      <c r="H28">
        <f t="shared" si="23"/>
        <v>700</v>
      </c>
      <c r="I28" s="8">
        <f t="shared" si="23"/>
        <v>0.5722222222222223</v>
      </c>
      <c r="J28" s="8">
        <f t="shared" si="23"/>
        <v>0.57870370370370372</v>
      </c>
      <c r="K28" s="5">
        <f t="shared" si="23"/>
        <v>321.66666666666669</v>
      </c>
      <c r="L28" s="5">
        <f t="shared" si="23"/>
        <v>124.33333333333333</v>
      </c>
      <c r="M28" s="4">
        <f t="shared" si="23"/>
        <v>9.1388888888888822</v>
      </c>
      <c r="N28" s="4">
        <f t="shared" si="23"/>
        <v>321.63333333333333</v>
      </c>
      <c r="O28" s="5">
        <f t="shared" si="23"/>
        <v>40.666666666666664</v>
      </c>
      <c r="P28" s="7">
        <f t="shared" si="23"/>
        <v>16.856999999999999</v>
      </c>
      <c r="Q28" s="7">
        <f t="shared" si="23"/>
        <v>17.036333333333332</v>
      </c>
      <c r="R28" s="7">
        <f t="shared" si="23"/>
        <v>1.1719999999999999</v>
      </c>
      <c r="S28" s="7">
        <f t="shared" si="23"/>
        <v>1.6083333333333334</v>
      </c>
      <c r="T28" s="7">
        <f t="shared" si="23"/>
        <v>16.916</v>
      </c>
      <c r="U28" s="7">
        <f t="shared" si="23"/>
        <v>30.925999999999998</v>
      </c>
      <c r="V28" s="7">
        <f t="shared" si="23"/>
        <v>7.2469999999999999</v>
      </c>
      <c r="W28" s="7">
        <f t="shared" si="23"/>
        <v>10.520333333333333</v>
      </c>
      <c r="X28" s="7">
        <f t="shared" si="23"/>
        <v>7.2983333333333329</v>
      </c>
      <c r="Y28" s="7">
        <f t="shared" si="23"/>
        <v>1.0511596283227334</v>
      </c>
      <c r="Z28" s="7">
        <f t="shared" si="23"/>
        <v>19.914507038343935</v>
      </c>
      <c r="AA28" s="9">
        <f t="shared" si="23"/>
        <v>5.279328124694465E-2</v>
      </c>
      <c r="AB28" s="9">
        <f t="shared" si="23"/>
        <v>0.70498160158922774</v>
      </c>
      <c r="AC28" s="9">
        <f t="shared" si="23"/>
        <v>0.41495942602984731</v>
      </c>
      <c r="AD28" s="9">
        <f t="shared" si="23"/>
        <v>0.1705980735062668</v>
      </c>
      <c r="AE28" s="9">
        <f t="shared" si="23"/>
        <v>0.20666146418678774</v>
      </c>
      <c r="AF28" s="9">
        <f t="shared" si="23"/>
        <v>6.8883976163288063E-2</v>
      </c>
      <c r="AG28" s="5">
        <f t="shared" si="23"/>
        <v>35.207598949556107</v>
      </c>
      <c r="AH28">
        <f>AVERAGE(AH7,AH10,AH13)</f>
        <v>71.06</v>
      </c>
      <c r="AI28">
        <f t="shared" ref="AI28:AJ28" si="24">AVERAGE(AI7,AI10,AI13)</f>
        <v>9.375</v>
      </c>
      <c r="AJ28">
        <f t="shared" si="24"/>
        <v>4.0449999999999999</v>
      </c>
      <c r="AK28" s="6">
        <f t="shared" si="19"/>
        <v>0.30231169833803784</v>
      </c>
      <c r="AL28" s="6">
        <f t="shared" si="20"/>
        <v>0.27575119640021573</v>
      </c>
      <c r="AM28" s="6">
        <f t="shared" si="21"/>
        <v>0.11312609956276216</v>
      </c>
      <c r="AN28" s="18"/>
      <c r="AU28" s="3">
        <f t="shared" ref="AU28" si="25">AVERAGE(AU7,AU10,AU13)</f>
        <v>5.0148370524829462E-2</v>
      </c>
      <c r="AV28" s="6">
        <f t="shared" si="16"/>
        <v>0.67702718162739872</v>
      </c>
    </row>
    <row r="29" spans="1:58" x14ac:dyDescent="0.25">
      <c r="A29" t="s">
        <v>114</v>
      </c>
      <c r="B29" s="1"/>
      <c r="D29" s="7">
        <f>AVERAGE(D22:D24)</f>
        <v>21.543666666666667</v>
      </c>
      <c r="E29" s="7">
        <f t="shared" ref="E29:AG29" si="26">AVERAGE(E22:E24)</f>
        <v>7.2546666666666662</v>
      </c>
      <c r="F29" s="7">
        <f t="shared" si="26"/>
        <v>11.301000000000002</v>
      </c>
      <c r="G29" s="7">
        <f t="shared" si="26"/>
        <v>7.4653333333333336</v>
      </c>
      <c r="H29">
        <f t="shared" si="26"/>
        <v>800</v>
      </c>
      <c r="I29" s="8">
        <f t="shared" si="26"/>
        <v>0.54421296296296295</v>
      </c>
      <c r="J29" s="8">
        <f t="shared" si="26"/>
        <v>0.54837962962962961</v>
      </c>
      <c r="K29" s="5">
        <f t="shared" si="26"/>
        <v>321</v>
      </c>
      <c r="L29" s="5">
        <f t="shared" si="26"/>
        <v>120.66666666666667</v>
      </c>
      <c r="M29" s="4">
        <f t="shared" si="26"/>
        <v>6.1111111111110992</v>
      </c>
      <c r="N29" s="4">
        <f t="shared" si="26"/>
        <v>321.2</v>
      </c>
      <c r="O29" s="5">
        <f t="shared" si="26"/>
        <v>20.5</v>
      </c>
      <c r="P29" s="7">
        <f t="shared" si="26"/>
        <v>17.479666666666667</v>
      </c>
      <c r="Q29" s="7">
        <f t="shared" si="26"/>
        <v>17.631</v>
      </c>
      <c r="R29" s="7">
        <f t="shared" si="26"/>
        <v>1.1603333333333332</v>
      </c>
      <c r="S29" s="7">
        <f t="shared" si="26"/>
        <v>1.6403333333333334</v>
      </c>
      <c r="T29" s="7">
        <f t="shared" si="26"/>
        <v>17.409666666666666</v>
      </c>
      <c r="U29" s="7">
        <f t="shared" si="26"/>
        <v>33.210666666666668</v>
      </c>
      <c r="V29" s="7">
        <f t="shared" si="26"/>
        <v>7.2816666666666663</v>
      </c>
      <c r="W29" s="7">
        <f t="shared" si="26"/>
        <v>11.200333333333333</v>
      </c>
      <c r="X29" s="7">
        <f t="shared" si="26"/>
        <v>7.3583333333333334</v>
      </c>
      <c r="Y29" s="7">
        <f t="shared" si="26"/>
        <v>1.1213362933817368</v>
      </c>
      <c r="Z29" s="7">
        <f t="shared" si="26"/>
        <v>20.422330373284932</v>
      </c>
      <c r="AA29" s="9">
        <f t="shared" si="26"/>
        <v>5.4920597104853947E-2</v>
      </c>
      <c r="AB29" s="9">
        <f t="shared" si="26"/>
        <v>0.7738475214683902</v>
      </c>
      <c r="AC29" s="9">
        <f t="shared" si="26"/>
        <v>0.42788682982646914</v>
      </c>
      <c r="AD29" s="9">
        <f t="shared" si="26"/>
        <v>0.13529344862326168</v>
      </c>
      <c r="AE29" s="9">
        <f t="shared" si="26"/>
        <v>0.27663829900953557</v>
      </c>
      <c r="AF29" s="9">
        <f t="shared" si="26"/>
        <v>2.1752108185352795E-2</v>
      </c>
      <c r="AG29" s="5">
        <f t="shared" si="26"/>
        <v>52.642796655399486</v>
      </c>
      <c r="AH29">
        <f>AVERAGE(AH22:AH24)</f>
        <v>70.454999999999998</v>
      </c>
      <c r="AI29">
        <f t="shared" ref="AI29:AJ29" si="27">AVERAGE(AI22:AI24)</f>
        <v>9.129999999999999</v>
      </c>
      <c r="AJ29">
        <f t="shared" si="27"/>
        <v>4.8149999999999995</v>
      </c>
      <c r="AK29" s="6">
        <f t="shared" si="19"/>
        <v>0.23770822750004739</v>
      </c>
      <c r="AL29" s="6">
        <f t="shared" si="20"/>
        <v>0.21297054929834122</v>
      </c>
      <c r="AM29" s="6">
        <f t="shared" si="21"/>
        <v>0.10679310739688605</v>
      </c>
      <c r="AN29" s="18"/>
      <c r="AU29" s="3">
        <f t="shared" ref="AU29" si="28">AVERAGE(AU22:AU24)</f>
        <v>4.8209441019630983E-2</v>
      </c>
      <c r="AV29" s="6">
        <f t="shared" si="16"/>
        <v>0.65085069843281951</v>
      </c>
    </row>
    <row r="30" spans="1:58" x14ac:dyDescent="0.25">
      <c r="B30" s="1"/>
      <c r="D30" s="7"/>
      <c r="E30" s="7"/>
      <c r="F30" s="7"/>
      <c r="G30" s="7"/>
      <c r="I30" s="8"/>
      <c r="J30" s="8"/>
      <c r="K30" s="5"/>
      <c r="L30" s="5"/>
      <c r="M30" s="4"/>
      <c r="N30" s="4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9"/>
      <c r="AB30" s="9"/>
      <c r="AC30" s="9"/>
      <c r="AD30" s="9"/>
      <c r="AE30" s="9"/>
      <c r="AF30" s="9"/>
      <c r="AG30" s="5"/>
      <c r="AU30" s="3"/>
      <c r="AV30" s="6"/>
    </row>
    <row r="31" spans="1:58" x14ac:dyDescent="0.25">
      <c r="A31" t="s">
        <v>111</v>
      </c>
      <c r="B31" s="1"/>
      <c r="D31" s="7">
        <f>_xlfn.STDEV.P(D8,D11,D20)</f>
        <v>0.19214751277772707</v>
      </c>
      <c r="E31" s="7">
        <f t="shared" ref="E31:AG31" si="29">_xlfn.STDEV.P(E8,E11,E20)</f>
        <v>2.870540018881464E-2</v>
      </c>
      <c r="F31" s="7">
        <f t="shared" si="29"/>
        <v>1.3237237879054191</v>
      </c>
      <c r="G31" s="7">
        <f t="shared" si="29"/>
        <v>8.608522908528865E-2</v>
      </c>
      <c r="H31">
        <f t="shared" si="29"/>
        <v>0</v>
      </c>
      <c r="I31" s="8">
        <f t="shared" si="29"/>
        <v>8.5114705142825403E-2</v>
      </c>
      <c r="J31" s="8">
        <f t="shared" si="29"/>
        <v>8.4787340892275728E-2</v>
      </c>
      <c r="K31" s="5">
        <f t="shared" si="29"/>
        <v>0</v>
      </c>
      <c r="L31" s="5">
        <f t="shared" si="29"/>
        <v>1.247219128924647</v>
      </c>
      <c r="M31" s="4">
        <f t="shared" si="29"/>
        <v>0.87753161105174937</v>
      </c>
      <c r="N31" s="4">
        <f t="shared" si="29"/>
        <v>0.20548046676563317</v>
      </c>
      <c r="O31" s="5">
        <f t="shared" si="29"/>
        <v>2.1602468994692869</v>
      </c>
      <c r="P31" s="7">
        <f t="shared" si="29"/>
        <v>0.31385453105964095</v>
      </c>
      <c r="Q31" s="7">
        <f t="shared" si="29"/>
        <v>0.31022178446323784</v>
      </c>
      <c r="R31" s="7">
        <f t="shared" si="29"/>
        <v>5.6568542494923853E-3</v>
      </c>
      <c r="S31" s="7">
        <f t="shared" si="29"/>
        <v>4.5460605656619073E-3</v>
      </c>
      <c r="T31" s="7">
        <f t="shared" si="29"/>
        <v>0.36260385485479324</v>
      </c>
      <c r="U31" s="7">
        <f t="shared" si="29"/>
        <v>0.52303112293204412</v>
      </c>
      <c r="V31" s="7">
        <f t="shared" si="29"/>
        <v>5.2828864164289079E-2</v>
      </c>
      <c r="W31" s="7">
        <f t="shared" si="29"/>
        <v>0.58782140144775274</v>
      </c>
      <c r="X31" s="7">
        <f t="shared" si="29"/>
        <v>5.1149019758175387E-2</v>
      </c>
      <c r="Y31" s="7">
        <f t="shared" si="29"/>
        <v>2.8834706530966755E-2</v>
      </c>
      <c r="Z31" s="7">
        <f t="shared" si="29"/>
        <v>0.22057272242917941</v>
      </c>
      <c r="AA31" s="9">
        <f t="shared" si="29"/>
        <v>2.1098645700081938E-3</v>
      </c>
      <c r="AB31" s="9">
        <f t="shared" si="29"/>
        <v>1.4414997716997245E-2</v>
      </c>
      <c r="AC31" s="9">
        <f t="shared" si="29"/>
        <v>9.1622911896838376E-3</v>
      </c>
      <c r="AD31" s="9">
        <f t="shared" si="29"/>
        <v>7.7481030929117669E-3</v>
      </c>
      <c r="AE31" s="9">
        <f t="shared" si="29"/>
        <v>6.5145583295236967E-2</v>
      </c>
      <c r="AF31" s="9">
        <f t="shared" si="29"/>
        <v>5.7605820807236632E-3</v>
      </c>
      <c r="AG31" s="5">
        <f t="shared" si="29"/>
        <v>0.2812953554010722</v>
      </c>
      <c r="AH31">
        <f>_xlfn.STDEV.P(AH8,AH11,AH20)</f>
        <v>0</v>
      </c>
      <c r="AI31">
        <f t="shared" ref="AI31:AJ31" si="30">_xlfn.STDEV.P(AI8,AI11,AI20)</f>
        <v>0</v>
      </c>
      <c r="AJ31">
        <f t="shared" si="30"/>
        <v>0</v>
      </c>
      <c r="AU31" s="3">
        <f t="shared" ref="AU31" si="31">_xlfn.STDEV.P(AU8,AU11,AU20)</f>
        <v>1.9195852674766523E-3</v>
      </c>
      <c r="AV31" s="6">
        <f t="shared" si="16"/>
        <v>2.591532665831546E-2</v>
      </c>
    </row>
    <row r="32" spans="1:58" x14ac:dyDescent="0.25">
      <c r="A32" t="s">
        <v>112</v>
      </c>
      <c r="B32" s="1"/>
      <c r="D32" s="7">
        <f>_xlfn.STDEV.P(D9,D12,D21)</f>
        <v>0.75965035816924797</v>
      </c>
      <c r="E32" s="7">
        <f t="shared" ref="E32:AG32" si="32">_xlfn.STDEV.P(E9,E12,E21)</f>
        <v>1.7204650534085184E-2</v>
      </c>
      <c r="F32" s="7">
        <f t="shared" si="32"/>
        <v>0.34751211010073696</v>
      </c>
      <c r="G32" s="7">
        <f t="shared" si="32"/>
        <v>5.3124591501696964E-3</v>
      </c>
      <c r="H32">
        <f t="shared" si="32"/>
        <v>0</v>
      </c>
      <c r="I32" s="8">
        <f t="shared" si="32"/>
        <v>6.2810442992954449E-2</v>
      </c>
      <c r="J32" s="8">
        <f t="shared" si="32"/>
        <v>6.2490568561359726E-2</v>
      </c>
      <c r="K32" s="5">
        <f t="shared" si="32"/>
        <v>0.94280904158206336</v>
      </c>
      <c r="L32" s="5">
        <f t="shared" si="32"/>
        <v>0</v>
      </c>
      <c r="M32" s="4">
        <f t="shared" si="32"/>
        <v>0.50154083570188279</v>
      </c>
      <c r="N32" s="4">
        <f t="shared" si="32"/>
        <v>0.75865377844940796</v>
      </c>
      <c r="O32" s="5">
        <f t="shared" si="32"/>
        <v>2.8674417556808756</v>
      </c>
      <c r="P32" s="7">
        <f t="shared" si="32"/>
        <v>0.29676365455807879</v>
      </c>
      <c r="Q32" s="7">
        <f t="shared" si="32"/>
        <v>0.29142866479923796</v>
      </c>
      <c r="R32" s="7">
        <f t="shared" si="32"/>
        <v>1.4854853303438166E-2</v>
      </c>
      <c r="S32" s="7">
        <f t="shared" si="32"/>
        <v>2.7824849006278966E-2</v>
      </c>
      <c r="T32" s="7">
        <f t="shared" si="32"/>
        <v>0.24180616663398372</v>
      </c>
      <c r="U32" s="7">
        <f t="shared" si="32"/>
        <v>3.5305305865014756</v>
      </c>
      <c r="V32" s="7">
        <f t="shared" si="32"/>
        <v>7.1050842515920989E-2</v>
      </c>
      <c r="W32" s="7">
        <f t="shared" si="32"/>
        <v>0.12150262914393672</v>
      </c>
      <c r="X32" s="7">
        <f t="shared" si="32"/>
        <v>7.2158775550094242E-2</v>
      </c>
      <c r="Y32" s="7">
        <f t="shared" si="32"/>
        <v>4.6224028617943905E-2</v>
      </c>
      <c r="Z32" s="7">
        <f t="shared" si="32"/>
        <v>0.72088007614980176</v>
      </c>
      <c r="AA32" s="9">
        <f t="shared" si="32"/>
        <v>1.33953172490546E-3</v>
      </c>
      <c r="AB32" s="9">
        <f t="shared" si="32"/>
        <v>0.15754327168659363</v>
      </c>
      <c r="AC32" s="9">
        <f t="shared" si="32"/>
        <v>6.7609694953538772E-3</v>
      </c>
      <c r="AD32" s="9">
        <f t="shared" si="32"/>
        <v>8.3161197965607898E-3</v>
      </c>
      <c r="AE32" s="9">
        <f t="shared" si="32"/>
        <v>5.5866005074845973E-2</v>
      </c>
      <c r="AF32" s="9">
        <f t="shared" si="32"/>
        <v>6.9063231186225291E-3</v>
      </c>
      <c r="AG32" s="5">
        <f t="shared" si="32"/>
        <v>0.73105231660827186</v>
      </c>
      <c r="AH32">
        <f>_xlfn.STDEV.P(AH9,AH12,AH21)</f>
        <v>0</v>
      </c>
      <c r="AI32">
        <f t="shared" ref="AI32:AJ32" si="33">_xlfn.STDEV.P(AI9,AI12,AI21)</f>
        <v>0</v>
      </c>
      <c r="AJ32">
        <f t="shared" si="33"/>
        <v>0</v>
      </c>
      <c r="AU32" s="3">
        <f t="shared" ref="AU32" si="34">_xlfn.STDEV.P(AU9,AU12,AU21)</f>
        <v>1.2377801111607247E-3</v>
      </c>
      <c r="AV32" s="6">
        <f t="shared" si="16"/>
        <v>1.6710628308823673E-2</v>
      </c>
    </row>
    <row r="33" spans="1:48" x14ac:dyDescent="0.25">
      <c r="A33" t="s">
        <v>113</v>
      </c>
      <c r="B33" s="1"/>
      <c r="D33" s="7">
        <f>_xlfn.STDEV.P(D7,D10,D13)</f>
        <v>0.45797913586635036</v>
      </c>
      <c r="E33" s="7">
        <f t="shared" ref="E33:AG33" si="35">_xlfn.STDEV.P(E7,E10,E13)</f>
        <v>4.6561786907291208E-2</v>
      </c>
      <c r="F33" s="7">
        <f t="shared" si="35"/>
        <v>1.032717558461923</v>
      </c>
      <c r="G33" s="7">
        <f t="shared" si="35"/>
        <v>6.7923159198873817E-2</v>
      </c>
      <c r="H33">
        <f t="shared" si="35"/>
        <v>0</v>
      </c>
      <c r="I33" s="8">
        <f t="shared" si="35"/>
        <v>0.11074737918291683</v>
      </c>
      <c r="J33" s="8">
        <f t="shared" si="35"/>
        <v>0.11084507116285061</v>
      </c>
      <c r="K33" s="5">
        <f t="shared" si="35"/>
        <v>1.699673171197595</v>
      </c>
      <c r="L33" s="5">
        <f t="shared" si="35"/>
        <v>4.0276819911981905</v>
      </c>
      <c r="M33" s="4">
        <f t="shared" si="35"/>
        <v>0.20786985482075099</v>
      </c>
      <c r="N33" s="4">
        <f t="shared" si="35"/>
        <v>1.8263503375736807</v>
      </c>
      <c r="O33" s="5">
        <f t="shared" si="35"/>
        <v>8.2192186706253025</v>
      </c>
      <c r="P33" s="7">
        <f t="shared" si="35"/>
        <v>5.2325901807804845E-2</v>
      </c>
      <c r="Q33" s="7">
        <f t="shared" si="35"/>
        <v>6.2098488083223505E-2</v>
      </c>
      <c r="R33" s="7">
        <f t="shared" si="35"/>
        <v>1.5121728296285063E-2</v>
      </c>
      <c r="S33" s="7">
        <f t="shared" si="35"/>
        <v>3.0684777260973451E-2</v>
      </c>
      <c r="T33" s="7">
        <f t="shared" si="35"/>
        <v>8.3118389461458039E-2</v>
      </c>
      <c r="U33" s="7">
        <f t="shared" si="35"/>
        <v>1.06943848194586</v>
      </c>
      <c r="V33" s="7">
        <f t="shared" si="35"/>
        <v>6.3314032146646868E-2</v>
      </c>
      <c r="W33" s="7">
        <f t="shared" si="35"/>
        <v>0.2267102899198791</v>
      </c>
      <c r="X33" s="7">
        <f t="shared" si="35"/>
        <v>6.115190557583252E-2</v>
      </c>
      <c r="Y33" s="7">
        <f t="shared" si="35"/>
        <v>1.7668905565294053E-2</v>
      </c>
      <c r="Z33" s="7">
        <f t="shared" si="35"/>
        <v>0.44321172824146055</v>
      </c>
      <c r="AA33" s="9">
        <f t="shared" si="35"/>
        <v>6.5175645761240974E-4</v>
      </c>
      <c r="AB33" s="9">
        <f t="shared" si="35"/>
        <v>6.9574738916548612E-2</v>
      </c>
      <c r="AC33" s="9">
        <f t="shared" si="35"/>
        <v>2.641084300658935E-2</v>
      </c>
      <c r="AD33" s="9">
        <f t="shared" si="35"/>
        <v>1.2058503891087818E-2</v>
      </c>
      <c r="AE33" s="9">
        <f t="shared" si="35"/>
        <v>4.2483683114568479E-3</v>
      </c>
      <c r="AF33" s="9">
        <f t="shared" si="35"/>
        <v>1.4785920509446498E-2</v>
      </c>
      <c r="AG33" s="5">
        <f t="shared" si="35"/>
        <v>0.60363207574870215</v>
      </c>
      <c r="AH33">
        <f>_xlfn.STDEV.P(AH7,AH10,AH13)</f>
        <v>0</v>
      </c>
      <c r="AI33">
        <f t="shared" ref="AI33:AJ33" si="36">_xlfn.STDEV.P(AI7,AI10,AI13)</f>
        <v>0</v>
      </c>
      <c r="AJ33">
        <f t="shared" si="36"/>
        <v>0</v>
      </c>
      <c r="AU33" s="3">
        <f t="shared" ref="AU33" si="37">_xlfn.STDEV.P(AU7,AU10,AU13)</f>
        <v>6.2377591054725275E-4</v>
      </c>
      <c r="AV33" s="6">
        <f t="shared" si="16"/>
        <v>8.4212755522290635E-3</v>
      </c>
    </row>
    <row r="34" spans="1:48" x14ac:dyDescent="0.25">
      <c r="A34" t="s">
        <v>114</v>
      </c>
      <c r="B34" s="1"/>
      <c r="D34" s="7">
        <f>_xlfn.STDEV.P(D22:D24)</f>
        <v>0.59477801648084483</v>
      </c>
      <c r="E34" s="7">
        <f t="shared" ref="E34:AG34" si="38">_xlfn.STDEV.P(E22:E24)</f>
        <v>4.5154057280479977E-2</v>
      </c>
      <c r="F34" s="7">
        <f t="shared" si="38"/>
        <v>0.65740753468960678</v>
      </c>
      <c r="G34" s="7">
        <f t="shared" si="38"/>
        <v>3.7632728073077715E-2</v>
      </c>
      <c r="H34">
        <f t="shared" si="38"/>
        <v>0</v>
      </c>
      <c r="I34" s="8">
        <f t="shared" si="38"/>
        <v>0.13303681986186167</v>
      </c>
      <c r="J34" s="8">
        <f t="shared" si="38"/>
        <v>0.13303681986186186</v>
      </c>
      <c r="K34" s="5">
        <f t="shared" si="38"/>
        <v>0.81649658092772603</v>
      </c>
      <c r="L34" s="5">
        <f t="shared" si="38"/>
        <v>1.247219128924647</v>
      </c>
      <c r="M34" s="4">
        <f t="shared" si="38"/>
        <v>0.23895347964005656</v>
      </c>
      <c r="N34" s="4">
        <f t="shared" si="38"/>
        <v>0.69761498454854065</v>
      </c>
      <c r="O34" s="5">
        <f t="shared" si="38"/>
        <v>9.5</v>
      </c>
      <c r="P34" s="7">
        <f t="shared" si="38"/>
        <v>0.16968663929595429</v>
      </c>
      <c r="Q34" s="7">
        <f t="shared" si="38"/>
        <v>0.16285167075184245</v>
      </c>
      <c r="R34" s="7">
        <f t="shared" si="38"/>
        <v>1.7152907107024825E-2</v>
      </c>
      <c r="S34" s="7">
        <f t="shared" si="38"/>
        <v>3.1169785940162589E-2</v>
      </c>
      <c r="T34" s="7">
        <f t="shared" si="38"/>
        <v>3.4022868126535308E-2</v>
      </c>
      <c r="U34" s="7">
        <f t="shared" si="38"/>
        <v>0.52398558080245849</v>
      </c>
      <c r="V34" s="7">
        <f t="shared" si="38"/>
        <v>4.5154057280479977E-2</v>
      </c>
      <c r="W34" s="7">
        <f t="shared" si="38"/>
        <v>0.4246208766522076</v>
      </c>
      <c r="X34" s="7">
        <f t="shared" si="38"/>
        <v>4.5330882286680828E-2</v>
      </c>
      <c r="Y34" s="7">
        <f t="shared" si="38"/>
        <v>2.5989953434458136E-2</v>
      </c>
      <c r="Z34" s="7">
        <f t="shared" si="38"/>
        <v>0.57278269684192584</v>
      </c>
      <c r="AA34" s="9">
        <f t="shared" si="38"/>
        <v>8.2314346278546775E-4</v>
      </c>
      <c r="AB34" s="9">
        <f t="shared" si="38"/>
        <v>1.7571861400215206E-2</v>
      </c>
      <c r="AC34" s="9">
        <f t="shared" si="38"/>
        <v>9.7557723443070284E-3</v>
      </c>
      <c r="AD34" s="9">
        <f t="shared" si="38"/>
        <v>1.4804737469177109E-2</v>
      </c>
      <c r="AE34" s="9">
        <f t="shared" si="38"/>
        <v>7.2251395471825235E-3</v>
      </c>
      <c r="AF34" s="9">
        <f t="shared" si="38"/>
        <v>1.9489477139900853E-2</v>
      </c>
      <c r="AG34" s="5">
        <f t="shared" si="38"/>
        <v>2.1176967313937975</v>
      </c>
      <c r="AH34">
        <f>_xlfn.STDEV.P(AH22:AH24)</f>
        <v>0</v>
      </c>
      <c r="AI34">
        <f t="shared" ref="AI34:AJ34" si="39">_xlfn.STDEV.P(AI22:AI24)</f>
        <v>0</v>
      </c>
      <c r="AJ34">
        <f t="shared" si="39"/>
        <v>0</v>
      </c>
      <c r="AU34" s="3">
        <f t="shared" ref="AU34" si="40">_xlfn.STDEV.P(AU22:AU24)</f>
        <v>7.2989340566105869E-4</v>
      </c>
      <c r="AV34" s="6">
        <f t="shared" si="16"/>
        <v>9.853912901885073E-3</v>
      </c>
    </row>
    <row r="35" spans="1:48" x14ac:dyDescent="0.25">
      <c r="AU35" s="3"/>
      <c r="AV35" s="6"/>
    </row>
    <row r="36" spans="1:48" x14ac:dyDescent="0.25">
      <c r="A36">
        <v>300</v>
      </c>
      <c r="B36" s="1"/>
      <c r="D36" s="7">
        <f>AVERAGE(D15,D17,D19)</f>
        <v>20.669333333333331</v>
      </c>
      <c r="E36" s="7">
        <f t="shared" ref="E36:AJ36" si="41">AVERAGE(E15,E17,E19)</f>
        <v>7.1840000000000002</v>
      </c>
      <c r="F36" s="7">
        <f t="shared" si="41"/>
        <v>9.6590000000000007</v>
      </c>
      <c r="G36" s="7">
        <f t="shared" si="41"/>
        <v>7.3120000000000003</v>
      </c>
      <c r="H36">
        <f t="shared" si="41"/>
        <v>700</v>
      </c>
      <c r="I36" s="8">
        <f t="shared" si="41"/>
        <v>0.66527777777777775</v>
      </c>
      <c r="J36" s="8">
        <f t="shared" si="41"/>
        <v>0.66388888888888886</v>
      </c>
      <c r="K36" s="5">
        <f t="shared" si="41"/>
        <v>303</v>
      </c>
      <c r="L36" s="5">
        <f t="shared" si="41"/>
        <v>91.666666666666671</v>
      </c>
      <c r="M36" s="4">
        <f t="shared" si="41"/>
        <v>8.0833333333332771</v>
      </c>
      <c r="N36" s="4">
        <f t="shared" si="41"/>
        <v>303.13333333333333</v>
      </c>
      <c r="O36" s="5">
        <f t="shared" si="41"/>
        <v>32</v>
      </c>
      <c r="P36" s="7">
        <f t="shared" si="41"/>
        <v>17.516333333333332</v>
      </c>
      <c r="Q36" s="7">
        <f t="shared" si="41"/>
        <v>17.646000000000001</v>
      </c>
      <c r="R36" s="7">
        <f t="shared" si="41"/>
        <v>1.1843333333333335</v>
      </c>
      <c r="S36" s="7">
        <f t="shared" si="41"/>
        <v>1.6503333333333334</v>
      </c>
      <c r="T36" s="7">
        <f t="shared" si="41"/>
        <v>17.280333333333335</v>
      </c>
      <c r="U36" s="7">
        <f t="shared" si="41"/>
        <v>32.744666666666667</v>
      </c>
      <c r="V36" s="7">
        <f t="shared" si="41"/>
        <v>7.1906666666666679</v>
      </c>
      <c r="W36" s="7">
        <f t="shared" si="41"/>
        <v>10.589666666666666</v>
      </c>
      <c r="X36" s="7">
        <f t="shared" si="41"/>
        <v>7.2610000000000001</v>
      </c>
      <c r="Y36" s="7">
        <f t="shared" si="41"/>
        <v>1.0701890363306452</v>
      </c>
      <c r="Z36" s="7">
        <f t="shared" si="41"/>
        <v>19.599144297002692</v>
      </c>
      <c r="AA36" s="9">
        <f t="shared" si="41"/>
        <v>5.4598169104649937E-2</v>
      </c>
      <c r="AB36" s="9">
        <f t="shared" si="41"/>
        <v>0.78920805605894839</v>
      </c>
      <c r="AC36" s="9">
        <f t="shared" si="41"/>
        <v>0.43551571899590824</v>
      </c>
      <c r="AD36" s="9">
        <f t="shared" si="41"/>
        <v>0.12105642656641168</v>
      </c>
      <c r="AE36" s="9">
        <f t="shared" si="41"/>
        <v>0.29867518819804567</v>
      </c>
      <c r="AF36" s="9">
        <f t="shared" si="41"/>
        <v>5.3351532891060233E-2</v>
      </c>
      <c r="AG36" s="5">
        <f t="shared" si="41"/>
        <v>37.645904384225908</v>
      </c>
      <c r="AH36">
        <f t="shared" si="41"/>
        <v>69.375</v>
      </c>
      <c r="AI36">
        <f t="shared" si="41"/>
        <v>9.52</v>
      </c>
      <c r="AJ36">
        <f t="shared" si="41"/>
        <v>5.14</v>
      </c>
      <c r="AK36" s="6">
        <f>AH36*AD36/$AH$4</f>
        <v>0.20943365568690298</v>
      </c>
      <c r="AL36" s="6">
        <f>AI36*AD36/$AI$4</f>
        <v>0.19869951395038604</v>
      </c>
      <c r="AM36" s="6">
        <f>AJ36*AD36/$AJ$4</f>
        <v>0.10200492336907475</v>
      </c>
      <c r="AN36" s="2"/>
      <c r="AO36" s="2"/>
      <c r="AU36" s="3">
        <f t="shared" ref="AU36" si="42">AVERAGE(AU15,AU17,AU19)</f>
        <v>4.84860364054586E-2</v>
      </c>
      <c r="AV36" s="6">
        <v>7.0000000000000007E-2</v>
      </c>
    </row>
    <row r="37" spans="1:48" x14ac:dyDescent="0.25">
      <c r="A37">
        <v>320</v>
      </c>
      <c r="B37" s="1"/>
      <c r="D37" s="7">
        <f>AVERAGE(D13,D7,D10)</f>
        <v>20.965666666666667</v>
      </c>
      <c r="E37" s="7">
        <f t="shared" ref="E37:AJ37" si="43">AVERAGE(E13,E7,E10)</f>
        <v>7.2240000000000002</v>
      </c>
      <c r="F37" s="7">
        <f t="shared" si="43"/>
        <v>11.781666666666666</v>
      </c>
      <c r="G37" s="7">
        <f t="shared" si="43"/>
        <v>7.4526666666666666</v>
      </c>
      <c r="H37">
        <f t="shared" si="43"/>
        <v>700</v>
      </c>
      <c r="I37" s="8">
        <f t="shared" si="43"/>
        <v>0.5722222222222223</v>
      </c>
      <c r="J37" s="8">
        <f t="shared" si="43"/>
        <v>0.57870370370370372</v>
      </c>
      <c r="K37" s="5">
        <f t="shared" si="43"/>
        <v>321.66666666666669</v>
      </c>
      <c r="L37" s="5">
        <f t="shared" si="43"/>
        <v>124.33333333333333</v>
      </c>
      <c r="M37" s="4">
        <f t="shared" si="43"/>
        <v>9.1388888888888822</v>
      </c>
      <c r="N37" s="4">
        <f t="shared" si="43"/>
        <v>321.63333333333333</v>
      </c>
      <c r="O37" s="5">
        <f t="shared" si="43"/>
        <v>40.666666666666664</v>
      </c>
      <c r="P37" s="7">
        <f t="shared" si="43"/>
        <v>16.856999999999999</v>
      </c>
      <c r="Q37" s="7">
        <f t="shared" si="43"/>
        <v>17.036333333333332</v>
      </c>
      <c r="R37" s="7">
        <f t="shared" si="43"/>
        <v>1.1719999999999999</v>
      </c>
      <c r="S37" s="7">
        <f t="shared" si="43"/>
        <v>1.6083333333333332</v>
      </c>
      <c r="T37" s="7">
        <f t="shared" si="43"/>
        <v>16.916</v>
      </c>
      <c r="U37" s="7">
        <f t="shared" si="43"/>
        <v>30.925999999999998</v>
      </c>
      <c r="V37" s="7">
        <f t="shared" si="43"/>
        <v>7.2469999999999999</v>
      </c>
      <c r="W37" s="7">
        <f t="shared" si="43"/>
        <v>10.520333333333332</v>
      </c>
      <c r="X37" s="7">
        <f t="shared" si="43"/>
        <v>7.2983333333333329</v>
      </c>
      <c r="Y37" s="7">
        <f t="shared" si="43"/>
        <v>1.0511596283227334</v>
      </c>
      <c r="Z37" s="7">
        <f t="shared" si="43"/>
        <v>19.914507038343931</v>
      </c>
      <c r="AA37" s="9">
        <f t="shared" si="43"/>
        <v>5.2793281246944636E-2</v>
      </c>
      <c r="AB37" s="9">
        <f t="shared" si="43"/>
        <v>0.70498160158922774</v>
      </c>
      <c r="AC37" s="9">
        <f t="shared" si="43"/>
        <v>0.41495942602984731</v>
      </c>
      <c r="AD37" s="9">
        <f t="shared" si="43"/>
        <v>0.1705980735062668</v>
      </c>
      <c r="AE37" s="9">
        <f t="shared" si="43"/>
        <v>0.20666146418678774</v>
      </c>
      <c r="AF37" s="9">
        <f t="shared" si="43"/>
        <v>6.8883976163288077E-2</v>
      </c>
      <c r="AG37" s="5">
        <f t="shared" si="43"/>
        <v>35.207598949556107</v>
      </c>
      <c r="AH37">
        <f t="shared" si="43"/>
        <v>71.06</v>
      </c>
      <c r="AI37">
        <f t="shared" si="43"/>
        <v>9.375</v>
      </c>
      <c r="AJ37">
        <f t="shared" si="43"/>
        <v>4.0449999999999999</v>
      </c>
      <c r="AK37" s="6">
        <f t="shared" ref="AK37:AK38" si="44">AH37*AD37/$AH$4</f>
        <v>0.30231169833803784</v>
      </c>
      <c r="AL37" s="6">
        <f t="shared" ref="AL37:AL38" si="45">AI37*AD37/$AI$4</f>
        <v>0.27575119640021573</v>
      </c>
      <c r="AM37" s="6">
        <f t="shared" ref="AM37:AM38" si="46">AJ37*AD37/$AJ$4</f>
        <v>0.11312609956276216</v>
      </c>
      <c r="AN37" s="2"/>
      <c r="AO37" s="2"/>
      <c r="AU37" s="3">
        <f t="shared" ref="AU37" si="47">AVERAGE(AU13,AU7,AU10)</f>
        <v>5.0148370524829462E-2</v>
      </c>
      <c r="AV37" s="6">
        <f t="shared" ref="AV37:AV43" si="48">AU37*14/17*100/$AJ$4</f>
        <v>0.67702718162739872</v>
      </c>
    </row>
    <row r="38" spans="1:48" x14ac:dyDescent="0.25">
      <c r="A38">
        <v>340</v>
      </c>
      <c r="B38" s="1"/>
      <c r="D38" s="7">
        <f>AVERAGE(D14,D16,D18)</f>
        <v>20.516333333333332</v>
      </c>
      <c r="E38" s="7">
        <f t="shared" ref="E38:AJ38" si="49">AVERAGE(E14,E16,E18)</f>
        <v>7.1833333333333336</v>
      </c>
      <c r="F38" s="7">
        <f t="shared" si="49"/>
        <v>9.32</v>
      </c>
      <c r="G38" s="7">
        <f t="shared" si="49"/>
        <v>7.2946666666666671</v>
      </c>
      <c r="H38">
        <f t="shared" si="49"/>
        <v>700</v>
      </c>
      <c r="I38" s="8">
        <f t="shared" si="49"/>
        <v>0.48148148148148145</v>
      </c>
      <c r="J38" s="8">
        <f t="shared" si="49"/>
        <v>0.48842592592592587</v>
      </c>
      <c r="K38" s="5">
        <f t="shared" si="49"/>
        <v>339.33333333333331</v>
      </c>
      <c r="L38" s="5">
        <f t="shared" si="49"/>
        <v>155.66666666666666</v>
      </c>
      <c r="M38" s="4">
        <f t="shared" si="49"/>
        <v>10.027777777777802</v>
      </c>
      <c r="N38" s="4">
        <f t="shared" si="49"/>
        <v>339.3</v>
      </c>
      <c r="O38" s="5">
        <f t="shared" si="49"/>
        <v>45.666666666666664</v>
      </c>
      <c r="P38" s="7">
        <f t="shared" si="49"/>
        <v>17.278333333333332</v>
      </c>
      <c r="Q38" s="7">
        <f t="shared" si="49"/>
        <v>17.447666666666667</v>
      </c>
      <c r="R38" s="7">
        <f t="shared" si="49"/>
        <v>1.4073333333333331</v>
      </c>
      <c r="S38" s="7">
        <f t="shared" si="49"/>
        <v>1.8146666666666669</v>
      </c>
      <c r="T38" s="7">
        <f t="shared" si="49"/>
        <v>17.442666666666664</v>
      </c>
      <c r="U38" s="7">
        <f t="shared" si="49"/>
        <v>32.425666666666665</v>
      </c>
      <c r="V38" s="7">
        <f t="shared" si="49"/>
        <v>7.3096666666666676</v>
      </c>
      <c r="W38" s="7">
        <f t="shared" si="49"/>
        <v>10.684666666666667</v>
      </c>
      <c r="X38" s="7">
        <f t="shared" si="49"/>
        <v>7.3673333333333337</v>
      </c>
      <c r="Y38" s="7">
        <f t="shared" si="49"/>
        <v>1.0670226183106506</v>
      </c>
      <c r="Z38" s="7">
        <f t="shared" si="49"/>
        <v>19.44931071502268</v>
      </c>
      <c r="AA38" s="9">
        <f t="shared" si="49"/>
        <v>5.4860478005031875E-2</v>
      </c>
      <c r="AB38" s="9">
        <f t="shared" si="49"/>
        <v>0.77034858504924808</v>
      </c>
      <c r="AC38" s="9">
        <f t="shared" si="49"/>
        <v>0.38183440094520388</v>
      </c>
      <c r="AD38" s="9">
        <f t="shared" si="49"/>
        <v>0.15871765209188282</v>
      </c>
      <c r="AE38" s="9">
        <f t="shared" si="49"/>
        <v>0.24021334289121457</v>
      </c>
      <c r="AF38" s="9">
        <f t="shared" si="49"/>
        <v>7.5930843560465797E-2</v>
      </c>
      <c r="AG38" s="5">
        <f t="shared" si="49"/>
        <v>33.844339687094255</v>
      </c>
      <c r="AH38">
        <f t="shared" si="49"/>
        <v>72.034999999999997</v>
      </c>
      <c r="AI38">
        <f t="shared" si="49"/>
        <v>9.85</v>
      </c>
      <c r="AJ38">
        <f t="shared" si="49"/>
        <v>4.6549999999999994</v>
      </c>
      <c r="AK38" s="6">
        <f t="shared" si="44"/>
        <v>0.28511785706829867</v>
      </c>
      <c r="AL38" s="6">
        <f t="shared" si="45"/>
        <v>0.26954635743190442</v>
      </c>
      <c r="AM38" s="6">
        <f t="shared" si="46"/>
        <v>0.12111978204716631</v>
      </c>
      <c r="AN38" s="2"/>
      <c r="AO38" s="2"/>
      <c r="AU38" s="3">
        <f t="shared" ref="AU38" si="50">AVERAGE(AU14,AU16,AU18)</f>
        <v>4.8266460859428102E-2</v>
      </c>
      <c r="AV38" s="6">
        <f t="shared" si="48"/>
        <v>0.65162049376277098</v>
      </c>
    </row>
    <row r="39" spans="1:48" x14ac:dyDescent="0.25">
      <c r="B39" s="1"/>
      <c r="D39" s="7"/>
      <c r="E39" s="7"/>
      <c r="F39" s="7"/>
      <c r="G39" s="7"/>
      <c r="I39" s="8"/>
      <c r="J39" s="8"/>
      <c r="K39" s="5"/>
      <c r="L39" s="5"/>
      <c r="M39" s="4"/>
      <c r="N39" s="4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9"/>
      <c r="AB39" s="9"/>
      <c r="AC39" s="9"/>
      <c r="AD39" s="9"/>
      <c r="AE39" s="9"/>
      <c r="AF39" s="9"/>
      <c r="AG39" s="5"/>
      <c r="AU39" s="3"/>
      <c r="AV39" s="6"/>
    </row>
    <row r="40" spans="1:48" x14ac:dyDescent="0.25">
      <c r="B40" s="1"/>
      <c r="D40" s="7"/>
      <c r="E40" s="7"/>
      <c r="F40" s="7"/>
      <c r="G40" s="7"/>
      <c r="I40" s="8"/>
      <c r="J40" s="8"/>
      <c r="K40" s="5"/>
      <c r="L40" s="5"/>
      <c r="M40" s="4"/>
      <c r="N40" s="4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9"/>
      <c r="AB40" s="9"/>
      <c r="AC40" s="9"/>
      <c r="AD40" s="9"/>
      <c r="AE40" s="9"/>
      <c r="AF40" s="9"/>
      <c r="AG40" s="5"/>
      <c r="AU40" s="3"/>
      <c r="AV40" s="6"/>
    </row>
    <row r="41" spans="1:48" x14ac:dyDescent="0.25">
      <c r="A41">
        <v>300</v>
      </c>
      <c r="B41" s="1"/>
      <c r="D41" s="7">
        <f>_xlfn.STDEV.P(D15,D17,D19)</f>
        <v>0.2865546292691078</v>
      </c>
      <c r="E41" s="7">
        <f t="shared" ref="E41:AJ41" si="51">_xlfn.STDEV.P(E15,E17,E19)</f>
        <v>3.5590260840103779E-3</v>
      </c>
      <c r="F41" s="7">
        <f t="shared" si="51"/>
        <v>0.46961473571428736</v>
      </c>
      <c r="G41" s="7">
        <f t="shared" si="51"/>
        <v>2.4752104287649609E-2</v>
      </c>
      <c r="H41">
        <f t="shared" si="51"/>
        <v>0</v>
      </c>
      <c r="I41" s="8">
        <f t="shared" si="51"/>
        <v>5.1222829794741596E-2</v>
      </c>
      <c r="J41" s="8">
        <f t="shared" si="51"/>
        <v>4.1438418040653228E-2</v>
      </c>
      <c r="K41" s="5">
        <f t="shared" si="51"/>
        <v>1.6329931618554521</v>
      </c>
      <c r="L41" s="5">
        <f t="shared" si="51"/>
        <v>8.4983658559879753</v>
      </c>
      <c r="M41" s="4">
        <f t="shared" si="51"/>
        <v>0.47628967220790758</v>
      </c>
      <c r="N41" s="4">
        <f t="shared" si="51"/>
        <v>1.6438437341250591</v>
      </c>
      <c r="O41" s="5">
        <f t="shared" si="51"/>
        <v>12.961481396815721</v>
      </c>
      <c r="P41" s="7">
        <f t="shared" si="51"/>
        <v>4.4379675027602511E-2</v>
      </c>
      <c r="Q41" s="7">
        <f t="shared" si="51"/>
        <v>5.2427728032660707E-2</v>
      </c>
      <c r="R41" s="7">
        <f t="shared" si="51"/>
        <v>1.82086670449969E-2</v>
      </c>
      <c r="S41" s="7">
        <f t="shared" si="51"/>
        <v>4.0573664145874537E-2</v>
      </c>
      <c r="T41" s="7">
        <f t="shared" si="51"/>
        <v>0.30650104223132563</v>
      </c>
      <c r="U41" s="7">
        <f t="shared" si="51"/>
        <v>0.199548378985036</v>
      </c>
      <c r="V41" s="7">
        <f t="shared" si="51"/>
        <v>3.2826141344293867E-2</v>
      </c>
      <c r="W41" s="7">
        <f t="shared" si="51"/>
        <v>0.21888251541764472</v>
      </c>
      <c r="X41" s="7">
        <f t="shared" si="51"/>
        <v>3.7067505985701459E-2</v>
      </c>
      <c r="Y41" s="7">
        <f t="shared" si="51"/>
        <v>2.2764709651175719E-2</v>
      </c>
      <c r="Z41" s="7">
        <f t="shared" si="51"/>
        <v>0.263789920204622</v>
      </c>
      <c r="AA41" s="9">
        <f t="shared" si="51"/>
        <v>4.2322589209773417E-4</v>
      </c>
      <c r="AB41" s="9">
        <f t="shared" si="51"/>
        <v>1.3985748265360131E-2</v>
      </c>
      <c r="AC41" s="9">
        <f t="shared" si="51"/>
        <v>2.1046033774327101E-2</v>
      </c>
      <c r="AD41" s="9">
        <f t="shared" si="51"/>
        <v>1.1916258344938757E-2</v>
      </c>
      <c r="AE41" s="9">
        <f t="shared" si="51"/>
        <v>2.0817507541518451E-2</v>
      </c>
      <c r="AF41" s="9">
        <f t="shared" si="51"/>
        <v>2.2373259966795706E-2</v>
      </c>
      <c r="AG41" s="5">
        <f t="shared" si="51"/>
        <v>2.4652377297802346</v>
      </c>
      <c r="AH41">
        <f t="shared" si="51"/>
        <v>0</v>
      </c>
      <c r="AI41">
        <f t="shared" si="51"/>
        <v>0</v>
      </c>
      <c r="AJ41">
        <f t="shared" si="51"/>
        <v>0</v>
      </c>
      <c r="AK41">
        <f>100-AJ36-AI36-AH36</f>
        <v>15.965000000000003</v>
      </c>
      <c r="AN41" s="2"/>
      <c r="AU41" s="3">
        <f t="shared" ref="AU41" si="52">_xlfn.STDEV.P(AU15,AU17,AU19)</f>
        <v>3.7410804580333758E-4</v>
      </c>
      <c r="AV41" s="6">
        <f t="shared" si="48"/>
        <v>5.0506389983092839E-3</v>
      </c>
    </row>
    <row r="42" spans="1:48" x14ac:dyDescent="0.25">
      <c r="A42">
        <v>320</v>
      </c>
      <c r="B42" s="1"/>
      <c r="D42" s="7">
        <f>_xlfn.STDEV.P(D13,D7,D10)</f>
        <v>0.45797913586635042</v>
      </c>
      <c r="E42" s="7">
        <f t="shared" ref="E42:AJ42" si="53">_xlfn.STDEV.P(E13,E7,E10)</f>
        <v>4.6561786907291208E-2</v>
      </c>
      <c r="F42" s="7">
        <f t="shared" si="53"/>
        <v>1.032717558461923</v>
      </c>
      <c r="G42" s="7">
        <f t="shared" si="53"/>
        <v>6.7923159198873817E-2</v>
      </c>
      <c r="H42">
        <f t="shared" si="53"/>
        <v>0</v>
      </c>
      <c r="I42" s="8">
        <f t="shared" si="53"/>
        <v>0.11074737918291638</v>
      </c>
      <c r="J42" s="8">
        <f t="shared" si="53"/>
        <v>0.11084507116285061</v>
      </c>
      <c r="K42" s="5">
        <f t="shared" si="53"/>
        <v>1.699673171197595</v>
      </c>
      <c r="L42" s="5">
        <f t="shared" si="53"/>
        <v>4.0276819911981905</v>
      </c>
      <c r="M42" s="4">
        <f t="shared" si="53"/>
        <v>0.20786985482075099</v>
      </c>
      <c r="N42" s="4">
        <f t="shared" si="53"/>
        <v>1.8263503375736807</v>
      </c>
      <c r="O42" s="5">
        <f t="shared" si="53"/>
        <v>8.2192186706253025</v>
      </c>
      <c r="P42" s="7">
        <f t="shared" si="53"/>
        <v>5.2325901807804852E-2</v>
      </c>
      <c r="Q42" s="7">
        <f t="shared" si="53"/>
        <v>6.2098488083223505E-2</v>
      </c>
      <c r="R42" s="7">
        <f t="shared" si="53"/>
        <v>1.5121728296285065E-2</v>
      </c>
      <c r="S42" s="7">
        <f t="shared" si="53"/>
        <v>3.0684777260973451E-2</v>
      </c>
      <c r="T42" s="7">
        <f t="shared" si="53"/>
        <v>8.3118389461458039E-2</v>
      </c>
      <c r="U42" s="7">
        <f t="shared" si="53"/>
        <v>1.06943848194586</v>
      </c>
      <c r="V42" s="7">
        <f t="shared" si="53"/>
        <v>6.3314032146646868E-2</v>
      </c>
      <c r="W42" s="7">
        <f t="shared" si="53"/>
        <v>0.2267102899198791</v>
      </c>
      <c r="X42" s="7">
        <f t="shared" si="53"/>
        <v>6.115190557583252E-2</v>
      </c>
      <c r="Y42" s="7">
        <f t="shared" si="53"/>
        <v>1.7668905565294053E-2</v>
      </c>
      <c r="Z42" s="7">
        <f t="shared" si="53"/>
        <v>0.44321172824146055</v>
      </c>
      <c r="AA42" s="9">
        <f t="shared" si="53"/>
        <v>6.5175645761240974E-4</v>
      </c>
      <c r="AB42" s="9">
        <f t="shared" si="53"/>
        <v>6.9574738916548612E-2</v>
      </c>
      <c r="AC42" s="9">
        <f t="shared" si="53"/>
        <v>2.641084300658935E-2</v>
      </c>
      <c r="AD42" s="9">
        <f t="shared" si="53"/>
        <v>1.2058503891087818E-2</v>
      </c>
      <c r="AE42" s="9">
        <f t="shared" si="53"/>
        <v>4.2483683114568479E-3</v>
      </c>
      <c r="AF42" s="9">
        <f t="shared" si="53"/>
        <v>1.4785920509446446E-2</v>
      </c>
      <c r="AG42" s="5">
        <f t="shared" si="53"/>
        <v>0.60363207574870226</v>
      </c>
      <c r="AH42">
        <f t="shared" si="53"/>
        <v>0</v>
      </c>
      <c r="AI42">
        <f t="shared" si="53"/>
        <v>0</v>
      </c>
      <c r="AJ42">
        <f t="shared" si="53"/>
        <v>0</v>
      </c>
      <c r="AK42">
        <f t="shared" ref="AK42:AK43" si="54">100-AJ37-AI37-AH37</f>
        <v>15.519999999999996</v>
      </c>
      <c r="AU42" s="3">
        <f t="shared" ref="AU42" si="55">_xlfn.STDEV.P(AU13,AU7,AU10)</f>
        <v>6.2377591054725275E-4</v>
      </c>
      <c r="AV42" s="6">
        <f t="shared" si="48"/>
        <v>8.4212755522290635E-3</v>
      </c>
    </row>
    <row r="43" spans="1:48" x14ac:dyDescent="0.25">
      <c r="A43">
        <v>340</v>
      </c>
      <c r="B43" s="1"/>
      <c r="D43" s="7">
        <f>_xlfn.STDEV.P(D14,D16,D18)</f>
        <v>0.10400747836360315</v>
      </c>
      <c r="E43" s="7">
        <f t="shared" ref="E43:AJ43" si="56">_xlfn.STDEV.P(E14,E16,E18)</f>
        <v>2.8755675768253053E-2</v>
      </c>
      <c r="F43" s="7">
        <f t="shared" si="56"/>
        <v>0.6858955216843643</v>
      </c>
      <c r="G43" s="7">
        <f t="shared" si="56"/>
        <v>1.062491830033941E-2</v>
      </c>
      <c r="H43">
        <f t="shared" si="56"/>
        <v>0</v>
      </c>
      <c r="I43" s="8">
        <f t="shared" si="56"/>
        <v>3.8861321798950584E-2</v>
      </c>
      <c r="J43" s="8">
        <f t="shared" si="56"/>
        <v>3.8861321798950556E-2</v>
      </c>
      <c r="K43" s="5">
        <f t="shared" si="56"/>
        <v>0.47140452079103168</v>
      </c>
      <c r="L43" s="5">
        <f t="shared" si="56"/>
        <v>1.699673171197595</v>
      </c>
      <c r="M43" s="4">
        <f t="shared" si="56"/>
        <v>0.15713484026366034</v>
      </c>
      <c r="N43" s="4">
        <f t="shared" si="56"/>
        <v>0.37416573867740832</v>
      </c>
      <c r="O43" s="5">
        <f t="shared" si="56"/>
        <v>4.1899350299921787</v>
      </c>
      <c r="P43" s="7">
        <f t="shared" si="56"/>
        <v>0.34475724148385251</v>
      </c>
      <c r="Q43" s="7">
        <f t="shared" si="56"/>
        <v>0.34709876916456367</v>
      </c>
      <c r="R43" s="7">
        <f t="shared" si="56"/>
        <v>0.30560795510297584</v>
      </c>
      <c r="S43" s="7">
        <f t="shared" si="56"/>
        <v>0.30441236651767006</v>
      </c>
      <c r="T43" s="7">
        <f t="shared" si="56"/>
        <v>7.7568607625050037E-2</v>
      </c>
      <c r="U43" s="7">
        <f t="shared" si="56"/>
        <v>0.1929513467748335</v>
      </c>
      <c r="V43" s="7">
        <f t="shared" si="56"/>
        <v>4.0778534658431599E-2</v>
      </c>
      <c r="W43" s="7">
        <f t="shared" si="56"/>
        <v>0.21516866769015286</v>
      </c>
      <c r="X43" s="7">
        <f t="shared" si="56"/>
        <v>4.2026446699932163E-2</v>
      </c>
      <c r="Y43" s="7">
        <f t="shared" si="56"/>
        <v>2.077368056479496E-2</v>
      </c>
      <c r="Z43" s="7">
        <f t="shared" si="56"/>
        <v>9.2209745106831609E-2</v>
      </c>
      <c r="AA43" s="9">
        <f t="shared" si="56"/>
        <v>9.6635113883594822E-4</v>
      </c>
      <c r="AB43" s="9">
        <f t="shared" si="56"/>
        <v>8.4343930566716952E-3</v>
      </c>
      <c r="AC43" s="9">
        <f t="shared" si="56"/>
        <v>6.9766638667386506E-3</v>
      </c>
      <c r="AD43" s="9">
        <f t="shared" si="56"/>
        <v>1.3669557363065576E-3</v>
      </c>
      <c r="AE43" s="9">
        <f t="shared" si="56"/>
        <v>7.5085827708673948E-3</v>
      </c>
      <c r="AF43" s="9">
        <f t="shared" si="56"/>
        <v>6.001259545476042E-3</v>
      </c>
      <c r="AG43" s="5">
        <f t="shared" si="56"/>
        <v>0.53279144797369715</v>
      </c>
      <c r="AH43">
        <f t="shared" si="56"/>
        <v>0</v>
      </c>
      <c r="AI43">
        <f t="shared" si="56"/>
        <v>0</v>
      </c>
      <c r="AJ43">
        <f t="shared" si="56"/>
        <v>0</v>
      </c>
      <c r="AK43">
        <f t="shared" si="54"/>
        <v>13.460000000000008</v>
      </c>
      <c r="AU43" s="3">
        <f t="shared" ref="AU43" si="57">_xlfn.STDEV.P(AU14,AU16,AU18)</f>
        <v>8.5956981495711852E-4</v>
      </c>
      <c r="AV43" s="6">
        <f t="shared" si="48"/>
        <v>1.1604606952169394E-2</v>
      </c>
    </row>
    <row r="44" spans="1:48" x14ac:dyDescent="0.25">
      <c r="AA44" s="2"/>
    </row>
    <row r="76" spans="47:47" x14ac:dyDescent="0.25">
      <c r="AU76" t="s">
        <v>20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15" sqref="G15"/>
    </sheetView>
  </sheetViews>
  <sheetFormatPr defaultColWidth="11" defaultRowHeight="15.75" x14ac:dyDescent="0.25"/>
  <cols>
    <col min="1" max="1" width="17.375" bestFit="1" customWidth="1"/>
  </cols>
  <sheetData>
    <row r="1" spans="1:8" x14ac:dyDescent="0.25">
      <c r="A1" t="s">
        <v>21</v>
      </c>
    </row>
    <row r="2" spans="1:8" x14ac:dyDescent="0.25">
      <c r="A2" t="s">
        <v>25</v>
      </c>
    </row>
    <row r="3" spans="1:8" x14ac:dyDescent="0.25">
      <c r="A3" t="s">
        <v>9</v>
      </c>
      <c r="B3">
        <v>156</v>
      </c>
      <c r="C3" t="s">
        <v>22</v>
      </c>
      <c r="E3" t="s">
        <v>31</v>
      </c>
      <c r="F3">
        <v>3</v>
      </c>
      <c r="G3">
        <v>5</v>
      </c>
      <c r="H3">
        <v>7</v>
      </c>
    </row>
    <row r="4" spans="1:8" x14ac:dyDescent="0.25">
      <c r="A4" t="s">
        <v>23</v>
      </c>
      <c r="B4">
        <v>48</v>
      </c>
      <c r="C4" t="s">
        <v>24</v>
      </c>
      <c r="E4" t="s">
        <v>32</v>
      </c>
      <c r="F4" s="5">
        <f>B10/F3</f>
        <v>11.163742690058479</v>
      </c>
      <c r="G4" s="5">
        <f>B10/G3</f>
        <v>6.6982456140350877</v>
      </c>
      <c r="H4" s="5">
        <f>B10/H3</f>
        <v>4.7844611528822059</v>
      </c>
    </row>
    <row r="5" spans="1:8" x14ac:dyDescent="0.25">
      <c r="E5" t="s">
        <v>33</v>
      </c>
      <c r="F5" s="5">
        <f>B14/F3</f>
        <v>40.836257309941523</v>
      </c>
      <c r="G5" s="5">
        <f>B14/G3</f>
        <v>24.501754385964912</v>
      </c>
      <c r="H5" s="5">
        <f>B14/H3</f>
        <v>17.50125313283208</v>
      </c>
    </row>
    <row r="6" spans="1:8" x14ac:dyDescent="0.25">
      <c r="A6" t="s">
        <v>26</v>
      </c>
    </row>
    <row r="7" spans="1:8" x14ac:dyDescent="0.25">
      <c r="A7" t="s">
        <v>9</v>
      </c>
      <c r="B7">
        <v>46</v>
      </c>
      <c r="C7" t="s">
        <v>22</v>
      </c>
    </row>
    <row r="8" spans="1:8" x14ac:dyDescent="0.25">
      <c r="A8" t="s">
        <v>27</v>
      </c>
      <c r="B8">
        <v>57</v>
      </c>
      <c r="C8" t="s">
        <v>24</v>
      </c>
    </row>
    <row r="9" spans="1:8" x14ac:dyDescent="0.25">
      <c r="A9" t="s">
        <v>28</v>
      </c>
      <c r="B9">
        <f>B8-15.5</f>
        <v>41.5</v>
      </c>
      <c r="C9" t="s">
        <v>24</v>
      </c>
    </row>
    <row r="10" spans="1:8" x14ac:dyDescent="0.25">
      <c r="A10" t="s">
        <v>29</v>
      </c>
      <c r="B10" s="5">
        <f>B7*B9/B8</f>
        <v>33.491228070175438</v>
      </c>
      <c r="C10" t="s">
        <v>22</v>
      </c>
    </row>
    <row r="12" spans="1:8" x14ac:dyDescent="0.25">
      <c r="A12" t="s">
        <v>30</v>
      </c>
      <c r="B12">
        <f>B4-B9</f>
        <v>6.5</v>
      </c>
      <c r="C12" t="s">
        <v>24</v>
      </c>
    </row>
    <row r="14" spans="1:8" x14ac:dyDescent="0.25">
      <c r="A14" t="s">
        <v>34</v>
      </c>
      <c r="B14" s="5">
        <f>B3-B10</f>
        <v>122.50877192982456</v>
      </c>
      <c r="C14" t="s">
        <v>22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L8" sqref="L8"/>
    </sheetView>
  </sheetViews>
  <sheetFormatPr defaultColWidth="11" defaultRowHeight="15.75" x14ac:dyDescent="0.25"/>
  <sheetData>
    <row r="1" spans="1:11" x14ac:dyDescent="0.25"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  <c r="J1" t="s">
        <v>123</v>
      </c>
      <c r="K1" t="s">
        <v>170</v>
      </c>
    </row>
    <row r="2" spans="1:11" x14ac:dyDescent="0.25">
      <c r="A2" t="s">
        <v>85</v>
      </c>
      <c r="B2">
        <v>40.07</v>
      </c>
      <c r="C2">
        <v>40.14</v>
      </c>
      <c r="D2">
        <v>5.76</v>
      </c>
      <c r="E2">
        <v>5.82</v>
      </c>
      <c r="F2">
        <v>6.04</v>
      </c>
      <c r="G2">
        <v>6.08</v>
      </c>
      <c r="H2">
        <f>AVERAGE(B2:C2)</f>
        <v>40.105000000000004</v>
      </c>
      <c r="I2">
        <f>AVERAGE(D2:E2)</f>
        <v>5.79</v>
      </c>
      <c r="J2">
        <f>AVERAGE(F2:G2)</f>
        <v>6.0600000000000005</v>
      </c>
      <c r="K2">
        <f>100-SUM(H2:J2)</f>
        <v>48.044999999999995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Continuous data </vt:lpstr>
      <vt:lpstr>Batch Data</vt:lpstr>
      <vt:lpstr>Reactor dimension</vt:lpstr>
      <vt:lpstr>CHN analysis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Wagner</dc:creator>
  <cp:lastModifiedBy>cc245</cp:lastModifiedBy>
  <dcterms:created xsi:type="dcterms:W3CDTF">2015-11-09T17:19:39Z</dcterms:created>
  <dcterms:modified xsi:type="dcterms:W3CDTF">2017-06-08T12:30:36Z</dcterms:modified>
</cp:coreProperties>
</file>