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7.xml" ContentType="application/vnd.openxmlformats-officedocument.drawing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5.xml" ContentType="application/vnd.openxmlformats-officedocument.drawingml.chart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Ciarán\Downloads\"/>
    </mc:Choice>
  </mc:AlternateContent>
  <xr:revisionPtr revIDLastSave="0" documentId="8_{4ABEA928-857C-435B-A435-BEB28FE16648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Release charts" sheetId="4" r:id="rId1"/>
    <sheet name="Release images" sheetId="14" r:id="rId2"/>
    <sheet name="Costing for CA or C beads" sheetId="12" r:id="rId3"/>
    <sheet name="NaCl - poros&amp;Zetapotential work" sheetId="11" r:id="rId4"/>
    <sheet name="NaCl poros" sheetId="10" r:id="rId5"/>
    <sheet name="Initial cal " sheetId="13" r:id="rId6"/>
    <sheet name="Primary solvents" sheetId="9" r:id="rId7"/>
    <sheet name="Soil pH" sheetId="8" r:id="rId8"/>
    <sheet name="Area plots" sheetId="7" r:id="rId9"/>
    <sheet name="RESULTS SIZES" sheetId="6" r:id="rId10"/>
    <sheet name="bead mass" sheetId="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4" l="1"/>
  <c r="P10" i="14" s="1"/>
  <c r="Q10" i="14" s="1"/>
  <c r="R10" i="14" s="1"/>
  <c r="J9" i="14"/>
  <c r="P9" i="14" s="1"/>
  <c r="Q9" i="14" s="1"/>
  <c r="R9" i="14" s="1"/>
  <c r="J7" i="14"/>
  <c r="P7" i="14" s="1"/>
  <c r="Q7" i="14" s="1"/>
  <c r="R7" i="14" s="1"/>
  <c r="J5" i="14"/>
  <c r="P5" i="14" s="1"/>
  <c r="Q5" i="14" s="1"/>
  <c r="R5" i="14" s="1"/>
  <c r="J4" i="14"/>
  <c r="P4" i="14" s="1"/>
  <c r="Q4" i="14" s="1"/>
  <c r="R4" i="14" s="1"/>
  <c r="J3" i="14"/>
  <c r="P3" i="14" s="1"/>
  <c r="Q3" i="14" s="1"/>
  <c r="R3" i="14" s="1"/>
  <c r="J2" i="14"/>
  <c r="P2" i="14" s="1"/>
  <c r="Q2" i="14" s="1"/>
  <c r="R2" i="14" s="1"/>
  <c r="E27" i="14"/>
  <c r="K29" i="14"/>
  <c r="J29" i="14"/>
  <c r="I29" i="14"/>
  <c r="G29" i="14"/>
  <c r="K28" i="14"/>
  <c r="J28" i="14"/>
  <c r="I28" i="14"/>
  <c r="G28" i="14"/>
  <c r="K27" i="14"/>
  <c r="J27" i="14"/>
  <c r="I27" i="14"/>
  <c r="G27" i="14"/>
  <c r="J26" i="14"/>
  <c r="I26" i="14"/>
  <c r="K26" i="14" s="1"/>
  <c r="G26" i="14"/>
  <c r="J25" i="14"/>
  <c r="I25" i="14"/>
  <c r="K25" i="14" s="1"/>
  <c r="G25" i="14"/>
  <c r="I35" i="12" l="1"/>
  <c r="F34" i="12"/>
  <c r="I34" i="12" s="1"/>
  <c r="I33" i="12"/>
  <c r="H33" i="12"/>
  <c r="G33" i="12"/>
  <c r="I32" i="12"/>
  <c r="F32" i="12"/>
  <c r="F31" i="12"/>
  <c r="I31" i="12" s="1"/>
  <c r="I26" i="12"/>
  <c r="I25" i="12"/>
  <c r="F25" i="12"/>
  <c r="H24" i="12"/>
  <c r="G24" i="12"/>
  <c r="I24" i="12" s="1"/>
  <c r="J23" i="12" s="1"/>
  <c r="I23" i="12"/>
  <c r="I27" i="12" s="1"/>
  <c r="I28" i="12" s="1"/>
  <c r="F23" i="12"/>
  <c r="I18" i="12"/>
  <c r="F17" i="12"/>
  <c r="I17" i="12" s="1"/>
  <c r="J15" i="12" s="1"/>
  <c r="I16" i="12"/>
  <c r="H16" i="12"/>
  <c r="G16" i="12"/>
  <c r="I15" i="12"/>
  <c r="I19" i="12" s="1"/>
  <c r="I20" i="12" s="1"/>
  <c r="F15" i="12"/>
  <c r="I8" i="12"/>
  <c r="H8" i="12"/>
  <c r="G8" i="12"/>
  <c r="G7" i="12"/>
  <c r="I7" i="12" s="1"/>
  <c r="I6" i="12"/>
  <c r="H6" i="12"/>
  <c r="G6" i="12"/>
  <c r="I5" i="12"/>
  <c r="H5" i="12"/>
  <c r="G5" i="12"/>
  <c r="I4" i="12"/>
  <c r="I11" i="12" s="1"/>
  <c r="F4" i="12"/>
  <c r="D15" i="11"/>
  <c r="G15" i="11" s="1"/>
  <c r="G14" i="11"/>
  <c r="D14" i="11"/>
  <c r="E14" i="11" s="1"/>
  <c r="E13" i="11"/>
  <c r="D13" i="11"/>
  <c r="G13" i="11" s="1"/>
  <c r="D12" i="11"/>
  <c r="G12" i="11" s="1"/>
  <c r="Z11" i="11"/>
  <c r="W11" i="11"/>
  <c r="X11" i="11" s="1"/>
  <c r="Y11" i="11" s="1"/>
  <c r="D11" i="11"/>
  <c r="G11" i="11" s="1"/>
  <c r="Z10" i="11"/>
  <c r="W10" i="11"/>
  <c r="X10" i="11" s="1"/>
  <c r="Y10" i="11" s="1"/>
  <c r="G10" i="11"/>
  <c r="E10" i="11"/>
  <c r="D10" i="11"/>
  <c r="Z9" i="11"/>
  <c r="U9" i="11"/>
  <c r="W9" i="11" s="1"/>
  <c r="X9" i="11" s="1"/>
  <c r="Y9" i="11" s="1"/>
  <c r="G9" i="11"/>
  <c r="E9" i="11"/>
  <c r="D9" i="11"/>
  <c r="Z8" i="11"/>
  <c r="U8" i="11"/>
  <c r="W8" i="11" s="1"/>
  <c r="X8" i="11" s="1"/>
  <c r="Y8" i="11" s="1"/>
  <c r="G8" i="11"/>
  <c r="E8" i="11"/>
  <c r="D8" i="11"/>
  <c r="Z7" i="11"/>
  <c r="U7" i="11"/>
  <c r="W7" i="11" s="1"/>
  <c r="X7" i="11" s="1"/>
  <c r="Y7" i="11" s="1"/>
  <c r="I7" i="11"/>
  <c r="D7" i="11"/>
  <c r="G7" i="11" s="1"/>
  <c r="Z6" i="11"/>
  <c r="U6" i="11"/>
  <c r="W6" i="11" s="1"/>
  <c r="X6" i="11" s="1"/>
  <c r="Y6" i="11" s="1"/>
  <c r="D6" i="11"/>
  <c r="I6" i="11" s="1"/>
  <c r="Z5" i="11"/>
  <c r="W5" i="11"/>
  <c r="X5" i="11" s="1"/>
  <c r="Y5" i="11" s="1"/>
  <c r="U5" i="11"/>
  <c r="G5" i="11"/>
  <c r="E5" i="11"/>
  <c r="D5" i="11"/>
  <c r="I5" i="11" s="1"/>
  <c r="Z4" i="11"/>
  <c r="X4" i="11"/>
  <c r="Y4" i="11" s="1"/>
  <c r="W4" i="11"/>
  <c r="U4" i="11"/>
  <c r="I4" i="11"/>
  <c r="G4" i="11"/>
  <c r="E4" i="11"/>
  <c r="D4" i="11"/>
  <c r="Z3" i="11"/>
  <c r="U3" i="11"/>
  <c r="W3" i="11" s="1"/>
  <c r="X3" i="11" s="1"/>
  <c r="Y3" i="11" s="1"/>
  <c r="Z2" i="11"/>
  <c r="U2" i="11"/>
  <c r="W2" i="11" s="1"/>
  <c r="X2" i="11" s="1"/>
  <c r="Y2" i="11" s="1"/>
  <c r="M51" i="10"/>
  <c r="M50" i="10"/>
  <c r="M49" i="10"/>
  <c r="M48" i="10"/>
  <c r="M47" i="10"/>
  <c r="M46" i="10"/>
  <c r="M45" i="10"/>
  <c r="M44" i="10"/>
  <c r="CG43" i="10"/>
  <c r="CF43" i="10"/>
  <c r="CD43" i="10"/>
  <c r="CD44" i="10" s="1"/>
  <c r="CC43" i="10"/>
  <c r="CC44" i="10" s="1"/>
  <c r="CB43" i="10"/>
  <c r="CB44" i="10" s="1"/>
  <c r="CA43" i="10"/>
  <c r="CA44" i="10" s="1"/>
  <c r="BZ43" i="10"/>
  <c r="BZ44" i="10" s="1"/>
  <c r="BY43" i="10"/>
  <c r="BY44" i="10" s="1"/>
  <c r="BX43" i="10"/>
  <c r="BX44" i="10" s="1"/>
  <c r="BW43" i="10"/>
  <c r="BW44" i="10" s="1"/>
  <c r="BU43" i="10"/>
  <c r="BT43" i="10"/>
  <c r="BR43" i="10"/>
  <c r="BR44" i="10" s="1"/>
  <c r="BQ43" i="10"/>
  <c r="BQ44" i="10" s="1"/>
  <c r="BP43" i="10"/>
  <c r="BP44" i="10" s="1"/>
  <c r="BO43" i="10"/>
  <c r="BO44" i="10" s="1"/>
  <c r="BN43" i="10"/>
  <c r="BN44" i="10" s="1"/>
  <c r="BM43" i="10"/>
  <c r="BM44" i="10" s="1"/>
  <c r="BL43" i="10"/>
  <c r="BL44" i="10" s="1"/>
  <c r="BK43" i="10"/>
  <c r="BK44" i="10" s="1"/>
  <c r="BH43" i="10"/>
  <c r="BG43" i="10"/>
  <c r="BG44" i="10" s="1"/>
  <c r="BD43" i="10"/>
  <c r="BD44" i="10" s="1"/>
  <c r="BC43" i="10"/>
  <c r="BC44" i="10" s="1"/>
  <c r="BB43" i="10"/>
  <c r="BB44" i="10" s="1"/>
  <c r="BA43" i="10"/>
  <c r="BA44" i="10" s="1"/>
  <c r="AZ43" i="10"/>
  <c r="AZ44" i="10" s="1"/>
  <c r="AY43" i="10"/>
  <c r="AY44" i="10" s="1"/>
  <c r="AX43" i="10"/>
  <c r="AX44" i="10" s="1"/>
  <c r="AW43" i="10"/>
  <c r="AW44" i="10" s="1"/>
  <c r="AU43" i="10"/>
  <c r="AT43" i="10"/>
  <c r="AQ43" i="10"/>
  <c r="AQ44" i="10" s="1"/>
  <c r="AP43" i="10"/>
  <c r="AP44" i="10" s="1"/>
  <c r="AO43" i="10"/>
  <c r="AO44" i="10" s="1"/>
  <c r="AN43" i="10"/>
  <c r="AN44" i="10" s="1"/>
  <c r="AM43" i="10"/>
  <c r="AM44" i="10" s="1"/>
  <c r="AL43" i="10"/>
  <c r="AL44" i="10" s="1"/>
  <c r="AK43" i="10"/>
  <c r="AK44" i="10" s="1"/>
  <c r="AJ43" i="10"/>
  <c r="AJ44" i="10" s="1"/>
  <c r="CG42" i="10"/>
  <c r="CG47" i="10" s="1"/>
  <c r="CF42" i="10"/>
  <c r="CF47" i="10" s="1"/>
  <c r="CD42" i="10"/>
  <c r="CC42" i="10"/>
  <c r="CB42" i="10"/>
  <c r="CA42" i="10"/>
  <c r="BZ42" i="10"/>
  <c r="BY42" i="10"/>
  <c r="BX42" i="10"/>
  <c r="BW42" i="10"/>
  <c r="BW45" i="10" s="1"/>
  <c r="BU42" i="10"/>
  <c r="BU47" i="10" s="1"/>
  <c r="BT42" i="10"/>
  <c r="BT46" i="10" s="1"/>
  <c r="BR42" i="10"/>
  <c r="BR45" i="10" s="1"/>
  <c r="BQ42" i="10"/>
  <c r="CD45" i="10" s="1"/>
  <c r="BP42" i="10"/>
  <c r="CC45" i="10" s="1"/>
  <c r="BO42" i="10"/>
  <c r="CB45" i="10" s="1"/>
  <c r="BN42" i="10"/>
  <c r="CA45" i="10" s="1"/>
  <c r="BM42" i="10"/>
  <c r="BZ45" i="10" s="1"/>
  <c r="BL42" i="10"/>
  <c r="BY45" i="10" s="1"/>
  <c r="BK42" i="10"/>
  <c r="BX45" i="10" s="1"/>
  <c r="BH42" i="10"/>
  <c r="BH47" i="10" s="1"/>
  <c r="BG42" i="10"/>
  <c r="BG47" i="10" s="1"/>
  <c r="BD42" i="10"/>
  <c r="BD50" i="10" s="1"/>
  <c r="BC42" i="10"/>
  <c r="BP45" i="10" s="1"/>
  <c r="BB42" i="10"/>
  <c r="BO45" i="10" s="1"/>
  <c r="BA42" i="10"/>
  <c r="BA50" i="10" s="1"/>
  <c r="AZ42" i="10"/>
  <c r="AZ50" i="10" s="1"/>
  <c r="AY42" i="10"/>
  <c r="BL45" i="10" s="1"/>
  <c r="AX42" i="10"/>
  <c r="BK45" i="10" s="1"/>
  <c r="AW42" i="10"/>
  <c r="AW50" i="10" s="1"/>
  <c r="AU42" i="10"/>
  <c r="AU47" i="10" s="1"/>
  <c r="AT42" i="10"/>
  <c r="AT46" i="10" s="1"/>
  <c r="AQ42" i="10"/>
  <c r="BD49" i="10" s="1"/>
  <c r="BD51" i="10" s="1"/>
  <c r="AP42" i="10"/>
  <c r="BC49" i="10" s="1"/>
  <c r="AO42" i="10"/>
  <c r="BB49" i="10" s="1"/>
  <c r="AN42" i="10"/>
  <c r="BA49" i="10" s="1"/>
  <c r="AM42" i="10"/>
  <c r="AZ49" i="10" s="1"/>
  <c r="AZ51" i="10" s="1"/>
  <c r="AL42" i="10"/>
  <c r="AY49" i="10" s="1"/>
  <c r="AK42" i="10"/>
  <c r="AX49" i="10" s="1"/>
  <c r="AJ42" i="10"/>
  <c r="AW49" i="10" s="1"/>
  <c r="CD41" i="10"/>
  <c r="CC41" i="10"/>
  <c r="CB41" i="10"/>
  <c r="CA41" i="10"/>
  <c r="BZ41" i="10"/>
  <c r="BY41" i="10"/>
  <c r="BX41" i="10"/>
  <c r="BW41" i="10"/>
  <c r="BR41" i="10"/>
  <c r="BQ41" i="10"/>
  <c r="BP41" i="10"/>
  <c r="BO41" i="10"/>
  <c r="BN41" i="10"/>
  <c r="BM41" i="10"/>
  <c r="BL41" i="10"/>
  <c r="BK41" i="10"/>
  <c r="BD41" i="10"/>
  <c r="BC41" i="10"/>
  <c r="BB41" i="10"/>
  <c r="BA41" i="10"/>
  <c r="AZ41" i="10"/>
  <c r="AY41" i="10"/>
  <c r="AX41" i="10"/>
  <c r="AW41" i="10"/>
  <c r="AQ41" i="10"/>
  <c r="AP41" i="10"/>
  <c r="AO41" i="10"/>
  <c r="AN41" i="10"/>
  <c r="AM41" i="10"/>
  <c r="AL41" i="10"/>
  <c r="AK41" i="10"/>
  <c r="AJ41" i="10"/>
  <c r="J37" i="10"/>
  <c r="J36" i="10"/>
  <c r="J35" i="10"/>
  <c r="J34" i="10"/>
  <c r="J33" i="10"/>
  <c r="BF32" i="10"/>
  <c r="BF33" i="10" s="1"/>
  <c r="BG38" i="10" s="1"/>
  <c r="J32" i="10"/>
  <c r="J31" i="10"/>
  <c r="J30" i="10"/>
  <c r="AA24" i="10"/>
  <c r="AC24" i="10" s="1"/>
  <c r="Z24" i="10"/>
  <c r="V24" i="10"/>
  <c r="S24" i="10"/>
  <c r="T24" i="10" s="1"/>
  <c r="Q24" i="10"/>
  <c r="O24" i="10"/>
  <c r="L24" i="10"/>
  <c r="AB24" i="10" s="1"/>
  <c r="E24" i="10"/>
  <c r="H24" i="10" s="1"/>
  <c r="I24" i="10" s="1"/>
  <c r="J24" i="10" s="1"/>
  <c r="AB23" i="10"/>
  <c r="AA23" i="10"/>
  <c r="AC23" i="10" s="1"/>
  <c r="Z23" i="10"/>
  <c r="V23" i="10"/>
  <c r="S23" i="10"/>
  <c r="T23" i="10" s="1"/>
  <c r="Q23" i="10"/>
  <c r="O23" i="10"/>
  <c r="L23" i="10"/>
  <c r="E23" i="10"/>
  <c r="G23" i="10" s="1"/>
  <c r="AB22" i="10"/>
  <c r="AA22" i="10"/>
  <c r="AC22" i="10" s="1"/>
  <c r="Z22" i="10"/>
  <c r="V22" i="10"/>
  <c r="S22" i="10"/>
  <c r="T22" i="10" s="1"/>
  <c r="Q22" i="10"/>
  <c r="O22" i="10"/>
  <c r="L22" i="10"/>
  <c r="H22" i="10"/>
  <c r="I22" i="10" s="1"/>
  <c r="J22" i="10" s="1"/>
  <c r="E22" i="10"/>
  <c r="G22" i="10" s="1"/>
  <c r="CG21" i="10"/>
  <c r="CF21" i="10"/>
  <c r="CD21" i="10"/>
  <c r="CC21" i="10"/>
  <c r="CC22" i="10" s="1"/>
  <c r="CB21" i="10"/>
  <c r="CB22" i="10" s="1"/>
  <c r="CA21" i="10"/>
  <c r="CA22" i="10" s="1"/>
  <c r="BZ21" i="10"/>
  <c r="BY21" i="10"/>
  <c r="BY22" i="10" s="1"/>
  <c r="BX21" i="10"/>
  <c r="BX22" i="10" s="1"/>
  <c r="BW21" i="10"/>
  <c r="BW22" i="10" s="1"/>
  <c r="BU21" i="10"/>
  <c r="BT21" i="10"/>
  <c r="BT22" i="10" s="1"/>
  <c r="BR21" i="10"/>
  <c r="BR22" i="10" s="1"/>
  <c r="BQ21" i="10"/>
  <c r="BQ22" i="10" s="1"/>
  <c r="BP21" i="10"/>
  <c r="BO21" i="10"/>
  <c r="BO22" i="10" s="1"/>
  <c r="BN21" i="10"/>
  <c r="BN22" i="10" s="1"/>
  <c r="BM21" i="10"/>
  <c r="BM22" i="10" s="1"/>
  <c r="BL21" i="10"/>
  <c r="BK21" i="10"/>
  <c r="BK22" i="10" s="1"/>
  <c r="BH21" i="10"/>
  <c r="BH22" i="10" s="1"/>
  <c r="BG21" i="10"/>
  <c r="BG22" i="10" s="1"/>
  <c r="BD21" i="10"/>
  <c r="BC21" i="10"/>
  <c r="BC22" i="10" s="1"/>
  <c r="BB21" i="10"/>
  <c r="BB22" i="10" s="1"/>
  <c r="BA21" i="10"/>
  <c r="BA22" i="10" s="1"/>
  <c r="AZ21" i="10"/>
  <c r="AY21" i="10"/>
  <c r="AY22" i="10" s="1"/>
  <c r="AX21" i="10"/>
  <c r="AX22" i="10" s="1"/>
  <c r="AW21" i="10"/>
  <c r="AW22" i="10" s="1"/>
  <c r="AU21" i="10"/>
  <c r="AT21" i="10"/>
  <c r="AQ21" i="10"/>
  <c r="AQ22" i="10" s="1"/>
  <c r="AP21" i="10"/>
  <c r="AP22" i="10" s="1"/>
  <c r="AO21" i="10"/>
  <c r="AN21" i="10"/>
  <c r="AN22" i="10" s="1"/>
  <c r="AM21" i="10"/>
  <c r="AM22" i="10" s="1"/>
  <c r="AL21" i="10"/>
  <c r="AL22" i="10" s="1"/>
  <c r="AK21" i="10"/>
  <c r="AJ21" i="10"/>
  <c r="AJ22" i="10" s="1"/>
  <c r="AA21" i="10"/>
  <c r="AC21" i="10" s="1"/>
  <c r="Z21" i="10"/>
  <c r="V21" i="10"/>
  <c r="T21" i="10"/>
  <c r="S21" i="10"/>
  <c r="Q21" i="10"/>
  <c r="AG21" i="10" s="1"/>
  <c r="O21" i="10"/>
  <c r="L21" i="10"/>
  <c r="AB21" i="10" s="1"/>
  <c r="H21" i="10"/>
  <c r="I21" i="10" s="1"/>
  <c r="J21" i="10" s="1"/>
  <c r="G21" i="10"/>
  <c r="E21" i="10"/>
  <c r="CG20" i="10"/>
  <c r="CG25" i="10" s="1"/>
  <c r="CF20" i="10"/>
  <c r="CF25" i="10" s="1"/>
  <c r="CD20" i="10"/>
  <c r="CC20" i="10"/>
  <c r="CC51" i="10" s="1"/>
  <c r="CB20" i="10"/>
  <c r="CB51" i="10" s="1"/>
  <c r="CA20" i="10"/>
  <c r="CA51" i="10" s="1"/>
  <c r="BZ20" i="10"/>
  <c r="BY20" i="10"/>
  <c r="BY51" i="10" s="1"/>
  <c r="BX20" i="10"/>
  <c r="BX51" i="10" s="1"/>
  <c r="BW20" i="10"/>
  <c r="BW51" i="10" s="1"/>
  <c r="BU20" i="10"/>
  <c r="BT20" i="10"/>
  <c r="BT25" i="10" s="1"/>
  <c r="BR20" i="10"/>
  <c r="CD50" i="10" s="1"/>
  <c r="BQ20" i="10"/>
  <c r="CC50" i="10" s="1"/>
  <c r="CC52" i="10" s="1"/>
  <c r="BP20" i="10"/>
  <c r="BO20" i="10"/>
  <c r="CA50" i="10" s="1"/>
  <c r="BN20" i="10"/>
  <c r="BZ50" i="10" s="1"/>
  <c r="BM20" i="10"/>
  <c r="BY50" i="10" s="1"/>
  <c r="BY52" i="10" s="1"/>
  <c r="BL20" i="10"/>
  <c r="BK20" i="10"/>
  <c r="BW50" i="10" s="1"/>
  <c r="BH20" i="10"/>
  <c r="BH25" i="10" s="1"/>
  <c r="BG20" i="10"/>
  <c r="BG25" i="10" s="1"/>
  <c r="BD20" i="10"/>
  <c r="BD22" i="10" s="1"/>
  <c r="BC20" i="10"/>
  <c r="BB20" i="10"/>
  <c r="BA20" i="10"/>
  <c r="AZ20" i="10"/>
  <c r="AZ22" i="10" s="1"/>
  <c r="AY20" i="10"/>
  <c r="AX20" i="10"/>
  <c r="AW20" i="10"/>
  <c r="AU20" i="10"/>
  <c r="AT20" i="10"/>
  <c r="AT25" i="10" s="1"/>
  <c r="AQ20" i="10"/>
  <c r="AP20" i="10"/>
  <c r="BC23" i="10" s="1"/>
  <c r="AO20" i="10"/>
  <c r="BB23" i="10" s="1"/>
  <c r="AN20" i="10"/>
  <c r="BA23" i="10" s="1"/>
  <c r="AM20" i="10"/>
  <c r="AL20" i="10"/>
  <c r="AY23" i="10" s="1"/>
  <c r="AK20" i="10"/>
  <c r="AX23" i="10" s="1"/>
  <c r="AJ20" i="10"/>
  <c r="AW23" i="10" s="1"/>
  <c r="AA20" i="10"/>
  <c r="Z20" i="10"/>
  <c r="V20" i="10"/>
  <c r="S20" i="10"/>
  <c r="T20" i="10" s="1"/>
  <c r="X20" i="10" s="1"/>
  <c r="Q20" i="10"/>
  <c r="O20" i="10"/>
  <c r="L20" i="10"/>
  <c r="AB20" i="10" s="1"/>
  <c r="AC20" i="10" s="1"/>
  <c r="E20" i="10"/>
  <c r="CD19" i="10"/>
  <c r="CC19" i="10"/>
  <c r="CB19" i="10"/>
  <c r="CA19" i="10"/>
  <c r="BZ19" i="10"/>
  <c r="BY19" i="10"/>
  <c r="BX19" i="10"/>
  <c r="BW19" i="10"/>
  <c r="BR19" i="10"/>
  <c r="BQ19" i="10"/>
  <c r="BP19" i="10"/>
  <c r="BO19" i="10"/>
  <c r="BN19" i="10"/>
  <c r="BM19" i="10"/>
  <c r="BL19" i="10"/>
  <c r="BK19" i="10"/>
  <c r="BD19" i="10"/>
  <c r="BC19" i="10"/>
  <c r="BB19" i="10"/>
  <c r="BA19" i="10"/>
  <c r="AZ19" i="10"/>
  <c r="AY19" i="10"/>
  <c r="AX19" i="10"/>
  <c r="AW19" i="10"/>
  <c r="AQ19" i="10"/>
  <c r="AP19" i="10"/>
  <c r="AO19" i="10"/>
  <c r="AN19" i="10"/>
  <c r="AM19" i="10"/>
  <c r="AL19" i="10"/>
  <c r="AK19" i="10"/>
  <c r="AJ19" i="10"/>
  <c r="AA19" i="10"/>
  <c r="Z19" i="10"/>
  <c r="V19" i="10"/>
  <c r="T19" i="10"/>
  <c r="U19" i="10" s="1"/>
  <c r="S19" i="10"/>
  <c r="Q19" i="10"/>
  <c r="O19" i="10"/>
  <c r="L19" i="10"/>
  <c r="AB19" i="10" s="1"/>
  <c r="AC19" i="10" s="1"/>
  <c r="E19" i="10"/>
  <c r="H19" i="10" s="1"/>
  <c r="I19" i="10" s="1"/>
  <c r="J19" i="10" s="1"/>
  <c r="AB18" i="10"/>
  <c r="AA18" i="10"/>
  <c r="AC18" i="10" s="1"/>
  <c r="Z18" i="10"/>
  <c r="X18" i="10"/>
  <c r="V18" i="10"/>
  <c r="U18" i="10"/>
  <c r="S18" i="10"/>
  <c r="T18" i="10" s="1"/>
  <c r="Q18" i="10"/>
  <c r="AG18" i="10" s="1"/>
  <c r="O18" i="10"/>
  <c r="L18" i="10"/>
  <c r="E18" i="10"/>
  <c r="G18" i="10" s="1"/>
  <c r="AA17" i="10"/>
  <c r="Z17" i="10"/>
  <c r="V17" i="10"/>
  <c r="T17" i="10"/>
  <c r="X17" i="10" s="1"/>
  <c r="S17" i="10"/>
  <c r="Q17" i="10"/>
  <c r="AG17" i="10" s="1"/>
  <c r="O17" i="10"/>
  <c r="L17" i="10"/>
  <c r="AB17" i="10" s="1"/>
  <c r="H17" i="10"/>
  <c r="I17" i="10" s="1"/>
  <c r="J17" i="10" s="1"/>
  <c r="G17" i="10"/>
  <c r="E17" i="10"/>
  <c r="AB16" i="10"/>
  <c r="CX14" i="10"/>
  <c r="AB11" i="10"/>
  <c r="AA11" i="10"/>
  <c r="W11" i="10"/>
  <c r="L11" i="10"/>
  <c r="I11" i="10"/>
  <c r="J11" i="10" s="1"/>
  <c r="H11" i="10"/>
  <c r="G11" i="10"/>
  <c r="E11" i="10"/>
  <c r="CX10" i="10"/>
  <c r="AB10" i="10"/>
  <c r="AA10" i="10"/>
  <c r="W10" i="10"/>
  <c r="L10" i="10"/>
  <c r="I10" i="10"/>
  <c r="J10" i="10" s="1"/>
  <c r="H10" i="10"/>
  <c r="G10" i="10"/>
  <c r="E10" i="10"/>
  <c r="BF9" i="10"/>
  <c r="BF10" i="10" s="1"/>
  <c r="BG15" i="10" s="1"/>
  <c r="AA9" i="10"/>
  <c r="W9" i="10"/>
  <c r="L9" i="10"/>
  <c r="AB9" i="10" s="1"/>
  <c r="E9" i="10"/>
  <c r="G9" i="10" s="1"/>
  <c r="AA8" i="10"/>
  <c r="W8" i="10"/>
  <c r="L8" i="10"/>
  <c r="AB8" i="10" s="1"/>
  <c r="H8" i="10"/>
  <c r="I8" i="10" s="1"/>
  <c r="J8" i="10" s="1"/>
  <c r="E8" i="10"/>
  <c r="G8" i="10" s="1"/>
  <c r="AB7" i="10"/>
  <c r="AA7" i="10"/>
  <c r="W7" i="10"/>
  <c r="L7" i="10"/>
  <c r="G7" i="10"/>
  <c r="E7" i="10"/>
  <c r="H7" i="10" s="1"/>
  <c r="I7" i="10" s="1"/>
  <c r="J7" i="10" s="1"/>
  <c r="CX6" i="10"/>
  <c r="AA6" i="10"/>
  <c r="W6" i="10"/>
  <c r="L6" i="10"/>
  <c r="AB6" i="10" s="1"/>
  <c r="G6" i="10"/>
  <c r="E6" i="10"/>
  <c r="H6" i="10" s="1"/>
  <c r="I6" i="10" s="1"/>
  <c r="J6" i="10" s="1"/>
  <c r="AB5" i="10"/>
  <c r="AA5" i="10"/>
  <c r="W5" i="10"/>
  <c r="O5" i="10"/>
  <c r="O13" i="10" s="1"/>
  <c r="L5" i="10"/>
  <c r="H5" i="10"/>
  <c r="I5" i="10" s="1"/>
  <c r="J5" i="10" s="1"/>
  <c r="E5" i="10"/>
  <c r="G5" i="10" s="1"/>
  <c r="AA4" i="10"/>
  <c r="W4" i="10"/>
  <c r="O4" i="10"/>
  <c r="O12" i="10" s="1"/>
  <c r="L4" i="10"/>
  <c r="AB4" i="10" s="1"/>
  <c r="I4" i="10"/>
  <c r="J4" i="10" s="1"/>
  <c r="H4" i="10"/>
  <c r="G4" i="10"/>
  <c r="E4" i="10"/>
  <c r="AB3" i="10"/>
  <c r="K44" i="9"/>
  <c r="M2" i="9"/>
  <c r="K6" i="9" s="1"/>
  <c r="L2" i="9"/>
  <c r="K5" i="9" s="1"/>
  <c r="K2" i="9"/>
  <c r="J6" i="9" s="1"/>
  <c r="J2" i="9"/>
  <c r="J5" i="9" s="1"/>
  <c r="I2" i="9"/>
  <c r="I6" i="9" s="1"/>
  <c r="H2" i="9"/>
  <c r="I5" i="9" s="1"/>
  <c r="C19" i="8"/>
  <c r="C18" i="8"/>
  <c r="E18" i="8" s="1"/>
  <c r="E19" i="8" s="1"/>
  <c r="C15" i="8"/>
  <c r="C14" i="8"/>
  <c r="E14" i="8" s="1"/>
  <c r="E15" i="8" s="1"/>
  <c r="S18" i="7"/>
  <c r="S22" i="7" s="1"/>
  <c r="R18" i="7"/>
  <c r="R22" i="7" s="1"/>
  <c r="Q18" i="7"/>
  <c r="Q22" i="7" s="1"/>
  <c r="N18" i="7"/>
  <c r="N22" i="7" s="1"/>
  <c r="M18" i="7"/>
  <c r="M22" i="7" s="1"/>
  <c r="L18" i="7"/>
  <c r="L22" i="7" s="1"/>
  <c r="I18" i="7"/>
  <c r="I22" i="7" s="1"/>
  <c r="H18" i="7"/>
  <c r="H22" i="7" s="1"/>
  <c r="G18" i="7"/>
  <c r="G22" i="7" s="1"/>
  <c r="D18" i="7"/>
  <c r="D22" i="7" s="1"/>
  <c r="C18" i="7"/>
  <c r="C22" i="7" s="1"/>
  <c r="B18" i="7"/>
  <c r="B22" i="7" s="1"/>
  <c r="S14" i="7"/>
  <c r="S16" i="7" s="1"/>
  <c r="S17" i="7" s="1"/>
  <c r="R14" i="7"/>
  <c r="R16" i="7" s="1"/>
  <c r="R17" i="7" s="1"/>
  <c r="Q14" i="7"/>
  <c r="Q16" i="7" s="1"/>
  <c r="Q17" i="7" s="1"/>
  <c r="N14" i="7"/>
  <c r="N16" i="7" s="1"/>
  <c r="N17" i="7" s="1"/>
  <c r="M14" i="7"/>
  <c r="M16" i="7" s="1"/>
  <c r="M17" i="7" s="1"/>
  <c r="L14" i="7"/>
  <c r="L16" i="7" s="1"/>
  <c r="L17" i="7" s="1"/>
  <c r="I14" i="7"/>
  <c r="I16" i="7" s="1"/>
  <c r="I17" i="7" s="1"/>
  <c r="H14" i="7"/>
  <c r="H16" i="7" s="1"/>
  <c r="H17" i="7" s="1"/>
  <c r="G14" i="7"/>
  <c r="G16" i="7" s="1"/>
  <c r="G17" i="7" s="1"/>
  <c r="D14" i="7"/>
  <c r="D16" i="7" s="1"/>
  <c r="D17" i="7" s="1"/>
  <c r="C14" i="7"/>
  <c r="C16" i="7" s="1"/>
  <c r="C17" i="7" s="1"/>
  <c r="B14" i="7"/>
  <c r="B16" i="7" s="1"/>
  <c r="B17" i="7" s="1"/>
  <c r="S12" i="7"/>
  <c r="S13" i="7" s="1"/>
  <c r="R12" i="7"/>
  <c r="R13" i="7" s="1"/>
  <c r="Q12" i="7"/>
  <c r="Q13" i="7" s="1"/>
  <c r="N12" i="7"/>
  <c r="N13" i="7" s="1"/>
  <c r="M12" i="7"/>
  <c r="M13" i="7" s="1"/>
  <c r="L12" i="7"/>
  <c r="L13" i="7" s="1"/>
  <c r="I12" i="7"/>
  <c r="I13" i="7" s="1"/>
  <c r="H12" i="7"/>
  <c r="H13" i="7" s="1"/>
  <c r="G12" i="7"/>
  <c r="G13" i="7" s="1"/>
  <c r="D12" i="7"/>
  <c r="D13" i="7" s="1"/>
  <c r="C12" i="7"/>
  <c r="C13" i="7" s="1"/>
  <c r="B12" i="7"/>
  <c r="B13" i="7" s="1"/>
  <c r="S11" i="7"/>
  <c r="R11" i="7"/>
  <c r="Q11" i="7"/>
  <c r="P11" i="7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N11" i="7"/>
  <c r="M11" i="7"/>
  <c r="L11" i="7"/>
  <c r="K11" i="7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I11" i="7"/>
  <c r="H11" i="7"/>
  <c r="G11" i="7"/>
  <c r="F11" i="7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D11" i="7"/>
  <c r="C11" i="7"/>
  <c r="B11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S8" i="7"/>
  <c r="S9" i="7" s="1"/>
  <c r="R8" i="7"/>
  <c r="R9" i="7" s="1"/>
  <c r="Q8" i="7"/>
  <c r="Q9" i="7" s="1"/>
  <c r="N8" i="7"/>
  <c r="N9" i="7" s="1"/>
  <c r="M8" i="7"/>
  <c r="M9" i="7" s="1"/>
  <c r="L8" i="7"/>
  <c r="L9" i="7" s="1"/>
  <c r="I8" i="7"/>
  <c r="I9" i="7" s="1"/>
  <c r="H8" i="7"/>
  <c r="H9" i="7" s="1"/>
  <c r="G8" i="7"/>
  <c r="G9" i="7" s="1"/>
  <c r="D8" i="7"/>
  <c r="D9" i="7" s="1"/>
  <c r="C8" i="7"/>
  <c r="C9" i="7" s="1"/>
  <c r="B8" i="7"/>
  <c r="B9" i="7" s="1"/>
  <c r="S7" i="7"/>
  <c r="R7" i="7"/>
  <c r="Q7" i="7"/>
  <c r="N7" i="7"/>
  <c r="M7" i="7"/>
  <c r="L7" i="7"/>
  <c r="I7" i="7"/>
  <c r="H7" i="7"/>
  <c r="G7" i="7"/>
  <c r="D7" i="7"/>
  <c r="C7" i="7"/>
  <c r="B7" i="7"/>
  <c r="M22" i="6"/>
  <c r="M21" i="6"/>
  <c r="M20" i="6"/>
  <c r="M19" i="6"/>
  <c r="M18" i="6"/>
  <c r="M17" i="6"/>
  <c r="M16" i="6"/>
  <c r="M15" i="6"/>
  <c r="M14" i="6"/>
  <c r="M13" i="6"/>
  <c r="M12" i="6"/>
  <c r="AA76" i="4"/>
  <c r="I36" i="12" l="1"/>
  <c r="J31" i="12"/>
  <c r="J4" i="12"/>
  <c r="E6" i="11"/>
  <c r="E12" i="11"/>
  <c r="G6" i="11"/>
  <c r="E7" i="11"/>
  <c r="E11" i="11"/>
  <c r="E15" i="11"/>
  <c r="P6" i="10"/>
  <c r="S6" i="10" s="1"/>
  <c r="T6" i="10" s="1"/>
  <c r="U6" i="10" s="1"/>
  <c r="P9" i="10"/>
  <c r="S9" i="10" s="1"/>
  <c r="T9" i="10" s="1"/>
  <c r="U9" i="10" s="1"/>
  <c r="P5" i="10"/>
  <c r="S5" i="10" s="1"/>
  <c r="T5" i="10" s="1"/>
  <c r="U5" i="10" s="1"/>
  <c r="P8" i="10"/>
  <c r="S8" i="10" s="1"/>
  <c r="T8" i="10" s="1"/>
  <c r="U8" i="10" s="1"/>
  <c r="P4" i="10"/>
  <c r="P11" i="10"/>
  <c r="S11" i="10" s="1"/>
  <c r="T11" i="10" s="1"/>
  <c r="U11" i="10" s="1"/>
  <c r="P10" i="10"/>
  <c r="S10" i="10" s="1"/>
  <c r="T10" i="10" s="1"/>
  <c r="U10" i="10" s="1"/>
  <c r="P7" i="10"/>
  <c r="S7" i="10" s="1"/>
  <c r="T7" i="10" s="1"/>
  <c r="U7" i="10" s="1"/>
  <c r="O14" i="10"/>
  <c r="AC17" i="10"/>
  <c r="H20" i="10"/>
  <c r="I20" i="10" s="1"/>
  <c r="J20" i="10" s="1"/>
  <c r="G20" i="10"/>
  <c r="AF17" i="10"/>
  <c r="AG19" i="10"/>
  <c r="X19" i="10"/>
  <c r="AZ23" i="10"/>
  <c r="BD23" i="10"/>
  <c r="CD52" i="10"/>
  <c r="U21" i="10"/>
  <c r="AF21" i="10"/>
  <c r="X21" i="10"/>
  <c r="AW51" i="10"/>
  <c r="BA51" i="10"/>
  <c r="BY23" i="10"/>
  <c r="BL22" i="10"/>
  <c r="BX50" i="10"/>
  <c r="BX52" i="10" s="1"/>
  <c r="CC23" i="10"/>
  <c r="BP22" i="10"/>
  <c r="CB50" i="10"/>
  <c r="CB52" i="10" s="1"/>
  <c r="BZ51" i="10"/>
  <c r="BZ52" i="10" s="1"/>
  <c r="BZ22" i="10"/>
  <c r="H9" i="10"/>
  <c r="I9" i="10" s="1"/>
  <c r="J9" i="10" s="1"/>
  <c r="AF18" i="10"/>
  <c r="AF19" i="10"/>
  <c r="BW52" i="10"/>
  <c r="CA52" i="10"/>
  <c r="AK22" i="10"/>
  <c r="AO22" i="10"/>
  <c r="X22" i="10"/>
  <c r="AG22" i="10"/>
  <c r="U22" i="10"/>
  <c r="AF22" i="10"/>
  <c r="AG23" i="10"/>
  <c r="AX51" i="10"/>
  <c r="BB51" i="10"/>
  <c r="AU25" i="10"/>
  <c r="AU24" i="10"/>
  <c r="BU25" i="10"/>
  <c r="BU24" i="10"/>
  <c r="BU22" i="10"/>
  <c r="CD51" i="10"/>
  <c r="CD22" i="10"/>
  <c r="AF23" i="10"/>
  <c r="X23" i="10"/>
  <c r="U23" i="10"/>
  <c r="U17" i="10"/>
  <c r="H18" i="10"/>
  <c r="I18" i="10" s="1"/>
  <c r="J18" i="10" s="1"/>
  <c r="G19" i="10"/>
  <c r="AG20" i="10"/>
  <c r="U20" i="10"/>
  <c r="AF20" i="10"/>
  <c r="AG24" i="10"/>
  <c r="U24" i="10"/>
  <c r="AF24" i="10"/>
  <c r="X24" i="10"/>
  <c r="H23" i="10"/>
  <c r="I23" i="10" s="1"/>
  <c r="J23" i="10" s="1"/>
  <c r="BZ23" i="10"/>
  <c r="CD23" i="10"/>
  <c r="AT24" i="10"/>
  <c r="BT24" i="10"/>
  <c r="AY45" i="10"/>
  <c r="BC45" i="10"/>
  <c r="BM45" i="10"/>
  <c r="BQ45" i="10"/>
  <c r="AU46" i="10"/>
  <c r="BU46" i="10"/>
  <c r="AT47" i="10"/>
  <c r="BT47" i="10"/>
  <c r="AX50" i="10"/>
  <c r="BB50" i="10"/>
  <c r="BW23" i="10"/>
  <c r="CA23" i="10"/>
  <c r="AZ45" i="10"/>
  <c r="BD45" i="10"/>
  <c r="BN45" i="10"/>
  <c r="BG46" i="10"/>
  <c r="CF46" i="10"/>
  <c r="AY50" i="10"/>
  <c r="AY51" i="10" s="1"/>
  <c r="BC50" i="10"/>
  <c r="BC51" i="10" s="1"/>
  <c r="BX23" i="10"/>
  <c r="CB23" i="10"/>
  <c r="G24" i="10"/>
  <c r="BG24" i="10"/>
  <c r="CF24" i="10"/>
  <c r="AW45" i="10"/>
  <c r="BA45" i="10"/>
  <c r="BH46" i="10"/>
  <c r="CG46" i="10"/>
  <c r="BH24" i="10"/>
  <c r="CG24" i="10"/>
  <c r="AX45" i="10"/>
  <c r="BB45" i="10"/>
  <c r="B24" i="7"/>
  <c r="B25" i="7" s="1"/>
  <c r="B23" i="7"/>
  <c r="C24" i="7"/>
  <c r="C25" i="7" s="1"/>
  <c r="C23" i="7"/>
  <c r="I24" i="7"/>
  <c r="I25" i="7" s="1"/>
  <c r="I23" i="7"/>
  <c r="Q24" i="7"/>
  <c r="Q25" i="7" s="1"/>
  <c r="Q23" i="7"/>
  <c r="N24" i="7"/>
  <c r="N25" i="7" s="1"/>
  <c r="N23" i="7"/>
  <c r="D24" i="7"/>
  <c r="D25" i="7" s="1"/>
  <c r="D23" i="7"/>
  <c r="L24" i="7"/>
  <c r="L25" i="7" s="1"/>
  <c r="L23" i="7"/>
  <c r="R24" i="7"/>
  <c r="R25" i="7" s="1"/>
  <c r="R23" i="7"/>
  <c r="H24" i="7"/>
  <c r="H25" i="7" s="1"/>
  <c r="G24" i="7"/>
  <c r="G25" i="7" s="1"/>
  <c r="G23" i="7"/>
  <c r="M24" i="7"/>
  <c r="M25" i="7" s="1"/>
  <c r="M23" i="7"/>
  <c r="S24" i="7"/>
  <c r="S25" i="7" s="1"/>
  <c r="S23" i="7"/>
  <c r="B15" i="7"/>
  <c r="G15" i="7"/>
  <c r="L15" i="7"/>
  <c r="Q15" i="7"/>
  <c r="B20" i="7"/>
  <c r="B21" i="7" s="1"/>
  <c r="G20" i="7"/>
  <c r="G21" i="7" s="1"/>
  <c r="L20" i="7"/>
  <c r="L21" i="7" s="1"/>
  <c r="Q20" i="7"/>
  <c r="Q21" i="7" s="1"/>
  <c r="C15" i="7"/>
  <c r="H15" i="7"/>
  <c r="M15" i="7"/>
  <c r="R15" i="7"/>
  <c r="C20" i="7"/>
  <c r="C21" i="7" s="1"/>
  <c r="H20" i="7"/>
  <c r="H21" i="7" s="1"/>
  <c r="M20" i="7"/>
  <c r="M21" i="7" s="1"/>
  <c r="R20" i="7"/>
  <c r="R21" i="7" s="1"/>
  <c r="D15" i="7"/>
  <c r="I15" i="7"/>
  <c r="N15" i="7"/>
  <c r="S15" i="7"/>
  <c r="D20" i="7"/>
  <c r="D21" i="7" s="1"/>
  <c r="I20" i="7"/>
  <c r="I21" i="7" s="1"/>
  <c r="N20" i="7"/>
  <c r="N21" i="7" s="1"/>
  <c r="S20" i="7"/>
  <c r="S21" i="7" s="1"/>
  <c r="V6" i="10" l="1"/>
  <c r="V10" i="10"/>
  <c r="V8" i="10"/>
  <c r="V7" i="10"/>
  <c r="V5" i="10"/>
  <c r="V9" i="10"/>
  <c r="V11" i="10"/>
  <c r="S4" i="10"/>
  <c r="T4" i="10" s="1"/>
  <c r="U4" i="10" s="1"/>
  <c r="V4" i="10"/>
  <c r="Q19" i="7"/>
  <c r="M19" i="7"/>
  <c r="L19" i="7"/>
  <c r="S19" i="7"/>
  <c r="N19" i="7"/>
  <c r="I19" i="7"/>
  <c r="H19" i="7"/>
  <c r="G19" i="7"/>
  <c r="H23" i="7"/>
  <c r="R19" i="7"/>
  <c r="D19" i="7"/>
  <c r="C19" i="7"/>
  <c r="B19" i="7"/>
  <c r="AA79" i="4" l="1"/>
  <c r="AA78" i="4"/>
  <c r="AA77" i="4"/>
  <c r="AC78" i="4"/>
  <c r="AD78" i="4" s="1"/>
  <c r="AC79" i="4"/>
  <c r="AD79" i="4" s="1"/>
  <c r="L29" i="4" l="1"/>
  <c r="G29" i="4"/>
  <c r="AA34" i="4"/>
  <c r="AA31" i="4"/>
  <c r="AA29" i="4"/>
  <c r="AC77" i="4"/>
  <c r="AD77" i="4" s="1"/>
  <c r="AC76" i="4"/>
  <c r="AD76" i="4" s="1"/>
  <c r="AA44" i="4" l="1"/>
  <c r="S28" i="4" l="1"/>
  <c r="I29" i="4"/>
  <c r="U31" i="4"/>
  <c r="V31" i="4" s="1"/>
  <c r="W31" i="4" s="1"/>
  <c r="R31" i="4"/>
  <c r="U30" i="4"/>
  <c r="V30" i="4" s="1"/>
  <c r="W30" i="4" s="1"/>
  <c r="S29" i="4"/>
  <c r="T29" i="4"/>
  <c r="T28" i="4"/>
  <c r="G39" i="4"/>
  <c r="L39" i="4" s="1"/>
  <c r="J44" i="4"/>
  <c r="O44" i="4" s="1"/>
  <c r="J43" i="4"/>
  <c r="O43" i="4" s="1"/>
  <c r="J42" i="4"/>
  <c r="O42" i="4" s="1"/>
  <c r="J41" i="4"/>
  <c r="O41" i="4" s="1"/>
  <c r="J40" i="4"/>
  <c r="O40" i="4" s="1"/>
  <c r="J39" i="4"/>
  <c r="O39" i="4" s="1"/>
  <c r="I44" i="4"/>
  <c r="N44" i="4" s="1"/>
  <c r="H44" i="4"/>
  <c r="M44" i="4" s="1"/>
  <c r="G44" i="4"/>
  <c r="L44" i="4" s="1"/>
  <c r="I43" i="4"/>
  <c r="N43" i="4" s="1"/>
  <c r="H43" i="4"/>
  <c r="M43" i="4" s="1"/>
  <c r="G43" i="4"/>
  <c r="L43" i="4" s="1"/>
  <c r="I42" i="4"/>
  <c r="N42" i="4" s="1"/>
  <c r="H42" i="4"/>
  <c r="M42" i="4" s="1"/>
  <c r="G42" i="4"/>
  <c r="L42" i="4" s="1"/>
  <c r="I41" i="4"/>
  <c r="N41" i="4" s="1"/>
  <c r="H41" i="4"/>
  <c r="M41" i="4" s="1"/>
  <c r="G41" i="4"/>
  <c r="L41" i="4" s="1"/>
  <c r="I40" i="4"/>
  <c r="N40" i="4" s="1"/>
  <c r="H40" i="4"/>
  <c r="M40" i="4" s="1"/>
  <c r="G40" i="4"/>
  <c r="L40" i="4" s="1"/>
  <c r="I39" i="4"/>
  <c r="N39" i="4" s="1"/>
  <c r="H39" i="4"/>
  <c r="M39" i="4" s="1"/>
  <c r="H29" i="4"/>
  <c r="M29" i="4" s="1"/>
  <c r="N29" i="4"/>
  <c r="J29" i="4"/>
  <c r="O29" i="4" s="1"/>
  <c r="H30" i="4"/>
  <c r="M30" i="4" s="1"/>
  <c r="I30" i="4"/>
  <c r="N30" i="4" s="1"/>
  <c r="J30" i="4"/>
  <c r="O30" i="4" s="1"/>
  <c r="H31" i="4"/>
  <c r="M31" i="4" s="1"/>
  <c r="I31" i="4"/>
  <c r="N31" i="4" s="1"/>
  <c r="J31" i="4"/>
  <c r="O31" i="4" s="1"/>
  <c r="H32" i="4"/>
  <c r="M32" i="4" s="1"/>
  <c r="I32" i="4"/>
  <c r="N32" i="4" s="1"/>
  <c r="J32" i="4"/>
  <c r="O32" i="4" s="1"/>
  <c r="H33" i="4"/>
  <c r="M33" i="4" s="1"/>
  <c r="I33" i="4"/>
  <c r="N33" i="4" s="1"/>
  <c r="J33" i="4"/>
  <c r="O33" i="4" s="1"/>
  <c r="H34" i="4"/>
  <c r="M34" i="4" s="1"/>
  <c r="I34" i="4"/>
  <c r="N34" i="4" s="1"/>
  <c r="J34" i="4"/>
  <c r="O34" i="4" s="1"/>
  <c r="G30" i="4"/>
  <c r="L30" i="4" s="1"/>
  <c r="G31" i="4"/>
  <c r="L31" i="4" s="1"/>
  <c r="G32" i="4"/>
  <c r="L32" i="4" s="1"/>
  <c r="G33" i="4"/>
  <c r="L33" i="4" s="1"/>
  <c r="G34" i="4"/>
  <c r="L34" i="4" s="1"/>
  <c r="AA40" i="4"/>
  <c r="AB40" i="4"/>
  <c r="AC40" i="4"/>
  <c r="AD40" i="4"/>
  <c r="AA41" i="4"/>
  <c r="AB41" i="4"/>
  <c r="AC41" i="4"/>
  <c r="AD41" i="4"/>
  <c r="AA42" i="4"/>
  <c r="AB42" i="4"/>
  <c r="AC42" i="4"/>
  <c r="AD42" i="4"/>
  <c r="AA43" i="4"/>
  <c r="AB43" i="4"/>
  <c r="AC43" i="4"/>
  <c r="AD43" i="4"/>
  <c r="AB44" i="4"/>
  <c r="AC44" i="4"/>
  <c r="AD44" i="4"/>
  <c r="AB39" i="4"/>
  <c r="AC39" i="4"/>
  <c r="AD39" i="4"/>
  <c r="AA39" i="4"/>
  <c r="AA30" i="4"/>
  <c r="AB30" i="4"/>
  <c r="AC30" i="4"/>
  <c r="AD30" i="4"/>
  <c r="AB31" i="4"/>
  <c r="AC31" i="4"/>
  <c r="AD31" i="4"/>
  <c r="AA32" i="4"/>
  <c r="AB32" i="4"/>
  <c r="AC32" i="4"/>
  <c r="AD32" i="4"/>
  <c r="AA33" i="4"/>
  <c r="AB33" i="4"/>
  <c r="AC33" i="4"/>
  <c r="AD33" i="4"/>
  <c r="AB34" i="4"/>
  <c r="AC34" i="4"/>
  <c r="AD34" i="4"/>
  <c r="AB29" i="4"/>
  <c r="AC29" i="4"/>
  <c r="AD29" i="4"/>
  <c r="F6" i="4"/>
  <c r="G6" i="4" s="1"/>
  <c r="E6" i="4"/>
  <c r="F5" i="4"/>
  <c r="G5" i="4" s="1"/>
  <c r="E5" i="4"/>
  <c r="F4" i="4"/>
  <c r="G4" i="4" s="1"/>
  <c r="E4" i="4"/>
  <c r="F3" i="4"/>
  <c r="G3" i="4" s="1"/>
  <c r="E3" i="4"/>
  <c r="F19" i="3" l="1"/>
  <c r="G19" i="3" s="1"/>
  <c r="F17" i="3"/>
  <c r="G17" i="3" s="1"/>
  <c r="F15" i="3"/>
  <c r="G15" i="3" s="1"/>
  <c r="B19" i="3"/>
  <c r="C19" i="3" s="1"/>
  <c r="B17" i="3"/>
  <c r="B15" i="3"/>
  <c r="C15" i="3" s="1"/>
  <c r="F7" i="3"/>
  <c r="G7" i="3" s="1"/>
  <c r="F5" i="3"/>
  <c r="G5" i="3" s="1"/>
  <c r="F3" i="3"/>
  <c r="G3" i="3" s="1"/>
  <c r="B7" i="3"/>
  <c r="C7" i="3" s="1"/>
  <c r="B5" i="3"/>
  <c r="C5" i="3" s="1"/>
  <c r="B3" i="3"/>
  <c r="B10" i="3" l="1"/>
  <c r="C10" i="3" s="1"/>
  <c r="B9" i="3"/>
  <c r="C9" i="3" s="1"/>
  <c r="C3" i="3"/>
  <c r="B22" i="3"/>
  <c r="C22" i="3" s="1"/>
  <c r="C17" i="3"/>
  <c r="F22" i="3"/>
  <c r="G22" i="3" s="1"/>
  <c r="F10" i="3"/>
  <c r="G10" i="3" s="1"/>
  <c r="F21" i="3"/>
  <c r="G21" i="3" s="1"/>
  <c r="F9" i="3"/>
  <c r="G9" i="3" s="1"/>
  <c r="B21" i="3"/>
  <c r="C21" i="3" s="1"/>
  <c r="C11" i="3" l="1"/>
  <c r="B11" i="3"/>
  <c r="G11" i="3"/>
  <c r="F11" i="3"/>
  <c r="G23" i="3"/>
  <c r="F23" i="3"/>
  <c r="C23" i="3"/>
  <c r="B23" i="3"/>
</calcChain>
</file>

<file path=xl/sharedStrings.xml><?xml version="1.0" encoding="utf-8"?>
<sst xmlns="http://schemas.openxmlformats.org/spreadsheetml/2006/main" count="815" uniqueCount="426">
  <si>
    <t>std dev</t>
  </si>
  <si>
    <t>RSD</t>
  </si>
  <si>
    <t>5% sulphate</t>
  </si>
  <si>
    <t>5% ZnOAc</t>
  </si>
  <si>
    <t>2%ZnOAc + 5% ZnOAc</t>
  </si>
  <si>
    <t>12% sulphate</t>
  </si>
  <si>
    <t>Time</t>
  </si>
  <si>
    <t>Results</t>
  </si>
  <si>
    <t>Errors (SD)</t>
  </si>
  <si>
    <t>23 beads</t>
  </si>
  <si>
    <t>29 beads</t>
  </si>
  <si>
    <t>9 beads</t>
  </si>
  <si>
    <t xml:space="preserve"> </t>
  </si>
  <si>
    <t>average bead</t>
  </si>
  <si>
    <t>per bead (g)</t>
  </si>
  <si>
    <t>per bead (mg)</t>
  </si>
  <si>
    <t>7 beads</t>
  </si>
  <si>
    <t>32 beads</t>
  </si>
  <si>
    <t>36 beads</t>
  </si>
  <si>
    <t>30 beads</t>
  </si>
  <si>
    <t>6 beads</t>
  </si>
  <si>
    <t>8 beads</t>
  </si>
  <si>
    <t>13 beads</t>
  </si>
  <si>
    <t>18 beads</t>
  </si>
  <si>
    <t>Zinc sulphate antisolvent</t>
  </si>
  <si>
    <t>Max concentration in beads (Zn % wt.</t>
  </si>
  <si>
    <t>Mass of 1 bead (mg)</t>
  </si>
  <si>
    <t>mass of two beads (mg)</t>
  </si>
  <si>
    <t>Zinc per bead (mg Zn / mg bead)</t>
  </si>
  <si>
    <t>2 beads (mg)</t>
  </si>
  <si>
    <t>Total Zinc Released (ug)</t>
  </si>
  <si>
    <t>1 bead</t>
  </si>
  <si>
    <t>Total Zinc Released (mg)</t>
  </si>
  <si>
    <t>Total Zinc Released (%)</t>
  </si>
  <si>
    <t>Total Zinc Released (mg) (SD)</t>
  </si>
  <si>
    <t>Total Zinc Released (%) RSD</t>
  </si>
  <si>
    <t>Time until 100% release (mins)</t>
  </si>
  <si>
    <t>(hours)</t>
  </si>
  <si>
    <t>(days)</t>
  </si>
  <si>
    <t>(weeks)</t>
  </si>
  <si>
    <t>years</t>
  </si>
  <si>
    <t>centuries</t>
  </si>
  <si>
    <t>%</t>
  </si>
  <si>
    <t>days</t>
  </si>
  <si>
    <t>EXCEL</t>
  </si>
  <si>
    <t>Origin data: equations used in paper for soil release tests.</t>
  </si>
  <si>
    <t>plase disregard</t>
  </si>
  <si>
    <t>mins</t>
  </si>
  <si>
    <t>total concentration zinc per bead (mg)</t>
  </si>
  <si>
    <t>Dear Davide: This data was used to determine the trendlines for the zinc release to soil (% of total zinc released per bead) in Origin.</t>
  </si>
  <si>
    <t>hours</t>
  </si>
  <si>
    <t>12% wt Zinc sulpate</t>
  </si>
  <si>
    <t>5% wt Zinc sulpatep</t>
  </si>
  <si>
    <r>
      <t>5% wt. Zn(OAc)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w/ 2% [Zn] in polymer solution</t>
    </r>
  </si>
  <si>
    <t xml:space="preserve">5% wt. Zn(OAc)2 </t>
  </si>
  <si>
    <t>Solution</t>
  </si>
  <si>
    <t>15% cellulose acetate in DMSO</t>
  </si>
  <si>
    <t>DI water</t>
  </si>
  <si>
    <t>Anti-solvent</t>
  </si>
  <si>
    <t>CaCO3 (pH 8.2 at 295K)</t>
  </si>
  <si>
    <t>6%wt. NaCl solution</t>
  </si>
  <si>
    <t>Dry</t>
  </si>
  <si>
    <t>Wet</t>
  </si>
  <si>
    <t>Diameter (mm)</t>
  </si>
  <si>
    <t>Average</t>
  </si>
  <si>
    <t>Standard dev.</t>
  </si>
  <si>
    <t>% RSD</t>
  </si>
  <si>
    <t>n</t>
  </si>
  <si>
    <t>Reduction in diameter (wet to dry) %</t>
  </si>
  <si>
    <t>wet</t>
  </si>
  <si>
    <t>% shrinkage</t>
  </si>
  <si>
    <t>Control antisolvent (DI H2O)</t>
  </si>
  <si>
    <t>sulphate (1% wt. Zn)</t>
  </si>
  <si>
    <t>sulphate (2% wt. Zn)</t>
  </si>
  <si>
    <t>Sulphate (5% wt. Zn)</t>
  </si>
  <si>
    <t>sulphate (12% wt. Zn)</t>
  </si>
  <si>
    <t>chloride (1% wt. Zn)</t>
  </si>
  <si>
    <t>Chloride (2% wt. Zn)</t>
  </si>
  <si>
    <t>Chloride (5% wt. Zn)</t>
  </si>
  <si>
    <t>acetate (1% wt. Zn)</t>
  </si>
  <si>
    <t>acetate (2% wt. Zn)</t>
  </si>
  <si>
    <t>acetate (5% wt. Zn)</t>
  </si>
  <si>
    <t>5% znOac</t>
  </si>
  <si>
    <t>upper</t>
  </si>
  <si>
    <t>lower</t>
  </si>
  <si>
    <t>average</t>
  </si>
  <si>
    <t>Soil samples</t>
  </si>
  <si>
    <t>Moisture content</t>
  </si>
  <si>
    <t>Soil type</t>
  </si>
  <si>
    <t>pH</t>
  </si>
  <si>
    <t>Bath Uni (halls)</t>
  </si>
  <si>
    <t>Loam</t>
  </si>
  <si>
    <t>Bath Uni (Lakeside)</t>
  </si>
  <si>
    <t>Westbury</t>
  </si>
  <si>
    <t xml:space="preserve">Cornwall </t>
  </si>
  <si>
    <t>Bathwick</t>
  </si>
  <si>
    <t>m</t>
  </si>
  <si>
    <t>volume</t>
  </si>
  <si>
    <t>inner portion volume</t>
  </si>
  <si>
    <t>bead radius</t>
  </si>
  <si>
    <t>inner segment</t>
  </si>
  <si>
    <t>Solvent</t>
  </si>
  <si>
    <t>α</t>
  </si>
  <si>
    <t>β</t>
  </si>
  <si>
    <t>π</t>
  </si>
  <si>
    <t>Et30</t>
  </si>
  <si>
    <t>density</t>
  </si>
  <si>
    <t>Min a</t>
  </si>
  <si>
    <t>Max a</t>
  </si>
  <si>
    <t>min b</t>
  </si>
  <si>
    <t>max b</t>
  </si>
  <si>
    <t>min p</t>
  </si>
  <si>
    <t>max p</t>
  </si>
  <si>
    <t>Reference:</t>
  </si>
  <si>
    <t>doi:</t>
  </si>
  <si>
    <t>Acetamide •</t>
  </si>
  <si>
    <t>Acetic acid •</t>
  </si>
  <si>
    <t>10.1016/j.arabjc.2011.01.031</t>
  </si>
  <si>
    <t>2-amino-2-ethyl-1,3-propandiol •</t>
  </si>
  <si>
    <t>2-amino-2-methyl-1-propanol •</t>
  </si>
  <si>
    <t>Min</t>
  </si>
  <si>
    <t>Aniline •</t>
  </si>
  <si>
    <t>Max</t>
  </si>
  <si>
    <t>Benzyl alcohol •</t>
  </si>
  <si>
    <t>Benzyl Cellosolve •</t>
  </si>
  <si>
    <t>1-butanol</t>
  </si>
  <si>
    <t>10.1007/s00706-011-0639-7</t>
  </si>
  <si>
    <t>Butylamine •</t>
  </si>
  <si>
    <t>Butyl tartrate •</t>
  </si>
  <si>
    <t>1,3-Butylene glycol •</t>
  </si>
  <si>
    <t>o-Cyclohexylphenol •</t>
  </si>
  <si>
    <t>1,3-Diaminopropanol •</t>
  </si>
  <si>
    <t>Di[-β-hydroxyethyl]aniline •</t>
  </si>
  <si>
    <t>Diethanolamine •</t>
  </si>
  <si>
    <t>Diethylene glycol • •</t>
  </si>
  <si>
    <t>Diethylene glycol monoethyl ether • •</t>
  </si>
  <si>
    <t>Diethylene glycol monomethyl ether •</t>
  </si>
  <si>
    <t>Diethylenetriamine •</t>
  </si>
  <si>
    <t>Diglycolchlorohydrine •</t>
  </si>
  <si>
    <t>Diisopropanolamine •</t>
  </si>
  <si>
    <t>Dipropylene glycol • •</t>
  </si>
  <si>
    <t>DMSO</t>
  </si>
  <si>
    <t>Ethanol •</t>
  </si>
  <si>
    <t>Ethyl ether tripropylene glycol •</t>
  </si>
  <si>
    <t>Ethyl lactate • •</t>
  </si>
  <si>
    <t>Ethylpheylethanolamine •</t>
  </si>
  <si>
    <t>Ethylene chlorohydrine •</t>
  </si>
  <si>
    <t>Ethylene dichloride •</t>
  </si>
  <si>
    <t>Ethylene glycol • • •</t>
  </si>
  <si>
    <t>10.2116/analsci.18.1357</t>
  </si>
  <si>
    <t>Ethylene glycol monoethyl ether • •</t>
  </si>
  <si>
    <t>Ethylene glycol monomethyl ether •</t>
  </si>
  <si>
    <t>Ethylenediamine •</t>
  </si>
  <si>
    <t>Formic acid •</t>
  </si>
  <si>
    <t>Furfuryl alcohol •</t>
  </si>
  <si>
    <t>Glycerol •</t>
  </si>
  <si>
    <t>Glycerol furfuryl •</t>
  </si>
  <si>
    <t>Glycerol-α-γ-dimethyl ether •</t>
  </si>
  <si>
    <t>Glycerol-α-monochlorohydrine •</t>
  </si>
  <si>
    <t>Glycerol-α-methyl ether •</t>
  </si>
  <si>
    <t>Glycerol-α-phenyl ether •</t>
  </si>
  <si>
    <t>β-Hydroxyethylaniline •</t>
  </si>
  <si>
    <t>Hydroxyethylethylenediamine •</t>
  </si>
  <si>
    <t>2-Hydroxymethyl-1,3-dioxolane •</t>
  </si>
  <si>
    <t>Lactic acid</t>
  </si>
  <si>
    <t>Methanol • •</t>
  </si>
  <si>
    <t>Hydroxyethylethylenediamine</t>
  </si>
  <si>
    <t xml:space="preserve"> 2-Hydroxymethyl-1,3-dioxolane</t>
  </si>
  <si>
    <t>Lactic acid •</t>
  </si>
  <si>
    <t>Methyl Lactate •</t>
  </si>
  <si>
    <t>Monoethanolamine •</t>
  </si>
  <si>
    <t>Monoisopropanolamine •</t>
  </si>
  <si>
    <t>Morpholine •</t>
  </si>
  <si>
    <t>Morpholine ethanol •</t>
  </si>
  <si>
    <t>Phenol •</t>
  </si>
  <si>
    <t xml:space="preserve">Phenylethanolamine • </t>
  </si>
  <si>
    <t>propionic acid</t>
  </si>
  <si>
    <t>Propylene chlorohydrin •</t>
  </si>
  <si>
    <t>Propylenediamine •</t>
  </si>
  <si>
    <t>Propylene glycol • • •</t>
  </si>
  <si>
    <t>1-propanol</t>
  </si>
  <si>
    <t>2-propanol</t>
  </si>
  <si>
    <t>Pyridine •</t>
  </si>
  <si>
    <t>Resoricinol monoacetate •</t>
  </si>
  <si>
    <t>Triethanolamine •</t>
  </si>
  <si>
    <t>Triethylenetetramine •</t>
  </si>
  <si>
    <t>Tetrahydrofurfuryl alcohol •</t>
  </si>
  <si>
    <t>Triethylene glycol •</t>
  </si>
  <si>
    <t xml:space="preserve">Triisopropanolamine </t>
  </si>
  <si>
    <t>antisolvents</t>
  </si>
  <si>
    <t>water</t>
  </si>
  <si>
    <t>note: these were oblate in shape, diameter here is the longest aspect</t>
  </si>
  <si>
    <t>10% CA in DMSO</t>
  </si>
  <si>
    <t>26G needle</t>
  </si>
  <si>
    <t>10% CA 26G</t>
  </si>
  <si>
    <t>Anti-solvent NaCl concentration (%wt)</t>
  </si>
  <si>
    <t>15% CA 21G</t>
  </si>
  <si>
    <t>NaCl (%wt)</t>
  </si>
  <si>
    <t>Mass solution (g)</t>
  </si>
  <si>
    <t>volumetric (L)</t>
  </si>
  <si>
    <t>NaCl req (g)</t>
  </si>
  <si>
    <t>NaCl Mw (g/mol)</t>
  </si>
  <si>
    <t>conc (mg/L)</t>
  </si>
  <si>
    <t>moles NaCl</t>
  </si>
  <si>
    <t>NaCl [M]</t>
  </si>
  <si>
    <t>NaCl [mM]</t>
  </si>
  <si>
    <r>
      <t>AS Density (kg/m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</si>
  <si>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AS density g/ml</t>
  </si>
  <si>
    <t>minimum height (cm)</t>
  </si>
  <si>
    <t>mass (10 drops) (g)</t>
  </si>
  <si>
    <t xml:space="preserve">average mass per drop (g) </t>
  </si>
  <si>
    <t>density (kg/m3)</t>
  </si>
  <si>
    <t>solution density</t>
  </si>
  <si>
    <t>volume per drop (L)</t>
  </si>
  <si>
    <t>average radius (m)</t>
  </si>
  <si>
    <t>average radius (mm)</t>
  </si>
  <si>
    <t>Force at impact (mass * g) (mN)</t>
  </si>
  <si>
    <t>velocity at impact (m/s)</t>
  </si>
  <si>
    <t>surface tension mN/m</t>
  </si>
  <si>
    <t>surface tension cN/m</t>
  </si>
  <si>
    <t>Oh at impact</t>
  </si>
  <si>
    <t>We at impact</t>
  </si>
  <si>
    <t>Bead diameter (mm)</t>
  </si>
  <si>
    <t>10% CA 30G</t>
  </si>
  <si>
    <t>Total average</t>
  </si>
  <si>
    <t>Std dev</t>
  </si>
  <si>
    <t>%RSD</t>
  </si>
  <si>
    <t>Average diameter (mm)</t>
  </si>
  <si>
    <t>15% CA in DMSO</t>
  </si>
  <si>
    <t>density (g/ml)</t>
  </si>
  <si>
    <t>energy at impact (N)</t>
  </si>
  <si>
    <t>surface tension N/m</t>
  </si>
  <si>
    <t>CA soln surface tension (N/m)</t>
  </si>
  <si>
    <t>CA viscosity (Pa.s)</t>
  </si>
  <si>
    <t>Oh (droplet)</t>
  </si>
  <si>
    <t>Shrinkage</t>
  </si>
  <si>
    <t>upper std dev</t>
  </si>
  <si>
    <t>15% CA 26G</t>
  </si>
  <si>
    <t>15% CA dmso</t>
  </si>
  <si>
    <t>lower std dev</t>
  </si>
  <si>
    <t>surface tension calc</t>
  </si>
  <si>
    <t>surface tension</t>
  </si>
  <si>
    <t>concentration</t>
  </si>
  <si>
    <t>velocity m/s</t>
  </si>
  <si>
    <t>volume wet</t>
  </si>
  <si>
    <t>volume dry</t>
  </si>
  <si>
    <t>volume shrinkage</t>
  </si>
  <si>
    <t>CA in saline solutions</t>
  </si>
  <si>
    <t>Code</t>
  </si>
  <si>
    <t>CA  (%wt)</t>
  </si>
  <si>
    <t>CA req (g)</t>
  </si>
  <si>
    <t>ZP</t>
  </si>
  <si>
    <t>CC-NaCl-CA1</t>
  </si>
  <si>
    <t>volumetric (ml)</t>
  </si>
  <si>
    <t>mass water (g)</t>
  </si>
  <si>
    <t>NaCl (g)</t>
  </si>
  <si>
    <t>CA (%wt)</t>
  </si>
  <si>
    <t>CA (g)</t>
  </si>
  <si>
    <t>CA actual (g)</t>
  </si>
  <si>
    <t>CA actual (%wt)</t>
  </si>
  <si>
    <t>Zeta potential</t>
  </si>
  <si>
    <t>1/k</t>
  </si>
  <si>
    <t>CC-NaCl-CA2</t>
  </si>
  <si>
    <t>CC-Zeta-CA1A</t>
  </si>
  <si>
    <t>CC-NaCl-CA3</t>
  </si>
  <si>
    <t>CC-Zeta-CA1B</t>
  </si>
  <si>
    <t>CC-NaCl-CA4</t>
  </si>
  <si>
    <t>CC-Zeta-CA1C</t>
  </si>
  <si>
    <t>CC-NaCl-CA5</t>
  </si>
  <si>
    <t>CC-Zeta-CA1D</t>
  </si>
  <si>
    <t>CC-NaCl-CA6</t>
  </si>
  <si>
    <t>CC-Zeta-CA2</t>
  </si>
  <si>
    <t>?</t>
  </si>
  <si>
    <t>CC-NaCl-CA7</t>
  </si>
  <si>
    <t>CC-Zeta-CA3</t>
  </si>
  <si>
    <t>CC-NaCl-CA8</t>
  </si>
  <si>
    <t>CC-Zeta-CA4</t>
  </si>
  <si>
    <t>CC-NaCl-CA9</t>
  </si>
  <si>
    <t>CC-Zeta-CA5</t>
  </si>
  <si>
    <t>CC-NaCl-CA10</t>
  </si>
  <si>
    <t>CC-Zeta-CA6</t>
  </si>
  <si>
    <t>CC-Zeta-CA7</t>
  </si>
  <si>
    <t>CC-Zeta-CA8</t>
  </si>
  <si>
    <t>CC-Zeta-DIH2O</t>
  </si>
  <si>
    <t>Record</t>
  </si>
  <si>
    <t>Type</t>
  </si>
  <si>
    <t>Sample Name</t>
  </si>
  <si>
    <t>Measurement Date and Time</t>
  </si>
  <si>
    <t>T (°C)</t>
  </si>
  <si>
    <t>ZP (mV)</t>
  </si>
  <si>
    <t>Mob (µmcm/Vs)</t>
  </si>
  <si>
    <t>Cond (mS/cm)</t>
  </si>
  <si>
    <t>Zeta</t>
  </si>
  <si>
    <t>CC CA determination of zeta 1A 1</t>
  </si>
  <si>
    <t>CC CA determination of zeta 1A 2</t>
  </si>
  <si>
    <t>CC CA determination of zeta 1A 3</t>
  </si>
  <si>
    <t>CC CA determination of zeta 1B 1</t>
  </si>
  <si>
    <t>CC CA determination of zeta 1B 2</t>
  </si>
  <si>
    <t>CC CA determination of zeta 1B 3</t>
  </si>
  <si>
    <t>CC CA determination of zeta 1C 1</t>
  </si>
  <si>
    <t>CC CA determination of zeta 1C 2</t>
  </si>
  <si>
    <t>CC CA determination of zeta 1C 3</t>
  </si>
  <si>
    <t>CC CA determination of zeta 1D 1</t>
  </si>
  <si>
    <t>CC CA determination of zeta 1D 2</t>
  </si>
  <si>
    <t>CC CA determination of zeta 1D 3</t>
  </si>
  <si>
    <t>Bench top costs for 1kg of microbeads</t>
  </si>
  <si>
    <t>Beads from MCC using dropping method</t>
  </si>
  <si>
    <t>8% CA solution</t>
  </si>
  <si>
    <t>Company</t>
  </si>
  <si>
    <t>Cost (£)</t>
  </si>
  <si>
    <t>Size</t>
  </si>
  <si>
    <t>unitless</t>
  </si>
  <si>
    <t>Cost per kg</t>
  </si>
  <si>
    <t>Cost per litre</t>
  </si>
  <si>
    <t>Litres/kg used</t>
  </si>
  <si>
    <t>Cost for 1kg beads</t>
  </si>
  <si>
    <t>Recoverables cost (%)</t>
  </si>
  <si>
    <t>MCC</t>
  </si>
  <si>
    <t>Fisher</t>
  </si>
  <si>
    <t>5kg</t>
  </si>
  <si>
    <t>IL (Emim Oac)</t>
  </si>
  <si>
    <t>Iolitec</t>
  </si>
  <si>
    <t>150kg</t>
  </si>
  <si>
    <t>2.5L</t>
  </si>
  <si>
    <t>Ethanol</t>
  </si>
  <si>
    <t>25L</t>
  </si>
  <si>
    <t>Oil</t>
  </si>
  <si>
    <t>Tesco</t>
  </si>
  <si>
    <t>Water</t>
  </si>
  <si>
    <t>Total reagents</t>
  </si>
  <si>
    <t>per 1kg MCC beads</t>
  </si>
  <si>
    <t>Beads from CA using dropping method</t>
  </si>
  <si>
    <t>15% CA solution</t>
  </si>
  <si>
    <t>Cellulose acetate (9004-35-7)</t>
  </si>
  <si>
    <t>SLS</t>
  </si>
  <si>
    <t>0.5kg</t>
  </si>
  <si>
    <t>NaOH</t>
  </si>
  <si>
    <t>8x 21G needles</t>
  </si>
  <si>
    <t>per kilo CA beads</t>
  </si>
  <si>
    <t>(assuming 25% loss)</t>
  </si>
  <si>
    <t>Cellulose triacetate (9012-09-3)</t>
  </si>
  <si>
    <t>Mould master UK</t>
  </si>
  <si>
    <t>10kg</t>
  </si>
  <si>
    <t>Beads from Zein using dropping method</t>
  </si>
  <si>
    <t>21% Zein solution</t>
  </si>
  <si>
    <t>Zein (9010-66-6))</t>
  </si>
  <si>
    <t>2.5kg</t>
  </si>
  <si>
    <t>Lignin (8068-05-1)</t>
  </si>
  <si>
    <t>Sigma</t>
  </si>
  <si>
    <t>500g</t>
  </si>
  <si>
    <t>per kilo Zin/lignin beads</t>
  </si>
  <si>
    <t>Zinc nitrate</t>
  </si>
  <si>
    <t>Zinc chloride</t>
  </si>
  <si>
    <t>Zinc acetate</t>
  </si>
  <si>
    <t>Zinc sulphate</t>
  </si>
  <si>
    <t>Zinc carbonate</t>
  </si>
  <si>
    <t>Zn uptake (% wt. [Zn])</t>
  </si>
  <si>
    <t>5% weight [Zn] antisolvents</t>
  </si>
  <si>
    <t>Ranham overton 6th edition</t>
  </si>
  <si>
    <t>http://www.elch.chem.msu.ru/rus/wp/wp-content/uploads/2015/08/s411_2014_1.pdf</t>
  </si>
  <si>
    <t>https://pubs.rsc.org/en/content/articlepdf/2021/sc/d1sc03568a</t>
  </si>
  <si>
    <t>ionic radius</t>
  </si>
  <si>
    <t>zn content</t>
  </si>
  <si>
    <t>charge density (C mm-3)</t>
  </si>
  <si>
    <t>calculated charge density (non-shannon)</t>
  </si>
  <si>
    <t>Yatsmirski’s thermochemical radii</t>
  </si>
  <si>
    <t>hydration radius</t>
  </si>
  <si>
    <t>hydration energy</t>
  </si>
  <si>
    <t>radius (nm)</t>
  </si>
  <si>
    <t>width of hydration shell (nm)</t>
  </si>
  <si>
    <t>n (number of water molecules in the shell)</t>
  </si>
  <si>
    <t>calculated molar gibbs energy of hydration of ions (kJ mol-1)</t>
  </si>
  <si>
    <t>experimental molar gibbs energy of hydration of ions</t>
  </si>
  <si>
    <t>charge</t>
  </si>
  <si>
    <t>mol weight</t>
  </si>
  <si>
    <r>
      <t>radial charge density (c m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</si>
  <si>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Nitrate ion</t>
  </si>
  <si>
    <t>chloride ion</t>
  </si>
  <si>
    <t>acetate ion</t>
  </si>
  <si>
    <t>sulphate ion</t>
  </si>
  <si>
    <t>carbonate ion</t>
  </si>
  <si>
    <t>That is the “structure makers” or “kosmotropes” which are ions small in size and with high surface charge density and small polarisability give rise to the largest electrostriction. </t>
  </si>
  <si>
    <t>As hydration energy decreases, zn content in the beads increases</t>
  </si>
  <si>
    <t>Surface charge density decreases, zn content in the beads increases</t>
  </si>
  <si>
    <t> lyotropic effect: ion-specific behavior in aqueous solutions.</t>
  </si>
  <si>
    <t>Specific Ion Effects: persistant trends in phenomena caused not just by the charge of the ion or concentration, but the identity of the ion</t>
  </si>
  <si>
    <t>%wt Zn</t>
  </si>
  <si>
    <t>(%wt Zn)</t>
  </si>
  <si>
    <t>conductivity</t>
  </si>
  <si>
    <t>mass weight (g)</t>
  </si>
  <si>
    <t>water volume</t>
  </si>
  <si>
    <t>concentration Zn in water sample (% wt)</t>
  </si>
  <si>
    <t>g Zn</t>
  </si>
  <si>
    <t>CA13% Zein 2% DMSO</t>
  </si>
  <si>
    <r>
      <t>5% ZnSO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%</t>
    </r>
  </si>
  <si>
    <t>CA15% DMSO</t>
  </si>
  <si>
    <t>5% Zn acetate</t>
  </si>
  <si>
    <t>5% Zn carbonate</t>
  </si>
  <si>
    <t>12% Zn sulpate</t>
  </si>
  <si>
    <t>5% Zn nitrate</t>
  </si>
  <si>
    <t xml:space="preserve">CA15%+ 2% wt zinc (itfo ZnOAc2) </t>
  </si>
  <si>
    <t xml:space="preserve"> 5%wt Zn (itfo AnOAc2)</t>
  </si>
  <si>
    <t>CA10% Zein5% DMSO</t>
  </si>
  <si>
    <t>Cations</t>
  </si>
  <si>
    <t>Ionic volumei</t>
  </si>
  <si>
    <t>ΔSii</t>
  </si>
  <si>
    <t>Jones-Doleiii</t>
  </si>
  <si>
    <t>kiiv</t>
  </si>
  <si>
    <t>ΔMAvii</t>
  </si>
  <si>
    <t>Anions</t>
  </si>
  <si>
    <t>Ionic volume</t>
  </si>
  <si>
    <t>CO32−</t>
  </si>
  <si>
    <t>na</t>
  </si>
  <si>
    <t>Al3+</t>
  </si>
  <si>
    <t>SO42−</t>
  </si>
  <si>
    <t>Mg2+</t>
  </si>
  <si>
    <t>Cl−</t>
  </si>
  <si>
    <t>Ca2+</t>
  </si>
  <si>
    <t>NO3−</t>
  </si>
  <si>
    <t>N(CH3)4+</t>
  </si>
  <si>
    <t>Na+</t>
  </si>
  <si>
    <t>H+</t>
  </si>
  <si>
    <t>NH4+</t>
  </si>
  <si>
    <t>K+</t>
  </si>
  <si>
    <t>Rb+</t>
  </si>
  <si>
    <t>Cs+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</si>
</sst>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"/>
    <numFmt numFmtId="166" formatCode="0.000"/>
    <numFmt numFmtId="167" formatCode="0.000000"/>
    <numFmt numFmtId="168" formatCode="0.00000"/>
    <numFmt numFmtId="169" formatCode="0.0E+00"/>
    <numFmt numFmtId="170" formatCode="0.00000000000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rgb="FF000000"/>
      <name val="Verdana"/>
      <family val="2"/>
    </font>
    <font>
      <vertAlign val="superscript"/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4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164" fontId="0" fillId="0" borderId="0" xfId="0" applyNumberFormat="1"/>
    <xf numFmtId="166" fontId="0" fillId="0" borderId="0" xfId="0" applyNumberFormat="1"/>
    <xf numFmtId="0" fontId="0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1" xfId="0" applyBorder="1"/>
    <xf numFmtId="0" fontId="7" fillId="0" borderId="0" xfId="0" applyFont="1"/>
    <xf numFmtId="0" fontId="6" fillId="0" borderId="0" xfId="1" applyAlignment="1">
      <alignment horizontal="left" vertical="center" wrapText="1" indent="1"/>
    </xf>
    <xf numFmtId="0" fontId="0" fillId="0" borderId="0" xfId="0" applyAlignment="1">
      <alignment horizontal="center"/>
    </xf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/>
    <xf numFmtId="0" fontId="0" fillId="2" borderId="5" xfId="0" applyFill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2" fontId="0" fillId="0" borderId="1" xfId="0" applyNumberFormat="1" applyBorder="1"/>
    <xf numFmtId="167" fontId="0" fillId="0" borderId="0" xfId="0" applyNumberFormat="1"/>
    <xf numFmtId="11" fontId="0" fillId="0" borderId="0" xfId="0" applyNumberFormat="1"/>
    <xf numFmtId="1" fontId="0" fillId="0" borderId="1" xfId="0" applyNumberFormat="1" applyBorder="1"/>
    <xf numFmtId="1" fontId="0" fillId="0" borderId="0" xfId="0" applyNumberFormat="1"/>
    <xf numFmtId="165" fontId="0" fillId="0" borderId="1" xfId="0" applyNumberFormat="1" applyBorder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22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11" borderId="0" xfId="0" applyFill="1"/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165" fontId="0" fillId="2" borderId="0" xfId="0" applyNumberFormat="1" applyFill="1"/>
    <xf numFmtId="0" fontId="9" fillId="0" borderId="0" xfId="0" applyFont="1"/>
    <xf numFmtId="165" fontId="0" fillId="10" borderId="0" xfId="0" applyNumberFormat="1" applyFill="1"/>
    <xf numFmtId="1" fontId="0" fillId="10" borderId="0" xfId="0" applyNumberFormat="1" applyFill="1"/>
    <xf numFmtId="170" fontId="0" fillId="10" borderId="0" xfId="0" applyNumberFormat="1" applyFill="1"/>
    <xf numFmtId="0" fontId="0" fillId="9" borderId="0" xfId="0" applyFill="1"/>
    <xf numFmtId="165" fontId="0" fillId="9" borderId="0" xfId="0" applyNumberFormat="1" applyFill="1"/>
    <xf numFmtId="0" fontId="11" fillId="0" borderId="0" xfId="0" applyFont="1"/>
    <xf numFmtId="0" fontId="12" fillId="0" borderId="0" xfId="0" applyFont="1"/>
    <xf numFmtId="9" fontId="0" fillId="0" borderId="0" xfId="0" applyNumberFormat="1"/>
    <xf numFmtId="0" fontId="1" fillId="2" borderId="0" xfId="0" applyFont="1" applyFill="1"/>
    <xf numFmtId="0" fontId="2" fillId="2" borderId="0" xfId="0" applyFont="1" applyFill="1"/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Zinc</a:t>
            </a:r>
            <a:r>
              <a:rPr lang="en-US" baseline="0"/>
              <a:t> salts - (5% wt Zn solutions)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549803001420461"/>
          <c:y val="0.22044562777934215"/>
          <c:w val="0.79069754700517236"/>
          <c:h val="0.634212670384396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'[1]Backup and testing'!$M$45</c:f>
              <c:strCache>
                <c:ptCount val="1"/>
                <c:pt idx="0">
                  <c:v>%wt Zn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'[1]Backup and testing'!$P$66:$T$66</c:f>
              <c:strCache>
                <c:ptCount val="5"/>
                <c:pt idx="0">
                  <c:v>Zinc nitrate</c:v>
                </c:pt>
                <c:pt idx="1">
                  <c:v>Zinc chloride</c:v>
                </c:pt>
                <c:pt idx="2">
                  <c:v>Zinc acetate</c:v>
                </c:pt>
                <c:pt idx="3">
                  <c:v>Zinc sulphate</c:v>
                </c:pt>
                <c:pt idx="4">
                  <c:v>Zinc carbonate</c:v>
                </c:pt>
              </c:strCache>
            </c:strRef>
          </c:cat>
          <c:val>
            <c:numRef>
              <c:f>'[1]Backup and testing'!$P$67:$T$67</c:f>
              <c:numCache>
                <c:formatCode>General</c:formatCode>
                <c:ptCount val="5"/>
                <c:pt idx="0">
                  <c:v>14.9</c:v>
                </c:pt>
                <c:pt idx="1">
                  <c:v>13</c:v>
                </c:pt>
                <c:pt idx="2">
                  <c:v>9.8000000000000007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A-42A4-8768-18D4791A1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77988800"/>
        <c:axId val="777993064"/>
      </c:barChart>
      <c:catAx>
        <c:axId val="777988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993064"/>
        <c:crosses val="autoZero"/>
        <c:auto val="1"/>
        <c:lblAlgn val="ctr"/>
        <c:lblOffset val="100"/>
        <c:noMultiLvlLbl val="0"/>
      </c:catAx>
      <c:valAx>
        <c:axId val="777993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%wt</a:t>
                </a:r>
                <a:r>
                  <a:rPr lang="en-GB" sz="1100" baseline="0"/>
                  <a:t> zinc per gram of cellulose acetate bead</a:t>
                </a:r>
                <a:endParaRPr lang="en-GB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98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8967008185652"/>
          <c:y val="3.7333786619902984E-2"/>
          <c:w val="0.57400296382013294"/>
          <c:h val="0.79554697196314372"/>
        </c:manualLayout>
      </c:layout>
      <c:scatterChart>
        <c:scatterStyle val="lineMarker"/>
        <c:varyColors val="0"/>
        <c:ser>
          <c:idx val="0"/>
          <c:order val="0"/>
          <c:tx>
            <c:v>shrinkage 10% CA, 30G needle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'NaCl poros'!$AW$25:$BD$25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poros'!$AW$45:$BD$45</c:f>
              <c:numCache>
                <c:formatCode>0.0</c:formatCode>
                <c:ptCount val="8"/>
                <c:pt idx="0">
                  <c:v>42.518775274407858</c:v>
                </c:pt>
                <c:pt idx="1">
                  <c:v>40.834743372814444</c:v>
                </c:pt>
                <c:pt idx="2">
                  <c:v>40.938529088913299</c:v>
                </c:pt>
                <c:pt idx="3">
                  <c:v>37.130094919039635</c:v>
                </c:pt>
                <c:pt idx="4">
                  <c:v>35.492801771871527</c:v>
                </c:pt>
                <c:pt idx="5">
                  <c:v>35.00837520938024</c:v>
                </c:pt>
                <c:pt idx="6">
                  <c:v>36.738727609635582</c:v>
                </c:pt>
                <c:pt idx="7">
                  <c:v>32.62001156737999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BB-4CC0-8367-8932E9115A73}"/>
            </c:ext>
          </c:extLst>
        </c:ser>
        <c:ser>
          <c:idx val="1"/>
          <c:order val="1"/>
          <c:tx>
            <c:v>shrinkage 10% CA 26G needle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'NaCl poros'!$AW$25:$BD$25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poros'!$AW$23:$BD$23</c:f>
              <c:numCache>
                <c:formatCode>0.0</c:formatCode>
                <c:ptCount val="8"/>
                <c:pt idx="0">
                  <c:v>37.442455242966759</c:v>
                </c:pt>
                <c:pt idx="1">
                  <c:v>35.732516590096999</c:v>
                </c:pt>
                <c:pt idx="2">
                  <c:v>34.887295081967217</c:v>
                </c:pt>
                <c:pt idx="3">
                  <c:v>36.878727634194831</c:v>
                </c:pt>
                <c:pt idx="4">
                  <c:v>35.922810489856502</c:v>
                </c:pt>
                <c:pt idx="5">
                  <c:v>35.869565217391312</c:v>
                </c:pt>
                <c:pt idx="6">
                  <c:v>34.311287916459484</c:v>
                </c:pt>
                <c:pt idx="7">
                  <c:v>31.036217303822937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BB-4CC0-8367-8932E9115A73}"/>
            </c:ext>
          </c:extLst>
        </c:ser>
        <c:ser>
          <c:idx val="2"/>
          <c:order val="2"/>
          <c:tx>
            <c:v>shrinkage 15% CA 21G needle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'NaCl poros'!$BW$25:$CD$25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poros'!$BW$23:$CD$23</c:f>
              <c:numCache>
                <c:formatCode>0.0</c:formatCode>
                <c:ptCount val="8"/>
                <c:pt idx="0">
                  <c:v>15.647712697734073</c:v>
                </c:pt>
                <c:pt idx="1">
                  <c:v>16.631038905515165</c:v>
                </c:pt>
                <c:pt idx="2">
                  <c:v>14.652956298200493</c:v>
                </c:pt>
                <c:pt idx="3">
                  <c:v>13.698049194232398</c:v>
                </c:pt>
                <c:pt idx="4">
                  <c:v>14.120667522464684</c:v>
                </c:pt>
                <c:pt idx="5">
                  <c:v>12.808510638297859</c:v>
                </c:pt>
                <c:pt idx="6">
                  <c:v>10.620220900594731</c:v>
                </c:pt>
                <c:pt idx="7">
                  <c:v>11.347967685995872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BB-4CC0-8367-8932E9115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205288"/>
        <c:axId val="787205616"/>
      </c:scatterChart>
      <c:valAx>
        <c:axId val="787205288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Anti-solvent NaCl concentration (%wt)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205616"/>
        <c:crosses val="autoZero"/>
        <c:crossBetween val="midCat"/>
      </c:valAx>
      <c:valAx>
        <c:axId val="787205616"/>
        <c:scaling>
          <c:orientation val="minMax"/>
          <c:max val="5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Shrinkage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205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92457130043864"/>
          <c:y val="0.38209905279621154"/>
          <c:w val="0.25622230858468004"/>
          <c:h val="0.38333625179271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15% cellulose</a:t>
            </a:r>
            <a:r>
              <a:rPr lang="en-GB" baseline="0"/>
              <a:t> acetate in DMSO</a:t>
            </a:r>
            <a:r>
              <a:rPr lang="en-GB"/>
              <a:t>, 21G needle, wet</a:t>
            </a:r>
            <a:r>
              <a:rPr lang="en-GB" baseline="0"/>
              <a:t> </a:t>
            </a:r>
            <a:r>
              <a:rPr lang="en-GB"/>
              <a:t>beads</a:t>
            </a:r>
          </a:p>
        </c:rich>
      </c:tx>
      <c:layout>
        <c:manualLayout>
          <c:xMode val="edge"/>
          <c:yMode val="edge"/>
          <c:x val="9.1111111111111101E-2"/>
          <c:y val="1.7564872467961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40218343948415"/>
          <c:y val="0.19980042432306089"/>
          <c:w val="0.7769173319632604"/>
          <c:h val="0.6254000503434139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'NaCl poros'!$BK$21:$BR$21</c:f>
                <c:numCache>
                  <c:formatCode>General</c:formatCode>
                  <c:ptCount val="8"/>
                  <c:pt idx="0">
                    <c:v>3.107338983045712E-2</c:v>
                  </c:pt>
                  <c:pt idx="1">
                    <c:v>3.8643671323171896E-2</c:v>
                  </c:pt>
                  <c:pt idx="2">
                    <c:v>2.4855135843076359E-2</c:v>
                  </c:pt>
                  <c:pt idx="3">
                    <c:v>3.4334951418181645E-2</c:v>
                  </c:pt>
                  <c:pt idx="4">
                    <c:v>3.4318767136623324E-2</c:v>
                  </c:pt>
                  <c:pt idx="5">
                    <c:v>2.7162065049951153E-2</c:v>
                  </c:pt>
                  <c:pt idx="6">
                    <c:v>5.0270490570733746E-2</c:v>
                  </c:pt>
                  <c:pt idx="7">
                    <c:v>3.2403703492039297E-2</c:v>
                  </c:pt>
                </c:numCache>
              </c:numRef>
            </c:plus>
            <c:minus>
              <c:numRef>
                <c:f>'NaCl poros'!$BK$21:$BR$21</c:f>
                <c:numCache>
                  <c:formatCode>General</c:formatCode>
                  <c:ptCount val="8"/>
                  <c:pt idx="0">
                    <c:v>3.107338983045712E-2</c:v>
                  </c:pt>
                  <c:pt idx="1">
                    <c:v>3.8643671323171896E-2</c:v>
                  </c:pt>
                  <c:pt idx="2">
                    <c:v>2.4855135843076359E-2</c:v>
                  </c:pt>
                  <c:pt idx="3">
                    <c:v>3.4334951418181645E-2</c:v>
                  </c:pt>
                  <c:pt idx="4">
                    <c:v>3.4318767136623324E-2</c:v>
                  </c:pt>
                  <c:pt idx="5">
                    <c:v>2.7162065049951153E-2</c:v>
                  </c:pt>
                  <c:pt idx="6">
                    <c:v>5.0270490570733746E-2</c:v>
                  </c:pt>
                  <c:pt idx="7">
                    <c:v>3.2403703492039297E-2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'NaCl poros'!$AJ$3:$AQ$3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poros'!$BK$20:$BR$20</c:f>
              <c:numCache>
                <c:formatCode>0.00</c:formatCode>
                <c:ptCount val="8"/>
                <c:pt idx="0">
                  <c:v>2.3389999999999995</c:v>
                </c:pt>
                <c:pt idx="1">
                  <c:v>2.3339999999999996</c:v>
                </c:pt>
                <c:pt idx="2">
                  <c:v>2.3580000000000001</c:v>
                </c:pt>
                <c:pt idx="3">
                  <c:v>2.3369999999999997</c:v>
                </c:pt>
                <c:pt idx="4">
                  <c:v>2.35</c:v>
                </c:pt>
                <c:pt idx="5">
                  <c:v>2.3540000000000001</c:v>
                </c:pt>
                <c:pt idx="6">
                  <c:v>2.3643000000000001</c:v>
                </c:pt>
                <c:pt idx="7">
                  <c:v>2.31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E8-4537-9B84-98B8A2E09066}"/>
            </c:ext>
          </c:extLst>
        </c:ser>
        <c:ser>
          <c:idx val="1"/>
          <c:order val="1"/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'NaCl poros'!$BT$19:$BU$19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poros'!$BT$20:$BU$20</c:f>
              <c:numCache>
                <c:formatCode>0.00</c:formatCode>
                <c:ptCount val="2"/>
                <c:pt idx="0">
                  <c:v>2.3437088607594947</c:v>
                </c:pt>
                <c:pt idx="1">
                  <c:v>2.3437088607594947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E8-4537-9B84-98B8A2E09066}"/>
            </c:ext>
          </c:extLst>
        </c:ser>
        <c:ser>
          <c:idx val="2"/>
          <c:order val="2"/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'NaCl poros'!$BT$19:$BU$19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poros'!$BT$24:$BU$24</c:f>
              <c:numCache>
                <c:formatCode>0.00</c:formatCode>
                <c:ptCount val="2"/>
                <c:pt idx="0">
                  <c:v>2.3806187134843793</c:v>
                </c:pt>
                <c:pt idx="1">
                  <c:v>2.3806187134843793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E8-4537-9B84-98B8A2E09066}"/>
            </c:ext>
          </c:extLst>
        </c:ser>
        <c:ser>
          <c:idx val="3"/>
          <c:order val="3"/>
          <c:spPr>
            <a:ln w="254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'NaCl poros'!$BT$19:$BU$19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poros'!$BT$25:$BU$25</c:f>
              <c:numCache>
                <c:formatCode>0.00</c:formatCode>
                <c:ptCount val="2"/>
                <c:pt idx="0">
                  <c:v>2.3067990080346101</c:v>
                </c:pt>
                <c:pt idx="1">
                  <c:v>2.3067990080346101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E8-4537-9B84-98B8A2E0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562688"/>
        <c:axId val="875566624"/>
      </c:scatterChart>
      <c:valAx>
        <c:axId val="875562688"/>
        <c:scaling>
          <c:logBase val="10"/>
          <c:orientation val="minMax"/>
          <c:max val="1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Anti-solvent</a:t>
                </a:r>
                <a:r>
                  <a:rPr lang="en-GB" sz="1050" baseline="0"/>
                  <a:t> NaCl concentration (%wt)</a:t>
                </a:r>
                <a:endParaRPr lang="en-GB" sz="105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6624"/>
        <c:crosses val="autoZero"/>
        <c:crossBetween val="midCat"/>
      </c:valAx>
      <c:valAx>
        <c:axId val="875566624"/>
        <c:scaling>
          <c:orientation val="minMax"/>
          <c:min val="2.200000000000000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Bead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2688"/>
        <c:crossesAt val="1.0000000000000004E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10% cellulose</a:t>
            </a:r>
            <a:r>
              <a:rPr lang="en-GB" baseline="0"/>
              <a:t> acetate in DMSO</a:t>
            </a:r>
            <a:r>
              <a:rPr lang="en-GB"/>
              <a:t>, 26G needle, wet beads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'NaCl poros'!$AW$21:$BD$21</c:f>
                <c:numCache>
                  <c:formatCode>General</c:formatCode>
                  <c:ptCount val="8"/>
                  <c:pt idx="0">
                    <c:v>5.7358521598799998E-2</c:v>
                  </c:pt>
                  <c:pt idx="1">
                    <c:v>5.0210667303981493E-2</c:v>
                  </c:pt>
                  <c:pt idx="2">
                    <c:v>5.8013408411810762E-2</c:v>
                  </c:pt>
                  <c:pt idx="3">
                    <c:v>7.4535599249993062E-2</c:v>
                  </c:pt>
                  <c:pt idx="4">
                    <c:v>2.9533408577782277E-2</c:v>
                  </c:pt>
                  <c:pt idx="5">
                    <c:v>4.5898438608156011E-2</c:v>
                  </c:pt>
                  <c:pt idx="6">
                    <c:v>5.7435954670301145E-2</c:v>
                  </c:pt>
                  <c:pt idx="7">
                    <c:v>6.7896980787071778E-2</c:v>
                  </c:pt>
                </c:numCache>
              </c:numRef>
            </c:plus>
            <c:minus>
              <c:numRef>
                <c:f>'NaCl poros'!$AW$21:$BD$21</c:f>
                <c:numCache>
                  <c:formatCode>General</c:formatCode>
                  <c:ptCount val="8"/>
                  <c:pt idx="0">
                    <c:v>5.7358521598799998E-2</c:v>
                  </c:pt>
                  <c:pt idx="1">
                    <c:v>5.0210667303981493E-2</c:v>
                  </c:pt>
                  <c:pt idx="2">
                    <c:v>5.8013408411810762E-2</c:v>
                  </c:pt>
                  <c:pt idx="3">
                    <c:v>7.4535599249993062E-2</c:v>
                  </c:pt>
                  <c:pt idx="4">
                    <c:v>2.9533408577782277E-2</c:v>
                  </c:pt>
                  <c:pt idx="5">
                    <c:v>4.5898438608156011E-2</c:v>
                  </c:pt>
                  <c:pt idx="6">
                    <c:v>5.7435954670301145E-2</c:v>
                  </c:pt>
                  <c:pt idx="7">
                    <c:v>6.7896980787071778E-2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'NaCl poros'!$AJ$3:$AQ$3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poros'!$AW$20:$BD$20</c:f>
              <c:numCache>
                <c:formatCode>0.00</c:formatCode>
                <c:ptCount val="8"/>
                <c:pt idx="0">
                  <c:v>1.2229999999999999</c:v>
                </c:pt>
                <c:pt idx="1">
                  <c:v>1.2589999999999999</c:v>
                </c:pt>
                <c:pt idx="2">
                  <c:v>1.2709999999999999</c:v>
                </c:pt>
                <c:pt idx="3">
                  <c:v>1.27</c:v>
                </c:pt>
                <c:pt idx="4">
                  <c:v>1.2949999999999999</c:v>
                </c:pt>
                <c:pt idx="5">
                  <c:v>1.2979999999999998</c:v>
                </c:pt>
                <c:pt idx="6">
                  <c:v>1.321</c:v>
                </c:pt>
                <c:pt idx="7">
                  <c:v>1.371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0B-4163-A566-12B86C9B5BBB}"/>
            </c:ext>
          </c:extLst>
        </c:ser>
        <c:ser>
          <c:idx val="1"/>
          <c:order val="1"/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'NaCl poros'!$BG$19:$BH$19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poros'!$BG$20:$BH$20</c:f>
              <c:numCache>
                <c:formatCode>0.00</c:formatCode>
                <c:ptCount val="2"/>
                <c:pt idx="0">
                  <c:v>1.2885000000000006</c:v>
                </c:pt>
                <c:pt idx="1">
                  <c:v>1.2885000000000006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0B-4163-A566-12B86C9B5BBB}"/>
            </c:ext>
          </c:extLst>
        </c:ser>
        <c:ser>
          <c:idx val="2"/>
          <c:order val="2"/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'NaCl poros'!$BG$19:$BH$19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poros'!$BG$24:$BH$24</c:f>
              <c:numCache>
                <c:formatCode>0.00</c:formatCode>
                <c:ptCount val="2"/>
                <c:pt idx="0">
                  <c:v>1.3568086813616482</c:v>
                </c:pt>
                <c:pt idx="1">
                  <c:v>1.3568086813616482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0B-4163-A566-12B86C9B5BBB}"/>
            </c:ext>
          </c:extLst>
        </c:ser>
        <c:ser>
          <c:idx val="3"/>
          <c:order val="3"/>
          <c:spPr>
            <a:ln w="254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'NaCl poros'!$BG$19:$BH$19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poros'!$BG$25:$BH$25</c:f>
              <c:numCache>
                <c:formatCode>0.00</c:formatCode>
                <c:ptCount val="2"/>
                <c:pt idx="0">
                  <c:v>1.2201913186383531</c:v>
                </c:pt>
                <c:pt idx="1">
                  <c:v>1.2201913186383531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0B-4163-A566-12B86C9B5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562688"/>
        <c:axId val="875566624"/>
      </c:scatterChart>
      <c:valAx>
        <c:axId val="875562688"/>
        <c:scaling>
          <c:logBase val="10"/>
          <c:orientation val="minMax"/>
          <c:max val="11"/>
          <c:min val="1.0000000000000002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Anti-solvent</a:t>
                </a:r>
                <a:r>
                  <a:rPr lang="en-GB" sz="1050" baseline="0"/>
                  <a:t> NaCl concentration (%wt)</a:t>
                </a:r>
                <a:endParaRPr lang="en-GB" sz="105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6624"/>
        <c:crosses val="autoZero"/>
        <c:crossBetween val="midCat"/>
      </c:valAx>
      <c:valAx>
        <c:axId val="875566624"/>
        <c:scaling>
          <c:orientation val="minMax"/>
          <c:min val="1.100000000000000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Bead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2688"/>
        <c:crossesAt val="1.0000000000000004E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10% cellulose</a:t>
            </a:r>
            <a:r>
              <a:rPr lang="en-GB" baseline="0"/>
              <a:t> acetate in DMSO</a:t>
            </a:r>
            <a:r>
              <a:rPr lang="en-GB"/>
              <a:t>, 26G needle, wet beads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'NaCl poros'!$AW$21:$BD$21</c:f>
                <c:numCache>
                  <c:formatCode>General</c:formatCode>
                  <c:ptCount val="8"/>
                  <c:pt idx="0">
                    <c:v>5.7358521598799998E-2</c:v>
                  </c:pt>
                  <c:pt idx="1">
                    <c:v>5.0210667303981493E-2</c:v>
                  </c:pt>
                  <c:pt idx="2">
                    <c:v>5.8013408411810762E-2</c:v>
                  </c:pt>
                  <c:pt idx="3">
                    <c:v>7.4535599249993062E-2</c:v>
                  </c:pt>
                  <c:pt idx="4">
                    <c:v>2.9533408577782277E-2</c:v>
                  </c:pt>
                  <c:pt idx="5">
                    <c:v>4.5898438608156011E-2</c:v>
                  </c:pt>
                  <c:pt idx="6">
                    <c:v>5.7435954670301145E-2</c:v>
                  </c:pt>
                  <c:pt idx="7">
                    <c:v>6.7896980787071778E-2</c:v>
                  </c:pt>
                </c:numCache>
              </c:numRef>
            </c:plus>
            <c:minus>
              <c:numRef>
                <c:f>'NaCl poros'!$AW$21:$BD$21</c:f>
                <c:numCache>
                  <c:formatCode>General</c:formatCode>
                  <c:ptCount val="8"/>
                  <c:pt idx="0">
                    <c:v>5.7358521598799998E-2</c:v>
                  </c:pt>
                  <c:pt idx="1">
                    <c:v>5.0210667303981493E-2</c:v>
                  </c:pt>
                  <c:pt idx="2">
                    <c:v>5.8013408411810762E-2</c:v>
                  </c:pt>
                  <c:pt idx="3">
                    <c:v>7.4535599249993062E-2</c:v>
                  </c:pt>
                  <c:pt idx="4">
                    <c:v>2.9533408577782277E-2</c:v>
                  </c:pt>
                  <c:pt idx="5">
                    <c:v>4.5898438608156011E-2</c:v>
                  </c:pt>
                  <c:pt idx="6">
                    <c:v>5.7435954670301145E-2</c:v>
                  </c:pt>
                  <c:pt idx="7">
                    <c:v>6.7896980787071778E-2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'NaCl poros'!$AJ$3:$AQ$3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poros'!$AW$20:$BD$20</c:f>
              <c:numCache>
                <c:formatCode>0.00</c:formatCode>
                <c:ptCount val="8"/>
                <c:pt idx="0">
                  <c:v>1.2229999999999999</c:v>
                </c:pt>
                <c:pt idx="1">
                  <c:v>1.2589999999999999</c:v>
                </c:pt>
                <c:pt idx="2">
                  <c:v>1.2709999999999999</c:v>
                </c:pt>
                <c:pt idx="3">
                  <c:v>1.27</c:v>
                </c:pt>
                <c:pt idx="4">
                  <c:v>1.2949999999999999</c:v>
                </c:pt>
                <c:pt idx="5">
                  <c:v>1.2979999999999998</c:v>
                </c:pt>
                <c:pt idx="6">
                  <c:v>1.321</c:v>
                </c:pt>
                <c:pt idx="7">
                  <c:v>1.371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14-4351-9DC5-42F73E85BD91}"/>
            </c:ext>
          </c:extLst>
        </c:ser>
        <c:ser>
          <c:idx val="1"/>
          <c:order val="1"/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'NaCl poros'!$BG$19:$BH$19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poros'!$BG$20:$BH$20</c:f>
              <c:numCache>
                <c:formatCode>0.00</c:formatCode>
                <c:ptCount val="2"/>
                <c:pt idx="0">
                  <c:v>1.2885000000000006</c:v>
                </c:pt>
                <c:pt idx="1">
                  <c:v>1.2885000000000006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14-4351-9DC5-42F73E85BD91}"/>
            </c:ext>
          </c:extLst>
        </c:ser>
        <c:ser>
          <c:idx val="2"/>
          <c:order val="2"/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'NaCl poros'!$BG$19:$BH$19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poros'!$BG$24:$BH$24</c:f>
              <c:numCache>
                <c:formatCode>0.00</c:formatCode>
                <c:ptCount val="2"/>
                <c:pt idx="0">
                  <c:v>1.3568086813616482</c:v>
                </c:pt>
                <c:pt idx="1">
                  <c:v>1.3568086813616482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14-4351-9DC5-42F73E85BD91}"/>
            </c:ext>
          </c:extLst>
        </c:ser>
        <c:ser>
          <c:idx val="3"/>
          <c:order val="3"/>
          <c:spPr>
            <a:ln w="254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'NaCl poros'!$BG$19:$BH$19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poros'!$BG$25:$BH$25</c:f>
              <c:numCache>
                <c:formatCode>0.00</c:formatCode>
                <c:ptCount val="2"/>
                <c:pt idx="0">
                  <c:v>1.2201913186383531</c:v>
                </c:pt>
                <c:pt idx="1">
                  <c:v>1.2201913186383531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F14-4351-9DC5-42F73E85B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562688"/>
        <c:axId val="875566624"/>
      </c:scatterChart>
      <c:valAx>
        <c:axId val="875562688"/>
        <c:scaling>
          <c:orientation val="minMax"/>
          <c:max val="11"/>
          <c:min val="1.0000000000000002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Anti-solvent</a:t>
                </a:r>
                <a:r>
                  <a:rPr lang="en-GB" sz="1050" baseline="0"/>
                  <a:t> NaCl concentration (%wt)</a:t>
                </a:r>
                <a:endParaRPr lang="en-GB" sz="105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6624"/>
        <c:crosses val="autoZero"/>
        <c:crossBetween val="midCat"/>
      </c:valAx>
      <c:valAx>
        <c:axId val="875566624"/>
        <c:scaling>
          <c:orientation val="minMax"/>
          <c:min val="1.100000000000000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Bead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2688"/>
        <c:crossesAt val="1.0000000000000004E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'NaCl poros'!$AC$17:$AC$24</c:f>
              <c:numCache>
                <c:formatCode>General</c:formatCode>
                <c:ptCount val="8"/>
                <c:pt idx="0">
                  <c:v>7.2330308033138975</c:v>
                </c:pt>
                <c:pt idx="1">
                  <c:v>7.2364061500799446</c:v>
                </c:pt>
                <c:pt idx="2">
                  <c:v>7.2406227083860379</c:v>
                </c:pt>
                <c:pt idx="3">
                  <c:v>7.274293436171253</c:v>
                </c:pt>
                <c:pt idx="4">
                  <c:v>7.3163901797366195</c:v>
                </c:pt>
                <c:pt idx="5">
                  <c:v>7.4009134046496925</c:v>
                </c:pt>
                <c:pt idx="6">
                  <c:v>7.6584657984705</c:v>
                </c:pt>
                <c:pt idx="7">
                  <c:v>8.1043633916967845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DA-4437-9A68-8D329E992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71760"/>
        <c:axId val="878472416"/>
      </c:scatterChart>
      <c:valAx>
        <c:axId val="87847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72416"/>
        <c:crosses val="autoZero"/>
        <c:crossBetween val="midCat"/>
      </c:valAx>
      <c:valAx>
        <c:axId val="8784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71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'NaCl poros'!$AG$17:$AG$24</c:f>
              <c:numCache>
                <c:formatCode>0.00</c:formatCode>
                <c:ptCount val="8"/>
                <c:pt idx="0">
                  <c:v>39.553531478548614</c:v>
                </c:pt>
                <c:pt idx="1">
                  <c:v>46.972001988085864</c:v>
                </c:pt>
                <c:pt idx="2">
                  <c:v>51.916399200825069</c:v>
                </c:pt>
                <c:pt idx="3">
                  <c:v>54.393501498194361</c:v>
                </c:pt>
                <c:pt idx="4">
                  <c:v>54.393501498194361</c:v>
                </c:pt>
                <c:pt idx="5">
                  <c:v>49.441185774598516</c:v>
                </c:pt>
                <c:pt idx="6">
                  <c:v>49.441185774598516</c:v>
                </c:pt>
                <c:pt idx="7">
                  <c:v>49.441185774598516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ED-4718-8BB0-7F36B0E6F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722760"/>
        <c:axId val="878728992"/>
      </c:scatterChart>
      <c:valAx>
        <c:axId val="87872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728992"/>
        <c:crosses val="autoZero"/>
        <c:crossBetween val="midCat"/>
      </c:valAx>
      <c:valAx>
        <c:axId val="87872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722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15% cellulose</a:t>
            </a:r>
            <a:r>
              <a:rPr lang="en-GB" baseline="0"/>
              <a:t> acetate in DMSO</a:t>
            </a:r>
            <a:r>
              <a:rPr lang="en-GB"/>
              <a:t>, 21G needle, wet</a:t>
            </a:r>
            <a:r>
              <a:rPr lang="en-GB" baseline="0"/>
              <a:t> </a:t>
            </a:r>
            <a:r>
              <a:rPr lang="en-GB"/>
              <a:t>beads</a:t>
            </a:r>
          </a:p>
        </c:rich>
      </c:tx>
      <c:layout>
        <c:manualLayout>
          <c:xMode val="edge"/>
          <c:yMode val="edge"/>
          <c:x val="9.1111111111111101E-2"/>
          <c:y val="1.7564872467961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40218343948415"/>
          <c:y val="0.19980042432306089"/>
          <c:w val="0.7769173319632604"/>
          <c:h val="0.6254000503434139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'NaCl poros'!$BK$21:$BR$21</c:f>
                <c:numCache>
                  <c:formatCode>General</c:formatCode>
                  <c:ptCount val="8"/>
                  <c:pt idx="0">
                    <c:v>3.107338983045712E-2</c:v>
                  </c:pt>
                  <c:pt idx="1">
                    <c:v>3.8643671323171896E-2</c:v>
                  </c:pt>
                  <c:pt idx="2">
                    <c:v>2.4855135843076359E-2</c:v>
                  </c:pt>
                  <c:pt idx="3">
                    <c:v>3.4334951418181645E-2</c:v>
                  </c:pt>
                  <c:pt idx="4">
                    <c:v>3.4318767136623324E-2</c:v>
                  </c:pt>
                  <c:pt idx="5">
                    <c:v>2.7162065049951153E-2</c:v>
                  </c:pt>
                  <c:pt idx="6">
                    <c:v>5.0270490570733746E-2</c:v>
                  </c:pt>
                  <c:pt idx="7">
                    <c:v>3.2403703492039297E-2</c:v>
                  </c:pt>
                </c:numCache>
              </c:numRef>
            </c:plus>
            <c:minus>
              <c:numRef>
                <c:f>'NaCl poros'!$BK$21:$BR$21</c:f>
                <c:numCache>
                  <c:formatCode>General</c:formatCode>
                  <c:ptCount val="8"/>
                  <c:pt idx="0">
                    <c:v>3.107338983045712E-2</c:v>
                  </c:pt>
                  <c:pt idx="1">
                    <c:v>3.8643671323171896E-2</c:v>
                  </c:pt>
                  <c:pt idx="2">
                    <c:v>2.4855135843076359E-2</c:v>
                  </c:pt>
                  <c:pt idx="3">
                    <c:v>3.4334951418181645E-2</c:v>
                  </c:pt>
                  <c:pt idx="4">
                    <c:v>3.4318767136623324E-2</c:v>
                  </c:pt>
                  <c:pt idx="5">
                    <c:v>2.7162065049951153E-2</c:v>
                  </c:pt>
                  <c:pt idx="6">
                    <c:v>5.0270490570733746E-2</c:v>
                  </c:pt>
                  <c:pt idx="7">
                    <c:v>3.2403703492039297E-2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'NaCl poros'!$AJ$3:$AQ$3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poros'!$BW$20:$CD$20</c:f>
              <c:numCache>
                <c:formatCode>0.00</c:formatCode>
                <c:ptCount val="8"/>
                <c:pt idx="0">
                  <c:v>1.9729999999999996</c:v>
                </c:pt>
                <c:pt idx="1">
                  <c:v>1.95</c:v>
                </c:pt>
                <c:pt idx="2">
                  <c:v>1.9920000000000002</c:v>
                </c:pt>
                <c:pt idx="3">
                  <c:v>2.0350000000000001</c:v>
                </c:pt>
                <c:pt idx="4">
                  <c:v>2.0070000000000001</c:v>
                </c:pt>
                <c:pt idx="5">
                  <c:v>2.0490000000000004</c:v>
                </c:pt>
                <c:pt idx="6">
                  <c:v>2.1040000000000001</c:v>
                </c:pt>
                <c:pt idx="7">
                  <c:v>2.0959999999999996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33-4EC6-AEA2-1605732AF5F2}"/>
            </c:ext>
          </c:extLst>
        </c:ser>
        <c:ser>
          <c:idx val="1"/>
          <c:order val="1"/>
          <c:spPr>
            <a:ln w="254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'NaCl poros'!$CF$19:$CG$19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poros'!$CF$20:$CG$20</c:f>
              <c:numCache>
                <c:formatCode>0.00</c:formatCode>
                <c:ptCount val="2"/>
                <c:pt idx="0">
                  <c:v>2.0257500000000013</c:v>
                </c:pt>
                <c:pt idx="1">
                  <c:v>2.0332857142857148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33-4EC6-AEA2-1605732AF5F2}"/>
            </c:ext>
          </c:extLst>
        </c:ser>
        <c:ser>
          <c:idx val="2"/>
          <c:order val="2"/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'NaCl poros'!$CF$19:$CG$19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poros'!$CF$24:$CG$24</c:f>
              <c:numCache>
                <c:formatCode>0.00</c:formatCode>
                <c:ptCount val="2"/>
                <c:pt idx="0">
                  <c:v>2.097505121547905</c:v>
                </c:pt>
                <c:pt idx="1">
                  <c:v>2.1005634520290366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33-4EC6-AEA2-1605732AF5F2}"/>
            </c:ext>
          </c:extLst>
        </c:ser>
        <c:ser>
          <c:idx val="3"/>
          <c:order val="3"/>
          <c:spPr>
            <a:ln w="254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'NaCl poros'!$BT$19:$BU$19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poros'!$CF$25:$CG$25</c:f>
              <c:numCache>
                <c:formatCode>0.00</c:formatCode>
                <c:ptCount val="2"/>
                <c:pt idx="0">
                  <c:v>1.9539948784520975</c:v>
                </c:pt>
                <c:pt idx="1">
                  <c:v>1.9660079765423928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33-4EC6-AEA2-1605732AF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562688"/>
        <c:axId val="875566624"/>
      </c:scatterChart>
      <c:valAx>
        <c:axId val="875562688"/>
        <c:scaling>
          <c:logBase val="10"/>
          <c:orientation val="minMax"/>
          <c:max val="1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Anti-solvent</a:t>
                </a:r>
                <a:r>
                  <a:rPr lang="en-GB" sz="1050" baseline="0"/>
                  <a:t> NaCl concentration (%wt)</a:t>
                </a:r>
                <a:endParaRPr lang="en-GB" sz="105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6624"/>
        <c:crosses val="autoZero"/>
        <c:crossBetween val="midCat"/>
      </c:valAx>
      <c:valAx>
        <c:axId val="875566624"/>
        <c:scaling>
          <c:orientation val="minMax"/>
          <c:min val="1.700000000000000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Bead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2688"/>
        <c:crossesAt val="1.0000000000000004E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'NaCl poros'!$BW$25:$CD$25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poros'!$BW$23:$CD$23</c:f>
              <c:numCache>
                <c:formatCode>0.0</c:formatCode>
                <c:ptCount val="8"/>
                <c:pt idx="0">
                  <c:v>15.647712697734073</c:v>
                </c:pt>
                <c:pt idx="1">
                  <c:v>16.631038905515165</c:v>
                </c:pt>
                <c:pt idx="2">
                  <c:v>14.652956298200493</c:v>
                </c:pt>
                <c:pt idx="3">
                  <c:v>13.698049194232398</c:v>
                </c:pt>
                <c:pt idx="4">
                  <c:v>14.120667522464684</c:v>
                </c:pt>
                <c:pt idx="5">
                  <c:v>12.808510638297859</c:v>
                </c:pt>
                <c:pt idx="6">
                  <c:v>10.620220900594731</c:v>
                </c:pt>
                <c:pt idx="7">
                  <c:v>11.347967685995872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9E-4FD2-8A4A-3322F451C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6572824"/>
        <c:axId val="886564296"/>
      </c:scatterChart>
      <c:valAx>
        <c:axId val="886572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564296"/>
        <c:crosses val="autoZero"/>
        <c:crossBetween val="midCat"/>
      </c:valAx>
      <c:valAx>
        <c:axId val="88656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572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58967008185652"/>
          <c:y val="3.7333786619902984E-2"/>
          <c:w val="0.57400296382013294"/>
          <c:h val="0.79554697196314372"/>
        </c:manualLayout>
      </c:layout>
      <c:scatterChart>
        <c:scatterStyle val="lineMarker"/>
        <c:varyColors val="0"/>
        <c:ser>
          <c:idx val="1"/>
          <c:order val="0"/>
          <c:tx>
            <c:v>shrinkage 10% CA 26G needle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'NaCl poros'!$AW$25:$BD$25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poros'!$AW$23:$BD$23</c:f>
              <c:numCache>
                <c:formatCode>0.0</c:formatCode>
                <c:ptCount val="8"/>
                <c:pt idx="0">
                  <c:v>37.442455242966759</c:v>
                </c:pt>
                <c:pt idx="1">
                  <c:v>35.732516590096999</c:v>
                </c:pt>
                <c:pt idx="2">
                  <c:v>34.887295081967217</c:v>
                </c:pt>
                <c:pt idx="3">
                  <c:v>36.878727634194831</c:v>
                </c:pt>
                <c:pt idx="4">
                  <c:v>35.922810489856502</c:v>
                </c:pt>
                <c:pt idx="5">
                  <c:v>35.869565217391312</c:v>
                </c:pt>
                <c:pt idx="6">
                  <c:v>34.311287916459484</c:v>
                </c:pt>
                <c:pt idx="7">
                  <c:v>31.036217303822937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36-4E95-95BF-331823F9F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205288"/>
        <c:axId val="787205616"/>
      </c:scatterChart>
      <c:valAx>
        <c:axId val="787205288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Anti-solvent NaCl concentration (%wt)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205616"/>
        <c:crosses val="autoZero"/>
        <c:crossBetween val="midCat"/>
      </c:valAx>
      <c:valAx>
        <c:axId val="787205616"/>
        <c:scaling>
          <c:orientation val="minMax"/>
          <c:max val="5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Shrinkage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205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92457130043864"/>
          <c:y val="0.38209905279621154"/>
          <c:w val="0.25622230858468004"/>
          <c:h val="0.38333625179271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volume shrinkage 15% CA 21G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'NaCl poros'!$BW$25:$CD$25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poros'!$BW$52:$CD$52</c:f>
              <c:numCache>
                <c:formatCode>0.0</c:formatCode>
                <c:ptCount val="8"/>
                <c:pt idx="0">
                  <c:v>39.980746386602505</c:v>
                </c:pt>
                <c:pt idx="1">
                  <c:v>41.6821802861786</c:v>
                </c:pt>
                <c:pt idx="2">
                  <c:v>39.711205508897869</c:v>
                </c:pt>
                <c:pt idx="3">
                  <c:v>33.973678310310945</c:v>
                </c:pt>
                <c:pt idx="4">
                  <c:v>37.707102719050681</c:v>
                </c:pt>
                <c:pt idx="5">
                  <c:v>34.05126041902659</c:v>
                </c:pt>
                <c:pt idx="6">
                  <c:v>29.525912752632088</c:v>
                </c:pt>
                <c:pt idx="7">
                  <c:v>25.297025414819323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A7-44B3-8D91-D027EB55F129}"/>
            </c:ext>
          </c:extLst>
        </c:ser>
        <c:ser>
          <c:idx val="1"/>
          <c:order val="1"/>
          <c:tx>
            <c:v>volume shrinkage 10% CA 30G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'NaCl poros'!$AW$25:$BD$25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poros'!$AW$51:$BD$51</c:f>
              <c:numCache>
                <c:formatCode>0.0</c:formatCode>
                <c:ptCount val="8"/>
                <c:pt idx="0">
                  <c:v>81.007679145151627</c:v>
                </c:pt>
                <c:pt idx="1">
                  <c:v>79.289038670293294</c:v>
                </c:pt>
                <c:pt idx="2">
                  <c:v>79.397839021813809</c:v>
                </c:pt>
                <c:pt idx="3">
                  <c:v>75.149884363679647</c:v>
                </c:pt>
                <c:pt idx="4">
                  <c:v>73.15740256878091</c:v>
                </c:pt>
                <c:pt idx="5">
                  <c:v>72.548114210137612</c:v>
                </c:pt>
                <c:pt idx="6">
                  <c:v>74.682911005611345</c:v>
                </c:pt>
                <c:pt idx="7">
                  <c:v>69.409061827792314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A7-44B3-8D91-D027EB55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3665088"/>
        <c:axId val="883662136"/>
      </c:scatterChart>
      <c:valAx>
        <c:axId val="8836650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662136"/>
        <c:crosses val="autoZero"/>
        <c:crossBetween val="midCat"/>
      </c:valAx>
      <c:valAx>
        <c:axId val="88366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665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58115761845559"/>
          <c:y val="0.11565200691376992"/>
          <c:w val="0.82364107611548554"/>
          <c:h val="0.8277544473607465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'NaCl - poros&amp;Zetapotential work'!$AC$2:$AC$11</c:f>
              <c:numCache>
                <c:formatCode>General</c:formatCode>
                <c:ptCount val="10"/>
                <c:pt idx="2">
                  <c:v>0.01</c:v>
                </c:pt>
                <c:pt idx="3">
                  <c:v>0.05</c:v>
                </c:pt>
                <c:pt idx="4">
                  <c:v>0.1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</c:numCache>
            </c:numRef>
          </c:xVal>
          <c:yVal>
            <c:numRef>
              <c:f>'NaCl - poros&amp;Zetapotential work'!$AE$3:$AE$11</c:f>
              <c:numCache>
                <c:formatCode>General</c:formatCode>
                <c:ptCount val="9"/>
                <c:pt idx="1">
                  <c:v>-20</c:v>
                </c:pt>
                <c:pt idx="2">
                  <c:v>-10</c:v>
                </c:pt>
                <c:pt idx="3">
                  <c:v>-7.8</c:v>
                </c:pt>
                <c:pt idx="4">
                  <c:v>-4.5999999999999996</c:v>
                </c:pt>
                <c:pt idx="5">
                  <c:v>-4.5999999999999996</c:v>
                </c:pt>
                <c:pt idx="6">
                  <c:v>-3.75</c:v>
                </c:pt>
                <c:pt idx="7">
                  <c:v>-1.0900000000000001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15-418B-A61C-7378953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348112"/>
        <c:axId val="320349424"/>
      </c:scatterChart>
      <c:valAx>
        <c:axId val="320348112"/>
        <c:scaling>
          <c:logBase val="10"/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Concentration</a:t>
                </a:r>
                <a:r>
                  <a:rPr lang="en-GB" baseline="0"/>
                  <a:t> NaCl (%wt)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21515748031496"/>
              <c:y val="2.54975940507435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349424"/>
        <c:crossesAt val="1"/>
        <c:crossBetween val="midCat"/>
      </c:valAx>
      <c:valAx>
        <c:axId val="320349424"/>
        <c:scaling>
          <c:orientation val="minMax"/>
          <c:min val="-1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ZP</a:t>
                </a:r>
                <a:r>
                  <a:rPr lang="en-GB" baseline="0"/>
                  <a:t> (mV)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348112"/>
        <c:crossesAt val="1.0000000000000002E-3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'NaCl poros'!$AB$17:$AB$24</c:f>
              <c:numCache>
                <c:formatCode>0.000</c:formatCode>
                <c:ptCount val="8"/>
                <c:pt idx="0">
                  <c:v>0.99843199999999999</c:v>
                </c:pt>
                <c:pt idx="1">
                  <c:v>0.99873800000000001</c:v>
                </c:pt>
                <c:pt idx="2">
                  <c:v>0.99912000000000001</c:v>
                </c:pt>
                <c:pt idx="3">
                  <c:v>1.002162</c:v>
                </c:pt>
                <c:pt idx="4">
                  <c:v>1.005952</c:v>
                </c:pt>
                <c:pt idx="5">
                  <c:v>1.0135320000000001</c:v>
                </c:pt>
                <c:pt idx="6">
                  <c:v>1.036454</c:v>
                </c:pt>
                <c:pt idx="7">
                  <c:v>1.07569</c:v>
                </c:pt>
              </c:numCache>
            </c:numRef>
          </c:xVal>
          <c:yVal>
            <c:numRef>
              <c:f>'NaCl poros'!$W$17:$W$24</c:f>
              <c:numCache>
                <c:formatCode>0.00</c:formatCode>
                <c:ptCount val="8"/>
                <c:pt idx="0">
                  <c:v>0.79220000000000002</c:v>
                </c:pt>
                <c:pt idx="1">
                  <c:v>0.86329999999999996</c:v>
                </c:pt>
                <c:pt idx="2">
                  <c:v>0.90759999999999996</c:v>
                </c:pt>
                <c:pt idx="3">
                  <c:v>0.92900000000000005</c:v>
                </c:pt>
                <c:pt idx="4">
                  <c:v>0.92900000000000005</c:v>
                </c:pt>
                <c:pt idx="5">
                  <c:v>0.88570000000000004</c:v>
                </c:pt>
                <c:pt idx="6">
                  <c:v>0.88570000000000004</c:v>
                </c:pt>
                <c:pt idx="7">
                  <c:v>0.88570000000000004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A4-45C5-8CBE-D4EF039D0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7103120"/>
        <c:axId val="767104760"/>
      </c:scatterChart>
      <c:valAx>
        <c:axId val="767103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Antisolvent density (g/ml)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104760"/>
        <c:crosses val="autoZero"/>
        <c:crossBetween val="midCat"/>
      </c:valAx>
      <c:valAx>
        <c:axId val="76710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Solution density (g/ml)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103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'NaCl poros'!$O$43</c:f>
              <c:strCache>
                <c:ptCount val="1"/>
                <c:pt idx="0">
                  <c:v>AS density g/ml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'NaCl poros'!$O$44:$O$51</c:f>
              <c:numCache>
                <c:formatCode>0.000</c:formatCode>
                <c:ptCount val="8"/>
                <c:pt idx="0">
                  <c:v>0.99843199999999999</c:v>
                </c:pt>
                <c:pt idx="1">
                  <c:v>0.99873800000000001</c:v>
                </c:pt>
                <c:pt idx="2">
                  <c:v>0.99912000000000001</c:v>
                </c:pt>
                <c:pt idx="3">
                  <c:v>1.002162</c:v>
                </c:pt>
                <c:pt idx="4">
                  <c:v>1.005952</c:v>
                </c:pt>
                <c:pt idx="5">
                  <c:v>1.0135320000000001</c:v>
                </c:pt>
                <c:pt idx="6">
                  <c:v>1.036454</c:v>
                </c:pt>
                <c:pt idx="7">
                  <c:v>1.07569</c:v>
                </c:pt>
              </c:numCache>
            </c:numRef>
          </c:xVal>
          <c:yVal>
            <c:numRef>
              <c:f>'NaCl poros'!$N$44:$N$51</c:f>
              <c:numCache>
                <c:formatCode>General</c:formatCode>
                <c:ptCount val="8"/>
                <c:pt idx="0">
                  <c:v>0.2505</c:v>
                </c:pt>
                <c:pt idx="1">
                  <c:v>0.27300000000000002</c:v>
                </c:pt>
                <c:pt idx="2">
                  <c:v>0.28699999999999998</c:v>
                </c:pt>
                <c:pt idx="3">
                  <c:v>0.29399999999999998</c:v>
                </c:pt>
                <c:pt idx="4">
                  <c:v>0.29399999999999998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0.26600000000000001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B0-42C8-A386-1A00B96B6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7099840"/>
        <c:axId val="767096560"/>
      </c:scatterChart>
      <c:valAx>
        <c:axId val="767099840"/>
        <c:scaling>
          <c:orientation val="minMax"/>
          <c:min val="0.9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antisolvent density (g/ml)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096560"/>
        <c:crosses val="autoZero"/>
        <c:crossBetween val="midCat"/>
      </c:valAx>
      <c:valAx>
        <c:axId val="767096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maximum permissible velocity of bead at impact (m/s)</a:t>
                </a:r>
              </a:p>
              <a:p>
                <a:pPr>
                  <a:defRPr/>
                </a:pP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09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ZnCl cal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60648678524035E-2"/>
          <c:y val="0.19486111111111112"/>
          <c:w val="0.89940810865253729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372562623765953"/>
                  <c:y val="5.87811185421415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'[1]Backup and testing'!$C$2:$C$9</c:f>
              <c:numCache>
                <c:formatCode>General</c:formatCode>
                <c:ptCount val="8"/>
                <c:pt idx="0">
                  <c:v>3</c:v>
                </c:pt>
                <c:pt idx="2">
                  <c:v>340</c:v>
                </c:pt>
                <c:pt idx="3">
                  <c:v>1570</c:v>
                </c:pt>
                <c:pt idx="4">
                  <c:v>3058</c:v>
                </c:pt>
                <c:pt idx="5">
                  <c:v>13010</c:v>
                </c:pt>
                <c:pt idx="7">
                  <c:v>42710</c:v>
                </c:pt>
              </c:numCache>
            </c:numRef>
          </c:xVal>
          <c:yVal>
            <c:numRef>
              <c:f>'[1]Backup and testing'!$H$2:$H$9</c:f>
              <c:numCache>
                <c:formatCode>General</c:formatCode>
                <c:ptCount val="8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0.05</c:v>
                </c:pt>
                <c:pt idx="4">
                  <c:v>0.1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34-4F9C-B96D-939F5F8D6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710984"/>
        <c:axId val="680705408"/>
      </c:scatterChart>
      <c:valAx>
        <c:axId val="680710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05408"/>
        <c:crosses val="autoZero"/>
        <c:crossBetween val="midCat"/>
      </c:valAx>
      <c:valAx>
        <c:axId val="68070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10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ZnSO4 cal curve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460648678524035E-2"/>
          <c:y val="0.19486111111111112"/>
          <c:w val="0.89940810865253729"/>
          <c:h val="0.72088764946048411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'[1]Backup and testing'!$B$2:$B$11</c:f>
              <c:numCache>
                <c:formatCode>General</c:formatCode>
                <c:ptCount val="10"/>
                <c:pt idx="0">
                  <c:v>12</c:v>
                </c:pt>
                <c:pt idx="1">
                  <c:v>101</c:v>
                </c:pt>
                <c:pt idx="3">
                  <c:v>2907</c:v>
                </c:pt>
                <c:pt idx="4">
                  <c:v>6419</c:v>
                </c:pt>
                <c:pt idx="5">
                  <c:v>13530</c:v>
                </c:pt>
              </c:numCache>
            </c:numRef>
          </c:xVal>
          <c:yVal>
            <c:numRef>
              <c:f>'[1]Backup and testing'!$I$2:$I$11</c:f>
              <c:numCache>
                <c:formatCode>General</c:formatCode>
                <c:ptCount val="10"/>
                <c:pt idx="0">
                  <c:v>3.125E-2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  <c:pt idx="6">
                  <c:v>1.25</c:v>
                </c:pt>
                <c:pt idx="7">
                  <c:v>2.5</c:v>
                </c:pt>
                <c:pt idx="8">
                  <c:v>5</c:v>
                </c:pt>
                <c:pt idx="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A5-4D85-8E33-9F9A4D053544}"/>
            </c:ext>
          </c:extLst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013862657400032"/>
                  <c:y val="-0.1704503252820342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'[1]Backup and testing'!$B$2:$B$11</c:f>
              <c:numCache>
                <c:formatCode>General</c:formatCode>
                <c:ptCount val="10"/>
                <c:pt idx="0">
                  <c:v>12</c:v>
                </c:pt>
                <c:pt idx="1">
                  <c:v>101</c:v>
                </c:pt>
                <c:pt idx="3">
                  <c:v>2907</c:v>
                </c:pt>
                <c:pt idx="4">
                  <c:v>6419</c:v>
                </c:pt>
                <c:pt idx="5">
                  <c:v>13530</c:v>
                </c:pt>
              </c:numCache>
            </c:numRef>
          </c:xVal>
          <c:yVal>
            <c:numRef>
              <c:f>'[1]Backup and testing'!$I$2:$I$11</c:f>
              <c:numCache>
                <c:formatCode>General</c:formatCode>
                <c:ptCount val="10"/>
                <c:pt idx="0">
                  <c:v>3.125E-2</c:v>
                </c:pt>
                <c:pt idx="1">
                  <c:v>6.25E-2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1</c:v>
                </c:pt>
                <c:pt idx="6">
                  <c:v>1.25</c:v>
                </c:pt>
                <c:pt idx="7">
                  <c:v>2.5</c:v>
                </c:pt>
                <c:pt idx="8">
                  <c:v>5</c:v>
                </c:pt>
                <c:pt idx="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A5-4D85-8E33-9F9A4D053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710984"/>
        <c:axId val="680705408"/>
      </c:scatterChart>
      <c:valAx>
        <c:axId val="680710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05408"/>
        <c:crosses val="autoZero"/>
        <c:crossBetween val="midCat"/>
      </c:valAx>
      <c:valAx>
        <c:axId val="68070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10984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Zn acetate cal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60648678524035E-2"/>
          <c:y val="0.19486111111111112"/>
          <c:w val="0.89940810865253729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013862657400032"/>
                  <c:y val="-0.1704503252820342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'[1]Backup and testing'!$A$2:$A$11</c:f>
              <c:numCache>
                <c:formatCode>General</c:formatCode>
                <c:ptCount val="10"/>
                <c:pt idx="0">
                  <c:v>12</c:v>
                </c:pt>
                <c:pt idx="1">
                  <c:v>102</c:v>
                </c:pt>
                <c:pt idx="3">
                  <c:v>2013</c:v>
                </c:pt>
                <c:pt idx="4">
                  <c:v>4140</c:v>
                </c:pt>
                <c:pt idx="5">
                  <c:v>7215</c:v>
                </c:pt>
              </c:numCache>
            </c:numRef>
          </c:xVal>
          <c:yVal>
            <c:numRef>
              <c:f>'[1]Backup and testing'!$J$2:$J$11</c:f>
              <c:numCache>
                <c:formatCode>General</c:formatCode>
                <c:ptCount val="10"/>
                <c:pt idx="0">
                  <c:v>1.953125E-2</c:v>
                </c:pt>
                <c:pt idx="1">
                  <c:v>3.90625E-2</c:v>
                </c:pt>
                <c:pt idx="2">
                  <c:v>7.8125E-2</c:v>
                </c:pt>
                <c:pt idx="3">
                  <c:v>0.15625</c:v>
                </c:pt>
                <c:pt idx="4">
                  <c:v>0.3125</c:v>
                </c:pt>
                <c:pt idx="5">
                  <c:v>0.625</c:v>
                </c:pt>
                <c:pt idx="6">
                  <c:v>1.25</c:v>
                </c:pt>
                <c:pt idx="7">
                  <c:v>2.5</c:v>
                </c:pt>
                <c:pt idx="8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7A-4AA6-A52C-FCAA5C8C1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710984"/>
        <c:axId val="680705408"/>
      </c:scatterChart>
      <c:valAx>
        <c:axId val="680710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05408"/>
        <c:crosses val="autoZero"/>
        <c:crossBetween val="midCat"/>
      </c:valAx>
      <c:valAx>
        <c:axId val="68070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710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alpha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val>
            <c:numRef>
              <c:f>'Primary solvents'!$B$2:$B$27</c:f>
              <c:numCache>
                <c:formatCode>General</c:formatCode>
                <c:ptCount val="26"/>
                <c:pt idx="1">
                  <c:v>1.1200000000000001</c:v>
                </c:pt>
                <c:pt idx="7">
                  <c:v>0.79</c:v>
                </c:pt>
                <c:pt idx="22">
                  <c:v>0</c:v>
                </c:pt>
                <c:pt idx="23">
                  <c:v>0.83</c:v>
                </c:pt>
                <c:pt idx="25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D-40A1-BB9D-D880806C0948}"/>
            </c:ext>
          </c:extLst>
        </c:ser>
        <c:ser>
          <c:idx val="1"/>
          <c:order val="1"/>
          <c:tx>
            <c:v>beta</c:v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val>
            <c:numRef>
              <c:f>'Primary solvents'!$C$2:$C$27</c:f>
              <c:numCache>
                <c:formatCode>General</c:formatCode>
                <c:ptCount val="26"/>
                <c:pt idx="7">
                  <c:v>0.88</c:v>
                </c:pt>
                <c:pt idx="22">
                  <c:v>0.76</c:v>
                </c:pt>
                <c:pt idx="23">
                  <c:v>0.77</c:v>
                </c:pt>
                <c:pt idx="25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D-40A1-BB9D-D880806C0948}"/>
            </c:ext>
          </c:extLst>
        </c:ser>
        <c:ser>
          <c:idx val="2"/>
          <c:order val="2"/>
          <c:tx>
            <c:v>polarizability</c:v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val>
            <c:numRef>
              <c:f>'Primary solvents'!$D$2:$D$27</c:f>
              <c:numCache>
                <c:formatCode>General</c:formatCode>
                <c:ptCount val="26"/>
                <c:pt idx="1">
                  <c:v>0.64</c:v>
                </c:pt>
                <c:pt idx="7">
                  <c:v>0.47</c:v>
                </c:pt>
                <c:pt idx="22">
                  <c:v>1</c:v>
                </c:pt>
                <c:pt idx="23">
                  <c:v>0.62</c:v>
                </c:pt>
                <c:pt idx="25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D-40A1-BB9D-D880806C0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489240"/>
        <c:axId val="815491536"/>
      </c:barChart>
      <c:catAx>
        <c:axId val="815489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491536"/>
        <c:crosses val="autoZero"/>
        <c:auto val="1"/>
        <c:lblAlgn val="ctr"/>
        <c:lblOffset val="100"/>
        <c:noMultiLvlLbl val="0"/>
      </c:catAx>
      <c:valAx>
        <c:axId val="81549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48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'Primary solvents'!$H$5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'Primary solvents'!$I$4:$K$4</c:f>
              <c:strCache>
                <c:ptCount val="3"/>
                <c:pt idx="0">
                  <c:v>α</c:v>
                </c:pt>
                <c:pt idx="1">
                  <c:v>β</c:v>
                </c:pt>
                <c:pt idx="2">
                  <c:v>π</c:v>
                </c:pt>
              </c:strCache>
            </c:strRef>
          </c:cat>
          <c:val>
            <c:numRef>
              <c:f>'Primary solvents'!$I$5:$K$5</c:f>
              <c:numCache>
                <c:formatCode>General</c:formatCode>
                <c:ptCount val="3"/>
                <c:pt idx="0">
                  <c:v>0</c:v>
                </c:pt>
                <c:pt idx="1">
                  <c:v>0.28000000000000003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E-4368-AF11-4BF9E446D269}"/>
            </c:ext>
          </c:extLst>
        </c:ser>
        <c:ser>
          <c:idx val="1"/>
          <c:order val="1"/>
          <c:tx>
            <c:strRef>
              <c:f>'Primary solvents'!$H$6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'Primary solvents'!$I$4:$K$4</c:f>
              <c:strCache>
                <c:ptCount val="3"/>
                <c:pt idx="0">
                  <c:v>α</c:v>
                </c:pt>
                <c:pt idx="1">
                  <c:v>β</c:v>
                </c:pt>
                <c:pt idx="2">
                  <c:v>π</c:v>
                </c:pt>
              </c:strCache>
            </c:strRef>
          </c:cat>
          <c:val>
            <c:numRef>
              <c:f>'Primary solvents'!$I$6:$K$6</c:f>
              <c:numCache>
                <c:formatCode>General</c:formatCode>
                <c:ptCount val="3"/>
                <c:pt idx="0">
                  <c:v>1.1200000000000001</c:v>
                </c:pt>
                <c:pt idx="1">
                  <c:v>0.88</c:v>
                </c:pt>
                <c:pt idx="2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E-4368-AF11-4BF9E446D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806232"/>
        <c:axId val="770807872"/>
      </c:barChart>
      <c:catAx>
        <c:axId val="77080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807872"/>
        <c:crosses val="autoZero"/>
        <c:auto val="1"/>
        <c:lblAlgn val="ctr"/>
        <c:lblOffset val="100"/>
        <c:noMultiLvlLbl val="0"/>
      </c:catAx>
      <c:valAx>
        <c:axId val="770807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806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17171296296296296"/>
          <c:w val="0.12000240594925632"/>
          <c:h val="0.72088764946048411"/>
        </c:manualLayout>
      </c:layout>
      <c:scatterChart>
        <c:scatterStyle val="lineMarker"/>
        <c:varyColors val="0"/>
        <c:ser>
          <c:idx val="12"/>
          <c:order val="0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84-4D07-A3E0-E77F2AD678C4}"/>
            </c:ext>
          </c:extLst>
        </c:ser>
        <c:ser>
          <c:idx val="13"/>
          <c:order val="1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84-4D07-A3E0-E77F2AD678C4}"/>
            </c:ext>
          </c:extLst>
        </c:ser>
        <c:ser>
          <c:idx val="14"/>
          <c:order val="2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84-4D07-A3E0-E77F2AD678C4}"/>
            </c:ext>
          </c:extLst>
        </c:ser>
        <c:ser>
          <c:idx val="15"/>
          <c:order val="3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684-4D07-A3E0-E77F2AD678C4}"/>
            </c:ext>
          </c:extLst>
        </c:ser>
        <c:ser>
          <c:idx val="16"/>
          <c:order val="4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684-4D07-A3E0-E77F2AD678C4}"/>
            </c:ext>
          </c:extLst>
        </c:ser>
        <c:ser>
          <c:idx val="17"/>
          <c:order val="5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684-4D07-A3E0-E77F2AD678C4}"/>
            </c:ext>
          </c:extLst>
        </c:ser>
        <c:ser>
          <c:idx val="18"/>
          <c:order val="6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684-4D07-A3E0-E77F2AD678C4}"/>
            </c:ext>
          </c:extLst>
        </c:ser>
        <c:ser>
          <c:idx val="19"/>
          <c:order val="7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684-4D07-A3E0-E77F2AD678C4}"/>
            </c:ext>
          </c:extLst>
        </c:ser>
        <c:ser>
          <c:idx val="20"/>
          <c:order val="8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684-4D07-A3E0-E77F2AD678C4}"/>
            </c:ext>
          </c:extLst>
        </c:ser>
        <c:ser>
          <c:idx val="21"/>
          <c:order val="9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684-4D07-A3E0-E77F2AD678C4}"/>
            </c:ext>
          </c:extLst>
        </c:ser>
        <c:ser>
          <c:idx val="22"/>
          <c:order val="10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684-4D07-A3E0-E77F2AD678C4}"/>
            </c:ext>
          </c:extLst>
        </c:ser>
        <c:ser>
          <c:idx val="23"/>
          <c:order val="11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684-4D07-A3E0-E77F2AD678C4}"/>
            </c:ext>
          </c:extLst>
        </c:ser>
        <c:ser>
          <c:idx val="6"/>
          <c:order val="12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684-4D07-A3E0-E77F2AD678C4}"/>
            </c:ext>
          </c:extLst>
        </c:ser>
        <c:ser>
          <c:idx val="7"/>
          <c:order val="13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684-4D07-A3E0-E77F2AD678C4}"/>
            </c:ext>
          </c:extLst>
        </c:ser>
        <c:ser>
          <c:idx val="8"/>
          <c:order val="14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684-4D07-A3E0-E77F2AD678C4}"/>
            </c:ext>
          </c:extLst>
        </c:ser>
        <c:ser>
          <c:idx val="9"/>
          <c:order val="15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684-4D07-A3E0-E77F2AD678C4}"/>
            </c:ext>
          </c:extLst>
        </c:ser>
        <c:ser>
          <c:idx val="10"/>
          <c:order val="16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684-4D07-A3E0-E77F2AD678C4}"/>
            </c:ext>
          </c:extLst>
        </c:ser>
        <c:ser>
          <c:idx val="11"/>
          <c:order val="17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684-4D07-A3E0-E77F2AD678C4}"/>
            </c:ext>
          </c:extLst>
        </c:ser>
        <c:ser>
          <c:idx val="2"/>
          <c:order val="18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3684-4D07-A3E0-E77F2AD678C4}"/>
            </c:ext>
          </c:extLst>
        </c:ser>
        <c:ser>
          <c:idx val="3"/>
          <c:order val="19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684-4D07-A3E0-E77F2AD678C4}"/>
            </c:ext>
          </c:extLst>
        </c:ser>
        <c:ser>
          <c:idx val="4"/>
          <c:order val="20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3684-4D07-A3E0-E77F2AD678C4}"/>
            </c:ext>
          </c:extLst>
        </c:ser>
        <c:ser>
          <c:idx val="5"/>
          <c:order val="21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3684-4D07-A3E0-E77F2AD678C4}"/>
            </c:ext>
          </c:extLst>
        </c:ser>
        <c:ser>
          <c:idx val="1"/>
          <c:order val="22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3684-4D07-A3E0-E77F2AD678C4}"/>
            </c:ext>
          </c:extLst>
        </c:ser>
        <c:ser>
          <c:idx val="0"/>
          <c:order val="23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3684-4D07-A3E0-E77F2AD6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1891872"/>
        <c:axId val="861888920"/>
      </c:scatterChart>
      <c:valAx>
        <c:axId val="86189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888920"/>
        <c:crosses val="autoZero"/>
        <c:crossBetween val="midCat"/>
      </c:valAx>
      <c:valAx>
        <c:axId val="86188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89187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800"/>
              <a:t>Kamlet taft parameters of</a:t>
            </a:r>
            <a:r>
              <a:rPr lang="en-GB" sz="2800" baseline="0"/>
              <a:t> solvents used as primary solvents for Zein</a:t>
            </a:r>
            <a:endParaRPr lang="en-GB" sz="2800"/>
          </a:p>
        </c:rich>
      </c:tx>
      <c:layout>
        <c:manualLayout>
          <c:xMode val="edge"/>
          <c:yMode val="edge"/>
          <c:x val="0.11867992364424794"/>
          <c:y val="4.209260107085344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2"/>
          <c:order val="0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E4-4B43-9704-CABA9FDB1393}"/>
            </c:ext>
          </c:extLst>
        </c:ser>
        <c:ser>
          <c:idx val="13"/>
          <c:order val="1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E4-4B43-9704-CABA9FDB1393}"/>
            </c:ext>
          </c:extLst>
        </c:ser>
        <c:ser>
          <c:idx val="14"/>
          <c:order val="2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E4-4B43-9704-CABA9FDB1393}"/>
            </c:ext>
          </c:extLst>
        </c:ser>
        <c:ser>
          <c:idx val="15"/>
          <c:order val="3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E4-4B43-9704-CABA9FDB1393}"/>
            </c:ext>
          </c:extLst>
        </c:ser>
        <c:ser>
          <c:idx val="16"/>
          <c:order val="4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1E4-4B43-9704-CABA9FDB1393}"/>
            </c:ext>
          </c:extLst>
        </c:ser>
        <c:ser>
          <c:idx val="17"/>
          <c:order val="5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1E4-4B43-9704-CABA9FDB1393}"/>
            </c:ext>
          </c:extLst>
        </c:ser>
        <c:ser>
          <c:idx val="18"/>
          <c:order val="6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1E4-4B43-9704-CABA9FDB1393}"/>
            </c:ext>
          </c:extLst>
        </c:ser>
        <c:ser>
          <c:idx val="19"/>
          <c:order val="7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1E4-4B43-9704-CABA9FDB1393}"/>
            </c:ext>
          </c:extLst>
        </c:ser>
        <c:ser>
          <c:idx val="20"/>
          <c:order val="8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1E4-4B43-9704-CABA9FDB1393}"/>
            </c:ext>
          </c:extLst>
        </c:ser>
        <c:ser>
          <c:idx val="21"/>
          <c:order val="9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1E4-4B43-9704-CABA9FDB1393}"/>
            </c:ext>
          </c:extLst>
        </c:ser>
        <c:ser>
          <c:idx val="22"/>
          <c:order val="10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1E4-4B43-9704-CABA9FDB1393}"/>
            </c:ext>
          </c:extLst>
        </c:ser>
        <c:ser>
          <c:idx val="23"/>
          <c:order val="11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solvents'!$C$3:$C$71</c:f>
              <c:numCache>
                <c:formatCode>General</c:formatCode>
                <c:ptCount val="69"/>
                <c:pt idx="6">
                  <c:v>0.88</c:v>
                </c:pt>
                <c:pt idx="21">
                  <c:v>0.76</c:v>
                </c:pt>
                <c:pt idx="22">
                  <c:v>0.77</c:v>
                </c:pt>
                <c:pt idx="24">
                  <c:v>0.52</c:v>
                </c:pt>
                <c:pt idx="28">
                  <c:v>0.52</c:v>
                </c:pt>
                <c:pt idx="34">
                  <c:v>0.67</c:v>
                </c:pt>
                <c:pt idx="47">
                  <c:v>0.4</c:v>
                </c:pt>
                <c:pt idx="48">
                  <c:v>0.62</c:v>
                </c:pt>
                <c:pt idx="56">
                  <c:v>0.28000000000000003</c:v>
                </c:pt>
                <c:pt idx="60">
                  <c:v>0.83</c:v>
                </c:pt>
                <c:pt idx="61">
                  <c:v>0.88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1E4-4B43-9704-CABA9FDB1393}"/>
            </c:ext>
          </c:extLst>
        </c:ser>
        <c:ser>
          <c:idx val="6"/>
          <c:order val="12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1E4-4B43-9704-CABA9FDB1393}"/>
            </c:ext>
          </c:extLst>
        </c:ser>
        <c:ser>
          <c:idx val="7"/>
          <c:order val="13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1E4-4B43-9704-CABA9FDB1393}"/>
            </c:ext>
          </c:extLst>
        </c:ser>
        <c:ser>
          <c:idx val="8"/>
          <c:order val="14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1E4-4B43-9704-CABA9FDB1393}"/>
            </c:ext>
          </c:extLst>
        </c:ser>
        <c:ser>
          <c:idx val="9"/>
          <c:order val="15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1E4-4B43-9704-CABA9FDB1393}"/>
            </c:ext>
          </c:extLst>
        </c:ser>
        <c:ser>
          <c:idx val="10"/>
          <c:order val="16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1E4-4B43-9704-CABA9FDB1393}"/>
            </c:ext>
          </c:extLst>
        </c:ser>
        <c:ser>
          <c:idx val="11"/>
          <c:order val="17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1E4-4B43-9704-CABA9FDB1393}"/>
            </c:ext>
          </c:extLst>
        </c:ser>
        <c:ser>
          <c:idx val="2"/>
          <c:order val="18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1E4-4B43-9704-CABA9FDB1393}"/>
            </c:ext>
          </c:extLst>
        </c:ser>
        <c:ser>
          <c:idx val="3"/>
          <c:order val="19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1E4-4B43-9704-CABA9FDB1393}"/>
            </c:ext>
          </c:extLst>
        </c:ser>
        <c:ser>
          <c:idx val="4"/>
          <c:order val="20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A1E4-4B43-9704-CABA9FDB1393}"/>
            </c:ext>
          </c:extLst>
        </c:ser>
        <c:ser>
          <c:idx val="5"/>
          <c:order val="21"/>
          <c:tx>
            <c:strRef>
              <c:f>'Primary solvents'!$B$2</c:f>
              <c:strCache>
                <c:ptCount val="1"/>
              </c:strCache>
            </c:strRef>
          </c:tx>
          <c:spPr>
            <a:ln w="19050" cap="rnd">
              <a:noFill/>
              <a:round/>
            </a:ln>
            <a:effectLst/>
          </c:spPr>
          <c:yVal>
            <c:numRef>
              <c:f>'Primary solvents'!$B$3:$B$71</c:f>
              <c:numCache>
                <c:formatCode>General</c:formatCode>
                <c:ptCount val="69"/>
                <c:pt idx="0">
                  <c:v>1.1200000000000001</c:v>
                </c:pt>
                <c:pt idx="6">
                  <c:v>0.79</c:v>
                </c:pt>
                <c:pt idx="21">
                  <c:v>0</c:v>
                </c:pt>
                <c:pt idx="22">
                  <c:v>0.83</c:v>
                </c:pt>
                <c:pt idx="24">
                  <c:v>0.69</c:v>
                </c:pt>
                <c:pt idx="28">
                  <c:v>0.9</c:v>
                </c:pt>
                <c:pt idx="34">
                  <c:v>0.93</c:v>
                </c:pt>
                <c:pt idx="48">
                  <c:v>0.93</c:v>
                </c:pt>
                <c:pt idx="56">
                  <c:v>1.1200000000000001</c:v>
                </c:pt>
                <c:pt idx="60">
                  <c:v>0.78</c:v>
                </c:pt>
                <c:pt idx="61">
                  <c:v>0.79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1E4-4B43-9704-CABA9FDB1393}"/>
            </c:ext>
          </c:extLst>
        </c:ser>
        <c:ser>
          <c:idx val="1"/>
          <c:order val="22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yVal>
            <c:numRef>
              <c:f>'Primary solvents'!$D$4:$D$72</c:f>
              <c:numCache>
                <c:formatCode>General</c:formatCode>
                <c:ptCount val="69"/>
                <c:pt idx="5">
                  <c:v>0.47</c:v>
                </c:pt>
                <c:pt idx="20">
                  <c:v>1</c:v>
                </c:pt>
                <c:pt idx="21">
                  <c:v>0.62</c:v>
                </c:pt>
                <c:pt idx="23">
                  <c:v>0.82</c:v>
                </c:pt>
                <c:pt idx="27">
                  <c:v>0.92</c:v>
                </c:pt>
                <c:pt idx="33">
                  <c:v>1.04</c:v>
                </c:pt>
                <c:pt idx="46">
                  <c:v>1.0900000000000001</c:v>
                </c:pt>
                <c:pt idx="47">
                  <c:v>0.6</c:v>
                </c:pt>
                <c:pt idx="55">
                  <c:v>0.51</c:v>
                </c:pt>
                <c:pt idx="59">
                  <c:v>0.52</c:v>
                </c:pt>
                <c:pt idx="60">
                  <c:v>0.48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A1E4-4B43-9704-CABA9FDB1393}"/>
            </c:ext>
          </c:extLst>
        </c:ser>
        <c:ser>
          <c:idx val="0"/>
          <c:order val="23"/>
          <c:tx>
            <c:strRef>
              <c:f>'Primary solvents'!$B$2</c:f>
              <c:strCache>
                <c:ptCount val="1"/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'Primary solvents'!$C$3:$C$71</c:f>
              <c:numCache>
                <c:formatCode>General</c:formatCode>
                <c:ptCount val="69"/>
                <c:pt idx="6">
                  <c:v>0.88</c:v>
                </c:pt>
                <c:pt idx="21">
                  <c:v>0.76</c:v>
                </c:pt>
                <c:pt idx="22">
                  <c:v>0.77</c:v>
                </c:pt>
                <c:pt idx="24">
                  <c:v>0.52</c:v>
                </c:pt>
                <c:pt idx="28">
                  <c:v>0.52</c:v>
                </c:pt>
                <c:pt idx="34">
                  <c:v>0.67</c:v>
                </c:pt>
                <c:pt idx="47">
                  <c:v>0.4</c:v>
                </c:pt>
                <c:pt idx="48">
                  <c:v>0.62</c:v>
                </c:pt>
                <c:pt idx="56">
                  <c:v>0.28000000000000003</c:v>
                </c:pt>
                <c:pt idx="60">
                  <c:v>0.83</c:v>
                </c:pt>
                <c:pt idx="61">
                  <c:v>0.88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A1E4-4B43-9704-CABA9FDB1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1891872"/>
        <c:axId val="861888920"/>
      </c:scatterChart>
      <c:valAx>
        <c:axId val="861891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61888920"/>
        <c:crosses val="autoZero"/>
        <c:crossBetween val="midCat"/>
      </c:valAx>
      <c:valAx>
        <c:axId val="86188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891872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'Area plots'!$B$2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plots'!$B$3:$B$26</c:f>
              <c:numCache>
                <c:formatCode>0.0</c:formatCode>
                <c:ptCount val="24"/>
                <c:pt idx="0">
                  <c:v>82.253008305749688</c:v>
                </c:pt>
                <c:pt idx="1">
                  <c:v>39.139087701290642</c:v>
                </c:pt>
                <c:pt idx="2">
                  <c:v>200.30130778602108</c:v>
                </c:pt>
                <c:pt idx="3">
                  <c:v>196.53026059151313</c:v>
                </c:pt>
                <c:pt idx="4" formatCode="General">
                  <c:v>235.52132904168204</c:v>
                </c:pt>
                <c:pt idx="5" formatCode="General">
                  <c:v>274.51239749185095</c:v>
                </c:pt>
                <c:pt idx="6" formatCode="General">
                  <c:v>313.50346594201983</c:v>
                </c:pt>
                <c:pt idx="7">
                  <c:v>352.49453439218871</c:v>
                </c:pt>
                <c:pt idx="8" formatCode="General">
                  <c:v>353.42678946644969</c:v>
                </c:pt>
                <c:pt idx="9" formatCode="General">
                  <c:v>354.35904454071073</c:v>
                </c:pt>
                <c:pt idx="10" formatCode="General">
                  <c:v>355.29129961497176</c:v>
                </c:pt>
                <c:pt idx="11" formatCode="General">
                  <c:v>356.22355468923274</c:v>
                </c:pt>
                <c:pt idx="12" formatCode="General">
                  <c:v>357.15580976349378</c:v>
                </c:pt>
                <c:pt idx="13" formatCode="General">
                  <c:v>358.08806483775481</c:v>
                </c:pt>
                <c:pt idx="14" formatCode="General">
                  <c:v>359.02031991201579</c:v>
                </c:pt>
                <c:pt idx="15" formatCode="General">
                  <c:v>359.95257498627683</c:v>
                </c:pt>
                <c:pt idx="16" formatCode="General">
                  <c:v>360.88483006053787</c:v>
                </c:pt>
                <c:pt idx="17" formatCode="General">
                  <c:v>361.81708513479884</c:v>
                </c:pt>
                <c:pt idx="18" formatCode="General">
                  <c:v>362.74934020905988</c:v>
                </c:pt>
                <c:pt idx="19" formatCode="General">
                  <c:v>363.68159528332092</c:v>
                </c:pt>
                <c:pt idx="20" formatCode="General">
                  <c:v>364.6138503575819</c:v>
                </c:pt>
                <c:pt idx="21" formatCode="General">
                  <c:v>365.54610543184293</c:v>
                </c:pt>
                <c:pt idx="22" formatCode="General">
                  <c:v>366.47836050610397</c:v>
                </c:pt>
                <c:pt idx="23">
                  <c:v>367.41061558036495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FCC-AFD5-1EB11377FF5C}"/>
            </c:ext>
          </c:extLst>
        </c:ser>
        <c:ser>
          <c:idx val="1"/>
          <c:order val="1"/>
          <c:tx>
            <c:strRef>
              <c:f>'Area plots'!$C$2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plots'!$C$3:$C$26</c:f>
              <c:numCache>
                <c:formatCode>0.0</c:formatCode>
                <c:ptCount val="24"/>
                <c:pt idx="0">
                  <c:v>40.988224943600798</c:v>
                </c:pt>
                <c:pt idx="1">
                  <c:v>16.042985649926919</c:v>
                </c:pt>
                <c:pt idx="2">
                  <c:v>149.14254113783142</c:v>
                </c:pt>
                <c:pt idx="3">
                  <c:v>91.053698120079787</c:v>
                </c:pt>
                <c:pt idx="4" formatCode="General">
                  <c:v>109.0320631695317</c:v>
                </c:pt>
                <c:pt idx="5" formatCode="General">
                  <c:v>127.01042821898361</c:v>
                </c:pt>
                <c:pt idx="6" formatCode="General">
                  <c:v>144.98879326843553</c:v>
                </c:pt>
                <c:pt idx="7">
                  <c:v>162.96715831788742</c:v>
                </c:pt>
                <c:pt idx="8" formatCode="General">
                  <c:v>170.08782781185917</c:v>
                </c:pt>
                <c:pt idx="9" formatCode="General">
                  <c:v>177.20849730583092</c:v>
                </c:pt>
                <c:pt idx="10" formatCode="General">
                  <c:v>184.32916679980269</c:v>
                </c:pt>
                <c:pt idx="11" formatCode="General">
                  <c:v>191.44983629377444</c:v>
                </c:pt>
                <c:pt idx="12" formatCode="General">
                  <c:v>198.57050578774619</c:v>
                </c:pt>
                <c:pt idx="13" formatCode="General">
                  <c:v>205.69117528171796</c:v>
                </c:pt>
                <c:pt idx="14" formatCode="General">
                  <c:v>212.81184477568971</c:v>
                </c:pt>
                <c:pt idx="15" formatCode="General">
                  <c:v>219.93251426966145</c:v>
                </c:pt>
                <c:pt idx="16" formatCode="General">
                  <c:v>227.0531837636332</c:v>
                </c:pt>
                <c:pt idx="17" formatCode="General">
                  <c:v>234.17385325760495</c:v>
                </c:pt>
                <c:pt idx="18" formatCode="General">
                  <c:v>241.29452275157672</c:v>
                </c:pt>
                <c:pt idx="19" formatCode="General">
                  <c:v>248.41519224554847</c:v>
                </c:pt>
                <c:pt idx="20" formatCode="General">
                  <c:v>255.53586173952021</c:v>
                </c:pt>
                <c:pt idx="21" formatCode="General">
                  <c:v>262.65653123349199</c:v>
                </c:pt>
                <c:pt idx="22" formatCode="General">
                  <c:v>269.77720072746376</c:v>
                </c:pt>
                <c:pt idx="23">
                  <c:v>276.89787022143548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FCC-AFD5-1EB11377F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873432"/>
        <c:axId val="581869168"/>
      </c:areaChart>
      <c:lineChart>
        <c:grouping val="standard"/>
        <c:varyColors val="0"/>
        <c:ser>
          <c:idx val="2"/>
          <c:order val="2"/>
          <c:tx>
            <c:strRef>
              <c:f>'Area plots'!$D$2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plots'!$D$3:$D$26</c:f>
              <c:numCache>
                <c:formatCode>0.0</c:formatCode>
                <c:ptCount val="24"/>
                <c:pt idx="0">
                  <c:v>61.620616624675243</c:v>
                </c:pt>
                <c:pt idx="1">
                  <c:v>27.59103667560878</c:v>
                </c:pt>
                <c:pt idx="2">
                  <c:v>174.72192446192625</c:v>
                </c:pt>
                <c:pt idx="3">
                  <c:v>143.79197935579646</c:v>
                </c:pt>
                <c:pt idx="4" formatCode="General">
                  <c:v>172.27669610560685</c:v>
                </c:pt>
                <c:pt idx="5" formatCode="General">
                  <c:v>200.76141285541726</c:v>
                </c:pt>
                <c:pt idx="6" formatCode="General">
                  <c:v>229.24612960522768</c:v>
                </c:pt>
                <c:pt idx="7">
                  <c:v>257.73084635503807</c:v>
                </c:pt>
                <c:pt idx="8" formatCode="General">
                  <c:v>261.75730863915442</c:v>
                </c:pt>
                <c:pt idx="9" formatCode="General">
                  <c:v>265.78377092327082</c:v>
                </c:pt>
                <c:pt idx="10" formatCode="General">
                  <c:v>269.81023320738723</c:v>
                </c:pt>
                <c:pt idx="11" formatCode="General">
                  <c:v>273.83669549150363</c:v>
                </c:pt>
                <c:pt idx="12" formatCode="General">
                  <c:v>277.86315777562004</c:v>
                </c:pt>
                <c:pt idx="13" formatCode="General">
                  <c:v>281.88962005973639</c:v>
                </c:pt>
                <c:pt idx="14" formatCode="General">
                  <c:v>285.91608234385274</c:v>
                </c:pt>
                <c:pt idx="15" formatCode="General">
                  <c:v>289.94254462796914</c:v>
                </c:pt>
                <c:pt idx="16" formatCode="General">
                  <c:v>293.96900691208555</c:v>
                </c:pt>
                <c:pt idx="17" formatCode="General">
                  <c:v>297.9954691962019</c:v>
                </c:pt>
                <c:pt idx="18" formatCode="General">
                  <c:v>302.02193148031824</c:v>
                </c:pt>
                <c:pt idx="19" formatCode="General">
                  <c:v>306.04839376443465</c:v>
                </c:pt>
                <c:pt idx="20" formatCode="General">
                  <c:v>310.07485604855106</c:v>
                </c:pt>
                <c:pt idx="21" formatCode="General">
                  <c:v>314.10131833266746</c:v>
                </c:pt>
                <c:pt idx="22" formatCode="General">
                  <c:v>318.12778061678387</c:v>
                </c:pt>
                <c:pt idx="23">
                  <c:v>322.15424290090021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2B-4FCC-AFD5-1EB11377F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873432"/>
        <c:axId val="581869168"/>
      </c:lineChart>
      <c:catAx>
        <c:axId val="5818734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69168"/>
        <c:crosses val="autoZero"/>
        <c:auto val="1"/>
        <c:lblAlgn val="ctr"/>
        <c:lblOffset val="100"/>
        <c:noMultiLvlLbl val="0"/>
      </c:catAx>
      <c:valAx>
        <c:axId val="58186916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7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'NaCl poros'!$F$29:$F$41</c:f>
              <c:numCache>
                <c:formatCode>General</c:formatCode>
                <c:ptCount val="13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  <c:pt idx="10">
                  <c:v>4.5</c:v>
                </c:pt>
                <c:pt idx="11">
                  <c:v>5</c:v>
                </c:pt>
                <c:pt idx="12">
                  <c:v>5.2</c:v>
                </c:pt>
              </c:numCache>
            </c:numRef>
          </c:xVal>
          <c:yVal>
            <c:numRef>
              <c:f>'NaCl poros'!$G$29:$G$41</c:f>
              <c:numCache>
                <c:formatCode>General</c:formatCode>
                <c:ptCount val="13"/>
                <c:pt idx="0">
                  <c:v>72.72</c:v>
                </c:pt>
                <c:pt idx="1">
                  <c:v>73.03</c:v>
                </c:pt>
                <c:pt idx="2">
                  <c:v>73.459999999999994</c:v>
                </c:pt>
                <c:pt idx="3">
                  <c:v>74.05</c:v>
                </c:pt>
                <c:pt idx="4">
                  <c:v>74.75</c:v>
                </c:pt>
                <c:pt idx="5">
                  <c:v>75.540000000000006</c:v>
                </c:pt>
                <c:pt idx="6">
                  <c:v>76.52</c:v>
                </c:pt>
                <c:pt idx="7">
                  <c:v>77.48</c:v>
                </c:pt>
                <c:pt idx="8">
                  <c:v>78.09</c:v>
                </c:pt>
                <c:pt idx="9">
                  <c:v>79.31</c:v>
                </c:pt>
                <c:pt idx="10">
                  <c:v>80.08</c:v>
                </c:pt>
                <c:pt idx="11">
                  <c:v>80.8</c:v>
                </c:pt>
                <c:pt idx="12">
                  <c:v>81.75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B0-44F6-AE3A-3D5743219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199600"/>
        <c:axId val="511197632"/>
      </c:scatterChart>
      <c:valAx>
        <c:axId val="51119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97632"/>
        <c:crosses val="autoZero"/>
        <c:crossBetween val="midCat"/>
      </c:valAx>
      <c:valAx>
        <c:axId val="51119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99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125603335368364E-2"/>
          <c:y val="0.15782407407407409"/>
          <c:w val="0.87175279034454689"/>
          <c:h val="0.58509660250801987"/>
        </c:manualLayout>
      </c:layout>
      <c:areaChart>
        <c:grouping val="standard"/>
        <c:varyColors val="0"/>
        <c:ser>
          <c:idx val="0"/>
          <c:order val="0"/>
          <c:tx>
            <c:strRef>
              <c:f>'Area plots'!$G$2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plots'!$G$3:$G$26</c:f>
              <c:numCache>
                <c:formatCode>0.0</c:formatCode>
                <c:ptCount val="24"/>
                <c:pt idx="0">
                  <c:v>34.562674535398493</c:v>
                </c:pt>
                <c:pt idx="1">
                  <c:v>33.370978121472696</c:v>
                </c:pt>
                <c:pt idx="2">
                  <c:v>34.449315166901087</c:v>
                </c:pt>
                <c:pt idx="3">
                  <c:v>34.619502266681614</c:v>
                </c:pt>
                <c:pt idx="4" formatCode="General">
                  <c:v>33.912627412784332</c:v>
                </c:pt>
                <c:pt idx="5" formatCode="General">
                  <c:v>33.205752558887042</c:v>
                </c:pt>
                <c:pt idx="6" formatCode="General">
                  <c:v>32.498877704989752</c:v>
                </c:pt>
                <c:pt idx="7">
                  <c:v>31.792002851092466</c:v>
                </c:pt>
                <c:pt idx="8" formatCode="General">
                  <c:v>32.195960775007485</c:v>
                </c:pt>
                <c:pt idx="9" formatCode="General">
                  <c:v>32.599918698922508</c:v>
                </c:pt>
                <c:pt idx="10" formatCode="General">
                  <c:v>33.003876622837531</c:v>
                </c:pt>
                <c:pt idx="11" formatCode="General">
                  <c:v>33.407834546752554</c:v>
                </c:pt>
                <c:pt idx="12" formatCode="General">
                  <c:v>33.811792470667577</c:v>
                </c:pt>
                <c:pt idx="13" formatCode="General">
                  <c:v>34.215750394582599</c:v>
                </c:pt>
                <c:pt idx="14" formatCode="General">
                  <c:v>34.619708318497615</c:v>
                </c:pt>
                <c:pt idx="15" formatCode="General">
                  <c:v>35.023666242412638</c:v>
                </c:pt>
                <c:pt idx="16" formatCode="General">
                  <c:v>35.427624166327661</c:v>
                </c:pt>
                <c:pt idx="17" formatCode="General">
                  <c:v>35.831582090242676</c:v>
                </c:pt>
                <c:pt idx="18" formatCode="General">
                  <c:v>36.235540014157699</c:v>
                </c:pt>
                <c:pt idx="19" formatCode="General">
                  <c:v>36.639497938072722</c:v>
                </c:pt>
                <c:pt idx="20" formatCode="General">
                  <c:v>37.043455861987745</c:v>
                </c:pt>
                <c:pt idx="21" formatCode="General">
                  <c:v>37.447413785902768</c:v>
                </c:pt>
                <c:pt idx="22" formatCode="General">
                  <c:v>37.851371709817784</c:v>
                </c:pt>
                <c:pt idx="23">
                  <c:v>38.255329633732806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E-49B7-B354-F2F2ECDD1825}"/>
            </c:ext>
          </c:extLst>
        </c:ser>
        <c:ser>
          <c:idx val="1"/>
          <c:order val="1"/>
          <c:tx>
            <c:strRef>
              <c:f>'Area plots'!$H$2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plots'!$H$3:$H$26</c:f>
              <c:numCache>
                <c:formatCode>0.0</c:formatCode>
                <c:ptCount val="24"/>
                <c:pt idx="0">
                  <c:v>10.650707243527584</c:v>
                </c:pt>
                <c:pt idx="1">
                  <c:v>17.341013094969803</c:v>
                </c:pt>
                <c:pt idx="2">
                  <c:v>28.075174523150235</c:v>
                </c:pt>
                <c:pt idx="3">
                  <c:v>10.242279799626267</c:v>
                </c:pt>
                <c:pt idx="4" formatCode="General">
                  <c:v>12.266295870632138</c:v>
                </c:pt>
                <c:pt idx="5" formatCode="General">
                  <c:v>14.290311941638011</c:v>
                </c:pt>
                <c:pt idx="6" formatCode="General">
                  <c:v>16.314328012643884</c:v>
                </c:pt>
                <c:pt idx="7">
                  <c:v>18.338344083649755</c:v>
                </c:pt>
                <c:pt idx="8" formatCode="General">
                  <c:v>18.686222059714645</c:v>
                </c:pt>
                <c:pt idx="9" formatCode="General">
                  <c:v>19.034100035779531</c:v>
                </c:pt>
                <c:pt idx="10" formatCode="General">
                  <c:v>19.381978011844421</c:v>
                </c:pt>
                <c:pt idx="11" formatCode="General">
                  <c:v>19.72985598790931</c:v>
                </c:pt>
                <c:pt idx="12" formatCode="General">
                  <c:v>20.0777339639742</c:v>
                </c:pt>
                <c:pt idx="13" formatCode="General">
                  <c:v>20.42561194003909</c:v>
                </c:pt>
                <c:pt idx="14" formatCode="General">
                  <c:v>20.77348991610398</c:v>
                </c:pt>
                <c:pt idx="15" formatCode="General">
                  <c:v>21.12136789216887</c:v>
                </c:pt>
                <c:pt idx="16" formatCode="General">
                  <c:v>21.469245868233759</c:v>
                </c:pt>
                <c:pt idx="17" formatCode="General">
                  <c:v>21.817123844298649</c:v>
                </c:pt>
                <c:pt idx="18" formatCode="General">
                  <c:v>22.165001820363536</c:v>
                </c:pt>
                <c:pt idx="19" formatCode="General">
                  <c:v>22.512879796428425</c:v>
                </c:pt>
                <c:pt idx="20" formatCode="General">
                  <c:v>22.860757772493315</c:v>
                </c:pt>
                <c:pt idx="21" formatCode="General">
                  <c:v>23.208635748558201</c:v>
                </c:pt>
                <c:pt idx="22" formatCode="General">
                  <c:v>23.556513724623091</c:v>
                </c:pt>
                <c:pt idx="23">
                  <c:v>23.904391700687981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E-49B7-B354-F2F2ECDD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873432"/>
        <c:axId val="581869168"/>
      </c:areaChart>
      <c:lineChart>
        <c:grouping val="standard"/>
        <c:varyColors val="0"/>
        <c:ser>
          <c:idx val="2"/>
          <c:order val="2"/>
          <c:tx>
            <c:strRef>
              <c:f>'Area plots'!$I$2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plots'!$I$3:$I$26</c:f>
              <c:numCache>
                <c:formatCode>0.0</c:formatCode>
                <c:ptCount val="24"/>
                <c:pt idx="0">
                  <c:v>22.606690889463039</c:v>
                </c:pt>
                <c:pt idx="1">
                  <c:v>25.355995608221249</c:v>
                </c:pt>
                <c:pt idx="2">
                  <c:v>31.262244845025663</c:v>
                </c:pt>
                <c:pt idx="3">
                  <c:v>22.430891033153941</c:v>
                </c:pt>
                <c:pt idx="4" formatCode="General">
                  <c:v>23.089461641708233</c:v>
                </c:pt>
                <c:pt idx="5" formatCode="General">
                  <c:v>23.748032250262526</c:v>
                </c:pt>
                <c:pt idx="6" formatCode="General">
                  <c:v>24.406602858816818</c:v>
                </c:pt>
                <c:pt idx="7">
                  <c:v>25.06517346737111</c:v>
                </c:pt>
                <c:pt idx="8" formatCode="General">
                  <c:v>25.469131391286133</c:v>
                </c:pt>
                <c:pt idx="9" formatCode="General">
                  <c:v>25.873089315201153</c:v>
                </c:pt>
                <c:pt idx="10" formatCode="General">
                  <c:v>26.277047239116172</c:v>
                </c:pt>
                <c:pt idx="11" formatCode="General">
                  <c:v>26.681005163031195</c:v>
                </c:pt>
                <c:pt idx="12" formatCode="General">
                  <c:v>27.084963086946217</c:v>
                </c:pt>
                <c:pt idx="13" formatCode="General">
                  <c:v>27.488921010861237</c:v>
                </c:pt>
                <c:pt idx="14" formatCode="General">
                  <c:v>27.892878934776256</c:v>
                </c:pt>
                <c:pt idx="15" formatCode="General">
                  <c:v>28.296836858691279</c:v>
                </c:pt>
                <c:pt idx="16" formatCode="General">
                  <c:v>28.700794782606302</c:v>
                </c:pt>
                <c:pt idx="17" formatCode="General">
                  <c:v>29.104752706521321</c:v>
                </c:pt>
                <c:pt idx="18" formatCode="General">
                  <c:v>29.50871063043634</c:v>
                </c:pt>
                <c:pt idx="19" formatCode="General">
                  <c:v>29.912668554351363</c:v>
                </c:pt>
                <c:pt idx="20" formatCode="General">
                  <c:v>30.316626478266386</c:v>
                </c:pt>
                <c:pt idx="21" formatCode="General">
                  <c:v>30.720584402181409</c:v>
                </c:pt>
                <c:pt idx="22" formatCode="General">
                  <c:v>31.124542326096432</c:v>
                </c:pt>
                <c:pt idx="23">
                  <c:v>31.528500250011451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EE-49B7-B354-F2F2ECDD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873432"/>
        <c:axId val="581869168"/>
      </c:lineChart>
      <c:catAx>
        <c:axId val="5818734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69168"/>
        <c:crosses val="autoZero"/>
        <c:auto val="1"/>
        <c:lblAlgn val="ctr"/>
        <c:lblOffset val="100"/>
        <c:noMultiLvlLbl val="0"/>
      </c:catAx>
      <c:valAx>
        <c:axId val="58186916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7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125603335368364E-2"/>
          <c:y val="0.15782407407407409"/>
          <c:w val="0.87175279034454689"/>
          <c:h val="0.58509660250801987"/>
        </c:manualLayout>
      </c:layout>
      <c:areaChart>
        <c:grouping val="standard"/>
        <c:varyColors val="0"/>
        <c:ser>
          <c:idx val="0"/>
          <c:order val="0"/>
          <c:tx>
            <c:strRef>
              <c:f>'Area plots'!$L$2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plots'!$L$3:$L$26</c:f>
              <c:numCache>
                <c:formatCode>0.0</c:formatCode>
                <c:ptCount val="24"/>
                <c:pt idx="0">
                  <c:v>59.714742319314666</c:v>
                </c:pt>
                <c:pt idx="1">
                  <c:v>53.922278974782728</c:v>
                </c:pt>
                <c:pt idx="2">
                  <c:v>80.38909548865837</c:v>
                </c:pt>
                <c:pt idx="3">
                  <c:v>94.880994238917566</c:v>
                </c:pt>
                <c:pt idx="4" formatCode="General">
                  <c:v>119.31167647856641</c:v>
                </c:pt>
                <c:pt idx="5" formatCode="General">
                  <c:v>143.74235871821526</c:v>
                </c:pt>
                <c:pt idx="6" formatCode="General">
                  <c:v>168.17304095786412</c:v>
                </c:pt>
                <c:pt idx="7">
                  <c:v>192.60372319751298</c:v>
                </c:pt>
                <c:pt idx="8" formatCode="General">
                  <c:v>199.00022058671129</c:v>
                </c:pt>
                <c:pt idx="9" formatCode="General">
                  <c:v>205.39671797590961</c:v>
                </c:pt>
                <c:pt idx="10" formatCode="General">
                  <c:v>211.79321536510793</c:v>
                </c:pt>
                <c:pt idx="11" formatCode="General">
                  <c:v>218.18971275430624</c:v>
                </c:pt>
                <c:pt idx="12" formatCode="General">
                  <c:v>224.58621014350456</c:v>
                </c:pt>
                <c:pt idx="13" formatCode="General">
                  <c:v>230.98270753270288</c:v>
                </c:pt>
                <c:pt idx="14" formatCode="General">
                  <c:v>237.37920492190119</c:v>
                </c:pt>
                <c:pt idx="15" formatCode="General">
                  <c:v>243.77570231109954</c:v>
                </c:pt>
                <c:pt idx="16" formatCode="General">
                  <c:v>250.17219970029788</c:v>
                </c:pt>
                <c:pt idx="17" formatCode="General">
                  <c:v>256.5686970894962</c:v>
                </c:pt>
                <c:pt idx="18" formatCode="General">
                  <c:v>262.96519447869451</c:v>
                </c:pt>
                <c:pt idx="19" formatCode="General">
                  <c:v>269.36169186789283</c:v>
                </c:pt>
                <c:pt idx="20" formatCode="General">
                  <c:v>275.75818925709115</c:v>
                </c:pt>
                <c:pt idx="21" formatCode="General">
                  <c:v>282.15468664628946</c:v>
                </c:pt>
                <c:pt idx="22" formatCode="General">
                  <c:v>288.55118403548778</c:v>
                </c:pt>
                <c:pt idx="23">
                  <c:v>294.9476814246861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0-4710-8573-05CC2CD4203B}"/>
            </c:ext>
          </c:extLst>
        </c:ser>
        <c:ser>
          <c:idx val="1"/>
          <c:order val="1"/>
          <c:tx>
            <c:strRef>
              <c:f>'Area plots'!$M$2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chemeClr val="bg1"/>
            </a:solidFill>
            <a:ln w="25400"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plots'!$M$3:$M$26</c:f>
              <c:numCache>
                <c:formatCode>0.0</c:formatCode>
                <c:ptCount val="24"/>
                <c:pt idx="0">
                  <c:v>32.054420043314607</c:v>
                </c:pt>
                <c:pt idx="1">
                  <c:v>23.817998687844224</c:v>
                </c:pt>
                <c:pt idx="2">
                  <c:v>26.542174358312074</c:v>
                </c:pt>
                <c:pt idx="3">
                  <c:v>15.095302732685433</c:v>
                </c:pt>
                <c:pt idx="4" formatCode="General">
                  <c:v>39.175560625557779</c:v>
                </c:pt>
                <c:pt idx="5" formatCode="General">
                  <c:v>63.255818518430132</c:v>
                </c:pt>
                <c:pt idx="6" formatCode="General">
                  <c:v>87.336076411302486</c:v>
                </c:pt>
                <c:pt idx="7">
                  <c:v>111.41633430417482</c:v>
                </c:pt>
                <c:pt idx="8" formatCode="General">
                  <c:v>114.29447082221964</c:v>
                </c:pt>
                <c:pt idx="9" formatCode="General">
                  <c:v>117.17260734026443</c:v>
                </c:pt>
                <c:pt idx="10" formatCode="General">
                  <c:v>120.05074385830923</c:v>
                </c:pt>
                <c:pt idx="11" formatCode="General">
                  <c:v>122.92888037635404</c:v>
                </c:pt>
                <c:pt idx="12" formatCode="General">
                  <c:v>125.80701689439884</c:v>
                </c:pt>
                <c:pt idx="13" formatCode="General">
                  <c:v>128.68515341244364</c:v>
                </c:pt>
                <c:pt idx="14" formatCode="General">
                  <c:v>131.56328993048845</c:v>
                </c:pt>
                <c:pt idx="15" formatCode="General">
                  <c:v>134.44142644853326</c:v>
                </c:pt>
                <c:pt idx="16" formatCode="General">
                  <c:v>137.31956296657808</c:v>
                </c:pt>
                <c:pt idx="17" formatCode="General">
                  <c:v>140.19769948462289</c:v>
                </c:pt>
                <c:pt idx="18" formatCode="General">
                  <c:v>143.0758360026677</c:v>
                </c:pt>
                <c:pt idx="19" formatCode="General">
                  <c:v>145.95397252071248</c:v>
                </c:pt>
                <c:pt idx="20" formatCode="General">
                  <c:v>148.83210903875727</c:v>
                </c:pt>
                <c:pt idx="21" formatCode="General">
                  <c:v>151.71024555680208</c:v>
                </c:pt>
                <c:pt idx="22" formatCode="General">
                  <c:v>154.58838207484689</c:v>
                </c:pt>
                <c:pt idx="23">
                  <c:v>157.4665185928917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0-4710-8573-05CC2CD42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873432"/>
        <c:axId val="581869168"/>
      </c:areaChart>
      <c:lineChart>
        <c:grouping val="standard"/>
        <c:varyColors val="0"/>
        <c:ser>
          <c:idx val="2"/>
          <c:order val="2"/>
          <c:tx>
            <c:strRef>
              <c:f>'Area plots'!$N$2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plots'!$N$3:$N$26</c:f>
              <c:numCache>
                <c:formatCode>0.0</c:formatCode>
                <c:ptCount val="24"/>
                <c:pt idx="0">
                  <c:v>45.884581181314637</c:v>
                </c:pt>
                <c:pt idx="1">
                  <c:v>38.870138831313476</c:v>
                </c:pt>
                <c:pt idx="2">
                  <c:v>53.465634923485219</c:v>
                </c:pt>
                <c:pt idx="3">
                  <c:v>54.988148485801496</c:v>
                </c:pt>
                <c:pt idx="4" formatCode="General">
                  <c:v>79.243618552062102</c:v>
                </c:pt>
                <c:pt idx="5" formatCode="General">
                  <c:v>103.4990886183227</c:v>
                </c:pt>
                <c:pt idx="6" formatCode="General">
                  <c:v>127.7545586845833</c:v>
                </c:pt>
                <c:pt idx="7">
                  <c:v>152.0100287508439</c:v>
                </c:pt>
                <c:pt idx="8" formatCode="General">
                  <c:v>156.64734570446547</c:v>
                </c:pt>
                <c:pt idx="9" formatCode="General">
                  <c:v>161.28466265808703</c:v>
                </c:pt>
                <c:pt idx="10" formatCode="General">
                  <c:v>165.92197961170859</c:v>
                </c:pt>
                <c:pt idx="11" formatCode="General">
                  <c:v>170.55929656533016</c:v>
                </c:pt>
                <c:pt idx="12" formatCode="General">
                  <c:v>175.19661351895172</c:v>
                </c:pt>
                <c:pt idx="13" formatCode="General">
                  <c:v>179.83393047257329</c:v>
                </c:pt>
                <c:pt idx="14" formatCode="General">
                  <c:v>184.47124742619485</c:v>
                </c:pt>
                <c:pt idx="15" formatCode="General">
                  <c:v>189.10856437981641</c:v>
                </c:pt>
                <c:pt idx="16" formatCode="General">
                  <c:v>193.74588133343798</c:v>
                </c:pt>
                <c:pt idx="17" formatCode="General">
                  <c:v>198.38319828705954</c:v>
                </c:pt>
                <c:pt idx="18" formatCode="General">
                  <c:v>203.02051524068111</c:v>
                </c:pt>
                <c:pt idx="19" formatCode="General">
                  <c:v>207.65783219430267</c:v>
                </c:pt>
                <c:pt idx="20" formatCode="General">
                  <c:v>212.29514914792423</c:v>
                </c:pt>
                <c:pt idx="21" formatCode="General">
                  <c:v>216.9324661015458</c:v>
                </c:pt>
                <c:pt idx="22" formatCode="General">
                  <c:v>221.56978305516736</c:v>
                </c:pt>
                <c:pt idx="23">
                  <c:v>226.2071000087889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0-4710-8573-05CC2CD42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873432"/>
        <c:axId val="581869168"/>
      </c:lineChart>
      <c:catAx>
        <c:axId val="5818734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69168"/>
        <c:crosses val="autoZero"/>
        <c:auto val="1"/>
        <c:lblAlgn val="ctr"/>
        <c:lblOffset val="100"/>
        <c:noMultiLvlLbl val="0"/>
      </c:catAx>
      <c:valAx>
        <c:axId val="58186916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7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125603335368364E-2"/>
          <c:y val="0.15782407407407409"/>
          <c:w val="0.87175279034454689"/>
          <c:h val="0.58509660250801987"/>
        </c:manualLayout>
      </c:layout>
      <c:areaChart>
        <c:grouping val="standard"/>
        <c:varyColors val="0"/>
        <c:ser>
          <c:idx val="0"/>
          <c:order val="0"/>
          <c:tx>
            <c:strRef>
              <c:f>'Area plots'!$Q$2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plots'!$Q$3:$Q$26</c:f>
              <c:numCache>
                <c:formatCode>0.0</c:formatCode>
                <c:ptCount val="24"/>
                <c:pt idx="0">
                  <c:v>133.03122694825399</c:v>
                </c:pt>
                <c:pt idx="1">
                  <c:v>280.16382949928106</c:v>
                </c:pt>
                <c:pt idx="2">
                  <c:v>435.96310253758469</c:v>
                </c:pt>
                <c:pt idx="3">
                  <c:v>605.74402942466816</c:v>
                </c:pt>
                <c:pt idx="4" formatCode="General">
                  <c:v>616.46318661521696</c:v>
                </c:pt>
                <c:pt idx="5" formatCode="General">
                  <c:v>627.18234380576575</c:v>
                </c:pt>
                <c:pt idx="6" formatCode="General">
                  <c:v>637.90150099631455</c:v>
                </c:pt>
                <c:pt idx="7" formatCode="General">
                  <c:v>648.62065818686335</c:v>
                </c:pt>
                <c:pt idx="8" formatCode="General">
                  <c:v>668.70249958217755</c:v>
                </c:pt>
                <c:pt idx="9" formatCode="General">
                  <c:v>688.78434097749187</c:v>
                </c:pt>
                <c:pt idx="10" formatCode="General">
                  <c:v>708.86618237280618</c:v>
                </c:pt>
                <c:pt idx="11" formatCode="General">
                  <c:v>728.94802376812049</c:v>
                </c:pt>
                <c:pt idx="12" formatCode="General">
                  <c:v>749.02986516343481</c:v>
                </c:pt>
                <c:pt idx="13" formatCode="General">
                  <c:v>769.11170655874912</c:v>
                </c:pt>
                <c:pt idx="14" formatCode="General">
                  <c:v>789.19354795406343</c:v>
                </c:pt>
                <c:pt idx="15" formatCode="General">
                  <c:v>809.27538934937775</c:v>
                </c:pt>
                <c:pt idx="16" formatCode="General">
                  <c:v>829.35723074469206</c:v>
                </c:pt>
                <c:pt idx="17" formatCode="General">
                  <c:v>849.43907214000637</c:v>
                </c:pt>
                <c:pt idx="18" formatCode="General">
                  <c:v>869.52091353532069</c:v>
                </c:pt>
                <c:pt idx="19" formatCode="General">
                  <c:v>889.602754930635</c:v>
                </c:pt>
                <c:pt idx="20" formatCode="General">
                  <c:v>909.68459632594931</c:v>
                </c:pt>
                <c:pt idx="21" formatCode="General">
                  <c:v>929.76643772126363</c:v>
                </c:pt>
                <c:pt idx="22" formatCode="General">
                  <c:v>949.84827911657794</c:v>
                </c:pt>
                <c:pt idx="23" formatCode="General">
                  <c:v>969.93012051189226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A-4A47-9B94-A56508761BF7}"/>
            </c:ext>
          </c:extLst>
        </c:ser>
        <c:ser>
          <c:idx val="1"/>
          <c:order val="1"/>
          <c:tx>
            <c:strRef>
              <c:f>'Area plots'!$R$2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plots'!$R$3:$R$26</c:f>
              <c:numCache>
                <c:formatCode>0.0</c:formatCode>
                <c:ptCount val="24"/>
                <c:pt idx="0">
                  <c:v>81.124772364036446</c:v>
                </c:pt>
                <c:pt idx="1">
                  <c:v>151.02195401135162</c:v>
                </c:pt>
                <c:pt idx="2">
                  <c:v>180.09654416972177</c:v>
                </c:pt>
                <c:pt idx="3">
                  <c:v>238.10830882118296</c:v>
                </c:pt>
                <c:pt idx="4" formatCode="General">
                  <c:v>299.88352891890207</c:v>
                </c:pt>
                <c:pt idx="5" formatCode="General">
                  <c:v>361.65874901662119</c:v>
                </c:pt>
                <c:pt idx="6" formatCode="General">
                  <c:v>423.4339691143403</c:v>
                </c:pt>
                <c:pt idx="7" formatCode="General">
                  <c:v>485.20918921205941</c:v>
                </c:pt>
                <c:pt idx="8" formatCode="General">
                  <c:v>488.93029456621485</c:v>
                </c:pt>
                <c:pt idx="9" formatCode="General">
                  <c:v>492.6513999203703</c:v>
                </c:pt>
                <c:pt idx="10" formatCode="General">
                  <c:v>496.37250527452568</c:v>
                </c:pt>
                <c:pt idx="11" formatCode="General">
                  <c:v>500.09361062868112</c:v>
                </c:pt>
                <c:pt idx="12" formatCode="General">
                  <c:v>503.81471598283656</c:v>
                </c:pt>
                <c:pt idx="13" formatCode="General">
                  <c:v>507.53582133699194</c:v>
                </c:pt>
                <c:pt idx="14" formatCode="General">
                  <c:v>511.25692669114738</c:v>
                </c:pt>
                <c:pt idx="15" formatCode="General">
                  <c:v>514.97803204530283</c:v>
                </c:pt>
                <c:pt idx="16" formatCode="General">
                  <c:v>518.69913739945832</c:v>
                </c:pt>
                <c:pt idx="17" formatCode="General">
                  <c:v>522.42024275361371</c:v>
                </c:pt>
                <c:pt idx="18" formatCode="General">
                  <c:v>526.14134810776909</c:v>
                </c:pt>
                <c:pt idx="19" formatCode="General">
                  <c:v>529.86245346192459</c:v>
                </c:pt>
                <c:pt idx="20" formatCode="General">
                  <c:v>533.58355881608009</c:v>
                </c:pt>
                <c:pt idx="21" formatCode="General">
                  <c:v>537.30466417023547</c:v>
                </c:pt>
                <c:pt idx="22" formatCode="General">
                  <c:v>541.02576952439085</c:v>
                </c:pt>
                <c:pt idx="23" formatCode="General">
                  <c:v>544.74687487854635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A-4A47-9B94-A56508761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873432"/>
        <c:axId val="581869168"/>
      </c:areaChart>
      <c:lineChart>
        <c:grouping val="standard"/>
        <c:varyColors val="0"/>
        <c:ser>
          <c:idx val="2"/>
          <c:order val="2"/>
          <c:tx>
            <c:strRef>
              <c:f>'Area plots'!$S$2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plots'!$S$3:$S$26</c:f>
              <c:numCache>
                <c:formatCode>0.0</c:formatCode>
                <c:ptCount val="24"/>
                <c:pt idx="0">
                  <c:v>107.07799965614522</c:v>
                </c:pt>
                <c:pt idx="1">
                  <c:v>215.59289175531634</c:v>
                </c:pt>
                <c:pt idx="2">
                  <c:v>308.02982335365323</c:v>
                </c:pt>
                <c:pt idx="3">
                  <c:v>421.92616912292556</c:v>
                </c:pt>
                <c:pt idx="4" formatCode="General">
                  <c:v>458.17335776705954</c:v>
                </c:pt>
                <c:pt idx="5" formatCode="General">
                  <c:v>494.42054641119347</c:v>
                </c:pt>
                <c:pt idx="6" formatCode="General">
                  <c:v>530.6677350553274</c:v>
                </c:pt>
                <c:pt idx="7" formatCode="General">
                  <c:v>566.91492369946138</c:v>
                </c:pt>
                <c:pt idx="8" formatCode="General">
                  <c:v>578.81639707419617</c:v>
                </c:pt>
                <c:pt idx="9" formatCode="General">
                  <c:v>590.71787044893108</c:v>
                </c:pt>
                <c:pt idx="10" formatCode="General">
                  <c:v>602.61934382366599</c:v>
                </c:pt>
                <c:pt idx="11" formatCode="General">
                  <c:v>614.52081719840089</c:v>
                </c:pt>
                <c:pt idx="12" formatCode="General">
                  <c:v>626.4222905731358</c:v>
                </c:pt>
                <c:pt idx="13" formatCode="General">
                  <c:v>638.32376394787059</c:v>
                </c:pt>
                <c:pt idx="14" formatCode="General">
                  <c:v>650.22523732260538</c:v>
                </c:pt>
                <c:pt idx="15" formatCode="General">
                  <c:v>662.12671069734029</c:v>
                </c:pt>
                <c:pt idx="16" formatCode="General">
                  <c:v>674.02818407207519</c:v>
                </c:pt>
                <c:pt idx="17" formatCode="General">
                  <c:v>685.9296574468101</c:v>
                </c:pt>
                <c:pt idx="18" formatCode="General">
                  <c:v>697.831130821545</c:v>
                </c:pt>
                <c:pt idx="19" formatCode="General">
                  <c:v>709.73260419627979</c:v>
                </c:pt>
                <c:pt idx="20" formatCode="General">
                  <c:v>721.63407757101459</c:v>
                </c:pt>
                <c:pt idx="21" formatCode="General">
                  <c:v>733.53555094574949</c:v>
                </c:pt>
                <c:pt idx="22" formatCode="General">
                  <c:v>745.4370243204844</c:v>
                </c:pt>
                <c:pt idx="23" formatCode="General">
                  <c:v>757.3384976952193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AA-4A47-9B94-A56508761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873432"/>
        <c:axId val="581869168"/>
      </c:lineChart>
      <c:catAx>
        <c:axId val="5818734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69168"/>
        <c:crosses val="autoZero"/>
        <c:auto val="1"/>
        <c:lblAlgn val="ctr"/>
        <c:lblOffset val="100"/>
        <c:noMultiLvlLbl val="0"/>
      </c:catAx>
      <c:valAx>
        <c:axId val="58186916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7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Zinc Sulphate Release</a:t>
            </a:r>
            <a:r>
              <a:rPr lang="en-GB" baseline="0"/>
              <a:t> profiles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ndard"/>
        <c:varyColors val="0"/>
        <c:ser>
          <c:idx val="3"/>
          <c:order val="0"/>
          <c:tx>
            <c:strRef>
              <c:f>'Area plots'!$Q$2</c:f>
              <c:strCache>
                <c:ptCount val="1"/>
                <c:pt idx="0">
                  <c:v>upper</c:v>
                </c:pt>
              </c:strCache>
            </c:strRef>
          </c:tx>
          <c:spPr>
            <a:ln w="25400"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plots'!$Q$3:$Q$26</c:f>
              <c:numCache>
                <c:formatCode>0.0</c:formatCode>
                <c:ptCount val="24"/>
                <c:pt idx="0">
                  <c:v>133.03122694825399</c:v>
                </c:pt>
                <c:pt idx="1">
                  <c:v>280.16382949928106</c:v>
                </c:pt>
                <c:pt idx="2">
                  <c:v>435.96310253758469</c:v>
                </c:pt>
                <c:pt idx="3">
                  <c:v>605.74402942466816</c:v>
                </c:pt>
                <c:pt idx="4" formatCode="General">
                  <c:v>616.46318661521696</c:v>
                </c:pt>
                <c:pt idx="5" formatCode="General">
                  <c:v>627.18234380576575</c:v>
                </c:pt>
                <c:pt idx="6" formatCode="General">
                  <c:v>637.90150099631455</c:v>
                </c:pt>
                <c:pt idx="7" formatCode="General">
                  <c:v>648.62065818686335</c:v>
                </c:pt>
                <c:pt idx="8" formatCode="General">
                  <c:v>668.70249958217755</c:v>
                </c:pt>
                <c:pt idx="9" formatCode="General">
                  <c:v>688.78434097749187</c:v>
                </c:pt>
                <c:pt idx="10" formatCode="General">
                  <c:v>708.86618237280618</c:v>
                </c:pt>
                <c:pt idx="11" formatCode="General">
                  <c:v>728.94802376812049</c:v>
                </c:pt>
                <c:pt idx="12" formatCode="General">
                  <c:v>749.02986516343481</c:v>
                </c:pt>
                <c:pt idx="13" formatCode="General">
                  <c:v>769.11170655874912</c:v>
                </c:pt>
                <c:pt idx="14" formatCode="General">
                  <c:v>789.19354795406343</c:v>
                </c:pt>
                <c:pt idx="15" formatCode="General">
                  <c:v>809.27538934937775</c:v>
                </c:pt>
                <c:pt idx="16" formatCode="General">
                  <c:v>829.35723074469206</c:v>
                </c:pt>
                <c:pt idx="17" formatCode="General">
                  <c:v>849.43907214000637</c:v>
                </c:pt>
                <c:pt idx="18" formatCode="General">
                  <c:v>869.52091353532069</c:v>
                </c:pt>
                <c:pt idx="19" formatCode="General">
                  <c:v>889.602754930635</c:v>
                </c:pt>
                <c:pt idx="20" formatCode="General">
                  <c:v>909.68459632594931</c:v>
                </c:pt>
                <c:pt idx="21" formatCode="General">
                  <c:v>929.76643772126363</c:v>
                </c:pt>
                <c:pt idx="22" formatCode="General">
                  <c:v>949.84827911657794</c:v>
                </c:pt>
                <c:pt idx="23" formatCode="General">
                  <c:v>969.93012051189226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1-4E57-A6D9-C2169D3EB26A}"/>
            </c:ext>
          </c:extLst>
        </c:ser>
        <c:ser>
          <c:idx val="4"/>
          <c:order val="1"/>
          <c:tx>
            <c:strRef>
              <c:f>'Area plots'!$R$2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ysClr val="window" lastClr="FFFFFF"/>
            </a:solidFill>
            <a:ln w="25400"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plots'!$R$3:$R$26</c:f>
              <c:numCache>
                <c:formatCode>0.0</c:formatCode>
                <c:ptCount val="24"/>
                <c:pt idx="0">
                  <c:v>81.124772364036446</c:v>
                </c:pt>
                <c:pt idx="1">
                  <c:v>151.02195401135162</c:v>
                </c:pt>
                <c:pt idx="2">
                  <c:v>180.09654416972177</c:v>
                </c:pt>
                <c:pt idx="3">
                  <c:v>238.10830882118296</c:v>
                </c:pt>
                <c:pt idx="4" formatCode="General">
                  <c:v>299.88352891890207</c:v>
                </c:pt>
                <c:pt idx="5" formatCode="General">
                  <c:v>361.65874901662119</c:v>
                </c:pt>
                <c:pt idx="6" formatCode="General">
                  <c:v>423.4339691143403</c:v>
                </c:pt>
                <c:pt idx="7" formatCode="General">
                  <c:v>485.20918921205941</c:v>
                </c:pt>
                <c:pt idx="8" formatCode="General">
                  <c:v>488.93029456621485</c:v>
                </c:pt>
                <c:pt idx="9" formatCode="General">
                  <c:v>492.6513999203703</c:v>
                </c:pt>
                <c:pt idx="10" formatCode="General">
                  <c:v>496.37250527452568</c:v>
                </c:pt>
                <c:pt idx="11" formatCode="General">
                  <c:v>500.09361062868112</c:v>
                </c:pt>
                <c:pt idx="12" formatCode="General">
                  <c:v>503.81471598283656</c:v>
                </c:pt>
                <c:pt idx="13" formatCode="General">
                  <c:v>507.53582133699194</c:v>
                </c:pt>
                <c:pt idx="14" formatCode="General">
                  <c:v>511.25692669114738</c:v>
                </c:pt>
                <c:pt idx="15" formatCode="General">
                  <c:v>514.97803204530283</c:v>
                </c:pt>
                <c:pt idx="16" formatCode="General">
                  <c:v>518.69913739945832</c:v>
                </c:pt>
                <c:pt idx="17" formatCode="General">
                  <c:v>522.42024275361371</c:v>
                </c:pt>
                <c:pt idx="18" formatCode="General">
                  <c:v>526.14134810776909</c:v>
                </c:pt>
                <c:pt idx="19" formatCode="General">
                  <c:v>529.86245346192459</c:v>
                </c:pt>
                <c:pt idx="20" formatCode="General">
                  <c:v>533.58355881608009</c:v>
                </c:pt>
                <c:pt idx="21" formatCode="General">
                  <c:v>537.30466417023547</c:v>
                </c:pt>
                <c:pt idx="22" formatCode="General">
                  <c:v>541.02576952439085</c:v>
                </c:pt>
                <c:pt idx="23" formatCode="General">
                  <c:v>544.74687487854635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1-4E57-A6D9-C2169D3EB26A}"/>
            </c:ext>
          </c:extLst>
        </c:ser>
        <c:ser>
          <c:idx val="0"/>
          <c:order val="3"/>
          <c:tx>
            <c:strRef>
              <c:f>'Area plots'!$B$2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chemeClr val="accent1"/>
            </a:solidFill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plots'!$B$3:$B$26</c:f>
              <c:numCache>
                <c:formatCode>0.0</c:formatCode>
                <c:ptCount val="24"/>
                <c:pt idx="0">
                  <c:v>82.253008305749688</c:v>
                </c:pt>
                <c:pt idx="1">
                  <c:v>39.139087701290642</c:v>
                </c:pt>
                <c:pt idx="2">
                  <c:v>200.30130778602108</c:v>
                </c:pt>
                <c:pt idx="3">
                  <c:v>196.53026059151313</c:v>
                </c:pt>
                <c:pt idx="4" formatCode="General">
                  <c:v>235.52132904168204</c:v>
                </c:pt>
                <c:pt idx="5" formatCode="General">
                  <c:v>274.51239749185095</c:v>
                </c:pt>
                <c:pt idx="6" formatCode="General">
                  <c:v>313.50346594201983</c:v>
                </c:pt>
                <c:pt idx="7">
                  <c:v>352.49453439218871</c:v>
                </c:pt>
                <c:pt idx="8" formatCode="General">
                  <c:v>353.42678946644969</c:v>
                </c:pt>
                <c:pt idx="9" formatCode="General">
                  <c:v>354.35904454071073</c:v>
                </c:pt>
                <c:pt idx="10" formatCode="General">
                  <c:v>355.29129961497176</c:v>
                </c:pt>
                <c:pt idx="11" formatCode="General">
                  <c:v>356.22355468923274</c:v>
                </c:pt>
                <c:pt idx="12" formatCode="General">
                  <c:v>357.15580976349378</c:v>
                </c:pt>
                <c:pt idx="13" formatCode="General">
                  <c:v>358.08806483775481</c:v>
                </c:pt>
                <c:pt idx="14" formatCode="General">
                  <c:v>359.02031991201579</c:v>
                </c:pt>
                <c:pt idx="15" formatCode="General">
                  <c:v>359.95257498627683</c:v>
                </c:pt>
                <c:pt idx="16" formatCode="General">
                  <c:v>360.88483006053787</c:v>
                </c:pt>
                <c:pt idx="17" formatCode="General">
                  <c:v>361.81708513479884</c:v>
                </c:pt>
                <c:pt idx="18" formatCode="General">
                  <c:v>362.74934020905988</c:v>
                </c:pt>
                <c:pt idx="19" formatCode="General">
                  <c:v>363.68159528332092</c:v>
                </c:pt>
                <c:pt idx="20" formatCode="General">
                  <c:v>364.6138503575819</c:v>
                </c:pt>
                <c:pt idx="21" formatCode="General">
                  <c:v>365.54610543184293</c:v>
                </c:pt>
                <c:pt idx="22" formatCode="General">
                  <c:v>366.47836050610397</c:v>
                </c:pt>
                <c:pt idx="23">
                  <c:v>367.41061558036495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71-4E57-A6D9-C2169D3EB26A}"/>
            </c:ext>
          </c:extLst>
        </c:ser>
        <c:ser>
          <c:idx val="1"/>
          <c:order val="4"/>
          <c:tx>
            <c:strRef>
              <c:f>'Area plots'!$C$2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ysClr val="window" lastClr="FFFFFF"/>
            </a:solidFill>
            <a:ln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plots'!$C$3:$C$26</c:f>
              <c:numCache>
                <c:formatCode>0.0</c:formatCode>
                <c:ptCount val="24"/>
                <c:pt idx="0">
                  <c:v>40.988224943600798</c:v>
                </c:pt>
                <c:pt idx="1">
                  <c:v>16.042985649926919</c:v>
                </c:pt>
                <c:pt idx="2">
                  <c:v>149.14254113783142</c:v>
                </c:pt>
                <c:pt idx="3">
                  <c:v>91.053698120079787</c:v>
                </c:pt>
                <c:pt idx="4" formatCode="General">
                  <c:v>109.0320631695317</c:v>
                </c:pt>
                <c:pt idx="5" formatCode="General">
                  <c:v>127.01042821898361</c:v>
                </c:pt>
                <c:pt idx="6" formatCode="General">
                  <c:v>144.98879326843553</c:v>
                </c:pt>
                <c:pt idx="7">
                  <c:v>162.96715831788742</c:v>
                </c:pt>
                <c:pt idx="8" formatCode="General">
                  <c:v>170.08782781185917</c:v>
                </c:pt>
                <c:pt idx="9" formatCode="General">
                  <c:v>177.20849730583092</c:v>
                </c:pt>
                <c:pt idx="10" formatCode="General">
                  <c:v>184.32916679980269</c:v>
                </c:pt>
                <c:pt idx="11" formatCode="General">
                  <c:v>191.44983629377444</c:v>
                </c:pt>
                <c:pt idx="12" formatCode="General">
                  <c:v>198.57050578774619</c:v>
                </c:pt>
                <c:pt idx="13" formatCode="General">
                  <c:v>205.69117528171796</c:v>
                </c:pt>
                <c:pt idx="14" formatCode="General">
                  <c:v>212.81184477568971</c:v>
                </c:pt>
                <c:pt idx="15" formatCode="General">
                  <c:v>219.93251426966145</c:v>
                </c:pt>
                <c:pt idx="16" formatCode="General">
                  <c:v>227.0531837636332</c:v>
                </c:pt>
                <c:pt idx="17" formatCode="General">
                  <c:v>234.17385325760495</c:v>
                </c:pt>
                <c:pt idx="18" formatCode="General">
                  <c:v>241.29452275157672</c:v>
                </c:pt>
                <c:pt idx="19" formatCode="General">
                  <c:v>248.41519224554847</c:v>
                </c:pt>
                <c:pt idx="20" formatCode="General">
                  <c:v>255.53586173952021</c:v>
                </c:pt>
                <c:pt idx="21" formatCode="General">
                  <c:v>262.65653123349199</c:v>
                </c:pt>
                <c:pt idx="22" formatCode="General">
                  <c:v>269.77720072746376</c:v>
                </c:pt>
                <c:pt idx="23">
                  <c:v>276.89787022143548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71-4E57-A6D9-C2169D3EB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873432"/>
        <c:axId val="581869168"/>
      </c:areaChart>
      <c:lineChart>
        <c:grouping val="standard"/>
        <c:varyColors val="0"/>
        <c:ser>
          <c:idx val="5"/>
          <c:order val="2"/>
          <c:tx>
            <c:strRef>
              <c:f>'Area plots'!$S$2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plots'!$S$3:$S$26</c:f>
              <c:numCache>
                <c:formatCode>0.0</c:formatCode>
                <c:ptCount val="24"/>
                <c:pt idx="0">
                  <c:v>107.07799965614522</c:v>
                </c:pt>
                <c:pt idx="1">
                  <c:v>215.59289175531634</c:v>
                </c:pt>
                <c:pt idx="2">
                  <c:v>308.02982335365323</c:v>
                </c:pt>
                <c:pt idx="3">
                  <c:v>421.92616912292556</c:v>
                </c:pt>
                <c:pt idx="4" formatCode="General">
                  <c:v>458.17335776705954</c:v>
                </c:pt>
                <c:pt idx="5" formatCode="General">
                  <c:v>494.42054641119347</c:v>
                </c:pt>
                <c:pt idx="6" formatCode="General">
                  <c:v>530.6677350553274</c:v>
                </c:pt>
                <c:pt idx="7" formatCode="General">
                  <c:v>566.91492369946138</c:v>
                </c:pt>
                <c:pt idx="8" formatCode="General">
                  <c:v>578.81639707419617</c:v>
                </c:pt>
                <c:pt idx="9" formatCode="General">
                  <c:v>590.71787044893108</c:v>
                </c:pt>
                <c:pt idx="10" formatCode="General">
                  <c:v>602.61934382366599</c:v>
                </c:pt>
                <c:pt idx="11" formatCode="General">
                  <c:v>614.52081719840089</c:v>
                </c:pt>
                <c:pt idx="12" formatCode="General">
                  <c:v>626.4222905731358</c:v>
                </c:pt>
                <c:pt idx="13" formatCode="General">
                  <c:v>638.32376394787059</c:v>
                </c:pt>
                <c:pt idx="14" formatCode="General">
                  <c:v>650.22523732260538</c:v>
                </c:pt>
                <c:pt idx="15" formatCode="General">
                  <c:v>662.12671069734029</c:v>
                </c:pt>
                <c:pt idx="16" formatCode="General">
                  <c:v>674.02818407207519</c:v>
                </c:pt>
                <c:pt idx="17" formatCode="General">
                  <c:v>685.9296574468101</c:v>
                </c:pt>
                <c:pt idx="18" formatCode="General">
                  <c:v>697.831130821545</c:v>
                </c:pt>
                <c:pt idx="19" formatCode="General">
                  <c:v>709.73260419627979</c:v>
                </c:pt>
                <c:pt idx="20" formatCode="General">
                  <c:v>721.63407757101459</c:v>
                </c:pt>
                <c:pt idx="21" formatCode="General">
                  <c:v>733.53555094574949</c:v>
                </c:pt>
                <c:pt idx="22" formatCode="General">
                  <c:v>745.4370243204844</c:v>
                </c:pt>
                <c:pt idx="23" formatCode="General">
                  <c:v>757.3384976952193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71-4E57-A6D9-C2169D3EB26A}"/>
            </c:ext>
          </c:extLst>
        </c:ser>
        <c:ser>
          <c:idx val="2"/>
          <c:order val="5"/>
          <c:tx>
            <c:strRef>
              <c:f>'Area plots'!$D$2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plots'!$D$3:$D$26</c:f>
              <c:numCache>
                <c:formatCode>0.0</c:formatCode>
                <c:ptCount val="24"/>
                <c:pt idx="0">
                  <c:v>61.620616624675243</c:v>
                </c:pt>
                <c:pt idx="1">
                  <c:v>27.59103667560878</c:v>
                </c:pt>
                <c:pt idx="2">
                  <c:v>174.72192446192625</c:v>
                </c:pt>
                <c:pt idx="3">
                  <c:v>143.79197935579646</c:v>
                </c:pt>
                <c:pt idx="4" formatCode="General">
                  <c:v>172.27669610560685</c:v>
                </c:pt>
                <c:pt idx="5" formatCode="General">
                  <c:v>200.76141285541726</c:v>
                </c:pt>
                <c:pt idx="6" formatCode="General">
                  <c:v>229.24612960522768</c:v>
                </c:pt>
                <c:pt idx="7">
                  <c:v>257.73084635503807</c:v>
                </c:pt>
                <c:pt idx="8" formatCode="General">
                  <c:v>261.75730863915442</c:v>
                </c:pt>
                <c:pt idx="9" formatCode="General">
                  <c:v>265.78377092327082</c:v>
                </c:pt>
                <c:pt idx="10" formatCode="General">
                  <c:v>269.81023320738723</c:v>
                </c:pt>
                <c:pt idx="11" formatCode="General">
                  <c:v>273.83669549150363</c:v>
                </c:pt>
                <c:pt idx="12" formatCode="General">
                  <c:v>277.86315777562004</c:v>
                </c:pt>
                <c:pt idx="13" formatCode="General">
                  <c:v>281.88962005973639</c:v>
                </c:pt>
                <c:pt idx="14" formatCode="General">
                  <c:v>285.91608234385274</c:v>
                </c:pt>
                <c:pt idx="15" formatCode="General">
                  <c:v>289.94254462796914</c:v>
                </c:pt>
                <c:pt idx="16" formatCode="General">
                  <c:v>293.96900691208555</c:v>
                </c:pt>
                <c:pt idx="17" formatCode="General">
                  <c:v>297.9954691962019</c:v>
                </c:pt>
                <c:pt idx="18" formatCode="General">
                  <c:v>302.02193148031824</c:v>
                </c:pt>
                <c:pt idx="19" formatCode="General">
                  <c:v>306.04839376443465</c:v>
                </c:pt>
                <c:pt idx="20" formatCode="General">
                  <c:v>310.07485604855106</c:v>
                </c:pt>
                <c:pt idx="21" formatCode="General">
                  <c:v>314.10131833266746</c:v>
                </c:pt>
                <c:pt idx="22" formatCode="General">
                  <c:v>318.12778061678387</c:v>
                </c:pt>
                <c:pt idx="23">
                  <c:v>322.15424290090021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71-4E57-A6D9-C2169D3EB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873432"/>
        <c:axId val="581869168"/>
      </c:lineChart>
      <c:catAx>
        <c:axId val="58187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 (mins)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69168"/>
        <c:crosses val="autoZero"/>
        <c:auto val="1"/>
        <c:lblAlgn val="ctr"/>
        <c:lblOffset val="100"/>
        <c:noMultiLvlLbl val="0"/>
      </c:catAx>
      <c:valAx>
        <c:axId val="581869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Zinc release (ug)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73432"/>
        <c:crosses val="autoZero"/>
        <c:crossBetween val="between"/>
      </c:valAx>
    </c:plotArea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Zinc Acetate</a:t>
            </a:r>
            <a:r>
              <a:rPr lang="en-GB" baseline="0"/>
              <a:t> Release Profiles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125603335368364E-2"/>
          <c:y val="0.15782407407407409"/>
          <c:w val="0.87175279034454689"/>
          <c:h val="0.58509660250801987"/>
        </c:manualLayout>
      </c:layout>
      <c:areaChart>
        <c:grouping val="standard"/>
        <c:varyColors val="0"/>
        <c:ser>
          <c:idx val="0"/>
          <c:order val="0"/>
          <c:tx>
            <c:strRef>
              <c:f>'Area plots'!$G$2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plots'!$G$3:$G$26</c:f>
              <c:numCache>
                <c:formatCode>0.0</c:formatCode>
                <c:ptCount val="24"/>
                <c:pt idx="0">
                  <c:v>34.562674535398493</c:v>
                </c:pt>
                <c:pt idx="1">
                  <c:v>33.370978121472696</c:v>
                </c:pt>
                <c:pt idx="2">
                  <c:v>34.449315166901087</c:v>
                </c:pt>
                <c:pt idx="3">
                  <c:v>34.619502266681614</c:v>
                </c:pt>
                <c:pt idx="4" formatCode="General">
                  <c:v>33.912627412784332</c:v>
                </c:pt>
                <c:pt idx="5" formatCode="General">
                  <c:v>33.205752558887042</c:v>
                </c:pt>
                <c:pt idx="6" formatCode="General">
                  <c:v>32.498877704989752</c:v>
                </c:pt>
                <c:pt idx="7">
                  <c:v>31.792002851092466</c:v>
                </c:pt>
                <c:pt idx="8" formatCode="General">
                  <c:v>32.195960775007485</c:v>
                </c:pt>
                <c:pt idx="9" formatCode="General">
                  <c:v>32.599918698922508</c:v>
                </c:pt>
                <c:pt idx="10" formatCode="General">
                  <c:v>33.003876622837531</c:v>
                </c:pt>
                <c:pt idx="11" formatCode="General">
                  <c:v>33.407834546752554</c:v>
                </c:pt>
                <c:pt idx="12" formatCode="General">
                  <c:v>33.811792470667577</c:v>
                </c:pt>
                <c:pt idx="13" formatCode="General">
                  <c:v>34.215750394582599</c:v>
                </c:pt>
                <c:pt idx="14" formatCode="General">
                  <c:v>34.619708318497615</c:v>
                </c:pt>
                <c:pt idx="15" formatCode="General">
                  <c:v>35.023666242412638</c:v>
                </c:pt>
                <c:pt idx="16" formatCode="General">
                  <c:v>35.427624166327661</c:v>
                </c:pt>
                <c:pt idx="17" formatCode="General">
                  <c:v>35.831582090242676</c:v>
                </c:pt>
                <c:pt idx="18" formatCode="General">
                  <c:v>36.235540014157699</c:v>
                </c:pt>
                <c:pt idx="19" formatCode="General">
                  <c:v>36.639497938072722</c:v>
                </c:pt>
                <c:pt idx="20" formatCode="General">
                  <c:v>37.043455861987745</c:v>
                </c:pt>
                <c:pt idx="21" formatCode="General">
                  <c:v>37.447413785902768</c:v>
                </c:pt>
                <c:pt idx="22" formatCode="General">
                  <c:v>37.851371709817784</c:v>
                </c:pt>
                <c:pt idx="23">
                  <c:v>38.255329633732806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4-4098-9DB0-DE8C06CB127C}"/>
            </c:ext>
          </c:extLst>
        </c:ser>
        <c:ser>
          <c:idx val="1"/>
          <c:order val="1"/>
          <c:tx>
            <c:strRef>
              <c:f>'Area plots'!$H$2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plots'!$H$3:$H$26</c:f>
              <c:numCache>
                <c:formatCode>0.0</c:formatCode>
                <c:ptCount val="24"/>
                <c:pt idx="0">
                  <c:v>10.650707243527584</c:v>
                </c:pt>
                <c:pt idx="1">
                  <c:v>17.341013094969803</c:v>
                </c:pt>
                <c:pt idx="2">
                  <c:v>28.075174523150235</c:v>
                </c:pt>
                <c:pt idx="3">
                  <c:v>10.242279799626267</c:v>
                </c:pt>
                <c:pt idx="4" formatCode="General">
                  <c:v>12.266295870632138</c:v>
                </c:pt>
                <c:pt idx="5" formatCode="General">
                  <c:v>14.290311941638011</c:v>
                </c:pt>
                <c:pt idx="6" formatCode="General">
                  <c:v>16.314328012643884</c:v>
                </c:pt>
                <c:pt idx="7">
                  <c:v>18.338344083649755</c:v>
                </c:pt>
                <c:pt idx="8" formatCode="General">
                  <c:v>18.686222059714645</c:v>
                </c:pt>
                <c:pt idx="9" formatCode="General">
                  <c:v>19.034100035779531</c:v>
                </c:pt>
                <c:pt idx="10" formatCode="General">
                  <c:v>19.381978011844421</c:v>
                </c:pt>
                <c:pt idx="11" formatCode="General">
                  <c:v>19.72985598790931</c:v>
                </c:pt>
                <c:pt idx="12" formatCode="General">
                  <c:v>20.0777339639742</c:v>
                </c:pt>
                <c:pt idx="13" formatCode="General">
                  <c:v>20.42561194003909</c:v>
                </c:pt>
                <c:pt idx="14" formatCode="General">
                  <c:v>20.77348991610398</c:v>
                </c:pt>
                <c:pt idx="15" formatCode="General">
                  <c:v>21.12136789216887</c:v>
                </c:pt>
                <c:pt idx="16" formatCode="General">
                  <c:v>21.469245868233759</c:v>
                </c:pt>
                <c:pt idx="17" formatCode="General">
                  <c:v>21.817123844298649</c:v>
                </c:pt>
                <c:pt idx="18" formatCode="General">
                  <c:v>22.165001820363536</c:v>
                </c:pt>
                <c:pt idx="19" formatCode="General">
                  <c:v>22.512879796428425</c:v>
                </c:pt>
                <c:pt idx="20" formatCode="General">
                  <c:v>22.860757772493315</c:v>
                </c:pt>
                <c:pt idx="21" formatCode="General">
                  <c:v>23.208635748558201</c:v>
                </c:pt>
                <c:pt idx="22" formatCode="General">
                  <c:v>23.556513724623091</c:v>
                </c:pt>
                <c:pt idx="23">
                  <c:v>23.904391700687981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4-4098-9DB0-DE8C06CB1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873432"/>
        <c:axId val="581869168"/>
      </c:areaChart>
      <c:lineChart>
        <c:grouping val="standard"/>
        <c:varyColors val="0"/>
        <c:ser>
          <c:idx val="2"/>
          <c:order val="2"/>
          <c:tx>
            <c:strRef>
              <c:f>'Area plots'!$I$2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plots'!$I$3:$I$26</c:f>
              <c:numCache>
                <c:formatCode>0.0</c:formatCode>
                <c:ptCount val="24"/>
                <c:pt idx="0">
                  <c:v>22.606690889463039</c:v>
                </c:pt>
                <c:pt idx="1">
                  <c:v>25.355995608221249</c:v>
                </c:pt>
                <c:pt idx="2">
                  <c:v>31.262244845025663</c:v>
                </c:pt>
                <c:pt idx="3">
                  <c:v>22.430891033153941</c:v>
                </c:pt>
                <c:pt idx="4" formatCode="General">
                  <c:v>23.089461641708233</c:v>
                </c:pt>
                <c:pt idx="5" formatCode="General">
                  <c:v>23.748032250262526</c:v>
                </c:pt>
                <c:pt idx="6" formatCode="General">
                  <c:v>24.406602858816818</c:v>
                </c:pt>
                <c:pt idx="7">
                  <c:v>25.06517346737111</c:v>
                </c:pt>
                <c:pt idx="8" formatCode="General">
                  <c:v>25.469131391286133</c:v>
                </c:pt>
                <c:pt idx="9" formatCode="General">
                  <c:v>25.873089315201153</c:v>
                </c:pt>
                <c:pt idx="10" formatCode="General">
                  <c:v>26.277047239116172</c:v>
                </c:pt>
                <c:pt idx="11" formatCode="General">
                  <c:v>26.681005163031195</c:v>
                </c:pt>
                <c:pt idx="12" formatCode="General">
                  <c:v>27.084963086946217</c:v>
                </c:pt>
                <c:pt idx="13" formatCode="General">
                  <c:v>27.488921010861237</c:v>
                </c:pt>
                <c:pt idx="14" formatCode="General">
                  <c:v>27.892878934776256</c:v>
                </c:pt>
                <c:pt idx="15" formatCode="General">
                  <c:v>28.296836858691279</c:v>
                </c:pt>
                <c:pt idx="16" formatCode="General">
                  <c:v>28.700794782606302</c:v>
                </c:pt>
                <c:pt idx="17" formatCode="General">
                  <c:v>29.104752706521321</c:v>
                </c:pt>
                <c:pt idx="18" formatCode="General">
                  <c:v>29.50871063043634</c:v>
                </c:pt>
                <c:pt idx="19" formatCode="General">
                  <c:v>29.912668554351363</c:v>
                </c:pt>
                <c:pt idx="20" formatCode="General">
                  <c:v>30.316626478266386</c:v>
                </c:pt>
                <c:pt idx="21" formatCode="General">
                  <c:v>30.720584402181409</c:v>
                </c:pt>
                <c:pt idx="22" formatCode="General">
                  <c:v>31.124542326096432</c:v>
                </c:pt>
                <c:pt idx="23">
                  <c:v>31.528500250011451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4-4098-9DB0-DE8C06CB1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873432"/>
        <c:axId val="581869168"/>
      </c:lineChart>
      <c:catAx>
        <c:axId val="5818734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69168"/>
        <c:crosses val="autoZero"/>
        <c:auto val="1"/>
        <c:lblAlgn val="ctr"/>
        <c:lblOffset val="100"/>
        <c:noMultiLvlLbl val="0"/>
      </c:catAx>
      <c:valAx>
        <c:axId val="58186916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7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Zinc Acetate</a:t>
            </a:r>
            <a:r>
              <a:rPr lang="en-GB" baseline="0"/>
              <a:t> Release Profiles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767959427159111"/>
          <c:y val="0.15782407407407409"/>
          <c:w val="0.80719889784489318"/>
          <c:h val="0.6204485985766407"/>
        </c:manualLayout>
      </c:layout>
      <c:areaChart>
        <c:grouping val="standard"/>
        <c:varyColors val="0"/>
        <c:ser>
          <c:idx val="3"/>
          <c:order val="0"/>
          <c:tx>
            <c:strRef>
              <c:f>'Area plots'!$L$2</c:f>
              <c:strCache>
                <c:ptCount val="1"/>
                <c:pt idx="0">
                  <c:v>upper</c:v>
                </c:pt>
              </c:strCache>
            </c:strRef>
          </c:tx>
          <c:spPr>
            <a:ln w="25400"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plots'!$L$3:$L$26</c:f>
              <c:numCache>
                <c:formatCode>0.0</c:formatCode>
                <c:ptCount val="24"/>
                <c:pt idx="0">
                  <c:v>59.714742319314666</c:v>
                </c:pt>
                <c:pt idx="1">
                  <c:v>53.922278974782728</c:v>
                </c:pt>
                <c:pt idx="2">
                  <c:v>80.38909548865837</c:v>
                </c:pt>
                <c:pt idx="3">
                  <c:v>94.880994238917566</c:v>
                </c:pt>
                <c:pt idx="4" formatCode="General">
                  <c:v>119.31167647856641</c:v>
                </c:pt>
                <c:pt idx="5" formatCode="General">
                  <c:v>143.74235871821526</c:v>
                </c:pt>
                <c:pt idx="6" formatCode="General">
                  <c:v>168.17304095786412</c:v>
                </c:pt>
                <c:pt idx="7">
                  <c:v>192.60372319751298</c:v>
                </c:pt>
                <c:pt idx="8" formatCode="General">
                  <c:v>199.00022058671129</c:v>
                </c:pt>
                <c:pt idx="9" formatCode="General">
                  <c:v>205.39671797590961</c:v>
                </c:pt>
                <c:pt idx="10" formatCode="General">
                  <c:v>211.79321536510793</c:v>
                </c:pt>
                <c:pt idx="11" formatCode="General">
                  <c:v>218.18971275430624</c:v>
                </c:pt>
                <c:pt idx="12" formatCode="General">
                  <c:v>224.58621014350456</c:v>
                </c:pt>
                <c:pt idx="13" formatCode="General">
                  <c:v>230.98270753270288</c:v>
                </c:pt>
                <c:pt idx="14" formatCode="General">
                  <c:v>237.37920492190119</c:v>
                </c:pt>
                <c:pt idx="15" formatCode="General">
                  <c:v>243.77570231109954</c:v>
                </c:pt>
                <c:pt idx="16" formatCode="General">
                  <c:v>250.17219970029788</c:v>
                </c:pt>
                <c:pt idx="17" formatCode="General">
                  <c:v>256.5686970894962</c:v>
                </c:pt>
                <c:pt idx="18" formatCode="General">
                  <c:v>262.96519447869451</c:v>
                </c:pt>
                <c:pt idx="19" formatCode="General">
                  <c:v>269.36169186789283</c:v>
                </c:pt>
                <c:pt idx="20" formatCode="General">
                  <c:v>275.75818925709115</c:v>
                </c:pt>
                <c:pt idx="21" formatCode="General">
                  <c:v>282.15468664628946</c:v>
                </c:pt>
                <c:pt idx="22" formatCode="General">
                  <c:v>288.55118403548778</c:v>
                </c:pt>
                <c:pt idx="23">
                  <c:v>294.9476814246861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E-48D0-B040-75012BCD3D7F}"/>
            </c:ext>
          </c:extLst>
        </c:ser>
        <c:ser>
          <c:idx val="4"/>
          <c:order val="1"/>
          <c:tx>
            <c:strRef>
              <c:f>'Area plots'!$M$2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chemeClr val="bg1"/>
            </a:solidFill>
            <a:ln w="25400"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plots'!$M$3:$M$26</c:f>
              <c:numCache>
                <c:formatCode>0.0</c:formatCode>
                <c:ptCount val="24"/>
                <c:pt idx="0">
                  <c:v>32.054420043314607</c:v>
                </c:pt>
                <c:pt idx="1">
                  <c:v>23.817998687844224</c:v>
                </c:pt>
                <c:pt idx="2">
                  <c:v>26.542174358312074</c:v>
                </c:pt>
                <c:pt idx="3">
                  <c:v>15.095302732685433</c:v>
                </c:pt>
                <c:pt idx="4" formatCode="General">
                  <c:v>39.175560625557779</c:v>
                </c:pt>
                <c:pt idx="5" formatCode="General">
                  <c:v>63.255818518430132</c:v>
                </c:pt>
                <c:pt idx="6" formatCode="General">
                  <c:v>87.336076411302486</c:v>
                </c:pt>
                <c:pt idx="7">
                  <c:v>111.41633430417482</c:v>
                </c:pt>
                <c:pt idx="8" formatCode="General">
                  <c:v>114.29447082221964</c:v>
                </c:pt>
                <c:pt idx="9" formatCode="General">
                  <c:v>117.17260734026443</c:v>
                </c:pt>
                <c:pt idx="10" formatCode="General">
                  <c:v>120.05074385830923</c:v>
                </c:pt>
                <c:pt idx="11" formatCode="General">
                  <c:v>122.92888037635404</c:v>
                </c:pt>
                <c:pt idx="12" formatCode="General">
                  <c:v>125.80701689439884</c:v>
                </c:pt>
                <c:pt idx="13" formatCode="General">
                  <c:v>128.68515341244364</c:v>
                </c:pt>
                <c:pt idx="14" formatCode="General">
                  <c:v>131.56328993048845</c:v>
                </c:pt>
                <c:pt idx="15" formatCode="General">
                  <c:v>134.44142644853326</c:v>
                </c:pt>
                <c:pt idx="16" formatCode="General">
                  <c:v>137.31956296657808</c:v>
                </c:pt>
                <c:pt idx="17" formatCode="General">
                  <c:v>140.19769948462289</c:v>
                </c:pt>
                <c:pt idx="18" formatCode="General">
                  <c:v>143.0758360026677</c:v>
                </c:pt>
                <c:pt idx="19" formatCode="General">
                  <c:v>145.95397252071248</c:v>
                </c:pt>
                <c:pt idx="20" formatCode="General">
                  <c:v>148.83210903875727</c:v>
                </c:pt>
                <c:pt idx="21" formatCode="General">
                  <c:v>151.71024555680208</c:v>
                </c:pt>
                <c:pt idx="22" formatCode="General">
                  <c:v>154.58838207484689</c:v>
                </c:pt>
                <c:pt idx="23">
                  <c:v>157.4665185928917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FE-48D0-B040-75012BCD3D7F}"/>
            </c:ext>
          </c:extLst>
        </c:ser>
        <c:ser>
          <c:idx val="0"/>
          <c:order val="3"/>
          <c:tx>
            <c:strRef>
              <c:f>'Area plots'!$G$2</c:f>
              <c:strCache>
                <c:ptCount val="1"/>
                <c:pt idx="0">
                  <c:v>upper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plots'!$G$3:$G$26</c:f>
              <c:numCache>
                <c:formatCode>0.0</c:formatCode>
                <c:ptCount val="24"/>
                <c:pt idx="0">
                  <c:v>34.562674535398493</c:v>
                </c:pt>
                <c:pt idx="1">
                  <c:v>33.370978121472696</c:v>
                </c:pt>
                <c:pt idx="2">
                  <c:v>34.449315166901087</c:v>
                </c:pt>
                <c:pt idx="3">
                  <c:v>34.619502266681614</c:v>
                </c:pt>
                <c:pt idx="4" formatCode="General">
                  <c:v>33.912627412784332</c:v>
                </c:pt>
                <c:pt idx="5" formatCode="General">
                  <c:v>33.205752558887042</c:v>
                </c:pt>
                <c:pt idx="6" formatCode="General">
                  <c:v>32.498877704989752</c:v>
                </c:pt>
                <c:pt idx="7">
                  <c:v>31.792002851092466</c:v>
                </c:pt>
                <c:pt idx="8" formatCode="General">
                  <c:v>32.195960775007485</c:v>
                </c:pt>
                <c:pt idx="9" formatCode="General">
                  <c:v>32.599918698922508</c:v>
                </c:pt>
                <c:pt idx="10" formatCode="General">
                  <c:v>33.003876622837531</c:v>
                </c:pt>
                <c:pt idx="11" formatCode="General">
                  <c:v>33.407834546752554</c:v>
                </c:pt>
                <c:pt idx="12" formatCode="General">
                  <c:v>33.811792470667577</c:v>
                </c:pt>
                <c:pt idx="13" formatCode="General">
                  <c:v>34.215750394582599</c:v>
                </c:pt>
                <c:pt idx="14" formatCode="General">
                  <c:v>34.619708318497615</c:v>
                </c:pt>
                <c:pt idx="15" formatCode="General">
                  <c:v>35.023666242412638</c:v>
                </c:pt>
                <c:pt idx="16" formatCode="General">
                  <c:v>35.427624166327661</c:v>
                </c:pt>
                <c:pt idx="17" formatCode="General">
                  <c:v>35.831582090242676</c:v>
                </c:pt>
                <c:pt idx="18" formatCode="General">
                  <c:v>36.235540014157699</c:v>
                </c:pt>
                <c:pt idx="19" formatCode="General">
                  <c:v>36.639497938072722</c:v>
                </c:pt>
                <c:pt idx="20" formatCode="General">
                  <c:v>37.043455861987745</c:v>
                </c:pt>
                <c:pt idx="21" formatCode="General">
                  <c:v>37.447413785902768</c:v>
                </c:pt>
                <c:pt idx="22" formatCode="General">
                  <c:v>37.851371709817784</c:v>
                </c:pt>
                <c:pt idx="23">
                  <c:v>38.255329633732806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FE-48D0-B040-75012BCD3D7F}"/>
            </c:ext>
          </c:extLst>
        </c:ser>
        <c:ser>
          <c:idx val="1"/>
          <c:order val="4"/>
          <c:tx>
            <c:strRef>
              <c:f>'Area plots'!$H$2</c:f>
              <c:strCache>
                <c:ptCount val="1"/>
                <c:pt idx="0">
                  <c:v>lower</c:v>
                </c:pt>
              </c:strCache>
            </c:strRef>
          </c:tx>
          <c:spPr>
            <a:solidFill>
              <a:sysClr val="window" lastClr="FFFFFF"/>
            </a:solidFill>
            <a:ln w="25400">
              <a:noFill/>
            </a:ln>
            <a:effectLst/>
          </c:spP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plots'!$H$3:$H$26</c:f>
              <c:numCache>
                <c:formatCode>0.0</c:formatCode>
                <c:ptCount val="24"/>
                <c:pt idx="0">
                  <c:v>10.650707243527584</c:v>
                </c:pt>
                <c:pt idx="1">
                  <c:v>17.341013094969803</c:v>
                </c:pt>
                <c:pt idx="2">
                  <c:v>28.075174523150235</c:v>
                </c:pt>
                <c:pt idx="3">
                  <c:v>10.242279799626267</c:v>
                </c:pt>
                <c:pt idx="4" formatCode="General">
                  <c:v>12.266295870632138</c:v>
                </c:pt>
                <c:pt idx="5" formatCode="General">
                  <c:v>14.290311941638011</c:v>
                </c:pt>
                <c:pt idx="6" formatCode="General">
                  <c:v>16.314328012643884</c:v>
                </c:pt>
                <c:pt idx="7">
                  <c:v>18.338344083649755</c:v>
                </c:pt>
                <c:pt idx="8" formatCode="General">
                  <c:v>18.686222059714645</c:v>
                </c:pt>
                <c:pt idx="9" formatCode="General">
                  <c:v>19.034100035779531</c:v>
                </c:pt>
                <c:pt idx="10" formatCode="General">
                  <c:v>19.381978011844421</c:v>
                </c:pt>
                <c:pt idx="11" formatCode="General">
                  <c:v>19.72985598790931</c:v>
                </c:pt>
                <c:pt idx="12" formatCode="General">
                  <c:v>20.0777339639742</c:v>
                </c:pt>
                <c:pt idx="13" formatCode="General">
                  <c:v>20.42561194003909</c:v>
                </c:pt>
                <c:pt idx="14" formatCode="General">
                  <c:v>20.77348991610398</c:v>
                </c:pt>
                <c:pt idx="15" formatCode="General">
                  <c:v>21.12136789216887</c:v>
                </c:pt>
                <c:pt idx="16" formatCode="General">
                  <c:v>21.469245868233759</c:v>
                </c:pt>
                <c:pt idx="17" formatCode="General">
                  <c:v>21.817123844298649</c:v>
                </c:pt>
                <c:pt idx="18" formatCode="General">
                  <c:v>22.165001820363536</c:v>
                </c:pt>
                <c:pt idx="19" formatCode="General">
                  <c:v>22.512879796428425</c:v>
                </c:pt>
                <c:pt idx="20" formatCode="General">
                  <c:v>22.860757772493315</c:v>
                </c:pt>
                <c:pt idx="21" formatCode="General">
                  <c:v>23.208635748558201</c:v>
                </c:pt>
                <c:pt idx="22" formatCode="General">
                  <c:v>23.556513724623091</c:v>
                </c:pt>
                <c:pt idx="23">
                  <c:v>23.904391700687981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FE-48D0-B040-75012BCD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873432"/>
        <c:axId val="581869168"/>
      </c:areaChart>
      <c:lineChart>
        <c:grouping val="standard"/>
        <c:varyColors val="0"/>
        <c:ser>
          <c:idx val="5"/>
          <c:order val="2"/>
          <c:tx>
            <c:strRef>
              <c:f>'Area plots'!$N$2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plots'!$N$3:$N$26</c:f>
              <c:numCache>
                <c:formatCode>0.0</c:formatCode>
                <c:ptCount val="24"/>
                <c:pt idx="0">
                  <c:v>45.884581181314637</c:v>
                </c:pt>
                <c:pt idx="1">
                  <c:v>38.870138831313476</c:v>
                </c:pt>
                <c:pt idx="2">
                  <c:v>53.465634923485219</c:v>
                </c:pt>
                <c:pt idx="3">
                  <c:v>54.988148485801496</c:v>
                </c:pt>
                <c:pt idx="4" formatCode="General">
                  <c:v>79.243618552062102</c:v>
                </c:pt>
                <c:pt idx="5" formatCode="General">
                  <c:v>103.4990886183227</c:v>
                </c:pt>
                <c:pt idx="6" formatCode="General">
                  <c:v>127.7545586845833</c:v>
                </c:pt>
                <c:pt idx="7">
                  <c:v>152.0100287508439</c:v>
                </c:pt>
                <c:pt idx="8" formatCode="General">
                  <c:v>156.64734570446547</c:v>
                </c:pt>
                <c:pt idx="9" formatCode="General">
                  <c:v>161.28466265808703</c:v>
                </c:pt>
                <c:pt idx="10" formatCode="General">
                  <c:v>165.92197961170859</c:v>
                </c:pt>
                <c:pt idx="11" formatCode="General">
                  <c:v>170.55929656533016</c:v>
                </c:pt>
                <c:pt idx="12" formatCode="General">
                  <c:v>175.19661351895172</c:v>
                </c:pt>
                <c:pt idx="13" formatCode="General">
                  <c:v>179.83393047257329</c:v>
                </c:pt>
                <c:pt idx="14" formatCode="General">
                  <c:v>184.47124742619485</c:v>
                </c:pt>
                <c:pt idx="15" formatCode="General">
                  <c:v>189.10856437981641</c:v>
                </c:pt>
                <c:pt idx="16" formatCode="General">
                  <c:v>193.74588133343798</c:v>
                </c:pt>
                <c:pt idx="17" formatCode="General">
                  <c:v>198.38319828705954</c:v>
                </c:pt>
                <c:pt idx="18" formatCode="General">
                  <c:v>203.02051524068111</c:v>
                </c:pt>
                <c:pt idx="19" formatCode="General">
                  <c:v>207.65783219430267</c:v>
                </c:pt>
                <c:pt idx="20" formatCode="General">
                  <c:v>212.29514914792423</c:v>
                </c:pt>
                <c:pt idx="21" formatCode="General">
                  <c:v>216.9324661015458</c:v>
                </c:pt>
                <c:pt idx="22" formatCode="General">
                  <c:v>221.56978305516736</c:v>
                </c:pt>
                <c:pt idx="23">
                  <c:v>226.2071000087889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FE-48D0-B040-75012BCD3D7F}"/>
            </c:ext>
          </c:extLst>
        </c:ser>
        <c:ser>
          <c:idx val="2"/>
          <c:order val="5"/>
          <c:tx>
            <c:strRef>
              <c:f>'Area plots'!$I$2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'Area plots'!$A$3:$A$26</c:f>
              <c:numCache>
                <c:formatCode>0.0</c:formatCode>
                <c:ptCount val="2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115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</c:numCache>
            </c:numRef>
          </c:cat>
          <c:val>
            <c:numRef>
              <c:f>'Area plots'!$I$3:$I$26</c:f>
              <c:numCache>
                <c:formatCode>0.0</c:formatCode>
                <c:ptCount val="24"/>
                <c:pt idx="0">
                  <c:v>22.606690889463039</c:v>
                </c:pt>
                <c:pt idx="1">
                  <c:v>25.355995608221249</c:v>
                </c:pt>
                <c:pt idx="2">
                  <c:v>31.262244845025663</c:v>
                </c:pt>
                <c:pt idx="3">
                  <c:v>22.430891033153941</c:v>
                </c:pt>
                <c:pt idx="4" formatCode="General">
                  <c:v>23.089461641708233</c:v>
                </c:pt>
                <c:pt idx="5" formatCode="General">
                  <c:v>23.748032250262526</c:v>
                </c:pt>
                <c:pt idx="6" formatCode="General">
                  <c:v>24.406602858816818</c:v>
                </c:pt>
                <c:pt idx="7">
                  <c:v>25.06517346737111</c:v>
                </c:pt>
                <c:pt idx="8" formatCode="General">
                  <c:v>25.469131391286133</c:v>
                </c:pt>
                <c:pt idx="9" formatCode="General">
                  <c:v>25.873089315201153</c:v>
                </c:pt>
                <c:pt idx="10" formatCode="General">
                  <c:v>26.277047239116172</c:v>
                </c:pt>
                <c:pt idx="11" formatCode="General">
                  <c:v>26.681005163031195</c:v>
                </c:pt>
                <c:pt idx="12" formatCode="General">
                  <c:v>27.084963086946217</c:v>
                </c:pt>
                <c:pt idx="13" formatCode="General">
                  <c:v>27.488921010861237</c:v>
                </c:pt>
                <c:pt idx="14" formatCode="General">
                  <c:v>27.892878934776256</c:v>
                </c:pt>
                <c:pt idx="15" formatCode="General">
                  <c:v>28.296836858691279</c:v>
                </c:pt>
                <c:pt idx="16" formatCode="General">
                  <c:v>28.700794782606302</c:v>
                </c:pt>
                <c:pt idx="17" formatCode="General">
                  <c:v>29.104752706521321</c:v>
                </c:pt>
                <c:pt idx="18" formatCode="General">
                  <c:v>29.50871063043634</c:v>
                </c:pt>
                <c:pt idx="19" formatCode="General">
                  <c:v>29.912668554351363</c:v>
                </c:pt>
                <c:pt idx="20" formatCode="General">
                  <c:v>30.316626478266386</c:v>
                </c:pt>
                <c:pt idx="21" formatCode="General">
                  <c:v>30.720584402181409</c:v>
                </c:pt>
                <c:pt idx="22" formatCode="General">
                  <c:v>31.124542326096432</c:v>
                </c:pt>
                <c:pt idx="23">
                  <c:v>31.528500250011451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FE-48D0-B040-75012BCD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873432"/>
        <c:axId val="581869168"/>
      </c:lineChart>
      <c:catAx>
        <c:axId val="58187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 (mins)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69168"/>
        <c:crosses val="autoZero"/>
        <c:auto val="1"/>
        <c:lblAlgn val="ctr"/>
        <c:lblOffset val="100"/>
        <c:noMultiLvlLbl val="0"/>
      </c:catAx>
      <c:valAx>
        <c:axId val="581869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Zinc release (ug)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73432"/>
        <c:crosses val="autoZero"/>
        <c:crossBetween val="between"/>
      </c:valAx>
    </c:plotArea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20296553157426"/>
          <c:y val="4.3727150381865788E-2"/>
          <c:w val="0.73652955413492527"/>
          <c:h val="0.6384278992313933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'RESULTS SIZES'!$I$11</c:f>
              <c:strCache>
                <c:ptCount val="1"/>
                <c:pt idx="0">
                  <c:v>wet</c:v>
                </c:pt>
              </c:strCache>
            </c:strRef>
          </c:tx>
          <c:spPr>
            <a:ln w="1905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'RESULTS SIZES'!$J$12:$J$22</c:f>
                <c:numCache>
                  <c:formatCode>General</c:formatCode>
                  <c:ptCount val="11"/>
                  <c:pt idx="0">
                    <c:v>0.06</c:v>
                  </c:pt>
                  <c:pt idx="1">
                    <c:v>0.06</c:v>
                  </c:pt>
                  <c:pt idx="2">
                    <c:v>0.09</c:v>
                  </c:pt>
                  <c:pt idx="3">
                    <c:v>0.11</c:v>
                  </c:pt>
                  <c:pt idx="4">
                    <c:v>0.16</c:v>
                  </c:pt>
                  <c:pt idx="5">
                    <c:v>0.06</c:v>
                  </c:pt>
                  <c:pt idx="6">
                    <c:v>0.25</c:v>
                  </c:pt>
                  <c:pt idx="7">
                    <c:v>0.06</c:v>
                  </c:pt>
                  <c:pt idx="8">
                    <c:v>7.0000000000000007E-2</c:v>
                  </c:pt>
                  <c:pt idx="9">
                    <c:v>0.11</c:v>
                  </c:pt>
                  <c:pt idx="10">
                    <c:v>0.14000000000000001</c:v>
                  </c:pt>
                </c:numCache>
              </c:numRef>
            </c:plus>
            <c:minus>
              <c:numRef>
                <c:f>'RESULTS SIZES'!$J$12:$J$22</c:f>
                <c:numCache>
                  <c:formatCode>General</c:formatCode>
                  <c:ptCount val="11"/>
                  <c:pt idx="0">
                    <c:v>0.06</c:v>
                  </c:pt>
                  <c:pt idx="1">
                    <c:v>0.06</c:v>
                  </c:pt>
                  <c:pt idx="2">
                    <c:v>0.09</c:v>
                  </c:pt>
                  <c:pt idx="3">
                    <c:v>0.11</c:v>
                  </c:pt>
                  <c:pt idx="4">
                    <c:v>0.16</c:v>
                  </c:pt>
                  <c:pt idx="5">
                    <c:v>0.06</c:v>
                  </c:pt>
                  <c:pt idx="6">
                    <c:v>0.25</c:v>
                  </c:pt>
                  <c:pt idx="7">
                    <c:v>0.06</c:v>
                  </c:pt>
                  <c:pt idx="8">
                    <c:v>7.0000000000000007E-2</c:v>
                  </c:pt>
                  <c:pt idx="9">
                    <c:v>0.11</c:v>
                  </c:pt>
                  <c:pt idx="10">
                    <c:v>0.14000000000000001</c:v>
                  </c:pt>
                </c:numCache>
              </c:numRef>
            </c:minus>
          </c:errBars>
          <c:cat>
            <c:strRef>
              <c:f>'RESULTS SIZES'!$H$12:$H$22</c:f>
              <c:strCache>
                <c:ptCount val="11"/>
                <c:pt idx="0">
                  <c:v>Control antisolvent (DI H2O)</c:v>
                </c:pt>
                <c:pt idx="1">
                  <c:v>sulphate (1% wt. Zn)</c:v>
                </c:pt>
                <c:pt idx="2">
                  <c:v>sulphate (2% wt. Zn)</c:v>
                </c:pt>
                <c:pt idx="3">
                  <c:v>Sulphate (5% wt. Zn)</c:v>
                </c:pt>
                <c:pt idx="4">
                  <c:v>sulphate (12% wt. Zn)</c:v>
                </c:pt>
                <c:pt idx="5">
                  <c:v>chloride (1% wt. Zn)</c:v>
                </c:pt>
                <c:pt idx="6">
                  <c:v>Chloride (2% wt. Zn)</c:v>
                </c:pt>
                <c:pt idx="7">
                  <c:v>Chloride (5% wt. Zn)</c:v>
                </c:pt>
                <c:pt idx="8">
                  <c:v>acetate (1% wt. Zn)</c:v>
                </c:pt>
                <c:pt idx="9">
                  <c:v>acetate (2% wt. Zn)</c:v>
                </c:pt>
                <c:pt idx="10">
                  <c:v>acetate (5% wt. Zn)</c:v>
                </c:pt>
              </c:strCache>
            </c:strRef>
          </c:cat>
          <c:val>
            <c:numRef>
              <c:f>'RESULTS SIZES'!$I$12:$I$22</c:f>
              <c:numCache>
                <c:formatCode>General</c:formatCode>
                <c:ptCount val="11"/>
                <c:pt idx="0">
                  <c:v>2.34</c:v>
                </c:pt>
                <c:pt idx="1">
                  <c:v>2.39</c:v>
                </c:pt>
                <c:pt idx="2">
                  <c:v>2.44</c:v>
                </c:pt>
                <c:pt idx="3">
                  <c:v>2.4900000000000002</c:v>
                </c:pt>
                <c:pt idx="4">
                  <c:v>2.48</c:v>
                </c:pt>
                <c:pt idx="5">
                  <c:v>2.34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2.41</c:v>
                </c:pt>
                <c:pt idx="10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2-4E3A-BCD3-E19F445D9365}"/>
            </c:ext>
          </c:extLst>
        </c:ser>
        <c:ser>
          <c:idx val="0"/>
          <c:order val="1"/>
          <c:tx>
            <c:strRef>
              <c:f>'RESULTS SIZES'!$K$11</c:f>
              <c:strCache>
                <c:ptCount val="1"/>
                <c:pt idx="0">
                  <c:v>Dry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'RESULTS SIZES'!$L$12:$L$22</c:f>
                <c:numCache>
                  <c:formatCode>General</c:formatCode>
                  <c:ptCount val="11"/>
                  <c:pt idx="0">
                    <c:v>7.0000000000000007E-2</c:v>
                  </c:pt>
                  <c:pt idx="1">
                    <c:v>7.0000000000000007E-2</c:v>
                  </c:pt>
                  <c:pt idx="2">
                    <c:v>0.09</c:v>
                  </c:pt>
                  <c:pt idx="3">
                    <c:v>0.12</c:v>
                  </c:pt>
                  <c:pt idx="4">
                    <c:v>0.13</c:v>
                  </c:pt>
                  <c:pt idx="5">
                    <c:v>0.05</c:v>
                  </c:pt>
                  <c:pt idx="6">
                    <c:v>0.09</c:v>
                  </c:pt>
                  <c:pt idx="7">
                    <c:v>0.04</c:v>
                  </c:pt>
                  <c:pt idx="8">
                    <c:v>7.0000000000000007E-2</c:v>
                  </c:pt>
                  <c:pt idx="9">
                    <c:v>0.26</c:v>
                  </c:pt>
                  <c:pt idx="10">
                    <c:v>0.16</c:v>
                  </c:pt>
                </c:numCache>
              </c:numRef>
            </c:plus>
            <c:minus>
              <c:numRef>
                <c:f>'RESULTS SIZES'!$L$12:$L$22</c:f>
                <c:numCache>
                  <c:formatCode>General</c:formatCode>
                  <c:ptCount val="11"/>
                  <c:pt idx="0">
                    <c:v>7.0000000000000007E-2</c:v>
                  </c:pt>
                  <c:pt idx="1">
                    <c:v>7.0000000000000007E-2</c:v>
                  </c:pt>
                  <c:pt idx="2">
                    <c:v>0.09</c:v>
                  </c:pt>
                  <c:pt idx="3">
                    <c:v>0.12</c:v>
                  </c:pt>
                  <c:pt idx="4">
                    <c:v>0.13</c:v>
                  </c:pt>
                  <c:pt idx="5">
                    <c:v>0.05</c:v>
                  </c:pt>
                  <c:pt idx="6">
                    <c:v>0.09</c:v>
                  </c:pt>
                  <c:pt idx="7">
                    <c:v>0.04</c:v>
                  </c:pt>
                  <c:pt idx="8">
                    <c:v>7.0000000000000007E-2</c:v>
                  </c:pt>
                  <c:pt idx="9">
                    <c:v>0.26</c:v>
                  </c:pt>
                  <c:pt idx="10">
                    <c:v>0.16</c:v>
                  </c:pt>
                </c:numCache>
              </c:numRef>
            </c:minus>
          </c:errBars>
          <c:cat>
            <c:strRef>
              <c:f>'RESULTS SIZES'!$H$12:$H$22</c:f>
              <c:strCache>
                <c:ptCount val="11"/>
                <c:pt idx="0">
                  <c:v>Control antisolvent (DI H2O)</c:v>
                </c:pt>
                <c:pt idx="1">
                  <c:v>sulphate (1% wt. Zn)</c:v>
                </c:pt>
                <c:pt idx="2">
                  <c:v>sulphate (2% wt. Zn)</c:v>
                </c:pt>
                <c:pt idx="3">
                  <c:v>Sulphate (5% wt. Zn)</c:v>
                </c:pt>
                <c:pt idx="4">
                  <c:v>sulphate (12% wt. Zn)</c:v>
                </c:pt>
                <c:pt idx="5">
                  <c:v>chloride (1% wt. Zn)</c:v>
                </c:pt>
                <c:pt idx="6">
                  <c:v>Chloride (2% wt. Zn)</c:v>
                </c:pt>
                <c:pt idx="7">
                  <c:v>Chloride (5% wt. Zn)</c:v>
                </c:pt>
                <c:pt idx="8">
                  <c:v>acetate (1% wt. Zn)</c:v>
                </c:pt>
                <c:pt idx="9">
                  <c:v>acetate (2% wt. Zn)</c:v>
                </c:pt>
                <c:pt idx="10">
                  <c:v>acetate (5% wt. Zn)</c:v>
                </c:pt>
              </c:strCache>
            </c:strRef>
          </c:cat>
          <c:val>
            <c:numRef>
              <c:f>'RESULTS SIZES'!$K$12:$K$22</c:f>
              <c:numCache>
                <c:formatCode>General</c:formatCode>
                <c:ptCount val="11"/>
                <c:pt idx="0">
                  <c:v>1.86</c:v>
                </c:pt>
                <c:pt idx="1">
                  <c:v>1.89</c:v>
                </c:pt>
                <c:pt idx="2">
                  <c:v>1.92</c:v>
                </c:pt>
                <c:pt idx="3">
                  <c:v>2.0099999999999998</c:v>
                </c:pt>
                <c:pt idx="4">
                  <c:v>2.0299999999999998</c:v>
                </c:pt>
                <c:pt idx="5">
                  <c:v>1.93</c:v>
                </c:pt>
                <c:pt idx="6">
                  <c:v>1.96</c:v>
                </c:pt>
                <c:pt idx="7">
                  <c:v>1.99</c:v>
                </c:pt>
                <c:pt idx="8">
                  <c:v>1.85</c:v>
                </c:pt>
                <c:pt idx="9">
                  <c:v>2.0099999999999998</c:v>
                </c:pt>
                <c:pt idx="10">
                  <c:v>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D2-4E3A-BCD3-E19F445D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717264"/>
        <c:axId val="639722840"/>
      </c:barChart>
      <c:catAx>
        <c:axId val="63971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722840"/>
        <c:crosses val="autoZero"/>
        <c:auto val="1"/>
        <c:lblAlgn val="ctr"/>
        <c:lblOffset val="100"/>
        <c:noMultiLvlLbl val="0"/>
      </c:catAx>
      <c:valAx>
        <c:axId val="639722840"/>
        <c:scaling>
          <c:orientation val="minMax"/>
          <c:min val="1.5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Bead</a:t>
                </a:r>
                <a:r>
                  <a:rPr lang="en-GB" sz="1400" baseline="0"/>
                  <a:t> diameter (mm)</a:t>
                </a:r>
                <a:endParaRPr lang="en-GB" sz="14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717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'NaCl poros'!$L$3</c:f>
              <c:strCache>
                <c:ptCount val="1"/>
                <c:pt idx="0">
                  <c:v>AS density 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'NaCl poros'!$L$4:$L$11</c:f>
              <c:numCache>
                <c:formatCode>0.000</c:formatCode>
                <c:ptCount val="8"/>
                <c:pt idx="0">
                  <c:v>0.99843199999999999</c:v>
                </c:pt>
                <c:pt idx="1">
                  <c:v>0.99873800000000001</c:v>
                </c:pt>
                <c:pt idx="2">
                  <c:v>0.99912000000000001</c:v>
                </c:pt>
                <c:pt idx="3">
                  <c:v>1.002162</c:v>
                </c:pt>
                <c:pt idx="4">
                  <c:v>1.005952</c:v>
                </c:pt>
                <c:pt idx="5">
                  <c:v>1.0135320000000001</c:v>
                </c:pt>
                <c:pt idx="6">
                  <c:v>1.036454</c:v>
                </c:pt>
                <c:pt idx="7">
                  <c:v>1.07569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0B-429F-A0A2-38E43292FD97}"/>
            </c:ext>
          </c:extLst>
        </c:ser>
        <c:ser>
          <c:idx val="2"/>
          <c:order val="1"/>
          <c:tx>
            <c:strRef>
              <c:f>'NaCl poros'!$W$3</c:f>
              <c:strCache>
                <c:ptCount val="1"/>
                <c:pt idx="0">
                  <c:v>velocity at impact (m/s)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yVal>
            <c:numRef>
              <c:f>'NaCl poros'!$W$4:$W$11</c:f>
              <c:numCache>
                <c:formatCode>0.00</c:formatCode>
                <c:ptCount val="8"/>
                <c:pt idx="0">
                  <c:v>4.8069000000000006</c:v>
                </c:pt>
                <c:pt idx="1">
                  <c:v>4.8069000000000006</c:v>
                </c:pt>
                <c:pt idx="2">
                  <c:v>5.6898</c:v>
                </c:pt>
                <c:pt idx="3">
                  <c:v>5.2974000000000006</c:v>
                </c:pt>
                <c:pt idx="4">
                  <c:v>5.1012000000000004</c:v>
                </c:pt>
                <c:pt idx="5">
                  <c:v>5.6898</c:v>
                </c:pt>
                <c:pt idx="6">
                  <c:v>5.2974000000000006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0B-429F-A0A2-38E43292FD97}"/>
            </c:ext>
          </c:extLst>
        </c:ser>
        <c:ser>
          <c:idx val="3"/>
          <c:order val="2"/>
          <c:tx>
            <c:strRef>
              <c:f>'NaCl poros'!$AA$3</c:f>
              <c:strCache>
                <c:ptCount val="1"/>
                <c:pt idx="0">
                  <c:v>surface tension cN/m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yVal>
            <c:numRef>
              <c:f>'NaCl poros'!$AA$4:$AA$11</c:f>
              <c:numCache>
                <c:formatCode>0.000</c:formatCode>
                <c:ptCount val="8"/>
                <c:pt idx="0">
                  <c:v>7.2443900068446299</c:v>
                </c:pt>
                <c:pt idx="1">
                  <c:v>7.2455500342231343</c:v>
                </c:pt>
                <c:pt idx="2">
                  <c:v>7.2470000684462708</c:v>
                </c:pt>
                <c:pt idx="3">
                  <c:v>7.2586003422313485</c:v>
                </c:pt>
                <c:pt idx="4">
                  <c:v>7.2731006844626975</c:v>
                </c:pt>
                <c:pt idx="5">
                  <c:v>7.3021013689253937</c:v>
                </c:pt>
                <c:pt idx="6">
                  <c:v>7.3891034223134842</c:v>
                </c:pt>
                <c:pt idx="7">
                  <c:v>7.5341068446269688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0B-429F-A0A2-38E43292F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253952"/>
        <c:axId val="741255920"/>
      </c:scatterChart>
      <c:valAx>
        <c:axId val="74125395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255920"/>
        <c:crosses val="autoZero"/>
        <c:crossBetween val="midCat"/>
      </c:valAx>
      <c:valAx>
        <c:axId val="74125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253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10% cellulose</a:t>
            </a:r>
            <a:r>
              <a:rPr lang="en-GB" baseline="0"/>
              <a:t> acetate in DMSO</a:t>
            </a:r>
            <a:r>
              <a:rPr lang="en-GB"/>
              <a:t>, 26G needle, wet beads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'NaCl poros'!$AJ$21:$AQ$21</c:f>
                <c:numCache>
                  <c:formatCode>General</c:formatCode>
                  <c:ptCount val="8"/>
                  <c:pt idx="0">
                    <c:v>5.2757305971148055E-2</c:v>
                  </c:pt>
                  <c:pt idx="1">
                    <c:v>4.8864893101057551E-2</c:v>
                  </c:pt>
                  <c:pt idx="2">
                    <c:v>5.57374799095426E-2</c:v>
                  </c:pt>
                  <c:pt idx="3">
                    <c:v>5.329165037789689E-2</c:v>
                  </c:pt>
                  <c:pt idx="4">
                    <c:v>2.6436506745197746E-2</c:v>
                  </c:pt>
                  <c:pt idx="5">
                    <c:v>1.7763883459299024E-2</c:v>
                  </c:pt>
                  <c:pt idx="6">
                    <c:v>4.5813632129409809E-2</c:v>
                  </c:pt>
                  <c:pt idx="7">
                    <c:v>2.1499353995462767E-2</c:v>
                  </c:pt>
                </c:numCache>
              </c:numRef>
            </c:plus>
            <c:minus>
              <c:numRef>
                <c:f>'NaCl poros'!$AJ$21:$AQ$21</c:f>
                <c:numCache>
                  <c:formatCode>General</c:formatCode>
                  <c:ptCount val="8"/>
                  <c:pt idx="0">
                    <c:v>5.2757305971148055E-2</c:v>
                  </c:pt>
                  <c:pt idx="1">
                    <c:v>4.8864893101057551E-2</c:v>
                  </c:pt>
                  <c:pt idx="2">
                    <c:v>5.57374799095426E-2</c:v>
                  </c:pt>
                  <c:pt idx="3">
                    <c:v>5.329165037789689E-2</c:v>
                  </c:pt>
                  <c:pt idx="4">
                    <c:v>2.6436506745197746E-2</c:v>
                  </c:pt>
                  <c:pt idx="5">
                    <c:v>1.7763883459299024E-2</c:v>
                  </c:pt>
                  <c:pt idx="6">
                    <c:v>4.5813632129409809E-2</c:v>
                  </c:pt>
                  <c:pt idx="7">
                    <c:v>2.1499353995462767E-2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'NaCl poros'!$AJ$3:$AQ$3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poros'!$AJ$20:$AQ$20</c:f>
              <c:numCache>
                <c:formatCode>0.00</c:formatCode>
                <c:ptCount val="8"/>
                <c:pt idx="0">
                  <c:v>1.9550000000000001</c:v>
                </c:pt>
                <c:pt idx="1">
                  <c:v>1.9590000000000001</c:v>
                </c:pt>
                <c:pt idx="2">
                  <c:v>1.952</c:v>
                </c:pt>
                <c:pt idx="3">
                  <c:v>2.012</c:v>
                </c:pt>
                <c:pt idx="4">
                  <c:v>2.0209999999999999</c:v>
                </c:pt>
                <c:pt idx="5">
                  <c:v>2.024</c:v>
                </c:pt>
                <c:pt idx="6">
                  <c:v>2.0110000000000001</c:v>
                </c:pt>
                <c:pt idx="7">
                  <c:v>1.988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06-4E07-9FA3-1AE8C0CD9896}"/>
            </c:ext>
          </c:extLst>
        </c:ser>
        <c:ser>
          <c:idx val="1"/>
          <c:order val="1"/>
          <c:tx>
            <c:v>average diameter all beads</c:v>
          </c:tx>
          <c:spPr>
            <a:ln w="25400" cap="rnd">
              <a:solidFill>
                <a:srgbClr val="92D050">
                  <a:alpha val="52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'NaCl poros'!$AT$19:$AU$19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poros'!$AT$20:$AU$20</c:f>
              <c:numCache>
                <c:formatCode>0.00</c:formatCode>
                <c:ptCount val="2"/>
                <c:pt idx="0">
                  <c:v>1.9902500000000007</c:v>
                </c:pt>
                <c:pt idx="1">
                  <c:v>1.9902500000000007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06-4E07-9FA3-1AE8C0CD9896}"/>
            </c:ext>
          </c:extLst>
        </c:ser>
        <c:ser>
          <c:idx val="2"/>
          <c:order val="2"/>
          <c:tx>
            <c:v>upper std dev</c:v>
          </c:tx>
          <c:spPr>
            <a:ln w="127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'NaCl poros'!$AT$19:$AU$19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poros'!$AT$24:$AU$24</c:f>
              <c:numCache>
                <c:formatCode>0.00</c:formatCode>
                <c:ptCount val="2"/>
                <c:pt idx="0">
                  <c:v>2.0404388837356739</c:v>
                </c:pt>
                <c:pt idx="1">
                  <c:v>2.0404388837356739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06-4E07-9FA3-1AE8C0CD9896}"/>
            </c:ext>
          </c:extLst>
        </c:ser>
        <c:ser>
          <c:idx val="3"/>
          <c:order val="3"/>
          <c:tx>
            <c:v>lower std dev</c:v>
          </c:tx>
          <c:spPr>
            <a:ln w="127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'NaCl poros'!$AT$19:$AU$19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poros'!$AT$25:$AU$25</c:f>
              <c:numCache>
                <c:formatCode>0.00</c:formatCode>
                <c:ptCount val="2"/>
                <c:pt idx="0">
                  <c:v>1.9400611162643278</c:v>
                </c:pt>
                <c:pt idx="1">
                  <c:v>1.9400611162643278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06-4E07-9FA3-1AE8C0CD9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562688"/>
        <c:axId val="875566624"/>
      </c:scatterChart>
      <c:valAx>
        <c:axId val="875562688"/>
        <c:scaling>
          <c:logBase val="10"/>
          <c:orientation val="minMax"/>
          <c:max val="1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Anti-solvent</a:t>
                </a:r>
                <a:r>
                  <a:rPr lang="en-GB" sz="1050" baseline="0"/>
                  <a:t> NaCl concentration (%wt)</a:t>
                </a:r>
                <a:endParaRPr lang="en-GB" sz="105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6624"/>
        <c:crosses val="autoZero"/>
        <c:crossBetween val="midCat"/>
      </c:valAx>
      <c:valAx>
        <c:axId val="875566624"/>
        <c:scaling>
          <c:orientation val="minMax"/>
          <c:min val="1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Bead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2688"/>
        <c:crossesAt val="1.0000000000000004E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10% cellulose</a:t>
            </a:r>
            <a:r>
              <a:rPr lang="en-GB" baseline="0"/>
              <a:t> acetate in DMSO</a:t>
            </a:r>
            <a:r>
              <a:rPr lang="en-GB"/>
              <a:t>, 30G needle, wet beads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'NaCl poros'!$AJ$43:$AQ$43</c:f>
                <c:numCache>
                  <c:formatCode>General</c:formatCode>
                  <c:ptCount val="8"/>
                  <c:pt idx="0">
                    <c:v>4.9317565047579406E-2</c:v>
                  </c:pt>
                  <c:pt idx="1">
                    <c:v>6.7503086349193511E-2</c:v>
                  </c:pt>
                  <c:pt idx="2">
                    <c:v>3.0110906108363266E-2</c:v>
                  </c:pt>
                  <c:pt idx="3">
                    <c:v>3.2472210341220172E-2</c:v>
                  </c:pt>
                  <c:pt idx="4">
                    <c:v>4.3512450325548582E-2</c:v>
                  </c:pt>
                  <c:pt idx="5">
                    <c:v>6.0452001161619466E-2</c:v>
                  </c:pt>
                  <c:pt idx="6">
                    <c:v>5.1585958468473914E-2</c:v>
                  </c:pt>
                  <c:pt idx="7">
                    <c:v>4.2018514437751828E-2</c:v>
                  </c:pt>
                </c:numCache>
              </c:numRef>
            </c:plus>
            <c:minus>
              <c:numRef>
                <c:f>'NaCl poros'!$AJ$43:$AQ$43</c:f>
                <c:numCache>
                  <c:formatCode>General</c:formatCode>
                  <c:ptCount val="8"/>
                  <c:pt idx="0">
                    <c:v>4.9317565047579406E-2</c:v>
                  </c:pt>
                  <c:pt idx="1">
                    <c:v>6.7503086349193511E-2</c:v>
                  </c:pt>
                  <c:pt idx="2">
                    <c:v>3.0110906108363266E-2</c:v>
                  </c:pt>
                  <c:pt idx="3">
                    <c:v>3.2472210341220172E-2</c:v>
                  </c:pt>
                  <c:pt idx="4">
                    <c:v>4.3512450325548582E-2</c:v>
                  </c:pt>
                  <c:pt idx="5">
                    <c:v>6.0452001161619466E-2</c:v>
                  </c:pt>
                  <c:pt idx="6">
                    <c:v>5.1585958468473914E-2</c:v>
                  </c:pt>
                  <c:pt idx="7">
                    <c:v>4.2018514437751828E-2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'NaCl poros'!$AJ$3:$AQ$3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poros'!$AJ$42:$AQ$42</c:f>
              <c:numCache>
                <c:formatCode>0.00</c:formatCode>
                <c:ptCount val="8"/>
                <c:pt idx="0">
                  <c:v>1.7309999999999999</c:v>
                </c:pt>
                <c:pt idx="1">
                  <c:v>1.7730000000000001</c:v>
                </c:pt>
                <c:pt idx="2">
                  <c:v>1.8220000000000003</c:v>
                </c:pt>
                <c:pt idx="3">
                  <c:v>1.7909999999999997</c:v>
                </c:pt>
                <c:pt idx="4">
                  <c:v>1.8059999999999998</c:v>
                </c:pt>
                <c:pt idx="5">
                  <c:v>1.7909999999999999</c:v>
                </c:pt>
                <c:pt idx="6">
                  <c:v>1.798888888888889</c:v>
                </c:pt>
                <c:pt idx="7">
                  <c:v>1.7289999999999999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A-482E-94C3-372C592BDB6B}"/>
            </c:ext>
          </c:extLst>
        </c:ser>
        <c:ser>
          <c:idx val="1"/>
          <c:order val="1"/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'NaCl poros'!$AT$41:$AU$41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poros'!$AT$42:$AU$42</c:f>
              <c:numCache>
                <c:formatCode>0.00</c:formatCode>
                <c:ptCount val="2"/>
                <c:pt idx="0">
                  <c:v>1.78</c:v>
                </c:pt>
                <c:pt idx="1">
                  <c:v>1.78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A-482E-94C3-372C592BDB6B}"/>
            </c:ext>
          </c:extLst>
        </c:ser>
        <c:ser>
          <c:idx val="2"/>
          <c:order val="2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'NaCl poros'!$AT$41:$AU$41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poros'!$AT$46:$AU$46</c:f>
              <c:numCache>
                <c:formatCode>0.00</c:formatCode>
                <c:ptCount val="2"/>
                <c:pt idx="0">
                  <c:v>1.8364096736566635</c:v>
                </c:pt>
                <c:pt idx="1">
                  <c:v>1.8364096736566635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7A-482E-94C3-372C592BDB6B}"/>
            </c:ext>
          </c:extLst>
        </c:ser>
        <c:ser>
          <c:idx val="3"/>
          <c:order val="3"/>
          <c:spPr>
            <a:ln w="254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'NaCl poros'!$AT$41:$AU$41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poros'!$AT$47:$AU$47</c:f>
              <c:numCache>
                <c:formatCode>0.00</c:formatCode>
                <c:ptCount val="2"/>
                <c:pt idx="0">
                  <c:v>1.7235903263433365</c:v>
                </c:pt>
                <c:pt idx="1">
                  <c:v>1.7235903263433365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7A-482E-94C3-372C592BD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562688"/>
        <c:axId val="875566624"/>
      </c:scatterChart>
      <c:valAx>
        <c:axId val="875562688"/>
        <c:scaling>
          <c:logBase val="10"/>
          <c:orientation val="minMax"/>
          <c:max val="1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Anti-solvent</a:t>
                </a:r>
                <a:r>
                  <a:rPr lang="en-GB" sz="1050" baseline="0"/>
                  <a:t> NaCl concentration (%wt)</a:t>
                </a:r>
                <a:endParaRPr lang="en-GB" sz="105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6624"/>
        <c:crosses val="autoZero"/>
        <c:crossBetween val="midCat"/>
        <c:minorUnit val="10"/>
      </c:valAx>
      <c:valAx>
        <c:axId val="875566624"/>
        <c:scaling>
          <c:orientation val="minMax"/>
          <c:min val="1.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Bead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2688"/>
        <c:crossesAt val="1.0000000000000004E-5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10% cellulose</a:t>
            </a:r>
            <a:r>
              <a:rPr lang="en-GB" baseline="0"/>
              <a:t> acetate in DMSO</a:t>
            </a:r>
            <a:r>
              <a:rPr lang="en-GB"/>
              <a:t>, 30G needle, dry</a:t>
            </a:r>
            <a:r>
              <a:rPr lang="en-GB" baseline="0"/>
              <a:t> </a:t>
            </a:r>
            <a:r>
              <a:rPr lang="en-GB"/>
              <a:t>beads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50199280645476"/>
          <c:y val="0.19980042432306089"/>
          <c:w val="0.63615223097112861"/>
          <c:h val="0.6254000503434139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'NaCl poros'!$AW$43:$BD$43</c:f>
                <c:numCache>
                  <c:formatCode>General</c:formatCode>
                  <c:ptCount val="8"/>
                  <c:pt idx="0">
                    <c:v>3.7193189340702336E-2</c:v>
                  </c:pt>
                  <c:pt idx="1">
                    <c:v>3.9285281382896275E-2</c:v>
                  </c:pt>
                  <c:pt idx="2">
                    <c:v>3.3514341871967467E-2</c:v>
                  </c:pt>
                  <c:pt idx="3">
                    <c:v>3.4058772731852732E-2</c:v>
                  </c:pt>
                  <c:pt idx="4">
                    <c:v>3.8944404818493109E-2</c:v>
                  </c:pt>
                  <c:pt idx="5">
                    <c:v>3.7178249316263151E-2</c:v>
                  </c:pt>
                  <c:pt idx="6">
                    <c:v>2.7808871486152211E-2</c:v>
                  </c:pt>
                  <c:pt idx="7">
                    <c:v>4.0345728123034018E-2</c:v>
                  </c:pt>
                </c:numCache>
              </c:numRef>
            </c:plus>
            <c:minus>
              <c:numRef>
                <c:f>'NaCl poros'!$AW$43:$BD$43</c:f>
                <c:numCache>
                  <c:formatCode>General</c:formatCode>
                  <c:ptCount val="8"/>
                  <c:pt idx="0">
                    <c:v>3.7193189340702336E-2</c:v>
                  </c:pt>
                  <c:pt idx="1">
                    <c:v>3.9285281382896275E-2</c:v>
                  </c:pt>
                  <c:pt idx="2">
                    <c:v>3.3514341871967467E-2</c:v>
                  </c:pt>
                  <c:pt idx="3">
                    <c:v>3.4058772731852732E-2</c:v>
                  </c:pt>
                  <c:pt idx="4">
                    <c:v>3.8944404818493109E-2</c:v>
                  </c:pt>
                  <c:pt idx="5">
                    <c:v>3.7178249316263151E-2</c:v>
                  </c:pt>
                  <c:pt idx="6">
                    <c:v>2.7808871486152211E-2</c:v>
                  </c:pt>
                  <c:pt idx="7">
                    <c:v>4.0345728123034018E-2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'NaCl poros'!$AJ$3:$AQ$3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poros'!$AW$42:$BD$42</c:f>
              <c:numCache>
                <c:formatCode>0.00</c:formatCode>
                <c:ptCount val="8"/>
                <c:pt idx="0">
                  <c:v>0.99499999999999988</c:v>
                </c:pt>
                <c:pt idx="1">
                  <c:v>1.0489999999999999</c:v>
                </c:pt>
                <c:pt idx="2">
                  <c:v>1.0760999999999998</c:v>
                </c:pt>
                <c:pt idx="3">
                  <c:v>1.1259999999999999</c:v>
                </c:pt>
                <c:pt idx="4">
                  <c:v>1.165</c:v>
                </c:pt>
                <c:pt idx="5">
                  <c:v>1.1639999999999999</c:v>
                </c:pt>
                <c:pt idx="6">
                  <c:v>1.1379999999999999</c:v>
                </c:pt>
                <c:pt idx="7">
                  <c:v>1.1649999999999998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21-4B95-947E-B5B1A5EFCE95}"/>
            </c:ext>
          </c:extLst>
        </c:ser>
        <c:ser>
          <c:idx val="1"/>
          <c:order val="1"/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'NaCl poros'!$BG$41:$BH$41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poros'!$BG$42:$BH$42</c:f>
              <c:numCache>
                <c:formatCode>0.00</c:formatCode>
                <c:ptCount val="2"/>
                <c:pt idx="0">
                  <c:v>1.1097625</c:v>
                </c:pt>
                <c:pt idx="1">
                  <c:v>1.1097625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21-4B95-947E-B5B1A5EFCE95}"/>
            </c:ext>
          </c:extLst>
        </c:ser>
        <c:ser>
          <c:idx val="2"/>
          <c:order val="2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'NaCl poros'!$BG$41:$BH$41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poros'!$BG$46:$BH$46</c:f>
              <c:numCache>
                <c:formatCode>0.00</c:formatCode>
                <c:ptCount val="2"/>
                <c:pt idx="0">
                  <c:v>1.17871455521028</c:v>
                </c:pt>
                <c:pt idx="1">
                  <c:v>1.17871455521028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21-4B95-947E-B5B1A5EFCE95}"/>
            </c:ext>
          </c:extLst>
        </c:ser>
        <c:ser>
          <c:idx val="3"/>
          <c:order val="3"/>
          <c:spPr>
            <a:ln w="254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'NaCl poros'!$BG$41:$BH$41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poros'!$BG$47:$BH$47</c:f>
              <c:numCache>
                <c:formatCode>0.00</c:formatCode>
                <c:ptCount val="2"/>
                <c:pt idx="0">
                  <c:v>1.04081044478972</c:v>
                </c:pt>
                <c:pt idx="1">
                  <c:v>1.04081044478972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21-4B95-947E-B5B1A5EFC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562688"/>
        <c:axId val="875566624"/>
      </c:scatterChart>
      <c:valAx>
        <c:axId val="875562688"/>
        <c:scaling>
          <c:logBase val="10"/>
          <c:orientation val="minMax"/>
          <c:max val="1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Anti-solvent</a:t>
                </a:r>
                <a:r>
                  <a:rPr lang="en-GB" sz="1050" baseline="0"/>
                  <a:t> NaCl concentration (%wt)</a:t>
                </a:r>
                <a:endParaRPr lang="en-GB" sz="105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6624"/>
        <c:crosses val="autoZero"/>
        <c:crossBetween val="midCat"/>
      </c:valAx>
      <c:valAx>
        <c:axId val="875566624"/>
        <c:scaling>
          <c:orientation val="minMax"/>
          <c:min val="0.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Bead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2688"/>
        <c:crossesAt val="1.0000000000000004E-5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10% cellulose</a:t>
            </a:r>
            <a:r>
              <a:rPr lang="en-GB" baseline="0"/>
              <a:t> acetate in DMSO</a:t>
            </a:r>
            <a:r>
              <a:rPr lang="en-GB"/>
              <a:t>, 30G needle, dry</a:t>
            </a:r>
            <a:r>
              <a:rPr lang="en-GB" baseline="0"/>
              <a:t> </a:t>
            </a:r>
            <a:r>
              <a:rPr lang="en-GB"/>
              <a:t>beads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'NaCl poros'!$AW$43:$BD$43</c:f>
                <c:numCache>
                  <c:formatCode>General</c:formatCode>
                  <c:ptCount val="8"/>
                  <c:pt idx="0">
                    <c:v>3.7193189340702336E-2</c:v>
                  </c:pt>
                  <c:pt idx="1">
                    <c:v>3.9285281382896275E-2</c:v>
                  </c:pt>
                  <c:pt idx="2">
                    <c:v>3.3514341871967467E-2</c:v>
                  </c:pt>
                  <c:pt idx="3">
                    <c:v>3.4058772731852732E-2</c:v>
                  </c:pt>
                  <c:pt idx="4">
                    <c:v>3.8944404818493109E-2</c:v>
                  </c:pt>
                  <c:pt idx="5">
                    <c:v>3.7178249316263151E-2</c:v>
                  </c:pt>
                  <c:pt idx="6">
                    <c:v>2.7808871486152211E-2</c:v>
                  </c:pt>
                  <c:pt idx="7">
                    <c:v>4.0345728123034018E-2</c:v>
                  </c:pt>
                </c:numCache>
              </c:numRef>
            </c:plus>
            <c:minus>
              <c:numRef>
                <c:f>'NaCl poros'!$AW$43:$BD$43</c:f>
                <c:numCache>
                  <c:formatCode>General</c:formatCode>
                  <c:ptCount val="8"/>
                  <c:pt idx="0">
                    <c:v>3.7193189340702336E-2</c:v>
                  </c:pt>
                  <c:pt idx="1">
                    <c:v>3.9285281382896275E-2</c:v>
                  </c:pt>
                  <c:pt idx="2">
                    <c:v>3.3514341871967467E-2</c:v>
                  </c:pt>
                  <c:pt idx="3">
                    <c:v>3.4058772731852732E-2</c:v>
                  </c:pt>
                  <c:pt idx="4">
                    <c:v>3.8944404818493109E-2</c:v>
                  </c:pt>
                  <c:pt idx="5">
                    <c:v>3.7178249316263151E-2</c:v>
                  </c:pt>
                  <c:pt idx="6">
                    <c:v>2.7808871486152211E-2</c:v>
                  </c:pt>
                  <c:pt idx="7">
                    <c:v>4.0345728123034018E-2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'NaCl poros'!$AJ$3:$AQ$3</c:f>
              <c:numCache>
                <c:formatCode>General</c:formatCode>
                <c:ptCount val="8"/>
                <c:pt idx="0">
                  <c:v>0.01</c:v>
                </c:pt>
                <c:pt idx="1">
                  <c:v>0.05</c:v>
                </c:pt>
                <c:pt idx="2">
                  <c:v>0.1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'NaCl poros'!$AW$42:$BD$42</c:f>
              <c:numCache>
                <c:formatCode>0.00</c:formatCode>
                <c:ptCount val="8"/>
                <c:pt idx="0">
                  <c:v>0.99499999999999988</c:v>
                </c:pt>
                <c:pt idx="1">
                  <c:v>1.0489999999999999</c:v>
                </c:pt>
                <c:pt idx="2">
                  <c:v>1.0760999999999998</c:v>
                </c:pt>
                <c:pt idx="3">
                  <c:v>1.1259999999999999</c:v>
                </c:pt>
                <c:pt idx="4">
                  <c:v>1.165</c:v>
                </c:pt>
                <c:pt idx="5">
                  <c:v>1.1639999999999999</c:v>
                </c:pt>
                <c:pt idx="6">
                  <c:v>1.1379999999999999</c:v>
                </c:pt>
                <c:pt idx="7">
                  <c:v>1.1649999999999998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D2-4FDF-A1B7-E83A0E8780E9}"/>
            </c:ext>
          </c:extLst>
        </c:ser>
        <c:ser>
          <c:idx val="1"/>
          <c:order val="1"/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'NaCl poros'!$BG$41:$BH$41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poros'!$BG$42:$BH$42</c:f>
              <c:numCache>
                <c:formatCode>0.00</c:formatCode>
                <c:ptCount val="2"/>
                <c:pt idx="0">
                  <c:v>1.1097625</c:v>
                </c:pt>
                <c:pt idx="1">
                  <c:v>1.1097625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D2-4FDF-A1B7-E83A0E8780E9}"/>
            </c:ext>
          </c:extLst>
        </c:ser>
        <c:ser>
          <c:idx val="2"/>
          <c:order val="2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'NaCl poros'!$BG$41:$BH$41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poros'!$BG$46:$BH$46</c:f>
              <c:numCache>
                <c:formatCode>0.00</c:formatCode>
                <c:ptCount val="2"/>
                <c:pt idx="0">
                  <c:v>1.17871455521028</c:v>
                </c:pt>
                <c:pt idx="1">
                  <c:v>1.17871455521028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D2-4FDF-A1B7-E83A0E8780E9}"/>
            </c:ext>
          </c:extLst>
        </c:ser>
        <c:ser>
          <c:idx val="3"/>
          <c:order val="3"/>
          <c:spPr>
            <a:ln w="254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'NaCl poros'!$BG$41:$BH$41</c:f>
              <c:numCache>
                <c:formatCode>General</c:formatCode>
                <c:ptCount val="2"/>
                <c:pt idx="0">
                  <c:v>0.01</c:v>
                </c:pt>
                <c:pt idx="1">
                  <c:v>10</c:v>
                </c:pt>
              </c:numCache>
            </c:numRef>
          </c:xVal>
          <c:yVal>
            <c:numRef>
              <c:f>'NaCl poros'!$BG$47:$BH$47</c:f>
              <c:numCache>
                <c:formatCode>0.00</c:formatCode>
                <c:ptCount val="2"/>
                <c:pt idx="0">
                  <c:v>1.04081044478972</c:v>
                </c:pt>
                <c:pt idx="1">
                  <c:v>1.04081044478972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D2-4FDF-A1B7-E83A0E878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562688"/>
        <c:axId val="875566624"/>
      </c:scatterChart>
      <c:valAx>
        <c:axId val="875562688"/>
        <c:scaling>
          <c:orientation val="minMax"/>
          <c:max val="1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Anti-solvent</a:t>
                </a:r>
                <a:r>
                  <a:rPr lang="en-GB" sz="1050" baseline="0"/>
                  <a:t> NaCl concentration (%wt)</a:t>
                </a:r>
                <a:endParaRPr lang="en-GB" sz="105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6624"/>
        <c:crossesAt val="0"/>
        <c:crossBetween val="midCat"/>
      </c:valAx>
      <c:valAx>
        <c:axId val="875566624"/>
        <c:scaling>
          <c:orientation val="minMax"/>
          <c:min val="0.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50"/>
                  <a:t>Bead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5562688"/>
        <c:crossesAt val="0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'NaCl poros'!$AV$45</c:f>
              <c:strCache>
                <c:ptCount val="1"/>
                <c:pt idx="0">
                  <c:v>Shrinkage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'NaCl poros'!$AW$47:$BD$47</c:f>
              <c:numCache>
                <c:formatCode>General</c:formatCode>
                <c:ptCount val="8"/>
                <c:pt idx="0">
                  <c:v>1.7111567419575632E-3</c:v>
                </c:pt>
                <c:pt idx="1">
                  <c:v>8.5557837097878162E-3</c:v>
                </c:pt>
                <c:pt idx="2">
                  <c:v>1.7111567419575632E-2</c:v>
                </c:pt>
                <c:pt idx="3">
                  <c:v>8.5557837097878162E-2</c:v>
                </c:pt>
                <c:pt idx="4">
                  <c:v>0.17111567419575632</c:v>
                </c:pt>
                <c:pt idx="5">
                  <c:v>0.34223134839151265</c:v>
                </c:pt>
                <c:pt idx="6">
                  <c:v>0.85557837097878175</c:v>
                </c:pt>
                <c:pt idx="7">
                  <c:v>1.7111567419575635</c:v>
                </c:pt>
              </c:numCache>
            </c:numRef>
          </c:xVal>
          <c:yVal>
            <c:numRef>
              <c:f>'NaCl poros'!$AW$45:$BD$45</c:f>
              <c:numCache>
                <c:formatCode>0.0</c:formatCode>
                <c:ptCount val="8"/>
                <c:pt idx="0">
                  <c:v>42.518775274407858</c:v>
                </c:pt>
                <c:pt idx="1">
                  <c:v>40.834743372814444</c:v>
                </c:pt>
                <c:pt idx="2">
                  <c:v>40.938529088913299</c:v>
                </c:pt>
                <c:pt idx="3">
                  <c:v>37.130094919039635</c:v>
                </c:pt>
                <c:pt idx="4">
                  <c:v>35.492801771871527</c:v>
                </c:pt>
                <c:pt idx="5">
                  <c:v>35.00837520938024</c:v>
                </c:pt>
                <c:pt idx="6">
                  <c:v>36.738727609635582</c:v>
                </c:pt>
                <c:pt idx="7">
                  <c:v>32.62001156737999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7B-4F91-9524-0A848B12F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205288"/>
        <c:axId val="787205616"/>
      </c:scatterChart>
      <c:valAx>
        <c:axId val="787205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NaCl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205616"/>
        <c:crosses val="autoZero"/>
        <c:crossBetween val="midCat"/>
      </c:valAx>
      <c:valAx>
        <c:axId val="7872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Shrinkage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205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1" Type="http://schemas.openxmlformats.org/officeDocument/2006/relationships/image" Target="../media/image3.jpeg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4.jpe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3143249</xdr:colOff>
      <xdr:row>44</xdr:row>
      <xdr:rowOff>83241</xdr:rowOff>
    </xdr:from>
    <xdr:to>
      <xdr:col>26</xdr:col>
      <xdr:colOff>653142</xdr:colOff>
      <xdr:row>70</xdr:row>
      <xdr:rowOff>97368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4F2293-C191-EE12-B63B-D9D579BB5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47892" y="8465241"/>
          <a:ext cx="7470322" cy="4967127"/>
        </a:xfrm>
        <a:prstGeom prst="rect">
          <a:avLst/>
        </a:prstGeom>
      </xdr:spPr>
    </xdr:pic>
    <xdr:clientData/>
  </xdr:twoCellAnchor>
  <xdr:twoCellAnchor editAs="oneCell">
    <xdr:from>
      <xdr:col>27</xdr:col>
      <xdr:colOff>408215</xdr:colOff>
      <xdr:row>45</xdr:row>
      <xdr:rowOff>79470</xdr:rowOff>
    </xdr:from>
    <xdr:to>
      <xdr:col>34</xdr:col>
      <xdr:colOff>993858</xdr:colOff>
      <xdr:row>51</xdr:row>
      <xdr:rowOff>50756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8B1973-41B5-0F9D-A7A8-C4DAB3868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22072" y="8651970"/>
          <a:ext cx="6600000" cy="11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48774</xdr:colOff>
      <xdr:row>20</xdr:row>
      <xdr:rowOff>160753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F67449-87D7-4EC3-A52E-4EAC30AC9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314325</xdr:colOff>
      <xdr:row>0</xdr:row>
      <xdr:rowOff>76200</xdr:rowOff>
    </xdr:from>
    <xdr:to>
      <xdr:col>40</xdr:col>
      <xdr:colOff>142875</xdr:colOff>
      <xdr:row>16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6BCBED-F924-4522-AD52-24B165A13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742950</xdr:colOff>
      <xdr:row>26</xdr:row>
      <xdr:rowOff>85725</xdr:rowOff>
    </xdr:from>
    <xdr:to>
      <xdr:col>14</xdr:col>
      <xdr:colOff>227552</xdr:colOff>
      <xdr:row>41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36621-7228-45E0-A713-139E44D85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5095875"/>
          <a:ext cx="6123527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923925</xdr:colOff>
      <xdr:row>26</xdr:row>
      <xdr:rowOff>171450</xdr:rowOff>
    </xdr:from>
    <xdr:to>
      <xdr:col>18</xdr:col>
      <xdr:colOff>238125</xdr:colOff>
      <xdr:row>41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FEDA1A-FC6E-4E01-B195-C4C9A1DE8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45583</xdr:colOff>
      <xdr:row>28</xdr:row>
      <xdr:rowOff>127906</xdr:rowOff>
    </xdr:from>
    <xdr:to>
      <xdr:col>24</xdr:col>
      <xdr:colOff>48985</xdr:colOff>
      <xdr:row>47</xdr:row>
      <xdr:rowOff>88448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A2B8FD-3823-43DE-987E-49A7A37C3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60</xdr:col>
      <xdr:colOff>49917</xdr:colOff>
      <xdr:row>0</xdr:row>
      <xdr:rowOff>0</xdr:rowOff>
    </xdr:from>
    <xdr:to>
      <xdr:col>60</xdr:col>
      <xdr:colOff>5193417</xdr:colOff>
      <xdr:row>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8FE1A3-538D-4133-AB7E-C363DBF44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60</xdr:col>
      <xdr:colOff>121228</xdr:colOff>
      <xdr:row>50</xdr:row>
      <xdr:rowOff>121228</xdr:rowOff>
    </xdr:from>
    <xdr:to>
      <xdr:col>60</xdr:col>
      <xdr:colOff>5039592</xdr:colOff>
      <xdr:row>65</xdr:row>
      <xdr:rowOff>173181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BA6483A-296A-46B4-8149-D08DAB2EA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60</xdr:col>
      <xdr:colOff>0</xdr:colOff>
      <xdr:row>65</xdr:row>
      <xdr:rowOff>173182</xdr:rowOff>
    </xdr:from>
    <xdr:to>
      <xdr:col>60</xdr:col>
      <xdr:colOff>5143500</xdr:colOff>
      <xdr:row>81</xdr:row>
      <xdr:rowOff>17318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7B5B733-ACFD-457A-A4CB-053B3140B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60</xdr:col>
      <xdr:colOff>17318</xdr:colOff>
      <xdr:row>81</xdr:row>
      <xdr:rowOff>51954</xdr:rowOff>
    </xdr:from>
    <xdr:to>
      <xdr:col>60</xdr:col>
      <xdr:colOff>5160818</xdr:colOff>
      <xdr:row>96</xdr:row>
      <xdr:rowOff>86590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AE59F30-8E89-49E9-B0D8-051FE23A6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69272</xdr:colOff>
      <xdr:row>97</xdr:row>
      <xdr:rowOff>143739</xdr:rowOff>
    </xdr:from>
    <xdr:to>
      <xdr:col>60</xdr:col>
      <xdr:colOff>5074227</xdr:colOff>
      <xdr:row>117</xdr:row>
      <xdr:rowOff>51955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0CF3843-4933-4B97-A05B-FBF0CDF1F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17319</xdr:colOff>
      <xdr:row>120</xdr:row>
      <xdr:rowOff>51953</xdr:rowOff>
    </xdr:from>
    <xdr:to>
      <xdr:col>65</xdr:col>
      <xdr:colOff>415636</xdr:colOff>
      <xdr:row>150</xdr:row>
      <xdr:rowOff>190498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A162C7C-B017-4BCE-B657-75AEDD011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85</xdr:col>
      <xdr:colOff>616962</xdr:colOff>
      <xdr:row>2</xdr:row>
      <xdr:rowOff>17320</xdr:rowOff>
    </xdr:from>
    <xdr:to>
      <xdr:col>94</xdr:col>
      <xdr:colOff>292246</xdr:colOff>
      <xdr:row>16</xdr:row>
      <xdr:rowOff>184006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5E9DADA-D408-452C-A6D4-FF1E928AF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60</xdr:col>
      <xdr:colOff>34637</xdr:colOff>
      <xdr:row>15</xdr:row>
      <xdr:rowOff>69273</xdr:rowOff>
    </xdr:from>
    <xdr:to>
      <xdr:col>60</xdr:col>
      <xdr:colOff>5178137</xdr:colOff>
      <xdr:row>30</xdr:row>
      <xdr:rowOff>69272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F08C8DA-3DAC-477E-ABB8-FD49A9C87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60</xdr:col>
      <xdr:colOff>0</xdr:colOff>
      <xdr:row>30</xdr:row>
      <xdr:rowOff>69273</xdr:rowOff>
    </xdr:from>
    <xdr:to>
      <xdr:col>60</xdr:col>
      <xdr:colOff>5143500</xdr:colOff>
      <xdr:row>45</xdr:row>
      <xdr:rowOff>103909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0CE8E61-22CF-42B1-81CE-E635546DA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1757794</xdr:colOff>
      <xdr:row>26</xdr:row>
      <xdr:rowOff>22512</xdr:rowOff>
    </xdr:from>
    <xdr:to>
      <xdr:col>29</xdr:col>
      <xdr:colOff>25976</xdr:colOff>
      <xdr:row>40</xdr:row>
      <xdr:rowOff>98712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5D35A9E-2016-4496-8235-200AC21B2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701385</xdr:colOff>
      <xdr:row>26</xdr:row>
      <xdr:rowOff>161057</xdr:rowOff>
    </xdr:from>
    <xdr:to>
      <xdr:col>32</xdr:col>
      <xdr:colOff>891885</xdr:colOff>
      <xdr:row>41</xdr:row>
      <xdr:rowOff>46757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E611E98-0586-4C61-9D9D-C93610118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86</xdr:col>
      <xdr:colOff>0</xdr:colOff>
      <xdr:row>18</xdr:row>
      <xdr:rowOff>0</xdr:rowOff>
    </xdr:from>
    <xdr:to>
      <xdr:col>94</xdr:col>
      <xdr:colOff>290945</xdr:colOff>
      <xdr:row>33</xdr:row>
      <xdr:rowOff>45459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C65841D-DE70-4384-8F55-5A6770DCE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86</xdr:col>
      <xdr:colOff>181840</xdr:colOff>
      <xdr:row>34</xdr:row>
      <xdr:rowOff>22512</xdr:rowOff>
    </xdr:from>
    <xdr:to>
      <xdr:col>93</xdr:col>
      <xdr:colOff>510885</xdr:colOff>
      <xdr:row>48</xdr:row>
      <xdr:rowOff>98712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7163632-67A5-45C7-A047-4BD67C750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60</xdr:col>
      <xdr:colOff>0</xdr:colOff>
      <xdr:row>154</xdr:row>
      <xdr:rowOff>0</xdr:rowOff>
    </xdr:from>
    <xdr:to>
      <xdr:col>65</xdr:col>
      <xdr:colOff>398317</xdr:colOff>
      <xdr:row>184</xdr:row>
      <xdr:rowOff>138545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D87C814-1733-4C13-BE0C-25566C40B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73</xdr:col>
      <xdr:colOff>926522</xdr:colOff>
      <xdr:row>54</xdr:row>
      <xdr:rowOff>91784</xdr:rowOff>
    </xdr:from>
    <xdr:to>
      <xdr:col>82</xdr:col>
      <xdr:colOff>17318</xdr:colOff>
      <xdr:row>72</xdr:row>
      <xdr:rowOff>69271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5A3AD8B-43BD-4628-97FC-E5223015A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29</xdr:col>
      <xdr:colOff>360189</xdr:colOff>
      <xdr:row>0</xdr:row>
      <xdr:rowOff>0</xdr:rowOff>
    </xdr:from>
    <xdr:to>
      <xdr:col>31</xdr:col>
      <xdr:colOff>640336</xdr:colOff>
      <xdr:row>14</xdr:row>
      <xdr:rowOff>42584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F5EA0A4A-6CBF-41E1-9A26-FB0FE83D7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204107</xdr:colOff>
      <xdr:row>31</xdr:row>
      <xdr:rowOff>186417</xdr:rowOff>
    </xdr:from>
    <xdr:to>
      <xdr:col>14</xdr:col>
      <xdr:colOff>1836964</xdr:colOff>
      <xdr:row>50</xdr:row>
      <xdr:rowOff>68035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069C219-9203-4AC6-9705-09A54F3A9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212314</xdr:colOff>
      <xdr:row>1</xdr:row>
      <xdr:rowOff>80841</xdr:rowOff>
    </xdr:from>
    <xdr:to>
      <xdr:col>26</xdr:col>
      <xdr:colOff>86198</xdr:colOff>
      <xdr:row>13</xdr:row>
      <xdr:rowOff>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A77BA2-8E92-4614-99C3-728222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432328</xdr:colOff>
      <xdr:row>0</xdr:row>
      <xdr:rowOff>95250</xdr:rowOff>
    </xdr:from>
    <xdr:to>
      <xdr:col>18</xdr:col>
      <xdr:colOff>259146</xdr:colOff>
      <xdr:row>12</xdr:row>
      <xdr:rowOff>14567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E4AE7B-593C-410A-8E01-E52222D63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133350</xdr:colOff>
      <xdr:row>1</xdr:row>
      <xdr:rowOff>95250</xdr:rowOff>
    </xdr:from>
    <xdr:to>
      <xdr:col>7</xdr:col>
      <xdr:colOff>454201</xdr:colOff>
      <xdr:row>13</xdr:row>
      <xdr:rowOff>14567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C65055-82ED-4643-BF8D-C09CD4BED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6</xdr:col>
      <xdr:colOff>385082</xdr:colOff>
      <xdr:row>93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24FAFC-01F5-4EEE-BEA8-CE62C1B4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0"/>
          <a:ext cx="6081032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210910</xdr:colOff>
      <xdr:row>1</xdr:row>
      <xdr:rowOff>0</xdr:rowOff>
    </xdr:from>
    <xdr:to>
      <xdr:col>32</xdr:col>
      <xdr:colOff>217714</xdr:colOff>
      <xdr:row>22</xdr:row>
      <xdr:rowOff>85724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A2EFDB-B250-4EE4-B508-61DEEC711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1979839</xdr:colOff>
      <xdr:row>1</xdr:row>
      <xdr:rowOff>159203</xdr:rowOff>
    </xdr:from>
    <xdr:to>
      <xdr:col>23</xdr:col>
      <xdr:colOff>20410</xdr:colOff>
      <xdr:row>16</xdr:row>
      <xdr:rowOff>44903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CB0F6C-765C-4E20-AC9C-31C15397A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34018</xdr:colOff>
      <xdr:row>1</xdr:row>
      <xdr:rowOff>50346</xdr:rowOff>
    </xdr:from>
    <xdr:to>
      <xdr:col>19</xdr:col>
      <xdr:colOff>523875</xdr:colOff>
      <xdr:row>15</xdr:row>
      <xdr:rowOff>126546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6B2C08-3017-48F0-9CDF-4543D7F89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108857</xdr:colOff>
      <xdr:row>22</xdr:row>
      <xdr:rowOff>163285</xdr:rowOff>
    </xdr:from>
    <xdr:to>
      <xdr:col>32</xdr:col>
      <xdr:colOff>258536</xdr:colOff>
      <xdr:row>46</xdr:row>
      <xdr:rowOff>117021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62D9CF-BA80-4E39-83BD-31CFDDE19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45</xdr:row>
      <xdr:rowOff>152400</xdr:rowOff>
    </xdr:from>
    <xdr:to>
      <xdr:col>4</xdr:col>
      <xdr:colOff>2438400</xdr:colOff>
      <xdr:row>60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5DA79C-8EB2-4E6F-B6DC-2710BC399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2657475</xdr:colOff>
      <xdr:row>45</xdr:row>
      <xdr:rowOff>114300</xdr:rowOff>
    </xdr:from>
    <xdr:to>
      <xdr:col>9</xdr:col>
      <xdr:colOff>1990725</xdr:colOff>
      <xdr:row>60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C43073-AD57-4D5E-8950-DA9AA2720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353786</xdr:colOff>
      <xdr:row>45</xdr:row>
      <xdr:rowOff>95250</xdr:rowOff>
    </xdr:from>
    <xdr:to>
      <xdr:col>14</xdr:col>
      <xdr:colOff>2875189</xdr:colOff>
      <xdr:row>59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D4D5D6-B70D-424D-A84A-5FF39DAB5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3211285</xdr:colOff>
      <xdr:row>45</xdr:row>
      <xdr:rowOff>95249</xdr:rowOff>
    </xdr:from>
    <xdr:to>
      <xdr:col>19</xdr:col>
      <xdr:colOff>2058760</xdr:colOff>
      <xdr:row>59</xdr:row>
      <xdr:rowOff>171449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4FB4B2-346D-4DBF-AC30-A8A698887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2868706</xdr:colOff>
      <xdr:row>62</xdr:row>
      <xdr:rowOff>0</xdr:rowOff>
    </xdr:from>
    <xdr:to>
      <xdr:col>19</xdr:col>
      <xdr:colOff>2085975</xdr:colOff>
      <xdr:row>79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433D0D-C414-44FB-BA6F-5A3D9CBC8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64</xdr:row>
      <xdr:rowOff>0</xdr:rowOff>
    </xdr:from>
    <xdr:to>
      <xdr:col>9</xdr:col>
      <xdr:colOff>2017569</xdr:colOff>
      <xdr:row>78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E0BCE86-F47C-4D0F-9962-DC19C0F6C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138546</xdr:colOff>
      <xdr:row>62</xdr:row>
      <xdr:rowOff>17318</xdr:rowOff>
    </xdr:from>
    <xdr:to>
      <xdr:col>14</xdr:col>
      <xdr:colOff>2622176</xdr:colOff>
      <xdr:row>79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7F2AB5-2116-4CC3-A826-A2666AE4F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75801</xdr:rowOff>
    </xdr:from>
    <xdr:to>
      <xdr:col>5</xdr:col>
      <xdr:colOff>382360</xdr:colOff>
      <xdr:row>33</xdr:row>
      <xdr:rowOff>180575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1861EC-C11D-4F2D-8768-E2BEA3AAF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ar&#225;n/Desktop/Zein%20and%20CA%20project/Zein%20data%20master%2015-11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in solvents (literature)"/>
      <sheetName val="Zinc concentrations..."/>
      <sheetName val="Sheet1"/>
      <sheetName val="CC-CA15 TGA"/>
      <sheetName val="Zein initial testing"/>
      <sheetName val="CA15 TGA results"/>
      <sheetName val="Bead sizes"/>
      <sheetName val="Sheet4"/>
      <sheetName val="Antisolvent study FTIR"/>
      <sheetName val="Antisolvent - Size study"/>
      <sheetName val="30-03-21 Staged deacetyleation"/>
      <sheetName val="Costing for CA or C beads"/>
      <sheetName val="NaCl - poros&amp;Zetapotential work"/>
      <sheetName val="NaCl poros"/>
      <sheetName val="Kamlet Taft"/>
      <sheetName val="Final porosity work"/>
      <sheetName val="CA DMSO viscosity"/>
      <sheetName val="Zn antisolvents"/>
      <sheetName val="CO2 calcs"/>
      <sheetName val="DES "/>
      <sheetName val="Primary solvents"/>
      <sheetName val="Biodegradable Binders"/>
      <sheetName val="Backup and testing"/>
      <sheetName val="Initial cal "/>
      <sheetName val="pH results"/>
      <sheetName val="RESULTS SIZ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12</v>
          </cell>
          <cell r="B2">
            <v>12</v>
          </cell>
          <cell r="C2">
            <v>3</v>
          </cell>
          <cell r="H2">
            <v>0</v>
          </cell>
          <cell r="I2">
            <v>3.125E-2</v>
          </cell>
          <cell r="J2">
            <v>1.953125E-2</v>
          </cell>
        </row>
        <row r="3">
          <cell r="A3">
            <v>102</v>
          </cell>
          <cell r="B3">
            <v>101</v>
          </cell>
          <cell r="H3">
            <v>5.0000000000000001E-3</v>
          </cell>
          <cell r="I3">
            <v>6.25E-2</v>
          </cell>
          <cell r="J3">
            <v>3.90625E-2</v>
          </cell>
        </row>
        <row r="4">
          <cell r="C4">
            <v>340</v>
          </cell>
          <cell r="H4">
            <v>0.01</v>
          </cell>
          <cell r="I4">
            <v>0.125</v>
          </cell>
          <cell r="J4">
            <v>7.8125E-2</v>
          </cell>
        </row>
        <row r="5">
          <cell r="A5">
            <v>2013</v>
          </cell>
          <cell r="B5">
            <v>2907</v>
          </cell>
          <cell r="C5">
            <v>1570</v>
          </cell>
          <cell r="H5">
            <v>0.05</v>
          </cell>
          <cell r="I5">
            <v>0.25</v>
          </cell>
          <cell r="J5">
            <v>0.15625</v>
          </cell>
        </row>
        <row r="6">
          <cell r="A6">
            <v>4140</v>
          </cell>
          <cell r="B6">
            <v>6419</v>
          </cell>
          <cell r="C6">
            <v>3058</v>
          </cell>
          <cell r="H6">
            <v>0.1</v>
          </cell>
          <cell r="I6">
            <v>0.5</v>
          </cell>
          <cell r="J6">
            <v>0.3125</v>
          </cell>
        </row>
        <row r="7">
          <cell r="A7">
            <v>7215</v>
          </cell>
          <cell r="B7">
            <v>13530</v>
          </cell>
          <cell r="C7">
            <v>13010</v>
          </cell>
          <cell r="H7">
            <v>0.5</v>
          </cell>
          <cell r="I7">
            <v>1</v>
          </cell>
          <cell r="J7">
            <v>0.625</v>
          </cell>
        </row>
        <row r="8">
          <cell r="H8">
            <v>1</v>
          </cell>
          <cell r="I8">
            <v>1.25</v>
          </cell>
          <cell r="J8">
            <v>1.25</v>
          </cell>
        </row>
        <row r="9">
          <cell r="C9">
            <v>42710</v>
          </cell>
          <cell r="H9">
            <v>2</v>
          </cell>
          <cell r="I9">
            <v>2.5</v>
          </cell>
          <cell r="J9">
            <v>2.5</v>
          </cell>
        </row>
        <row r="10">
          <cell r="I10">
            <v>5</v>
          </cell>
          <cell r="J10">
            <v>5</v>
          </cell>
        </row>
        <row r="11">
          <cell r="I11">
            <v>10</v>
          </cell>
        </row>
        <row r="45">
          <cell r="M45" t="str">
            <v>%wt Zn</v>
          </cell>
        </row>
        <row r="66">
          <cell r="P66" t="str">
            <v>Zinc nitrate</v>
          </cell>
          <cell r="Q66" t="str">
            <v>Zinc chloride</v>
          </cell>
          <cell r="R66" t="str">
            <v>Zinc acetate</v>
          </cell>
          <cell r="S66" t="str">
            <v>Zinc sulphate</v>
          </cell>
          <cell r="T66" t="str">
            <v>Zinc carbonate</v>
          </cell>
        </row>
        <row r="67">
          <cell r="P67">
            <v>14.9</v>
          </cell>
          <cell r="Q67">
            <v>13</v>
          </cell>
          <cell r="R67">
            <v>9.8000000000000007</v>
          </cell>
          <cell r="S67">
            <v>6</v>
          </cell>
          <cell r="T67">
            <v>5</v>
          </cell>
        </row>
      </sheetData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TargetMode="External"/><Relationship Id="rId13" Type="http://schemas.openxmlformats.org/officeDocument/2006/relationships/hyperlink" Target="https://www.researchgate.net/deref/http%3A%2F%2Fdx.doi.org%2F10.2116%2Fanalsci.18.1357?_sg%5B0%5D=dQmX8V8CjGld1vPSdPemFXtzif_Ef_kDSaxX_LN6D7ETiC5bZjRTkf7Udjgs8YicuG0-a7NBRaeHIUQQot7XyDt2ww.URULuNXLuW-WqQvw4RbfVi7TephbL5anvcDLu89BQOeRpeh1DyKHRQwK7Y0FqFwRJW1LnH0XqMOq3i269-iEtA" TargetMode="External"/><Relationship Id="rId3" Type="http://schemas.openxmlformats.org/officeDocument/2006/relationships/hyperlink" Target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TargetMode="External"/><Relationship Id="rId7" Type="http://schemas.openxmlformats.org/officeDocument/2006/relationships/hyperlink" Target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TargetMode="External"/><Relationship Id="rId12" Type="http://schemas.openxmlformats.org/officeDocument/2006/relationships/hyperlink" Target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TargetMode="External"/><Relationship Id="rId2" Type="http://schemas.openxmlformats.org/officeDocument/2006/relationships/hyperlink" Target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TargetMode="External"/><Relationship Id="rId1" Type="http://schemas.openxmlformats.org/officeDocument/2006/relationships/hyperlink" Target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TargetMode="External"/><Relationship Id="rId6" Type="http://schemas.openxmlformats.org/officeDocument/2006/relationships/hyperlink" Target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TargetMode="External"/><Relationship Id="rId11" Type="http://schemas.openxmlformats.org/officeDocument/2006/relationships/hyperlink" Target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TargetMode="External"/><Relationship Id="rId5" Type="http://schemas.openxmlformats.org/officeDocument/2006/relationships/hyperlink" Target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TargetMode="External"/><Relationship Id="rId4" Type="http://schemas.openxmlformats.org/officeDocument/2006/relationships/hyperlink" Target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TargetMode="External"/><Relationship Id="rId9" Type="http://schemas.openxmlformats.org/officeDocument/2006/relationships/hyperlink" Target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TargetMode="External"/><Relationship Id="rId14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17466-D322-4B7D-95B4-81473F79422C}">
  <dimension ref="A1:AD81"/>
  <sheetViews>
    <sheetView zoomScale="70" zoomScaleNormal="70" workbookViewId="0">
      <selection activeCell="L34" sqref="L34"/>
    </sheetView>
  </sheetViews>
  <sheetFormatPr defaultRowHeight="15" x14ac:dyDescent="0.25"/>
  <cols>
    <col min="1" max="1" width="32.28515625" style="7" bestFit="1" customWidth="1"/>
    <col min="2" max="2" width="12.28515625" style="7" bestFit="1" customWidth="1"/>
    <col min="3" max="3" width="37.28515625" style="7" bestFit="1" customWidth="1"/>
    <col min="4" max="4" width="22.42578125" style="7" bestFit="1" customWidth="1"/>
    <col min="5" max="5" width="24.85546875" style="7" bestFit="1" customWidth="1"/>
    <col min="6" max="6" width="39.140625" style="7" bestFit="1" customWidth="1"/>
    <col min="7" max="7" width="46" style="7" bestFit="1" customWidth="1"/>
    <col min="8" max="8" width="13.7109375" style="7" bestFit="1" customWidth="1"/>
    <col min="9" max="9" width="28" style="7" bestFit="1" customWidth="1"/>
    <col min="10" max="10" width="17" style="7" bestFit="1" customWidth="1"/>
    <col min="11" max="11" width="37" style="7" bestFit="1" customWidth="1"/>
    <col min="12" max="12" width="15.7109375" style="7" bestFit="1" customWidth="1"/>
    <col min="13" max="13" width="13.7109375" style="7" bestFit="1" customWidth="1"/>
    <col min="14" max="14" width="28" style="7" bestFit="1" customWidth="1"/>
    <col min="15" max="15" width="17" style="7" bestFit="1" customWidth="1"/>
    <col min="16" max="16" width="11" style="7" bestFit="1" customWidth="1"/>
    <col min="17" max="17" width="22.42578125" style="7" bestFit="1" customWidth="1"/>
    <col min="18" max="18" width="29.7109375" style="7" bestFit="1" customWidth="1"/>
    <col min="19" max="20" width="13.42578125" style="7" bestFit="1" customWidth="1"/>
    <col min="21" max="21" width="14.85546875" style="7" bestFit="1" customWidth="1"/>
    <col min="22" max="22" width="49.5703125" style="7" customWidth="1"/>
    <col min="23" max="23" width="45.42578125" style="7" bestFit="1" customWidth="1"/>
    <col min="24" max="25" width="16" style="7" customWidth="1"/>
    <col min="26" max="26" width="22.42578125" style="7" customWidth="1"/>
    <col min="27" max="27" width="12.28515625" style="7" bestFit="1" customWidth="1"/>
    <col min="28" max="28" width="11" style="7" bestFit="1" customWidth="1"/>
    <col min="29" max="29" width="22.42578125" style="7" bestFit="1" customWidth="1"/>
    <col min="30" max="30" width="16.42578125" style="7" bestFit="1" customWidth="1"/>
    <col min="31" max="33" width="9.140625" style="7"/>
    <col min="34" max="34" width="12.7109375" style="7" customWidth="1"/>
    <col min="35" max="35" width="43.5703125" style="7" bestFit="1" customWidth="1"/>
    <col min="36" max="36" width="11" style="7" bestFit="1" customWidth="1"/>
    <col min="37" max="37" width="22.42578125" style="7" bestFit="1" customWidth="1"/>
    <col min="38" max="38" width="13.42578125" style="7" bestFit="1" customWidth="1"/>
    <col min="39" max="16384" width="9.140625" style="7"/>
  </cols>
  <sheetData>
    <row r="1" spans="1:28" x14ac:dyDescent="0.25">
      <c r="A1" s="8"/>
    </row>
    <row r="2" spans="1:28" x14ac:dyDescent="0.25">
      <c r="A2" s="9" t="s">
        <v>24</v>
      </c>
      <c r="B2" s="10"/>
      <c r="C2" s="10" t="s">
        <v>25</v>
      </c>
      <c r="D2" s="10" t="s">
        <v>26</v>
      </c>
      <c r="E2" s="10" t="s">
        <v>27</v>
      </c>
      <c r="F2" s="10" t="s">
        <v>28</v>
      </c>
      <c r="G2" s="10" t="s">
        <v>29</v>
      </c>
    </row>
    <row r="3" spans="1:28" x14ac:dyDescent="0.25">
      <c r="A3" s="11" t="s">
        <v>2</v>
      </c>
      <c r="B3" s="10"/>
      <c r="C3" s="10">
        <v>6</v>
      </c>
      <c r="D3" s="10">
        <v>4.04</v>
      </c>
      <c r="E3" s="10">
        <f>D3*2</f>
        <v>8.08</v>
      </c>
      <c r="F3" s="12">
        <f>D3/100*C3</f>
        <v>0.2424</v>
      </c>
      <c r="G3" s="13">
        <f>F3*2</f>
        <v>0.48480000000000001</v>
      </c>
      <c r="H3" s="14"/>
      <c r="I3" s="14"/>
      <c r="J3" s="14"/>
      <c r="K3" s="14"/>
      <c r="L3" s="14"/>
      <c r="M3" s="14"/>
      <c r="N3" s="14"/>
      <c r="O3" s="14"/>
      <c r="P3" s="15"/>
      <c r="Q3" s="15"/>
      <c r="S3" s="16"/>
      <c r="T3" s="16"/>
      <c r="U3" s="16"/>
      <c r="V3" s="17"/>
      <c r="W3" s="17"/>
      <c r="X3" s="17"/>
      <c r="Y3" s="17"/>
      <c r="Z3" s="17"/>
      <c r="AB3" s="18"/>
    </row>
    <row r="4" spans="1:28" x14ac:dyDescent="0.25">
      <c r="A4" s="11" t="s">
        <v>5</v>
      </c>
      <c r="B4" s="10"/>
      <c r="C4" s="10">
        <v>12.5</v>
      </c>
      <c r="D4" s="10">
        <v>4.78</v>
      </c>
      <c r="E4" s="10">
        <f t="shared" ref="E4:E5" si="0">D4*2</f>
        <v>9.56</v>
      </c>
      <c r="F4" s="12">
        <f t="shared" ref="F4:F5" si="1">D4/100*C4</f>
        <v>0.59750000000000003</v>
      </c>
      <c r="G4" s="13">
        <f t="shared" ref="G4:G5" si="2">F4*2</f>
        <v>1.1950000000000001</v>
      </c>
      <c r="H4" s="14"/>
      <c r="I4" s="14"/>
      <c r="J4" s="14"/>
      <c r="K4" s="14"/>
      <c r="L4" s="14"/>
      <c r="M4" s="14"/>
      <c r="N4" s="14"/>
      <c r="O4" s="14"/>
      <c r="S4" s="16"/>
      <c r="T4" s="16"/>
      <c r="U4" s="16"/>
      <c r="V4" s="17"/>
      <c r="W4" s="17"/>
      <c r="X4" s="17"/>
      <c r="Y4" s="17"/>
      <c r="Z4" s="17"/>
      <c r="AB4" s="18"/>
    </row>
    <row r="5" spans="1:28" x14ac:dyDescent="0.25">
      <c r="A5" s="11" t="s">
        <v>3</v>
      </c>
      <c r="B5" s="10"/>
      <c r="C5" s="10">
        <v>9.8000000000000007</v>
      </c>
      <c r="D5" s="10">
        <v>2.14</v>
      </c>
      <c r="E5" s="10">
        <f t="shared" si="0"/>
        <v>4.28</v>
      </c>
      <c r="F5" s="12">
        <f t="shared" si="1"/>
        <v>0.20972000000000005</v>
      </c>
      <c r="G5" s="13">
        <f t="shared" si="2"/>
        <v>0.41944000000000009</v>
      </c>
      <c r="H5" s="14"/>
      <c r="I5" s="14"/>
      <c r="J5" s="14"/>
      <c r="K5" s="14"/>
      <c r="L5" s="14"/>
      <c r="M5" s="14"/>
      <c r="N5" s="14"/>
      <c r="O5" s="14"/>
      <c r="S5" s="16"/>
      <c r="T5" s="16"/>
      <c r="U5" s="16"/>
      <c r="V5" s="17"/>
      <c r="W5" s="17"/>
      <c r="X5" s="17"/>
      <c r="Y5" s="17"/>
      <c r="Z5" s="17"/>
      <c r="AB5" s="18"/>
    </row>
    <row r="6" spans="1:28" x14ac:dyDescent="0.25">
      <c r="A6" s="11" t="s">
        <v>4</v>
      </c>
      <c r="B6" s="10"/>
      <c r="C6" s="10">
        <v>27</v>
      </c>
      <c r="D6" s="10">
        <v>2.73</v>
      </c>
      <c r="E6" s="10">
        <f>D6*2</f>
        <v>5.46</v>
      </c>
      <c r="F6" s="12">
        <f>D6/100*C6</f>
        <v>0.73710000000000009</v>
      </c>
      <c r="G6" s="13">
        <f>F6*2</f>
        <v>1.4742000000000002</v>
      </c>
      <c r="H6" s="14"/>
      <c r="I6" s="14"/>
      <c r="J6" s="14"/>
      <c r="K6" s="14"/>
      <c r="L6" s="14"/>
      <c r="M6" s="14"/>
      <c r="N6" s="14"/>
      <c r="O6" s="14"/>
      <c r="S6" s="16"/>
      <c r="T6" s="16"/>
      <c r="U6" s="16"/>
      <c r="V6" s="17"/>
      <c r="W6" s="17"/>
      <c r="X6" s="17"/>
      <c r="Y6" s="17"/>
      <c r="Z6" s="17"/>
      <c r="AB6" s="18"/>
    </row>
    <row r="8" spans="1:28" x14ac:dyDescent="0.25">
      <c r="A8" s="31" t="s">
        <v>7</v>
      </c>
      <c r="B8" s="32"/>
      <c r="C8" s="32"/>
      <c r="D8" s="32"/>
      <c r="E8" s="32"/>
    </row>
    <row r="9" spans="1:28" x14ac:dyDescent="0.25">
      <c r="A9" s="32" t="s">
        <v>6</v>
      </c>
      <c r="B9" s="32" t="s">
        <v>2</v>
      </c>
      <c r="C9" s="32" t="s">
        <v>3</v>
      </c>
      <c r="D9" s="32" t="s">
        <v>4</v>
      </c>
      <c r="E9" s="32" t="s">
        <v>5</v>
      </c>
    </row>
    <row r="10" spans="1:28" x14ac:dyDescent="0.25">
      <c r="A10" s="32">
        <v>0</v>
      </c>
      <c r="B10" s="32">
        <v>0</v>
      </c>
      <c r="C10" s="32">
        <v>0</v>
      </c>
      <c r="D10" s="32">
        <v>0</v>
      </c>
      <c r="E10" s="32">
        <v>0</v>
      </c>
    </row>
    <row r="11" spans="1:28" x14ac:dyDescent="0.25">
      <c r="A11" s="32">
        <v>15</v>
      </c>
      <c r="B11" s="33">
        <v>64.660616624675228</v>
      </c>
      <c r="C11" s="33">
        <v>22.51342417681775</v>
      </c>
      <c r="D11" s="33">
        <v>41.443795213375545</v>
      </c>
      <c r="E11" s="33">
        <v>106.63623606175656</v>
      </c>
    </row>
    <row r="12" spans="1:28" x14ac:dyDescent="0.25">
      <c r="A12" s="32">
        <v>30</v>
      </c>
      <c r="B12" s="33">
        <v>30.631036675608783</v>
      </c>
      <c r="C12" s="33">
        <v>16.922770228823588</v>
      </c>
      <c r="D12" s="33">
        <v>24.311142462839147</v>
      </c>
      <c r="E12" s="33">
        <v>151.43700952749964</v>
      </c>
    </row>
    <row r="13" spans="1:28" x14ac:dyDescent="0.25">
      <c r="A13" s="32">
        <v>45</v>
      </c>
      <c r="B13" s="33">
        <v>177.76192446192624</v>
      </c>
      <c r="C13" s="33">
        <v>31.133268568892884</v>
      </c>
      <c r="D13" s="33">
        <v>53.245055802321978</v>
      </c>
      <c r="E13" s="33">
        <v>306.75900803789665</v>
      </c>
    </row>
    <row r="14" spans="1:28" x14ac:dyDescent="0.25">
      <c r="A14" s="32">
        <v>60</v>
      </c>
      <c r="B14" s="33">
        <v>146.83197935579645</v>
      </c>
      <c r="C14" s="33">
        <v>22.33834960466287</v>
      </c>
      <c r="D14" s="33">
        <v>54.761288045730964</v>
      </c>
      <c r="E14" s="33">
        <v>429.56562291079393</v>
      </c>
    </row>
    <row r="15" spans="1:28" x14ac:dyDescent="0.25">
      <c r="A15" s="32">
        <v>120</v>
      </c>
      <c r="B15" s="33">
        <v>260.77084635503815</v>
      </c>
      <c r="C15" s="33">
        <v>24.961763979329877</v>
      </c>
      <c r="D15" s="33">
        <v>151.3828924866277</v>
      </c>
      <c r="E15" s="33">
        <v>623.94622134636518</v>
      </c>
    </row>
    <row r="16" spans="1:28" x14ac:dyDescent="0.25">
      <c r="A16" s="32">
        <v>360</v>
      </c>
      <c r="B16" s="33">
        <v>325.19424290090018</v>
      </c>
      <c r="C16" s="33">
        <v>31.398425504117295</v>
      </c>
      <c r="D16" s="33">
        <v>209.78173317503055</v>
      </c>
      <c r="E16" s="33">
        <v>785.2929262102931</v>
      </c>
    </row>
    <row r="17" spans="1:30" x14ac:dyDescent="0.25">
      <c r="A17" s="32"/>
      <c r="B17" s="32"/>
      <c r="C17" s="32"/>
      <c r="D17" s="32"/>
      <c r="E17" s="32"/>
    </row>
    <row r="18" spans="1:30" x14ac:dyDescent="0.25">
      <c r="A18" s="31" t="s">
        <v>8</v>
      </c>
      <c r="B18" s="32"/>
      <c r="C18" s="32"/>
      <c r="D18" s="32"/>
      <c r="E18" s="32"/>
    </row>
    <row r="19" spans="1:30" x14ac:dyDescent="0.25">
      <c r="A19" s="32" t="s">
        <v>6</v>
      </c>
      <c r="B19" s="32" t="s">
        <v>2</v>
      </c>
      <c r="C19" s="32" t="s">
        <v>3</v>
      </c>
      <c r="D19" s="32" t="s">
        <v>4</v>
      </c>
      <c r="E19" s="32" t="s">
        <v>5</v>
      </c>
      <c r="G19" s="34" t="s">
        <v>48</v>
      </c>
      <c r="H19" s="35"/>
      <c r="I19" s="35"/>
      <c r="J19" s="35"/>
    </row>
    <row r="20" spans="1:30" x14ac:dyDescent="0.25">
      <c r="A20" s="32">
        <v>15</v>
      </c>
      <c r="B20" s="33">
        <v>20.63239168107453</v>
      </c>
      <c r="C20" s="33">
        <v>11.95598364593546</v>
      </c>
      <c r="D20" s="33">
        <v>13.830161138000012</v>
      </c>
      <c r="E20" s="33">
        <v>25.953227292108775</v>
      </c>
      <c r="G20" s="36" t="s">
        <v>2</v>
      </c>
      <c r="H20" s="36" t="s">
        <v>3</v>
      </c>
      <c r="I20" s="36" t="s">
        <v>4</v>
      </c>
      <c r="J20" s="36" t="s">
        <v>5</v>
      </c>
    </row>
    <row r="21" spans="1:30" x14ac:dyDescent="0.25">
      <c r="A21" s="32">
        <v>30</v>
      </c>
      <c r="B21" s="33">
        <v>11.54805102568184</v>
      </c>
      <c r="C21" s="33">
        <v>8.0149825132514376</v>
      </c>
      <c r="D21" s="33">
        <v>15.052140143469257</v>
      </c>
      <c r="E21" s="33">
        <v>54.983856036683775</v>
      </c>
      <c r="G21" s="37">
        <v>0.48480000000000001</v>
      </c>
      <c r="H21" s="35">
        <v>0.41944000000000009</v>
      </c>
      <c r="I21" s="35">
        <v>1.4742000000000002</v>
      </c>
      <c r="J21" s="35">
        <v>1.1950000000000001</v>
      </c>
    </row>
    <row r="22" spans="1:30" x14ac:dyDescent="0.25">
      <c r="A22" s="32">
        <v>45</v>
      </c>
      <c r="B22" s="33">
        <v>25.579383324094543</v>
      </c>
      <c r="C22" s="33">
        <v>3.1870703218754266</v>
      </c>
      <c r="D22" s="33">
        <v>26.923460565173134</v>
      </c>
      <c r="E22" s="33">
        <v>127.93327918393145</v>
      </c>
      <c r="Q22" s="106" t="s">
        <v>46</v>
      </c>
      <c r="R22" s="106"/>
      <c r="S22" s="106"/>
      <c r="T22" s="106"/>
      <c r="U22" s="106"/>
      <c r="V22" s="106"/>
      <c r="W22" s="106"/>
    </row>
    <row r="23" spans="1:30" x14ac:dyDescent="0.25">
      <c r="A23" s="32">
        <v>60</v>
      </c>
      <c r="B23" s="33">
        <v>52.738281235716705</v>
      </c>
      <c r="C23" s="33">
        <v>12.188611233527663</v>
      </c>
      <c r="D23" s="33">
        <v>39.89284575311607</v>
      </c>
      <c r="E23" s="33">
        <v>183.81786030174229</v>
      </c>
      <c r="Q23" s="106"/>
      <c r="R23" s="106"/>
      <c r="S23" s="106"/>
      <c r="T23" s="106"/>
      <c r="U23" s="106"/>
      <c r="V23" s="106"/>
      <c r="W23" s="106"/>
    </row>
    <row r="24" spans="1:30" x14ac:dyDescent="0.25">
      <c r="A24" s="32">
        <v>120</v>
      </c>
      <c r="B24" s="33">
        <v>94.763688037150814</v>
      </c>
      <c r="C24" s="33">
        <v>6.7268293837213626</v>
      </c>
      <c r="D24" s="33">
        <v>40.593694446669168</v>
      </c>
      <c r="E24" s="33">
        <v>43.23426648010976</v>
      </c>
      <c r="Q24" s="106"/>
      <c r="R24" s="106"/>
      <c r="S24" s="106"/>
      <c r="T24" s="106"/>
      <c r="U24" s="106"/>
      <c r="V24" s="106"/>
      <c r="W24" s="106"/>
    </row>
    <row r="25" spans="1:30" x14ac:dyDescent="0.25">
      <c r="A25" s="32">
        <v>360</v>
      </c>
      <c r="B25" s="33">
        <v>45.256372679464278</v>
      </c>
      <c r="C25" s="33">
        <v>7.6241085493234531</v>
      </c>
      <c r="D25" s="33">
        <v>42.982955668215425</v>
      </c>
      <c r="E25" s="33">
        <v>190.1168441623665</v>
      </c>
      <c r="K25" s="107" t="s">
        <v>49</v>
      </c>
      <c r="L25" s="107"/>
      <c r="M25" s="107"/>
      <c r="N25" s="107"/>
      <c r="O25" s="107"/>
      <c r="Q25" s="22"/>
      <c r="R25" s="22"/>
      <c r="S25" s="22"/>
      <c r="T25" s="22"/>
      <c r="U25" s="22"/>
      <c r="V25" s="22"/>
      <c r="W25" s="22"/>
      <c r="X25" s="22"/>
      <c r="Y25" s="22"/>
      <c r="Z25" s="105"/>
      <c r="AA25" s="105"/>
      <c r="AB25" s="105"/>
      <c r="AC25" s="105"/>
      <c r="AD25" s="105"/>
    </row>
    <row r="26" spans="1:30" x14ac:dyDescent="0.25">
      <c r="A26" s="32"/>
      <c r="B26" s="32"/>
      <c r="C26" s="32"/>
      <c r="D26" s="32"/>
      <c r="E26" s="32"/>
      <c r="K26" s="107"/>
      <c r="L26" s="107"/>
      <c r="M26" s="107"/>
      <c r="N26" s="107"/>
      <c r="O26" s="107"/>
      <c r="Q26" s="102" t="s">
        <v>44</v>
      </c>
      <c r="R26" s="103"/>
      <c r="S26" s="103"/>
      <c r="T26" s="103"/>
      <c r="U26" s="103"/>
      <c r="V26" s="103"/>
      <c r="W26" s="104"/>
      <c r="X26" s="23"/>
      <c r="Y26" s="23"/>
      <c r="Z26" s="105"/>
      <c r="AA26" s="105"/>
      <c r="AB26" s="105"/>
      <c r="AC26" s="105"/>
      <c r="AD26" s="105"/>
    </row>
    <row r="27" spans="1:30" x14ac:dyDescent="0.25">
      <c r="A27" s="19" t="s">
        <v>30</v>
      </c>
      <c r="B27" s="20"/>
      <c r="C27" s="20"/>
      <c r="D27" s="20"/>
      <c r="E27" s="20"/>
      <c r="F27" s="24" t="s">
        <v>32</v>
      </c>
      <c r="G27" s="24"/>
      <c r="H27" s="24"/>
      <c r="I27" s="24"/>
      <c r="J27" s="24"/>
      <c r="K27" s="38" t="s">
        <v>33</v>
      </c>
      <c r="L27" s="38"/>
      <c r="M27" s="38"/>
      <c r="N27" s="38"/>
      <c r="O27" s="38"/>
      <c r="Q27" s="22"/>
      <c r="R27" s="22" t="s">
        <v>36</v>
      </c>
      <c r="S27" s="22" t="s">
        <v>37</v>
      </c>
      <c r="T27" s="22" t="s">
        <v>38</v>
      </c>
      <c r="U27" s="22" t="s">
        <v>39</v>
      </c>
      <c r="V27" s="22" t="s">
        <v>40</v>
      </c>
      <c r="W27" s="22" t="s">
        <v>41</v>
      </c>
      <c r="X27" s="22"/>
      <c r="Y27" s="22"/>
      <c r="Z27" s="20"/>
      <c r="AA27" s="20" t="s">
        <v>31</v>
      </c>
      <c r="AB27" s="20"/>
      <c r="AC27" s="20"/>
      <c r="AD27" s="20"/>
    </row>
    <row r="28" spans="1:30" x14ac:dyDescent="0.25">
      <c r="A28" s="20" t="s">
        <v>6</v>
      </c>
      <c r="B28" s="20" t="s">
        <v>2</v>
      </c>
      <c r="C28" s="20" t="s">
        <v>3</v>
      </c>
      <c r="D28" s="20" t="s">
        <v>4</v>
      </c>
      <c r="E28" s="20" t="s">
        <v>5</v>
      </c>
      <c r="F28" s="24" t="s">
        <v>6</v>
      </c>
      <c r="G28" s="24" t="s">
        <v>2</v>
      </c>
      <c r="H28" s="24" t="s">
        <v>3</v>
      </c>
      <c r="I28" s="24" t="s">
        <v>4</v>
      </c>
      <c r="J28" s="24" t="s">
        <v>5</v>
      </c>
      <c r="K28" s="38" t="s">
        <v>6</v>
      </c>
      <c r="L28" s="38" t="s">
        <v>2</v>
      </c>
      <c r="M28" s="38" t="s">
        <v>3</v>
      </c>
      <c r="N28" s="38" t="s">
        <v>4</v>
      </c>
      <c r="O28" s="38" t="s">
        <v>5</v>
      </c>
      <c r="Q28" s="22" t="s">
        <v>5</v>
      </c>
      <c r="R28" s="22">
        <v>1441</v>
      </c>
      <c r="S28" s="25">
        <f>R28/60</f>
        <v>24.016666666666666</v>
      </c>
      <c r="T28" s="25">
        <f>S28/24</f>
        <v>1.0006944444444443</v>
      </c>
      <c r="U28" s="22"/>
      <c r="V28" s="22"/>
      <c r="W28" s="22"/>
      <c r="X28" s="22"/>
      <c r="Y28" s="22"/>
      <c r="Z28" s="19" t="s">
        <v>47</v>
      </c>
      <c r="AA28" s="20" t="s">
        <v>2</v>
      </c>
      <c r="AB28" s="20" t="s">
        <v>3</v>
      </c>
      <c r="AC28" s="20" t="s">
        <v>4</v>
      </c>
      <c r="AD28" s="20" t="s">
        <v>5</v>
      </c>
    </row>
    <row r="29" spans="1:30" x14ac:dyDescent="0.25">
      <c r="A29" s="20">
        <v>15</v>
      </c>
      <c r="B29" s="21">
        <v>88.065348355084396</v>
      </c>
      <c r="C29" s="21">
        <v>27.22631286189457</v>
      </c>
      <c r="D29" s="21">
        <v>66.485155696313782</v>
      </c>
      <c r="E29" s="21">
        <v>159.00448404888994</v>
      </c>
      <c r="F29" s="26">
        <v>15</v>
      </c>
      <c r="G29" s="27">
        <f>B29/1000</f>
        <v>8.8065348355084394E-2</v>
      </c>
      <c r="H29" s="27">
        <f t="shared" ref="H29:J34" si="3">C29/1000</f>
        <v>2.7226312861894569E-2</v>
      </c>
      <c r="I29" s="27">
        <f>D29/1000</f>
        <v>6.6485155696313789E-2</v>
      </c>
      <c r="J29" s="27">
        <f t="shared" si="3"/>
        <v>0.15900448404888995</v>
      </c>
      <c r="K29" s="39">
        <v>15</v>
      </c>
      <c r="L29" s="40">
        <f>(G29/$G$21)*100</f>
        <v>18.165294627698923</v>
      </c>
      <c r="M29" s="40">
        <f>(H29/$H$21)*100</f>
        <v>6.491110256984209</v>
      </c>
      <c r="N29" s="40">
        <f>(I29/$I$21)*100</f>
        <v>4.5099142379808566</v>
      </c>
      <c r="O29" s="40">
        <f>(J29/$J$21)*100</f>
        <v>13.305814564760665</v>
      </c>
      <c r="Q29" s="22" t="s">
        <v>2</v>
      </c>
      <c r="R29" s="22">
        <v>2021</v>
      </c>
      <c r="S29" s="25">
        <f>R29/60</f>
        <v>33.68333333333333</v>
      </c>
      <c r="T29" s="25">
        <f>S29/24</f>
        <v>1.403472222222222</v>
      </c>
      <c r="U29" s="22"/>
      <c r="V29" s="22"/>
      <c r="W29" s="22"/>
      <c r="X29" s="22"/>
      <c r="Y29" s="22"/>
      <c r="Z29" s="20">
        <v>15</v>
      </c>
      <c r="AA29" s="21">
        <f t="shared" ref="AA29:AD34" si="4">B29/2</f>
        <v>44.032674177542198</v>
      </c>
      <c r="AB29" s="21">
        <f t="shared" si="4"/>
        <v>13.613156430947285</v>
      </c>
      <c r="AC29" s="21">
        <f t="shared" si="4"/>
        <v>33.242577848156891</v>
      </c>
      <c r="AD29" s="21">
        <f t="shared" si="4"/>
        <v>79.502242024444968</v>
      </c>
    </row>
    <row r="30" spans="1:30" x14ac:dyDescent="0.25">
      <c r="A30" s="20">
        <v>30</v>
      </c>
      <c r="B30" s="21">
        <v>68.075447515780482</v>
      </c>
      <c r="C30" s="21">
        <v>23.039720348857937</v>
      </c>
      <c r="D30" s="21">
        <v>53.328520080217437</v>
      </c>
      <c r="E30" s="21">
        <v>218.06968429958025</v>
      </c>
      <c r="F30" s="26">
        <v>30</v>
      </c>
      <c r="G30" s="27">
        <f t="shared" ref="G30:G34" si="5">B30/1000</f>
        <v>6.8075447515780485E-2</v>
      </c>
      <c r="H30" s="27">
        <f t="shared" si="3"/>
        <v>2.3039720348857939E-2</v>
      </c>
      <c r="I30" s="27">
        <f t="shared" si="3"/>
        <v>5.3328520080217434E-2</v>
      </c>
      <c r="J30" s="27">
        <f t="shared" si="3"/>
        <v>0.21806968429958024</v>
      </c>
      <c r="K30" s="39">
        <v>30</v>
      </c>
      <c r="L30" s="40">
        <f t="shared" ref="L30:L34" si="6">(G30/$G$21)*100</f>
        <v>14.041965246654389</v>
      </c>
      <c r="M30" s="40">
        <f t="shared" ref="M30:M34" si="7">(H30/$H$21)*100</f>
        <v>5.4929716643281363</v>
      </c>
      <c r="N30" s="40">
        <f t="shared" ref="N30:N34" si="8">(I30/$I$21)*100</f>
        <v>3.6174548962296451</v>
      </c>
      <c r="O30" s="40">
        <f t="shared" ref="O30:O34" si="9">(J30/$J$21)*100</f>
        <v>18.248509146408388</v>
      </c>
      <c r="Q30" s="22" t="s">
        <v>4</v>
      </c>
      <c r="R30" s="22">
        <v>564862330</v>
      </c>
      <c r="S30" s="22">
        <v>564862330</v>
      </c>
      <c r="T30" s="22">
        <v>564862330</v>
      </c>
      <c r="U30" s="22">
        <f>T30/7</f>
        <v>80694618.571428567</v>
      </c>
      <c r="V30" s="22">
        <f>U30/52</f>
        <v>1551819.5879120878</v>
      </c>
      <c r="W30" s="22">
        <f>V30/100</f>
        <v>15518.195879120878</v>
      </c>
      <c r="X30" s="22"/>
      <c r="Y30" s="22"/>
      <c r="Z30" s="20">
        <v>30</v>
      </c>
      <c r="AA30" s="21">
        <f t="shared" si="4"/>
        <v>34.037723757890241</v>
      </c>
      <c r="AB30" s="21">
        <f t="shared" si="4"/>
        <v>11.519860174428969</v>
      </c>
      <c r="AC30" s="21">
        <f t="shared" si="4"/>
        <v>26.664260040108719</v>
      </c>
      <c r="AD30" s="21">
        <f t="shared" si="4"/>
        <v>109.03484214979012</v>
      </c>
    </row>
    <row r="31" spans="1:30" x14ac:dyDescent="0.25">
      <c r="A31" s="20">
        <v>45</v>
      </c>
      <c r="B31" s="21">
        <v>138.2198286081593</v>
      </c>
      <c r="C31" s="21">
        <v>36.096866571415283</v>
      </c>
      <c r="D31" s="21">
        <v>79.356280269495187</v>
      </c>
      <c r="E31" s="21">
        <v>428.94078063450712</v>
      </c>
      <c r="F31" s="26">
        <v>45</v>
      </c>
      <c r="G31" s="27">
        <f t="shared" si="5"/>
        <v>0.13821982860815932</v>
      </c>
      <c r="H31" s="27">
        <f t="shared" si="3"/>
        <v>3.6096866571415281E-2</v>
      </c>
      <c r="I31" s="27">
        <f t="shared" si="3"/>
        <v>7.9356280269495191E-2</v>
      </c>
      <c r="J31" s="27">
        <f t="shared" si="3"/>
        <v>0.42894078063450714</v>
      </c>
      <c r="K31" s="39">
        <v>45</v>
      </c>
      <c r="L31" s="40">
        <f t="shared" si="6"/>
        <v>28.510690719504812</v>
      </c>
      <c r="M31" s="40">
        <f t="shared" si="7"/>
        <v>8.605966663030534</v>
      </c>
      <c r="N31" s="40">
        <f t="shared" si="8"/>
        <v>5.3830063946204838</v>
      </c>
      <c r="O31" s="40">
        <f t="shared" si="9"/>
        <v>35.894625994519423</v>
      </c>
      <c r="Q31" s="22" t="s">
        <v>3</v>
      </c>
      <c r="R31" s="22">
        <f>3.389*10^35</f>
        <v>3.3889999999999999E+35</v>
      </c>
      <c r="S31" s="22">
        <v>564862330</v>
      </c>
      <c r="T31" s="22">
        <v>564862330</v>
      </c>
      <c r="U31" s="22">
        <f>T31/7</f>
        <v>80694618.571428567</v>
      </c>
      <c r="V31" s="22">
        <f>U31/52</f>
        <v>1551819.5879120878</v>
      </c>
      <c r="W31" s="22">
        <f>V31/100</f>
        <v>15518.195879120878</v>
      </c>
      <c r="X31" s="22"/>
      <c r="Y31" s="22"/>
      <c r="Z31" s="20">
        <v>45</v>
      </c>
      <c r="AA31" s="21">
        <f t="shared" si="4"/>
        <v>69.109914304079652</v>
      </c>
      <c r="AB31" s="21">
        <f t="shared" si="4"/>
        <v>18.048433285707642</v>
      </c>
      <c r="AC31" s="21">
        <f t="shared" si="4"/>
        <v>39.678140134747593</v>
      </c>
      <c r="AD31" s="21">
        <f t="shared" si="4"/>
        <v>214.47039031725356</v>
      </c>
    </row>
    <row r="32" spans="1:30" x14ac:dyDescent="0.25">
      <c r="A32" s="20">
        <v>60</v>
      </c>
      <c r="B32" s="21">
        <v>169.06296738765786</v>
      </c>
      <c r="C32" s="21">
        <v>36.96024167820719</v>
      </c>
      <c r="D32" s="21">
        <v>86.737202753487239</v>
      </c>
      <c r="E32" s="21">
        <v>381.81438310050225</v>
      </c>
      <c r="F32" s="26">
        <v>60</v>
      </c>
      <c r="G32" s="27">
        <f t="shared" si="5"/>
        <v>0.16906296738765786</v>
      </c>
      <c r="H32" s="27">
        <f t="shared" si="3"/>
        <v>3.696024167820719E-2</v>
      </c>
      <c r="I32" s="27">
        <f t="shared" si="3"/>
        <v>8.6737202753487244E-2</v>
      </c>
      <c r="J32" s="27">
        <f t="shared" si="3"/>
        <v>0.38181438310050225</v>
      </c>
      <c r="K32" s="39">
        <v>60</v>
      </c>
      <c r="L32" s="40">
        <f t="shared" si="6"/>
        <v>34.872724296134045</v>
      </c>
      <c r="M32" s="40">
        <f t="shared" si="7"/>
        <v>8.8118066179208423</v>
      </c>
      <c r="N32" s="40">
        <f t="shared" si="8"/>
        <v>5.8836794704576878</v>
      </c>
      <c r="O32" s="40">
        <f t="shared" si="9"/>
        <v>31.950994401715665</v>
      </c>
      <c r="Z32" s="20">
        <v>60</v>
      </c>
      <c r="AA32" s="21">
        <f t="shared" si="4"/>
        <v>84.531483693828932</v>
      </c>
      <c r="AB32" s="21">
        <f t="shared" si="4"/>
        <v>18.480120839103595</v>
      </c>
      <c r="AC32" s="21">
        <f t="shared" si="4"/>
        <v>43.368601376743619</v>
      </c>
      <c r="AD32" s="21">
        <f t="shared" si="4"/>
        <v>190.90719155025113</v>
      </c>
    </row>
    <row r="33" spans="1:30" x14ac:dyDescent="0.25">
      <c r="A33" s="20">
        <v>120</v>
      </c>
      <c r="B33" s="21">
        <v>276.48691774654543</v>
      </c>
      <c r="C33" s="21">
        <v>33.352532342575991</v>
      </c>
      <c r="D33" s="21">
        <v>224.63756022854943</v>
      </c>
      <c r="E33" s="21">
        <v>842.67957711503368</v>
      </c>
      <c r="F33" s="26">
        <v>120</v>
      </c>
      <c r="G33" s="27">
        <f t="shared" si="5"/>
        <v>0.27648691774654544</v>
      </c>
      <c r="H33" s="27">
        <f t="shared" si="3"/>
        <v>3.3352532342575993E-2</v>
      </c>
      <c r="I33" s="27">
        <f t="shared" si="3"/>
        <v>0.22463756022854944</v>
      </c>
      <c r="J33" s="27">
        <f t="shared" si="3"/>
        <v>0.84267957711503372</v>
      </c>
      <c r="K33" s="39">
        <v>120</v>
      </c>
      <c r="L33" s="40">
        <f t="shared" si="6"/>
        <v>57.031129898214814</v>
      </c>
      <c r="M33" s="40">
        <f t="shared" si="7"/>
        <v>7.9516813710127749</v>
      </c>
      <c r="N33" s="40">
        <f t="shared" si="8"/>
        <v>15.237929740099677</v>
      </c>
      <c r="O33" s="40">
        <f>(J33/$J$21)*100</f>
        <v>70.517119423852193</v>
      </c>
      <c r="Z33" s="20">
        <v>120</v>
      </c>
      <c r="AA33" s="21">
        <f t="shared" si="4"/>
        <v>138.24345887327271</v>
      </c>
      <c r="AB33" s="21">
        <f t="shared" si="4"/>
        <v>16.676266171287995</v>
      </c>
      <c r="AC33" s="21">
        <f t="shared" si="4"/>
        <v>112.31878011427472</v>
      </c>
      <c r="AD33" s="21">
        <f t="shared" si="4"/>
        <v>421.33978855751684</v>
      </c>
    </row>
    <row r="34" spans="1:30" x14ac:dyDescent="0.25">
      <c r="A34" s="20">
        <v>360</v>
      </c>
      <c r="B34" s="21">
        <v>324.25617167376112</v>
      </c>
      <c r="C34" s="21">
        <v>42.130037803953734</v>
      </c>
      <c r="D34" s="21">
        <v>294.6131027659286</v>
      </c>
      <c r="E34" s="21">
        <v>774.3356618908474</v>
      </c>
      <c r="F34" s="26">
        <v>360</v>
      </c>
      <c r="G34" s="27">
        <f t="shared" si="5"/>
        <v>0.32425617167376114</v>
      </c>
      <c r="H34" s="27">
        <f t="shared" si="3"/>
        <v>4.2130037803953732E-2</v>
      </c>
      <c r="I34" s="27">
        <f t="shared" si="3"/>
        <v>0.29461310276592861</v>
      </c>
      <c r="J34" s="27">
        <f t="shared" si="3"/>
        <v>0.77433566189084746</v>
      </c>
      <c r="K34" s="39">
        <v>360</v>
      </c>
      <c r="L34" s="40">
        <f t="shared" si="6"/>
        <v>66.88452386009925</v>
      </c>
      <c r="M34" s="40">
        <f t="shared" si="7"/>
        <v>10.044353853698675</v>
      </c>
      <c r="N34" s="40">
        <f t="shared" si="8"/>
        <v>19.984608788897614</v>
      </c>
      <c r="O34" s="40">
        <f t="shared" si="9"/>
        <v>64.797963338146218</v>
      </c>
      <c r="Z34" s="20">
        <v>360</v>
      </c>
      <c r="AA34" s="21">
        <f t="shared" si="4"/>
        <v>162.12808583688056</v>
      </c>
      <c r="AB34" s="21">
        <f t="shared" si="4"/>
        <v>21.065018901976867</v>
      </c>
      <c r="AC34" s="21">
        <f t="shared" si="4"/>
        <v>147.3065513829643</v>
      </c>
      <c r="AD34" s="21">
        <f t="shared" si="4"/>
        <v>387.1678309454237</v>
      </c>
    </row>
    <row r="35" spans="1:30" x14ac:dyDescent="0.25">
      <c r="A35" s="20"/>
      <c r="B35" s="20"/>
      <c r="C35" s="21"/>
      <c r="D35" s="21"/>
      <c r="E35" s="21"/>
      <c r="F35" s="26"/>
      <c r="G35" s="26"/>
      <c r="H35" s="26"/>
      <c r="I35" s="26"/>
      <c r="J35" s="26"/>
      <c r="K35" s="39"/>
      <c r="L35" s="39"/>
      <c r="M35" s="39"/>
      <c r="N35" s="39"/>
      <c r="O35" s="39"/>
      <c r="Z35" s="20"/>
      <c r="AA35" s="20"/>
      <c r="AB35" s="20"/>
      <c r="AC35" s="20"/>
      <c r="AD35" s="20"/>
    </row>
    <row r="36" spans="1:30" x14ac:dyDescent="0.25">
      <c r="A36" s="20"/>
      <c r="B36" s="20"/>
      <c r="C36" s="20"/>
      <c r="D36" s="20"/>
      <c r="E36" s="20"/>
      <c r="F36" s="26"/>
      <c r="G36" s="26"/>
      <c r="H36" s="26"/>
      <c r="I36" s="26"/>
      <c r="J36" s="26"/>
      <c r="K36" s="39"/>
      <c r="L36" s="39"/>
      <c r="M36" s="39"/>
      <c r="N36" s="39"/>
      <c r="O36" s="39"/>
      <c r="Z36" s="20"/>
      <c r="AA36" s="20"/>
      <c r="AB36" s="20"/>
      <c r="AC36" s="20"/>
      <c r="AD36" s="20"/>
    </row>
    <row r="37" spans="1:30" x14ac:dyDescent="0.25">
      <c r="A37" s="19" t="s">
        <v>8</v>
      </c>
      <c r="B37" s="20"/>
      <c r="C37" s="20"/>
      <c r="D37" s="20"/>
      <c r="E37" s="20"/>
      <c r="F37" s="24" t="s">
        <v>34</v>
      </c>
      <c r="G37" s="24"/>
      <c r="H37" s="24"/>
      <c r="I37" s="24"/>
      <c r="J37" s="24"/>
      <c r="K37" s="38" t="s">
        <v>35</v>
      </c>
      <c r="L37" s="38"/>
      <c r="M37" s="38"/>
      <c r="N37" s="38"/>
      <c r="O37" s="38"/>
      <c r="Z37" s="20"/>
      <c r="AA37" s="20"/>
      <c r="AB37" s="20"/>
      <c r="AC37" s="20"/>
      <c r="AD37" s="20"/>
    </row>
    <row r="38" spans="1:30" x14ac:dyDescent="0.25">
      <c r="A38" s="20" t="s">
        <v>6</v>
      </c>
      <c r="B38" s="20" t="s">
        <v>2</v>
      </c>
      <c r="C38" s="20" t="s">
        <v>3</v>
      </c>
      <c r="D38" s="20" t="s">
        <v>4</v>
      </c>
      <c r="E38" s="20" t="s">
        <v>5</v>
      </c>
      <c r="F38" s="24" t="s">
        <v>6</v>
      </c>
      <c r="G38" s="24" t="s">
        <v>2</v>
      </c>
      <c r="H38" s="24" t="s">
        <v>3</v>
      </c>
      <c r="I38" s="24" t="s">
        <v>4</v>
      </c>
      <c r="J38" s="24" t="s">
        <v>5</v>
      </c>
      <c r="K38" s="38" t="s">
        <v>6</v>
      </c>
      <c r="L38" s="38" t="s">
        <v>2</v>
      </c>
      <c r="M38" s="38" t="s">
        <v>3</v>
      </c>
      <c r="N38" s="38" t="s">
        <v>4</v>
      </c>
      <c r="O38" s="38" t="s">
        <v>5</v>
      </c>
      <c r="Z38" s="19" t="s">
        <v>47</v>
      </c>
      <c r="AA38" s="20" t="s">
        <v>2</v>
      </c>
      <c r="AB38" s="20" t="s">
        <v>3</v>
      </c>
      <c r="AC38" s="20" t="s">
        <v>4</v>
      </c>
      <c r="AD38" s="20" t="s">
        <v>5</v>
      </c>
    </row>
    <row r="39" spans="1:30" x14ac:dyDescent="0.25">
      <c r="A39" s="20">
        <v>15</v>
      </c>
      <c r="B39" s="21">
        <v>38.958090765603593</v>
      </c>
      <c r="C39" s="21">
        <v>11.505106680845506</v>
      </c>
      <c r="D39" s="21">
        <v>36.765026483633555</v>
      </c>
      <c r="E39" s="21">
        <v>21.729165206875816</v>
      </c>
      <c r="F39" s="26">
        <v>15</v>
      </c>
      <c r="G39" s="27">
        <f>B39/1000</f>
        <v>3.8958090765603595E-2</v>
      </c>
      <c r="H39" s="27">
        <f t="shared" ref="H39:H44" si="10">C39/1000</f>
        <v>1.1505106680845506E-2</v>
      </c>
      <c r="I39" s="27">
        <f t="shared" ref="I39:J44" si="11">D39/1000</f>
        <v>3.6765026483633556E-2</v>
      </c>
      <c r="J39" s="27">
        <f t="shared" si="11"/>
        <v>2.1729165206875817E-2</v>
      </c>
      <c r="K39" s="39">
        <v>15</v>
      </c>
      <c r="L39" s="40">
        <f>(G39/$G$21)*100</f>
        <v>8.0359098113868814</v>
      </c>
      <c r="M39" s="40">
        <f>(H39/$H$21)*100</f>
        <v>2.7429684056946178</v>
      </c>
      <c r="N39" s="40">
        <f>(I39/$I$21)*100</f>
        <v>2.4938967903699329</v>
      </c>
      <c r="O39" s="40">
        <f>(J39/$J$21)*100</f>
        <v>1.8183401846758005</v>
      </c>
      <c r="Z39" s="20">
        <v>15</v>
      </c>
      <c r="AA39" s="21">
        <f t="shared" ref="AA39:AD44" si="12">B39/2</f>
        <v>19.479045382801797</v>
      </c>
      <c r="AB39" s="21">
        <f t="shared" si="12"/>
        <v>5.7525533404227529</v>
      </c>
      <c r="AC39" s="21">
        <f t="shared" si="12"/>
        <v>18.382513241816778</v>
      </c>
      <c r="AD39" s="21">
        <f t="shared" si="12"/>
        <v>10.864582603437908</v>
      </c>
    </row>
    <row r="40" spans="1:30" x14ac:dyDescent="0.25">
      <c r="A40" s="20">
        <v>30</v>
      </c>
      <c r="B40" s="21">
        <v>27.199213211494037</v>
      </c>
      <c r="C40" s="21">
        <v>9.3549113843930964</v>
      </c>
      <c r="D40" s="21">
        <v>39.190783864838743</v>
      </c>
      <c r="E40" s="21">
        <v>62.856835809774729</v>
      </c>
      <c r="F40" s="26">
        <v>30</v>
      </c>
      <c r="G40" s="27">
        <f t="shared" ref="G40:G44" si="13">B40/1000</f>
        <v>2.7199213211494037E-2</v>
      </c>
      <c r="H40" s="27">
        <f t="shared" si="10"/>
        <v>9.354911384393096E-3</v>
      </c>
      <c r="I40" s="27">
        <f t="shared" si="11"/>
        <v>3.9190783864838742E-2</v>
      </c>
      <c r="J40" s="27">
        <f t="shared" si="11"/>
        <v>6.2856835809774733E-2</v>
      </c>
      <c r="K40" s="39">
        <v>30</v>
      </c>
      <c r="L40" s="40">
        <f t="shared" ref="L40:L44" si="14">(G40/$G$21)*100</f>
        <v>5.6103987647471198</v>
      </c>
      <c r="M40" s="40">
        <f t="shared" ref="M40:M43" si="15">(H40/$H$21)*100</f>
        <v>2.2303336316023969</v>
      </c>
      <c r="N40" s="40">
        <f t="shared" ref="N40:N44" si="16">(I40/$I$21)*100</f>
        <v>2.6584441639423915</v>
      </c>
      <c r="O40" s="40">
        <f t="shared" ref="O40:O44" si="17">(J40/$J$21)*100</f>
        <v>5.2599862602321945</v>
      </c>
      <c r="Z40" s="20">
        <v>30</v>
      </c>
      <c r="AA40" s="21">
        <f t="shared" si="12"/>
        <v>13.599606605747018</v>
      </c>
      <c r="AB40" s="21">
        <f t="shared" si="12"/>
        <v>4.6774556921965482</v>
      </c>
      <c r="AC40" s="21">
        <f t="shared" si="12"/>
        <v>19.595391932419371</v>
      </c>
      <c r="AD40" s="21">
        <f t="shared" si="12"/>
        <v>31.428417904887365</v>
      </c>
    </row>
    <row r="41" spans="1:30" x14ac:dyDescent="0.25">
      <c r="A41" s="20">
        <v>45</v>
      </c>
      <c r="B41" s="21">
        <v>30.046276184667715</v>
      </c>
      <c r="C41" s="21">
        <v>1.9727793960276316</v>
      </c>
      <c r="D41" s="21">
        <v>36.115077952452076</v>
      </c>
      <c r="E41" s="21">
        <v>106.99008171218618</v>
      </c>
      <c r="F41" s="26">
        <v>45</v>
      </c>
      <c r="G41" s="27">
        <f t="shared" si="13"/>
        <v>3.0046276184667715E-2</v>
      </c>
      <c r="H41" s="27">
        <f t="shared" si="10"/>
        <v>1.9727793960276317E-3</v>
      </c>
      <c r="I41" s="27">
        <f t="shared" si="11"/>
        <v>3.6115077952452078E-2</v>
      </c>
      <c r="J41" s="27">
        <f t="shared" si="11"/>
        <v>0.10699008171218619</v>
      </c>
      <c r="K41" s="39">
        <v>45</v>
      </c>
      <c r="L41" s="40">
        <f t="shared" si="14"/>
        <v>6.197664229510667</v>
      </c>
      <c r="M41" s="40">
        <f t="shared" si="15"/>
        <v>0.47033649533369049</v>
      </c>
      <c r="N41" s="40">
        <f t="shared" si="16"/>
        <v>2.4498085709165696</v>
      </c>
      <c r="O41" s="40">
        <f t="shared" si="17"/>
        <v>8.9531449131536558</v>
      </c>
      <c r="Z41" s="20">
        <v>45</v>
      </c>
      <c r="AA41" s="21">
        <f t="shared" si="12"/>
        <v>15.023138092333857</v>
      </c>
      <c r="AB41" s="21">
        <f t="shared" si="12"/>
        <v>0.98638969801381582</v>
      </c>
      <c r="AC41" s="21">
        <f t="shared" si="12"/>
        <v>18.057538976226038</v>
      </c>
      <c r="AD41" s="21">
        <f t="shared" si="12"/>
        <v>53.495040856093091</v>
      </c>
    </row>
    <row r="42" spans="1:30" x14ac:dyDescent="0.25">
      <c r="A42" s="20">
        <v>60</v>
      </c>
      <c r="B42" s="21">
        <v>59.133497390812892</v>
      </c>
      <c r="C42" s="21">
        <v>3.6119093428046067</v>
      </c>
      <c r="D42" s="21">
        <v>48.080070798384817</v>
      </c>
      <c r="E42" s="21">
        <v>146.08121903933025</v>
      </c>
      <c r="F42" s="26">
        <v>60</v>
      </c>
      <c r="G42" s="27">
        <f t="shared" si="13"/>
        <v>5.9133497390812889E-2</v>
      </c>
      <c r="H42" s="27">
        <f t="shared" si="10"/>
        <v>3.6119093428046067E-3</v>
      </c>
      <c r="I42" s="27">
        <f t="shared" si="11"/>
        <v>4.8080070798384819E-2</v>
      </c>
      <c r="J42" s="27">
        <f t="shared" si="11"/>
        <v>0.14608121903933025</v>
      </c>
      <c r="K42" s="39">
        <v>60</v>
      </c>
      <c r="L42" s="40">
        <f t="shared" si="14"/>
        <v>12.19750358721388</v>
      </c>
      <c r="M42" s="40">
        <f t="shared" si="15"/>
        <v>0.86112658373178663</v>
      </c>
      <c r="N42" s="40">
        <f t="shared" si="16"/>
        <v>3.2614347305918336</v>
      </c>
      <c r="O42" s="40">
        <f t="shared" si="17"/>
        <v>12.224369794086213</v>
      </c>
      <c r="Z42" s="20">
        <v>60</v>
      </c>
      <c r="AA42" s="21">
        <f t="shared" si="12"/>
        <v>29.566748695406446</v>
      </c>
      <c r="AB42" s="21">
        <f t="shared" si="12"/>
        <v>1.8059546714023034</v>
      </c>
      <c r="AC42" s="21">
        <f t="shared" si="12"/>
        <v>24.040035399192409</v>
      </c>
      <c r="AD42" s="21">
        <f t="shared" si="12"/>
        <v>73.040609519665125</v>
      </c>
    </row>
    <row r="43" spans="1:30" x14ac:dyDescent="0.25">
      <c r="A43" s="20">
        <v>120</v>
      </c>
      <c r="B43" s="21">
        <v>64.772014781072556</v>
      </c>
      <c r="C43" s="21">
        <v>6.7281646423763446</v>
      </c>
      <c r="D43" s="21">
        <v>62.27384641354719</v>
      </c>
      <c r="E43" s="21">
        <v>136.81528376841655</v>
      </c>
      <c r="F43" s="26">
        <v>120</v>
      </c>
      <c r="G43" s="27">
        <f t="shared" si="13"/>
        <v>6.4772014781072557E-2</v>
      </c>
      <c r="H43" s="27">
        <f t="shared" si="10"/>
        <v>6.7281646423763448E-3</v>
      </c>
      <c r="I43" s="27">
        <f t="shared" si="11"/>
        <v>6.227384641354719E-2</v>
      </c>
      <c r="J43" s="27">
        <f t="shared" si="11"/>
        <v>0.13681528376841656</v>
      </c>
      <c r="K43" s="39">
        <v>120</v>
      </c>
      <c r="L43" s="40">
        <f t="shared" si="14"/>
        <v>13.360564105006715</v>
      </c>
      <c r="M43" s="40">
        <f t="shared" si="15"/>
        <v>1.6040827394565</v>
      </c>
      <c r="N43" s="40">
        <f t="shared" si="16"/>
        <v>4.2242468059657563</v>
      </c>
      <c r="O43" s="40">
        <f t="shared" si="17"/>
        <v>11.448977721206406</v>
      </c>
      <c r="Z43" s="20">
        <v>120</v>
      </c>
      <c r="AA43" s="21">
        <f t="shared" si="12"/>
        <v>32.386007390536278</v>
      </c>
      <c r="AB43" s="21">
        <f t="shared" si="12"/>
        <v>3.3640823211881723</v>
      </c>
      <c r="AC43" s="21">
        <f t="shared" si="12"/>
        <v>31.136923206773595</v>
      </c>
      <c r="AD43" s="21">
        <f t="shared" si="12"/>
        <v>68.407641884208275</v>
      </c>
    </row>
    <row r="44" spans="1:30" x14ac:dyDescent="0.25">
      <c r="A44" s="20">
        <v>360</v>
      </c>
      <c r="B44" s="21">
        <v>83.918087444641287</v>
      </c>
      <c r="C44" s="21">
        <v>10.715478566623096</v>
      </c>
      <c r="D44" s="21">
        <v>164.666617366032</v>
      </c>
      <c r="E44" s="21">
        <v>149.35656268063525</v>
      </c>
      <c r="F44" s="26">
        <v>360</v>
      </c>
      <c r="G44" s="27">
        <f t="shared" si="13"/>
        <v>8.3918087444641284E-2</v>
      </c>
      <c r="H44" s="27">
        <f t="shared" si="10"/>
        <v>1.0715478566623096E-2</v>
      </c>
      <c r="I44" s="27">
        <f t="shared" si="11"/>
        <v>0.164666617366032</v>
      </c>
      <c r="J44" s="27">
        <f t="shared" si="11"/>
        <v>0.14935656268063524</v>
      </c>
      <c r="K44" s="39">
        <v>360</v>
      </c>
      <c r="L44" s="40">
        <f t="shared" si="14"/>
        <v>17.309836519109176</v>
      </c>
      <c r="M44" s="40">
        <f>(H44/$H$21)*100</f>
        <v>2.5547107015599595</v>
      </c>
      <c r="N44" s="40">
        <f t="shared" si="16"/>
        <v>11.169896714559217</v>
      </c>
      <c r="O44" s="40">
        <f t="shared" si="17"/>
        <v>12.498457128086631</v>
      </c>
      <c r="Z44" s="20">
        <v>360</v>
      </c>
      <c r="AA44" s="21">
        <f t="shared" si="12"/>
        <v>41.959043722320644</v>
      </c>
      <c r="AB44" s="21">
        <f t="shared" si="12"/>
        <v>5.357739283311548</v>
      </c>
      <c r="AC44" s="21">
        <f t="shared" si="12"/>
        <v>82.333308683016</v>
      </c>
      <c r="AD44" s="21">
        <f t="shared" si="12"/>
        <v>74.678281340317625</v>
      </c>
    </row>
    <row r="73" spans="21:30" x14ac:dyDescent="0.25">
      <c r="W73" s="105" t="s">
        <v>45</v>
      </c>
      <c r="X73" s="105"/>
      <c r="Y73" s="105"/>
      <c r="Z73" s="105"/>
      <c r="AA73" s="105"/>
      <c r="AB73" s="105"/>
      <c r="AC73" s="105"/>
    </row>
    <row r="74" spans="21:30" x14ac:dyDescent="0.25">
      <c r="W74" s="105"/>
      <c r="X74" s="105"/>
      <c r="Y74" s="105"/>
      <c r="Z74" s="105"/>
      <c r="AA74" s="105"/>
      <c r="AB74" s="105"/>
      <c r="AC74" s="105"/>
    </row>
    <row r="75" spans="21:30" x14ac:dyDescent="0.25">
      <c r="U75" s="10"/>
      <c r="W75" s="28"/>
      <c r="X75" s="28"/>
      <c r="Y75" s="28"/>
      <c r="Z75" s="28"/>
      <c r="AA75" s="28" t="s">
        <v>42</v>
      </c>
      <c r="AB75" s="28" t="s">
        <v>47</v>
      </c>
      <c r="AC75" s="28" t="s">
        <v>50</v>
      </c>
      <c r="AD75" s="7" t="s">
        <v>43</v>
      </c>
    </row>
    <row r="76" spans="21:30" x14ac:dyDescent="0.25">
      <c r="U76" s="13"/>
      <c r="W76" s="29" t="s">
        <v>51</v>
      </c>
      <c r="X76" s="29"/>
      <c r="Y76" s="29"/>
      <c r="Z76" s="29"/>
      <c r="AA76" s="30">
        <f>65.7*(LN(0.45*LN(26400)))</f>
        <v>99.997190895099038</v>
      </c>
      <c r="AB76" s="29">
        <v>26400</v>
      </c>
      <c r="AC76" s="29">
        <f>AB76/24</f>
        <v>1100</v>
      </c>
      <c r="AD76" s="17">
        <f>AC76/24</f>
        <v>45.833333333333336</v>
      </c>
    </row>
    <row r="77" spans="21:30" x14ac:dyDescent="0.25">
      <c r="U77" s="13"/>
      <c r="W77" s="29" t="s">
        <v>52</v>
      </c>
      <c r="X77" s="29"/>
      <c r="Y77" s="29"/>
      <c r="Z77" s="29"/>
      <c r="AA77" s="30">
        <f>65.4*(LN(0.41*LN(77000)))</f>
        <v>99.990630857493855</v>
      </c>
      <c r="AB77" s="29">
        <v>77000</v>
      </c>
      <c r="AC77" s="29">
        <f t="shared" ref="AC77" si="18">AB77/24</f>
        <v>3208.3333333333335</v>
      </c>
      <c r="AD77" s="17">
        <f t="shared" ref="AD77:AD79" si="19">AC77/24</f>
        <v>133.68055555555557</v>
      </c>
    </row>
    <row r="78" spans="21:30" x14ac:dyDescent="0.25">
      <c r="U78" s="13"/>
      <c r="W78" s="29" t="s">
        <v>54</v>
      </c>
      <c r="X78" s="29"/>
      <c r="Y78" s="29"/>
      <c r="Z78" s="29"/>
      <c r="AA78" s="30">
        <f>6.34+(0.01*(9365))</f>
        <v>99.990000000000009</v>
      </c>
      <c r="AB78" s="29">
        <v>9365</v>
      </c>
      <c r="AC78" s="29">
        <f t="shared" ref="AC78:AC79" si="20">AB78/24</f>
        <v>390.20833333333331</v>
      </c>
      <c r="AD78" s="17">
        <f t="shared" si="19"/>
        <v>16.258680555555554</v>
      </c>
    </row>
    <row r="79" spans="21:30" ht="18" x14ac:dyDescent="0.25">
      <c r="U79" s="13"/>
      <c r="W79" s="29" t="s">
        <v>53</v>
      </c>
      <c r="X79" s="29"/>
      <c r="Y79" s="29"/>
      <c r="Z79" s="29"/>
      <c r="AA79" s="30">
        <f>2.8+(0.07*(1389))</f>
        <v>100.03</v>
      </c>
      <c r="AB79" s="29">
        <v>1389</v>
      </c>
      <c r="AC79" s="29">
        <f t="shared" si="20"/>
        <v>57.875</v>
      </c>
      <c r="AD79" s="17">
        <f t="shared" si="19"/>
        <v>2.4114583333333335</v>
      </c>
    </row>
    <row r="80" spans="21:30" x14ac:dyDescent="0.25">
      <c r="AA80" s="30"/>
      <c r="AB80" s="29"/>
      <c r="AC80" s="29"/>
      <c r="AD80" s="17"/>
    </row>
    <row r="81" spans="27:30" x14ac:dyDescent="0.25">
      <c r="AA81" s="30"/>
      <c r="AB81" s="29"/>
      <c r="AC81" s="29"/>
      <c r="AD81" s="17"/>
    </row>
  </sheetData>
  <mergeCells count="5">
    <mergeCell ref="Q26:W26"/>
    <mergeCell ref="W73:AC74"/>
    <mergeCell ref="Q22:W24"/>
    <mergeCell ref="Z25:AD26"/>
    <mergeCell ref="K25:O26"/>
  </mergeCells>
  <phoneticPr fontId="4" type="noConversion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85F-80A8-4B2D-B368-CC63A8693C6D}">
  <dimension ref="A1:M22"/>
  <sheetViews>
    <sheetView zoomScale="70" zoomScaleNormal="70" workbookViewId="0">
      <selection activeCell="G15" sqref="G15"/>
    </sheetView>
  </sheetViews>
  <sheetFormatPr defaultRowHeight="15" x14ac:dyDescent="0.25"/>
  <cols>
    <col min="1" max="1" width="13.28515625" bestFit="1" customWidth="1"/>
    <col min="2" max="2" width="15" bestFit="1" customWidth="1"/>
    <col min="3" max="3" width="28.5703125" bestFit="1" customWidth="1"/>
    <col min="4" max="4" width="15" bestFit="1" customWidth="1"/>
    <col min="5" max="5" width="21" bestFit="1" customWidth="1"/>
    <col min="6" max="6" width="15" bestFit="1" customWidth="1"/>
    <col min="7" max="7" width="28.5703125" bestFit="1" customWidth="1"/>
    <col min="8" max="8" width="27.42578125" bestFit="1" customWidth="1"/>
    <col min="9" max="9" width="28.5703125" bestFit="1" customWidth="1"/>
    <col min="13" max="13" width="12.28515625" bestFit="1" customWidth="1"/>
  </cols>
  <sheetData>
    <row r="1" spans="1:13" x14ac:dyDescent="0.25">
      <c r="A1" s="47"/>
      <c r="B1" s="48" t="s">
        <v>55</v>
      </c>
      <c r="C1" s="41" t="s">
        <v>56</v>
      </c>
      <c r="D1" s="49" t="s">
        <v>55</v>
      </c>
      <c r="E1" s="41" t="s">
        <v>57</v>
      </c>
      <c r="F1" s="49" t="s">
        <v>55</v>
      </c>
      <c r="G1" s="41" t="s">
        <v>56</v>
      </c>
      <c r="H1" s="49" t="s">
        <v>55</v>
      </c>
      <c r="I1" s="29" t="s">
        <v>56</v>
      </c>
    </row>
    <row r="2" spans="1:13" x14ac:dyDescent="0.25">
      <c r="A2" s="50"/>
      <c r="B2" s="48" t="s">
        <v>58</v>
      </c>
      <c r="C2" s="41" t="s">
        <v>59</v>
      </c>
      <c r="D2" s="49" t="s">
        <v>58</v>
      </c>
      <c r="E2" s="41" t="s">
        <v>59</v>
      </c>
      <c r="F2" s="49" t="s">
        <v>58</v>
      </c>
      <c r="G2" s="41" t="s">
        <v>60</v>
      </c>
      <c r="H2" s="49" t="s">
        <v>58</v>
      </c>
      <c r="I2" s="29" t="s">
        <v>57</v>
      </c>
    </row>
    <row r="3" spans="1:13" x14ac:dyDescent="0.25">
      <c r="A3" s="50"/>
      <c r="B3" s="48" t="s">
        <v>61</v>
      </c>
      <c r="C3" s="41" t="s">
        <v>62</v>
      </c>
      <c r="D3" s="49" t="s">
        <v>61</v>
      </c>
      <c r="E3" s="41" t="s">
        <v>62</v>
      </c>
      <c r="F3" s="49" t="s">
        <v>61</v>
      </c>
      <c r="G3" s="41" t="s">
        <v>62</v>
      </c>
      <c r="H3" s="49" t="s">
        <v>61</v>
      </c>
      <c r="I3" s="29" t="s">
        <v>62</v>
      </c>
    </row>
    <row r="4" spans="1:13" x14ac:dyDescent="0.25">
      <c r="A4" s="51"/>
      <c r="B4" s="48" t="s">
        <v>63</v>
      </c>
      <c r="C4" s="49" t="s">
        <v>63</v>
      </c>
      <c r="D4" s="49" t="s">
        <v>63</v>
      </c>
      <c r="E4" s="49" t="s">
        <v>63</v>
      </c>
      <c r="F4" s="49" t="s">
        <v>63</v>
      </c>
      <c r="G4" s="49" t="s">
        <v>63</v>
      </c>
      <c r="H4" s="49" t="s">
        <v>63</v>
      </c>
      <c r="I4" s="52" t="s">
        <v>63</v>
      </c>
    </row>
    <row r="5" spans="1:13" x14ac:dyDescent="0.25">
      <c r="A5" s="51" t="s">
        <v>64</v>
      </c>
      <c r="B5" s="53">
        <v>1.7953846153846151</v>
      </c>
      <c r="C5" s="53">
        <v>2.3149999999999995</v>
      </c>
      <c r="D5" s="53">
        <v>1.9625000000000001</v>
      </c>
      <c r="E5" s="53">
        <v>2.3525</v>
      </c>
      <c r="F5" s="53">
        <v>1.9879999999999995</v>
      </c>
      <c r="G5" s="53">
        <v>2.3421428571428566</v>
      </c>
      <c r="H5" s="53">
        <v>1.8640000000000001</v>
      </c>
      <c r="I5" s="30">
        <v>2.3392857142857149</v>
      </c>
    </row>
    <row r="6" spans="1:13" x14ac:dyDescent="0.25">
      <c r="A6" s="41" t="s">
        <v>65</v>
      </c>
      <c r="B6" s="53">
        <v>6.8509778452347528E-2</v>
      </c>
      <c r="C6" s="53">
        <v>5.0000000000000044E-2</v>
      </c>
      <c r="D6" s="53">
        <v>3.2841611235921886E-2</v>
      </c>
      <c r="E6" s="53">
        <v>0.13720422734012244</v>
      </c>
      <c r="F6" s="53">
        <v>8.3514889942484266E-2</v>
      </c>
      <c r="G6" s="53">
        <v>3.9453686856787039E-2</v>
      </c>
      <c r="H6" s="53">
        <v>7.13331693718397E-2</v>
      </c>
      <c r="I6" s="30">
        <v>5.7037677926934441E-2</v>
      </c>
    </row>
    <row r="7" spans="1:13" x14ac:dyDescent="0.25">
      <c r="A7" s="41" t="s">
        <v>66</v>
      </c>
      <c r="B7" s="53">
        <v>3.8158831185969064</v>
      </c>
      <c r="C7" s="53">
        <v>2.1598272138228967</v>
      </c>
      <c r="D7" s="53">
        <v>1.6734578973718157</v>
      </c>
      <c r="E7" s="53">
        <v>5.8322732131826749</v>
      </c>
      <c r="F7" s="53">
        <v>4.2009501983140991</v>
      </c>
      <c r="G7" s="53">
        <v>1.6845124001067968</v>
      </c>
      <c r="H7" s="53">
        <v>3.8268867688755206</v>
      </c>
      <c r="I7" s="30">
        <v>2.4382518808460518</v>
      </c>
    </row>
    <row r="8" spans="1:13" x14ac:dyDescent="0.25">
      <c r="A8" s="41" t="s">
        <v>67</v>
      </c>
      <c r="B8" s="41">
        <v>13</v>
      </c>
      <c r="C8" s="41">
        <v>4</v>
      </c>
      <c r="D8" s="41">
        <v>8</v>
      </c>
      <c r="E8" s="41">
        <v>4</v>
      </c>
      <c r="F8" s="41">
        <v>14</v>
      </c>
      <c r="G8" s="41">
        <v>14</v>
      </c>
      <c r="H8" s="41">
        <v>14</v>
      </c>
      <c r="I8" s="29">
        <v>14</v>
      </c>
    </row>
    <row r="9" spans="1:13" ht="60" x14ac:dyDescent="0.25">
      <c r="A9" s="54" t="s">
        <v>68</v>
      </c>
      <c r="B9" s="55">
        <v>22.445588968267149</v>
      </c>
      <c r="C9" s="54"/>
      <c r="D9" s="55">
        <v>16.578108395324119</v>
      </c>
      <c r="E9" s="54"/>
      <c r="F9" s="55">
        <v>15.120463555962186</v>
      </c>
      <c r="G9" s="54"/>
      <c r="H9" s="55">
        <v>20.317557251908411</v>
      </c>
      <c r="I9" s="56"/>
    </row>
    <row r="11" spans="1:13" x14ac:dyDescent="0.25">
      <c r="I11" t="s">
        <v>69</v>
      </c>
      <c r="J11" t="s">
        <v>0</v>
      </c>
      <c r="K11" t="s">
        <v>61</v>
      </c>
      <c r="L11" t="s">
        <v>0</v>
      </c>
      <c r="M11" t="s">
        <v>70</v>
      </c>
    </row>
    <row r="12" spans="1:13" x14ac:dyDescent="0.25">
      <c r="H12" t="s">
        <v>71</v>
      </c>
      <c r="I12">
        <v>2.34</v>
      </c>
      <c r="J12">
        <v>0.06</v>
      </c>
      <c r="K12">
        <v>1.86</v>
      </c>
      <c r="L12">
        <v>7.0000000000000007E-2</v>
      </c>
      <c r="M12" s="2">
        <f>(I12-K12)/I12*100</f>
        <v>20.512820512820504</v>
      </c>
    </row>
    <row r="13" spans="1:13" x14ac:dyDescent="0.25">
      <c r="H13" s="57" t="s">
        <v>72</v>
      </c>
      <c r="I13">
        <v>2.39</v>
      </c>
      <c r="J13">
        <v>0.06</v>
      </c>
      <c r="K13">
        <v>1.89</v>
      </c>
      <c r="L13">
        <v>7.0000000000000007E-2</v>
      </c>
      <c r="M13" s="2">
        <f t="shared" ref="M13:M22" si="0">(I13-K13)/I13*100</f>
        <v>20.920502092050217</v>
      </c>
    </row>
    <row r="14" spans="1:13" x14ac:dyDescent="0.25">
      <c r="H14" s="57" t="s">
        <v>73</v>
      </c>
      <c r="I14">
        <v>2.44</v>
      </c>
      <c r="J14">
        <v>0.09</v>
      </c>
      <c r="K14">
        <v>1.92</v>
      </c>
      <c r="L14">
        <v>0.09</v>
      </c>
      <c r="M14" s="2">
        <f t="shared" si="0"/>
        <v>21.311475409836067</v>
      </c>
    </row>
    <row r="15" spans="1:13" x14ac:dyDescent="0.25">
      <c r="H15" s="57" t="s">
        <v>74</v>
      </c>
      <c r="I15">
        <v>2.4900000000000002</v>
      </c>
      <c r="J15">
        <v>0.11</v>
      </c>
      <c r="K15">
        <v>2.0099999999999998</v>
      </c>
      <c r="L15">
        <v>0.12</v>
      </c>
      <c r="M15" s="2">
        <f t="shared" si="0"/>
        <v>19.277108433734956</v>
      </c>
    </row>
    <row r="16" spans="1:13" x14ac:dyDescent="0.25">
      <c r="H16" s="57" t="s">
        <v>75</v>
      </c>
      <c r="I16">
        <v>2.48</v>
      </c>
      <c r="J16">
        <v>0.16</v>
      </c>
      <c r="K16">
        <v>2.0299999999999998</v>
      </c>
      <c r="L16">
        <v>0.13</v>
      </c>
      <c r="M16" s="2">
        <f t="shared" si="0"/>
        <v>18.145161290322587</v>
      </c>
    </row>
    <row r="17" spans="8:13" x14ac:dyDescent="0.25">
      <c r="H17" s="57" t="s">
        <v>76</v>
      </c>
      <c r="I17">
        <v>2.34</v>
      </c>
      <c r="J17">
        <v>0.06</v>
      </c>
      <c r="K17">
        <v>1.93</v>
      </c>
      <c r="L17">
        <v>0.05</v>
      </c>
      <c r="M17" s="2">
        <f t="shared" si="0"/>
        <v>17.52136752136752</v>
      </c>
    </row>
    <row r="18" spans="8:13" x14ac:dyDescent="0.25">
      <c r="H18" s="57" t="s">
        <v>77</v>
      </c>
      <c r="I18">
        <v>2.4</v>
      </c>
      <c r="J18">
        <v>0.25</v>
      </c>
      <c r="K18">
        <v>1.96</v>
      </c>
      <c r="L18">
        <v>0.09</v>
      </c>
      <c r="M18" s="2">
        <f t="shared" si="0"/>
        <v>18.333333333333332</v>
      </c>
    </row>
    <row r="19" spans="8:13" x14ac:dyDescent="0.25">
      <c r="H19" s="57" t="s">
        <v>78</v>
      </c>
      <c r="I19">
        <v>2.4</v>
      </c>
      <c r="J19">
        <v>0.06</v>
      </c>
      <c r="K19">
        <v>1.99</v>
      </c>
      <c r="L19">
        <v>0.04</v>
      </c>
      <c r="M19" s="2">
        <f t="shared" si="0"/>
        <v>17.083333333333332</v>
      </c>
    </row>
    <row r="20" spans="8:13" x14ac:dyDescent="0.25">
      <c r="H20" s="57" t="s">
        <v>79</v>
      </c>
      <c r="I20">
        <v>2.4</v>
      </c>
      <c r="J20">
        <v>7.0000000000000007E-2</v>
      </c>
      <c r="K20">
        <v>1.85</v>
      </c>
      <c r="L20">
        <v>7.0000000000000007E-2</v>
      </c>
      <c r="M20" s="2">
        <f t="shared" si="0"/>
        <v>22.916666666666661</v>
      </c>
    </row>
    <row r="21" spans="8:13" x14ac:dyDescent="0.25">
      <c r="H21" s="57" t="s">
        <v>80</v>
      </c>
      <c r="I21">
        <v>2.41</v>
      </c>
      <c r="J21">
        <v>0.11</v>
      </c>
      <c r="K21">
        <v>2.0099999999999998</v>
      </c>
      <c r="L21">
        <v>0.26</v>
      </c>
      <c r="M21" s="2">
        <f t="shared" si="0"/>
        <v>16.597510373443995</v>
      </c>
    </row>
    <row r="22" spans="8:13" x14ac:dyDescent="0.25">
      <c r="H22" s="57" t="s">
        <v>81</v>
      </c>
      <c r="I22">
        <v>2.46</v>
      </c>
      <c r="J22">
        <v>0.14000000000000001</v>
      </c>
      <c r="K22">
        <v>2.06</v>
      </c>
      <c r="L22">
        <v>0.16</v>
      </c>
      <c r="M22" s="2">
        <f t="shared" si="0"/>
        <v>16.260162601626014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B73F-197F-4700-8E0F-BB7094248916}">
  <dimension ref="A1:N23"/>
  <sheetViews>
    <sheetView zoomScale="55" zoomScaleNormal="55" workbookViewId="0">
      <selection activeCell="D32" sqref="D32"/>
    </sheetView>
  </sheetViews>
  <sheetFormatPr defaultRowHeight="15" x14ac:dyDescent="0.25"/>
  <cols>
    <col min="1" max="1" width="23.5703125" bestFit="1" customWidth="1"/>
    <col min="2" max="2" width="13.42578125" bestFit="1" customWidth="1"/>
    <col min="3" max="3" width="34.7109375" bestFit="1" customWidth="1"/>
    <col min="4" max="4" width="18.85546875" bestFit="1" customWidth="1"/>
    <col min="5" max="5" width="22.28515625" bestFit="1" customWidth="1"/>
    <col min="6" max="6" width="30" bestFit="1" customWidth="1"/>
    <col min="7" max="7" width="13.5703125" bestFit="1" customWidth="1"/>
    <col min="8" max="11" width="33.28515625" bestFit="1" customWidth="1"/>
    <col min="12" max="13" width="34.42578125" bestFit="1" customWidth="1"/>
    <col min="14" max="14" width="12" bestFit="1" customWidth="1"/>
    <col min="15" max="15" width="22.28515625" bestFit="1" customWidth="1"/>
    <col min="16" max="16" width="30" bestFit="1" customWidth="1"/>
    <col min="17" max="17" width="12.28515625" bestFit="1" customWidth="1"/>
    <col min="18" max="18" width="38" customWidth="1"/>
    <col min="20" max="20" width="35" bestFit="1" customWidth="1"/>
    <col min="21" max="21" width="35" customWidth="1"/>
    <col min="22" max="22" width="40.42578125" bestFit="1" customWidth="1"/>
    <col min="24" max="24" width="34.7109375" bestFit="1" customWidth="1"/>
  </cols>
  <sheetData>
    <row r="1" spans="1:14" x14ac:dyDescent="0.25">
      <c r="A1" s="3" t="s">
        <v>2</v>
      </c>
      <c r="B1" s="3"/>
      <c r="C1" s="3"/>
      <c r="D1" s="3"/>
      <c r="E1" s="3" t="s">
        <v>4</v>
      </c>
      <c r="F1" s="3"/>
      <c r="G1" s="3"/>
    </row>
    <row r="2" spans="1:14" x14ac:dyDescent="0.25">
      <c r="A2" t="s">
        <v>9</v>
      </c>
      <c r="B2" t="s">
        <v>14</v>
      </c>
      <c r="C2" t="s">
        <v>15</v>
      </c>
      <c r="E2" t="s">
        <v>16</v>
      </c>
      <c r="F2" t="s">
        <v>14</v>
      </c>
      <c r="G2" t="s">
        <v>15</v>
      </c>
    </row>
    <row r="3" spans="1:14" x14ac:dyDescent="0.25">
      <c r="A3">
        <v>9.1899999999999996E-2</v>
      </c>
      <c r="B3" s="4">
        <f>A3/23</f>
        <v>3.9956521739130434E-3</v>
      </c>
      <c r="C3" s="1">
        <f>B3*1000</f>
        <v>3.9956521739130433</v>
      </c>
      <c r="E3">
        <v>1.8700000000000001E-2</v>
      </c>
      <c r="F3" s="4">
        <f>E3/7</f>
        <v>2.6714285714285716E-3</v>
      </c>
      <c r="G3" s="1">
        <f>F3*1000</f>
        <v>2.6714285714285717</v>
      </c>
    </row>
    <row r="4" spans="1:14" x14ac:dyDescent="0.25">
      <c r="A4" t="s">
        <v>10</v>
      </c>
      <c r="B4" s="4"/>
      <c r="C4" s="1"/>
      <c r="E4" t="s">
        <v>17</v>
      </c>
      <c r="F4" s="4"/>
      <c r="G4" s="1"/>
    </row>
    <row r="5" spans="1:14" x14ac:dyDescent="0.25">
      <c r="A5">
        <v>0.1158</v>
      </c>
      <c r="B5" s="4">
        <f>A5/29</f>
        <v>3.9931034482758622E-3</v>
      </c>
      <c r="C5" s="1">
        <f t="shared" ref="C5:C10" si="0">B5*1000</f>
        <v>3.9931034482758623</v>
      </c>
      <c r="E5">
        <v>8.8200000000000001E-2</v>
      </c>
      <c r="F5" s="4">
        <f>E5/32</f>
        <v>2.75625E-3</v>
      </c>
      <c r="G5" s="1">
        <f t="shared" ref="G5:G7" si="1">F5*1000</f>
        <v>2.7562500000000001</v>
      </c>
      <c r="K5" s="6"/>
      <c r="L5" s="2"/>
      <c r="M5" s="5"/>
      <c r="N5" s="2"/>
    </row>
    <row r="6" spans="1:14" x14ac:dyDescent="0.25">
      <c r="A6" t="s">
        <v>11</v>
      </c>
      <c r="B6" s="4"/>
      <c r="C6" s="1"/>
      <c r="E6" t="s">
        <v>18</v>
      </c>
      <c r="F6" s="4"/>
      <c r="G6" s="1"/>
      <c r="K6" s="6"/>
      <c r="L6" s="2"/>
      <c r="M6" s="5"/>
      <c r="N6" s="2"/>
    </row>
    <row r="7" spans="1:14" x14ac:dyDescent="0.25">
      <c r="A7">
        <v>3.7100000000000001E-2</v>
      </c>
      <c r="B7" s="4">
        <f>A7/9</f>
        <v>4.1222222222222224E-3</v>
      </c>
      <c r="C7" s="1">
        <f t="shared" si="0"/>
        <v>4.1222222222222227</v>
      </c>
      <c r="E7">
        <v>9.9099999999999994E-2</v>
      </c>
      <c r="F7" s="4">
        <f>E7/36</f>
        <v>2.7527777777777776E-3</v>
      </c>
      <c r="G7" s="1">
        <f t="shared" si="1"/>
        <v>2.7527777777777778</v>
      </c>
      <c r="K7" s="6"/>
      <c r="L7" s="2"/>
      <c r="M7" s="5"/>
      <c r="N7" s="2"/>
    </row>
    <row r="8" spans="1:14" x14ac:dyDescent="0.25">
      <c r="B8" s="4" t="s">
        <v>12</v>
      </c>
      <c r="C8" s="1"/>
      <c r="F8" s="4"/>
      <c r="G8" s="1"/>
      <c r="K8" s="6"/>
      <c r="L8" s="2"/>
      <c r="M8" s="5"/>
      <c r="N8" s="2"/>
    </row>
    <row r="9" spans="1:14" x14ac:dyDescent="0.25">
      <c r="A9" t="s">
        <v>13</v>
      </c>
      <c r="B9" s="4">
        <f>AVERAGE(B3:B7)</f>
        <v>4.0369926148037085E-3</v>
      </c>
      <c r="C9" s="1">
        <f t="shared" si="0"/>
        <v>4.0369926148037081</v>
      </c>
      <c r="E9" t="s">
        <v>13</v>
      </c>
      <c r="F9" s="4">
        <f>AVERAGE(F3:F7)</f>
        <v>2.7268187830687828E-3</v>
      </c>
      <c r="G9" s="1">
        <f t="shared" ref="G9:G10" si="2">F9*1000</f>
        <v>2.7268187830687829</v>
      </c>
    </row>
    <row r="10" spans="1:14" x14ac:dyDescent="0.25">
      <c r="A10" t="s">
        <v>0</v>
      </c>
      <c r="B10" s="4">
        <f>STDEV(B3:B7)</f>
        <v>7.3822005432857234E-5</v>
      </c>
      <c r="C10" s="1">
        <f t="shared" si="0"/>
        <v>7.3822005432857232E-2</v>
      </c>
      <c r="E10" t="s">
        <v>0</v>
      </c>
      <c r="F10" s="4">
        <f>STDEV(F3:F7)</f>
        <v>4.8000736879246865E-5</v>
      </c>
      <c r="G10" s="1">
        <f t="shared" si="2"/>
        <v>4.8000736879246865E-2</v>
      </c>
    </row>
    <row r="11" spans="1:14" x14ac:dyDescent="0.25">
      <c r="A11" t="s">
        <v>1</v>
      </c>
      <c r="B11" s="4">
        <f>B10/B9*100</f>
        <v>1.8286386049395014</v>
      </c>
      <c r="C11" s="1">
        <f>C10/C9*100</f>
        <v>1.8286386049395014</v>
      </c>
      <c r="E11" t="s">
        <v>1</v>
      </c>
      <c r="F11" s="4">
        <f>F10/F9*100</f>
        <v>1.7603200174976963</v>
      </c>
      <c r="G11" s="1">
        <f>G10/G9*100</f>
        <v>1.7603200174976963</v>
      </c>
    </row>
    <row r="13" spans="1:14" x14ac:dyDescent="0.25">
      <c r="A13" t="s">
        <v>3</v>
      </c>
      <c r="E13" t="s">
        <v>5</v>
      </c>
    </row>
    <row r="14" spans="1:14" x14ac:dyDescent="0.25">
      <c r="A14" t="s">
        <v>9</v>
      </c>
      <c r="B14" t="s">
        <v>14</v>
      </c>
      <c r="C14" t="s">
        <v>15</v>
      </c>
      <c r="E14" t="s">
        <v>21</v>
      </c>
    </row>
    <row r="15" spans="1:14" x14ac:dyDescent="0.25">
      <c r="A15">
        <v>4.9200000000000001E-2</v>
      </c>
      <c r="B15" s="4">
        <f>A15/23</f>
        <v>2.1391304347826087E-3</v>
      </c>
      <c r="C15" s="4">
        <f>B15*1000</f>
        <v>2.1391304347826088</v>
      </c>
      <c r="E15">
        <v>3.7999999999999999E-2</v>
      </c>
      <c r="F15" s="4">
        <f>E15/8</f>
        <v>4.7499999999999999E-3</v>
      </c>
      <c r="G15" s="4">
        <f>F15*1000</f>
        <v>4.75</v>
      </c>
    </row>
    <row r="16" spans="1:14" x14ac:dyDescent="0.25">
      <c r="A16" t="s">
        <v>19</v>
      </c>
      <c r="B16" s="4"/>
      <c r="C16" s="4"/>
      <c r="E16" t="s">
        <v>22</v>
      </c>
      <c r="F16" s="4"/>
      <c r="G16" s="4"/>
    </row>
    <row r="17" spans="1:7" x14ac:dyDescent="0.25">
      <c r="A17">
        <v>6.4600000000000005E-2</v>
      </c>
      <c r="B17" s="4">
        <f>A17/30</f>
        <v>2.1533333333333335E-3</v>
      </c>
      <c r="C17" s="4">
        <f t="shared" ref="C17:C19" si="3">B17*1000</f>
        <v>2.1533333333333333</v>
      </c>
      <c r="E17">
        <v>6.2600000000000003E-2</v>
      </c>
      <c r="F17" s="4">
        <f>E17/13</f>
        <v>4.8153846153846155E-3</v>
      </c>
      <c r="G17" s="4">
        <f t="shared" ref="G17:G19" si="4">F17*1000</f>
        <v>4.8153846153846152</v>
      </c>
    </row>
    <row r="18" spans="1:7" x14ac:dyDescent="0.25">
      <c r="A18" t="s">
        <v>20</v>
      </c>
      <c r="B18" s="4"/>
      <c r="C18" s="4"/>
      <c r="E18" t="s">
        <v>23</v>
      </c>
      <c r="F18" s="4"/>
      <c r="G18" s="4"/>
    </row>
    <row r="19" spans="1:7" x14ac:dyDescent="0.25">
      <c r="A19">
        <v>1.2699999999999999E-2</v>
      </c>
      <c r="B19" s="4">
        <f>A19/6</f>
        <v>2.1166666666666664E-3</v>
      </c>
      <c r="C19" s="4">
        <f t="shared" si="3"/>
        <v>2.1166666666666663</v>
      </c>
      <c r="E19">
        <v>8.6199999999999999E-2</v>
      </c>
      <c r="F19" s="4">
        <f>E19/18</f>
        <v>4.7888888888888885E-3</v>
      </c>
      <c r="G19" s="4">
        <f t="shared" si="4"/>
        <v>4.7888888888888888</v>
      </c>
    </row>
    <row r="20" spans="1:7" x14ac:dyDescent="0.25">
      <c r="B20" s="4" t="s">
        <v>12</v>
      </c>
      <c r="C20" s="4"/>
      <c r="F20" s="4" t="s">
        <v>12</v>
      </c>
      <c r="G20" s="4"/>
    </row>
    <row r="21" spans="1:7" x14ac:dyDescent="0.25">
      <c r="A21" t="s">
        <v>13</v>
      </c>
      <c r="B21" s="4">
        <f>AVERAGE(B15:B19)</f>
        <v>2.1363768115942026E-3</v>
      </c>
      <c r="C21" s="1">
        <f t="shared" ref="C21:C22" si="5">B21*1000</f>
        <v>2.1363768115942028</v>
      </c>
      <c r="E21" t="s">
        <v>13</v>
      </c>
      <c r="F21" s="4">
        <f>AVERAGE(F15:F19)</f>
        <v>4.7847578347578338E-3</v>
      </c>
      <c r="G21" s="1">
        <f t="shared" ref="G21:G22" si="6">F21*1000</f>
        <v>4.7847578347578335</v>
      </c>
    </row>
    <row r="22" spans="1:7" x14ac:dyDescent="0.25">
      <c r="A22" t="s">
        <v>0</v>
      </c>
      <c r="B22" s="4">
        <f>STDEV(B15:B19)</f>
        <v>1.8487778168533745E-5</v>
      </c>
      <c r="C22" s="1">
        <f t="shared" si="5"/>
        <v>1.8487778168533746E-2</v>
      </c>
      <c r="E22" t="s">
        <v>0</v>
      </c>
      <c r="F22" s="4">
        <f>STDEV(F15:F19)</f>
        <v>3.2887477684124703E-5</v>
      </c>
      <c r="G22" s="1">
        <f t="shared" si="6"/>
        <v>3.2887477684124707E-2</v>
      </c>
    </row>
    <row r="23" spans="1:7" x14ac:dyDescent="0.25">
      <c r="A23" t="s">
        <v>1</v>
      </c>
      <c r="B23" s="4">
        <f>B22/B21*100</f>
        <v>0.86538002416988569</v>
      </c>
      <c r="C23" s="1">
        <f>C22/C21*100</f>
        <v>0.86538002416988569</v>
      </c>
      <c r="E23" t="s">
        <v>1</v>
      </c>
      <c r="F23" s="4">
        <f>F22/F21*100</f>
        <v>0.68733839454153289</v>
      </c>
      <c r="G23" s="1">
        <f>G22/G21*100</f>
        <v>0.687338394541533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087C-C295-40BE-B70C-2800EFB2EA78}">
  <dimension ref="A1:T48"/>
  <sheetViews>
    <sheetView tabSelected="1" topLeftCell="A10" workbookViewId="0">
      <selection activeCell="H10" sqref="H10"/>
    </sheetView>
  </sheetViews>
  <sheetFormatPr defaultRowHeight="15" x14ac:dyDescent="0.25"/>
  <cols>
    <col min="1" max="1" width="26" bestFit="1" customWidth="1"/>
    <col min="2" max="2" width="11" bestFit="1" customWidth="1"/>
    <col min="3" max="3" width="12.28515625" bestFit="1" customWidth="1"/>
    <col min="4" max="4" width="11.5703125" bestFit="1" customWidth="1"/>
    <col min="5" max="5" width="12.7109375" bestFit="1" customWidth="1"/>
    <col min="6" max="6" width="14" bestFit="1" customWidth="1"/>
    <col min="10" max="10" width="12" bestFit="1" customWidth="1"/>
    <col min="11" max="11" width="36.85546875" bestFit="1" customWidth="1"/>
    <col min="12" max="12" width="21.7109375" bestFit="1" customWidth="1"/>
    <col min="14" max="14" width="27.42578125" bestFit="1" customWidth="1"/>
    <col min="18" max="18" width="7.7109375" bestFit="1" customWidth="1"/>
  </cols>
  <sheetData>
    <row r="1" spans="1:18" x14ac:dyDescent="0.25">
      <c r="A1" s="100" t="s">
        <v>357</v>
      </c>
      <c r="B1" s="100" t="s">
        <v>351</v>
      </c>
      <c r="C1" s="100" t="s">
        <v>352</v>
      </c>
      <c r="D1" s="100" t="s">
        <v>353</v>
      </c>
      <c r="E1" s="100" t="s">
        <v>354</v>
      </c>
      <c r="F1" s="100" t="s">
        <v>355</v>
      </c>
      <c r="J1" t="s">
        <v>386</v>
      </c>
      <c r="L1" s="99" t="s">
        <v>387</v>
      </c>
      <c r="M1" t="s">
        <v>388</v>
      </c>
      <c r="N1" t="s">
        <v>389</v>
      </c>
      <c r="O1" t="s">
        <v>390</v>
      </c>
      <c r="P1" t="s">
        <v>391</v>
      </c>
      <c r="Q1" t="s">
        <v>392</v>
      </c>
      <c r="R1" t="s">
        <v>386</v>
      </c>
    </row>
    <row r="2" spans="1:18" ht="18" x14ac:dyDescent="0.35">
      <c r="A2" s="75" t="s">
        <v>356</v>
      </c>
      <c r="B2" s="75">
        <v>14.9</v>
      </c>
      <c r="C2" s="75">
        <v>13</v>
      </c>
      <c r="D2" s="75">
        <v>9.8000000000000007</v>
      </c>
      <c r="E2" s="90">
        <v>6</v>
      </c>
      <c r="F2" s="90">
        <v>5</v>
      </c>
      <c r="J2">
        <f>((7*10^-5*M2)+0.0338)</f>
        <v>6.3409999999999994E-2</v>
      </c>
      <c r="K2" t="s">
        <v>393</v>
      </c>
      <c r="L2" s="99" t="s">
        <v>394</v>
      </c>
      <c r="M2">
        <v>423</v>
      </c>
      <c r="N2">
        <v>0.14000000000000001</v>
      </c>
      <c r="O2">
        <v>50</v>
      </c>
      <c r="P2">
        <f t="shared" ref="P2:P9" si="0">J2</f>
        <v>6.3409999999999994E-2</v>
      </c>
      <c r="Q2">
        <f t="shared" ref="Q2:Q5" si="1">O2/100*P2</f>
        <v>3.1704999999999997E-2</v>
      </c>
      <c r="R2" s="2">
        <f t="shared" ref="R2:R5" si="2">Q2/N2*100</f>
        <v>22.646428571428569</v>
      </c>
    </row>
    <row r="3" spans="1:18" x14ac:dyDescent="0.25">
      <c r="A3" s="101" t="s">
        <v>0</v>
      </c>
      <c r="B3" s="101">
        <v>1.98</v>
      </c>
      <c r="C3" s="101">
        <v>1.1000000000000001</v>
      </c>
      <c r="D3" s="101">
        <v>1.45</v>
      </c>
      <c r="E3" s="101">
        <v>2.7</v>
      </c>
      <c r="F3" s="101"/>
      <c r="J3">
        <f>((0.0001*M3)-0.0702)</f>
        <v>4.2900000000000008E-2</v>
      </c>
      <c r="K3" t="s">
        <v>395</v>
      </c>
      <c r="L3" s="99" t="s">
        <v>396</v>
      </c>
      <c r="M3">
        <v>1131</v>
      </c>
      <c r="N3">
        <v>0.22420000000000001</v>
      </c>
      <c r="O3">
        <v>51</v>
      </c>
      <c r="P3">
        <f t="shared" si="0"/>
        <v>4.2900000000000008E-2</v>
      </c>
      <c r="Q3">
        <f t="shared" si="1"/>
        <v>2.1879000000000003E-2</v>
      </c>
      <c r="R3" s="2">
        <f t="shared" si="2"/>
        <v>9.7586975914362188</v>
      </c>
    </row>
    <row r="4" spans="1:18" x14ac:dyDescent="0.25">
      <c r="J4">
        <f t="shared" ref="J4" si="3">((3*10^-5*M4)+0.0102)</f>
        <v>1.03596E-2</v>
      </c>
      <c r="K4" t="s">
        <v>395</v>
      </c>
      <c r="L4" s="99" t="s">
        <v>397</v>
      </c>
      <c r="M4">
        <v>5.32</v>
      </c>
      <c r="N4">
        <v>0.1042</v>
      </c>
      <c r="O4">
        <v>50</v>
      </c>
      <c r="P4">
        <f t="shared" si="0"/>
        <v>1.03596E-2</v>
      </c>
      <c r="Q4">
        <f t="shared" si="1"/>
        <v>5.1798E-3</v>
      </c>
      <c r="R4" s="2">
        <f t="shared" si="2"/>
        <v>4.9710172744721692</v>
      </c>
    </row>
    <row r="5" spans="1:18" x14ac:dyDescent="0.25">
      <c r="J5">
        <f t="shared" ref="J5" si="4">((7*10^-5*M5)+0.0338)</f>
        <v>0.13950000000000001</v>
      </c>
      <c r="K5" t="s">
        <v>395</v>
      </c>
      <c r="L5" s="99" t="s">
        <v>398</v>
      </c>
      <c r="M5">
        <v>1510</v>
      </c>
      <c r="N5">
        <v>0.2213</v>
      </c>
      <c r="O5">
        <v>50</v>
      </c>
      <c r="P5">
        <f t="shared" si="0"/>
        <v>0.13950000000000001</v>
      </c>
      <c r="Q5">
        <f t="shared" si="1"/>
        <v>6.9750000000000006E-2</v>
      </c>
      <c r="R5" s="2">
        <f t="shared" si="2"/>
        <v>31.518300948938094</v>
      </c>
    </row>
    <row r="6" spans="1:18" x14ac:dyDescent="0.25">
      <c r="L6" s="99"/>
      <c r="R6" s="2"/>
    </row>
    <row r="7" spans="1:18" x14ac:dyDescent="0.25">
      <c r="J7">
        <f>((3*10^-5*M7)+0.0102)</f>
        <v>5.3220000000000003E-2</v>
      </c>
      <c r="K7" t="s">
        <v>395</v>
      </c>
      <c r="L7" s="99" t="s">
        <v>399</v>
      </c>
      <c r="M7">
        <v>1434</v>
      </c>
      <c r="N7">
        <v>0.17879999999999999</v>
      </c>
      <c r="O7">
        <v>50</v>
      </c>
      <c r="P7">
        <f t="shared" si="0"/>
        <v>5.3220000000000003E-2</v>
      </c>
      <c r="Q7">
        <f>O7/100*P7</f>
        <v>2.6610000000000002E-2</v>
      </c>
      <c r="R7" s="2">
        <f>Q7/N7*100</f>
        <v>14.882550335570471</v>
      </c>
    </row>
    <row r="8" spans="1:18" x14ac:dyDescent="0.25">
      <c r="L8" s="99"/>
      <c r="R8" s="2"/>
    </row>
    <row r="9" spans="1:18" x14ac:dyDescent="0.25">
      <c r="J9">
        <f>((8*10^-5*M9)-0.0033)</f>
        <v>6.0700000000000004E-2</v>
      </c>
      <c r="K9" t="s">
        <v>400</v>
      </c>
      <c r="L9" t="s">
        <v>401</v>
      </c>
      <c r="M9">
        <v>800</v>
      </c>
      <c r="N9">
        <v>0.1134</v>
      </c>
      <c r="O9">
        <v>51</v>
      </c>
      <c r="P9">
        <f t="shared" si="0"/>
        <v>6.0700000000000004E-2</v>
      </c>
      <c r="Q9">
        <f t="shared" ref="Q9" si="5">O9/100*P9</f>
        <v>3.0957000000000002E-2</v>
      </c>
      <c r="R9" s="2">
        <f>Q9/N9*100</f>
        <v>27.298941798941801</v>
      </c>
    </row>
    <row r="10" spans="1:18" ht="18" x14ac:dyDescent="0.35">
      <c r="J10">
        <f>((7*10^-5*M10)+0.0338)</f>
        <v>0.1052</v>
      </c>
      <c r="K10" t="s">
        <v>402</v>
      </c>
      <c r="L10" s="99" t="s">
        <v>394</v>
      </c>
      <c r="M10">
        <v>1020</v>
      </c>
      <c r="N10">
        <v>0.19900000000000001</v>
      </c>
      <c r="O10">
        <v>51</v>
      </c>
      <c r="P10">
        <f>J10</f>
        <v>0.1052</v>
      </c>
      <c r="Q10">
        <f>O10/100*P10</f>
        <v>5.3652000000000005E-2</v>
      </c>
      <c r="R10" s="2">
        <f>Q10/N10*100</f>
        <v>26.960804020100504</v>
      </c>
    </row>
    <row r="11" spans="1:18" x14ac:dyDescent="0.25">
      <c r="R11" s="2"/>
    </row>
    <row r="23" spans="1:20" x14ac:dyDescent="0.25">
      <c r="D23" t="s">
        <v>358</v>
      </c>
      <c r="M23" t="s">
        <v>359</v>
      </c>
      <c r="T23" t="s">
        <v>360</v>
      </c>
    </row>
    <row r="24" spans="1:20" ht="17.25" x14ac:dyDescent="0.25">
      <c r="B24" t="s">
        <v>361</v>
      </c>
      <c r="C24" t="s">
        <v>362</v>
      </c>
      <c r="D24" t="s">
        <v>363</v>
      </c>
      <c r="E24" t="s">
        <v>364</v>
      </c>
      <c r="F24" s="91" t="s">
        <v>365</v>
      </c>
      <c r="G24" t="s">
        <v>366</v>
      </c>
      <c r="K24" t="s">
        <v>367</v>
      </c>
      <c r="M24" t="s">
        <v>368</v>
      </c>
      <c r="N24" t="s">
        <v>369</v>
      </c>
      <c r="O24" t="s">
        <v>370</v>
      </c>
      <c r="P24" t="s">
        <v>371</v>
      </c>
      <c r="Q24" t="s">
        <v>372</v>
      </c>
      <c r="R24" t="s">
        <v>373</v>
      </c>
      <c r="S24" t="s">
        <v>374</v>
      </c>
      <c r="T24" t="s">
        <v>375</v>
      </c>
    </row>
    <row r="25" spans="1:20" x14ac:dyDescent="0.25">
      <c r="A25" s="80" t="s">
        <v>376</v>
      </c>
      <c r="B25" s="80">
        <v>0.17899999999999999</v>
      </c>
      <c r="C25" s="80">
        <v>14.9</v>
      </c>
      <c r="D25" s="80">
        <v>9</v>
      </c>
      <c r="E25" s="92"/>
      <c r="F25" s="80">
        <v>190</v>
      </c>
      <c r="G25" s="80">
        <f>148+(556*((R25^2)/(S25^(1/3)))+(576*((R25^2)/(S25^(1/3))))^2)</f>
        <v>21468.050555257709</v>
      </c>
      <c r="H25" s="80">
        <v>148</v>
      </c>
      <c r="I25" s="80">
        <f>((R25^2)/(S25^(1/3)))</f>
        <v>0.2526597740964282</v>
      </c>
      <c r="J25">
        <f>((R25^2)/(S25^(1/3))^2)</f>
        <v>6.3836961446458146E-2</v>
      </c>
      <c r="K25" s="2">
        <f>H25+I25+J25</f>
        <v>148.3164967355429</v>
      </c>
      <c r="L25" t="s">
        <v>376</v>
      </c>
      <c r="M25">
        <v>0.17899999999999999</v>
      </c>
      <c r="N25">
        <v>4.3999999999999997E-2</v>
      </c>
      <c r="O25" s="2">
        <v>2</v>
      </c>
      <c r="P25">
        <v>-275</v>
      </c>
      <c r="Q25">
        <v>-300</v>
      </c>
      <c r="R25">
        <v>-1</v>
      </c>
      <c r="S25">
        <v>62</v>
      </c>
      <c r="T25">
        <v>-5.78</v>
      </c>
    </row>
    <row r="26" spans="1:20" x14ac:dyDescent="0.25">
      <c r="A26" s="80" t="s">
        <v>377</v>
      </c>
      <c r="B26" s="80">
        <v>0.18099999999999999</v>
      </c>
      <c r="C26" s="80">
        <v>13</v>
      </c>
      <c r="D26" s="80">
        <v>8</v>
      </c>
      <c r="E26" s="92"/>
      <c r="F26" s="80">
        <v>181</v>
      </c>
      <c r="G26" s="80">
        <f>148+(556*((R26^2)/(S26^(1/3)))+(576*((R26^2)/(S26^(1/3))))^2)</f>
        <v>31032.80130022638</v>
      </c>
      <c r="H26" s="80">
        <v>148</v>
      </c>
      <c r="I26" s="80">
        <f t="shared" ref="I26:I29" si="6">((R26^2)/(S26^(1/3)))</f>
        <v>0.30426865564669708</v>
      </c>
      <c r="J26">
        <f t="shared" ref="J26:J29" si="7">((R26^2)/(S26^(1/3))^2)</f>
        <v>9.2579414809048327E-2</v>
      </c>
      <c r="K26" s="2">
        <f t="shared" ref="K26:K28" si="8">H26+I26+J26</f>
        <v>148.39684807045575</v>
      </c>
      <c r="L26" t="s">
        <v>377</v>
      </c>
      <c r="M26">
        <v>0.18099999999999999</v>
      </c>
      <c r="N26">
        <v>4.2999999999999997E-2</v>
      </c>
      <c r="O26" s="2">
        <v>2</v>
      </c>
      <c r="P26">
        <v>-270</v>
      </c>
      <c r="Q26">
        <v>-340</v>
      </c>
      <c r="R26">
        <v>-1</v>
      </c>
      <c r="S26">
        <v>35.5</v>
      </c>
      <c r="T26">
        <v>-6.25</v>
      </c>
    </row>
    <row r="27" spans="1:20" x14ac:dyDescent="0.25">
      <c r="A27" s="80" t="s">
        <v>378</v>
      </c>
      <c r="B27" s="80">
        <v>0.16200000000000001</v>
      </c>
      <c r="C27" s="80">
        <v>9.8000000000000007</v>
      </c>
      <c r="D27" s="93"/>
      <c r="E27" s="94" t="e">
        <f>((1)*(1.6*(10^-19)))/((4/3)*(PI())*(#REF!^3))</f>
        <v>#REF!</v>
      </c>
      <c r="F27" s="80">
        <v>160</v>
      </c>
      <c r="G27" s="80">
        <f>148+(556*((R27^2)/(S27^(1/3)))+(576*((R27^2)/(S27^(1/3))))^2)</f>
        <v>22182.393101712405</v>
      </c>
      <c r="H27" s="80">
        <v>148</v>
      </c>
      <c r="I27" s="80">
        <f t="shared" si="6"/>
        <v>0.25687154396613648</v>
      </c>
      <c r="J27">
        <f t="shared" si="7"/>
        <v>6.5982990099546793E-2</v>
      </c>
      <c r="K27" s="2">
        <f t="shared" si="8"/>
        <v>148.32285453406567</v>
      </c>
      <c r="L27" t="s">
        <v>378</v>
      </c>
      <c r="M27">
        <v>0.16200000000000001</v>
      </c>
      <c r="N27">
        <v>5.5E-2</v>
      </c>
      <c r="O27">
        <v>2.2000000000000002</v>
      </c>
      <c r="P27">
        <v>-300</v>
      </c>
      <c r="Q27">
        <v>-365</v>
      </c>
      <c r="R27">
        <v>-1</v>
      </c>
      <c r="S27">
        <v>59</v>
      </c>
      <c r="T27">
        <v>-7.12</v>
      </c>
    </row>
    <row r="28" spans="1:20" x14ac:dyDescent="0.25">
      <c r="A28" s="80" t="s">
        <v>379</v>
      </c>
      <c r="B28" s="80">
        <v>0.23</v>
      </c>
      <c r="C28" s="92">
        <v>6</v>
      </c>
      <c r="D28" s="80">
        <v>5</v>
      </c>
      <c r="E28" s="92"/>
      <c r="F28" s="80">
        <v>230</v>
      </c>
      <c r="G28" s="80">
        <f>148+(556*((R28^2)/(S28^(1/3))))+(576*((R28^2)/(S28^(1/3))))^2</f>
        <v>253826.18576330962</v>
      </c>
      <c r="H28" s="80">
        <v>148</v>
      </c>
      <c r="I28" s="80">
        <f t="shared" si="6"/>
        <v>0.87358046473629902</v>
      </c>
      <c r="J28">
        <f t="shared" si="7"/>
        <v>0.19078570709222206</v>
      </c>
      <c r="K28" s="2">
        <f t="shared" si="8"/>
        <v>149.06436617182854</v>
      </c>
      <c r="L28" t="s">
        <v>379</v>
      </c>
      <c r="M28">
        <v>0.23</v>
      </c>
      <c r="N28">
        <v>4.2999999999999997E-2</v>
      </c>
      <c r="O28">
        <v>3.1</v>
      </c>
      <c r="P28">
        <v>-1145</v>
      </c>
      <c r="Q28">
        <v>-1080</v>
      </c>
      <c r="R28">
        <v>-2</v>
      </c>
      <c r="S28">
        <v>96</v>
      </c>
      <c r="T28">
        <v>-10.25</v>
      </c>
    </row>
    <row r="29" spans="1:20" x14ac:dyDescent="0.25">
      <c r="A29" s="95" t="s">
        <v>380</v>
      </c>
      <c r="B29" s="95">
        <v>0.156</v>
      </c>
      <c r="C29" s="96">
        <v>5</v>
      </c>
      <c r="D29" s="95">
        <v>17</v>
      </c>
      <c r="E29" s="95"/>
      <c r="F29" s="95">
        <v>163</v>
      </c>
      <c r="G29" s="95">
        <f>148+(556*((R29^2)/(S29^(1/3)))+(576*((R29^2)/(S29^(1/3))))^2)</f>
        <v>343279.60257599852</v>
      </c>
      <c r="H29" s="80">
        <v>148</v>
      </c>
      <c r="I29" s="95">
        <f t="shared" si="6"/>
        <v>1.0161318080374653</v>
      </c>
      <c r="J29">
        <f t="shared" si="7"/>
        <v>0.25813096282637199</v>
      </c>
      <c r="K29">
        <f>H29+I29+J29</f>
        <v>149.27426277086386</v>
      </c>
      <c r="L29" t="s">
        <v>380</v>
      </c>
      <c r="R29">
        <v>-2</v>
      </c>
      <c r="S29">
        <v>61</v>
      </c>
    </row>
    <row r="31" spans="1:20" ht="18" x14ac:dyDescent="0.25">
      <c r="A31" s="97" t="s">
        <v>381</v>
      </c>
    </row>
    <row r="32" spans="1:20" ht="18" x14ac:dyDescent="0.25">
      <c r="A32" s="97" t="s">
        <v>382</v>
      </c>
    </row>
    <row r="33" spans="1:8" ht="18" x14ac:dyDescent="0.25">
      <c r="A33" s="97" t="s">
        <v>383</v>
      </c>
    </row>
    <row r="34" spans="1:8" ht="18" x14ac:dyDescent="0.25">
      <c r="A34" s="98" t="s">
        <v>384</v>
      </c>
    </row>
    <row r="35" spans="1:8" ht="18" x14ac:dyDescent="0.25">
      <c r="A35" s="98" t="s">
        <v>385</v>
      </c>
    </row>
    <row r="37" spans="1:8" x14ac:dyDescent="0.25">
      <c r="A37" t="s">
        <v>403</v>
      </c>
      <c r="B37" t="s">
        <v>404</v>
      </c>
      <c r="C37" t="s">
        <v>405</v>
      </c>
      <c r="D37" t="s">
        <v>406</v>
      </c>
      <c r="E37" t="s">
        <v>407</v>
      </c>
      <c r="F37" t="s">
        <v>408</v>
      </c>
      <c r="G37" t="s">
        <v>409</v>
      </c>
      <c r="H37" t="s">
        <v>410</v>
      </c>
    </row>
    <row r="38" spans="1:8" x14ac:dyDescent="0.25">
      <c r="G38" t="s">
        <v>411</v>
      </c>
      <c r="H38" t="s">
        <v>412</v>
      </c>
    </row>
    <row r="39" spans="1:8" x14ac:dyDescent="0.25">
      <c r="A39" t="s">
        <v>413</v>
      </c>
      <c r="B39">
        <v>-58.7</v>
      </c>
      <c r="C39">
        <v>-396</v>
      </c>
      <c r="D39">
        <v>0.67</v>
      </c>
      <c r="E39">
        <v>2.65</v>
      </c>
      <c r="F39" t="s">
        <v>412</v>
      </c>
      <c r="G39" t="s">
        <v>414</v>
      </c>
      <c r="H39">
        <v>25</v>
      </c>
    </row>
    <row r="40" spans="1:8" x14ac:dyDescent="0.25">
      <c r="A40" t="s">
        <v>415</v>
      </c>
      <c r="B40">
        <v>-32.200000000000003</v>
      </c>
      <c r="C40">
        <v>-174</v>
      </c>
      <c r="D40">
        <v>0.38500000000000001</v>
      </c>
      <c r="E40">
        <v>2.25</v>
      </c>
      <c r="F40">
        <v>3522</v>
      </c>
      <c r="G40" t="s">
        <v>416</v>
      </c>
      <c r="H40">
        <v>23.3</v>
      </c>
    </row>
    <row r="41" spans="1:8" x14ac:dyDescent="0.25">
      <c r="A41" t="s">
        <v>417</v>
      </c>
      <c r="B41">
        <v>-28.9</v>
      </c>
      <c r="C41">
        <v>-132</v>
      </c>
      <c r="D41">
        <v>0.29799999999999999</v>
      </c>
      <c r="E41">
        <v>2.1</v>
      </c>
      <c r="F41">
        <v>1241</v>
      </c>
      <c r="G41" t="s">
        <v>418</v>
      </c>
      <c r="H41">
        <v>34.5</v>
      </c>
    </row>
    <row r="42" spans="1:8" x14ac:dyDescent="0.25">
      <c r="A42" t="s">
        <v>419</v>
      </c>
      <c r="B42">
        <v>84.1</v>
      </c>
      <c r="C42" t="s">
        <v>412</v>
      </c>
      <c r="D42">
        <v>0.123</v>
      </c>
      <c r="E42">
        <v>-0.1</v>
      </c>
      <c r="F42" t="s">
        <v>412</v>
      </c>
    </row>
    <row r="43" spans="1:8" x14ac:dyDescent="0.25">
      <c r="A43" t="s">
        <v>420</v>
      </c>
      <c r="B43">
        <v>-6.7</v>
      </c>
      <c r="C43">
        <v>-5</v>
      </c>
      <c r="D43">
        <v>8.5000000000000006E-2</v>
      </c>
      <c r="E43">
        <v>1.2</v>
      </c>
      <c r="F43">
        <v>-324</v>
      </c>
    </row>
    <row r="44" spans="1:8" x14ac:dyDescent="0.25">
      <c r="A44" t="s">
        <v>421</v>
      </c>
      <c r="B44">
        <v>-5.5</v>
      </c>
      <c r="C44" t="s">
        <v>412</v>
      </c>
      <c r="D44">
        <v>6.8000000000000005E-2</v>
      </c>
      <c r="E44">
        <v>-1.05</v>
      </c>
      <c r="F44" t="s">
        <v>412</v>
      </c>
    </row>
    <row r="45" spans="1:8" x14ac:dyDescent="0.25">
      <c r="A45" t="s">
        <v>422</v>
      </c>
      <c r="B45">
        <v>12.4</v>
      </c>
      <c r="C45">
        <v>5</v>
      </c>
      <c r="D45">
        <v>-8.0000000000000002E-3</v>
      </c>
      <c r="E45">
        <v>0.7</v>
      </c>
      <c r="F45" t="s">
        <v>412</v>
      </c>
    </row>
    <row r="46" spans="1:8" x14ac:dyDescent="0.25">
      <c r="A46" t="s">
        <v>423</v>
      </c>
      <c r="B46">
        <v>3.5</v>
      </c>
      <c r="C46">
        <v>34</v>
      </c>
      <c r="D46">
        <v>-8.9999999999999993E-3</v>
      </c>
      <c r="E46">
        <v>1.1000000000000001</v>
      </c>
      <c r="F46">
        <v>-335</v>
      </c>
    </row>
    <row r="47" spans="1:8" x14ac:dyDescent="0.25">
      <c r="A47" t="s">
        <v>424</v>
      </c>
      <c r="B47">
        <v>8.6</v>
      </c>
      <c r="C47">
        <v>52</v>
      </c>
      <c r="D47">
        <v>-3.3000000000000002E-2</v>
      </c>
      <c r="E47">
        <v>0.95</v>
      </c>
      <c r="F47">
        <v>-255</v>
      </c>
    </row>
    <row r="48" spans="1:8" x14ac:dyDescent="0.25">
      <c r="A48" t="s">
        <v>425</v>
      </c>
      <c r="B48">
        <v>15.8</v>
      </c>
      <c r="C48">
        <v>59</v>
      </c>
      <c r="D48">
        <v>-4.7E-2</v>
      </c>
      <c r="E48">
        <v>0.8</v>
      </c>
      <c r="F48">
        <v>-15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455E-71EF-4985-A225-983A6C5CA315}">
  <dimension ref="A1:K37"/>
  <sheetViews>
    <sheetView zoomScale="75" zoomScaleNormal="75" workbookViewId="0">
      <selection activeCell="V246" sqref="V246:W254"/>
    </sheetView>
  </sheetViews>
  <sheetFormatPr defaultRowHeight="15" x14ac:dyDescent="0.25"/>
  <cols>
    <col min="1" max="1" width="32" style="61" bestFit="1" customWidth="1"/>
    <col min="2" max="2" width="17.28515625" style="61" bestFit="1" customWidth="1"/>
    <col min="3" max="3" width="8.5703125" style="61" bestFit="1" customWidth="1"/>
    <col min="4" max="4" width="6.85546875" style="61" bestFit="1" customWidth="1"/>
    <col min="5" max="5" width="8.5703125" style="61" bestFit="1" customWidth="1"/>
    <col min="6" max="6" width="11.7109375" style="61" bestFit="1" customWidth="1"/>
    <col min="7" max="7" width="12.85546875" style="61" bestFit="1" customWidth="1"/>
    <col min="8" max="8" width="14.42578125" style="61" bestFit="1" customWidth="1"/>
    <col min="9" max="9" width="18.5703125" style="61" bestFit="1" customWidth="1"/>
    <col min="10" max="10" width="29.140625" style="61" bestFit="1" customWidth="1"/>
    <col min="11" max="11" width="25.42578125" style="61" bestFit="1" customWidth="1"/>
    <col min="12" max="16384" width="9.140625" style="61"/>
  </cols>
  <sheetData>
    <row r="1" spans="1:10" s="108" customFormat="1" x14ac:dyDescent="0.25">
      <c r="A1" s="108" t="s">
        <v>305</v>
      </c>
    </row>
    <row r="2" spans="1:10" s="109" customFormat="1" x14ac:dyDescent="0.25">
      <c r="A2" s="109" t="s">
        <v>306</v>
      </c>
    </row>
    <row r="3" spans="1:10" x14ac:dyDescent="0.25">
      <c r="A3" s="61" t="s">
        <v>307</v>
      </c>
      <c r="B3" s="61" t="s">
        <v>308</v>
      </c>
      <c r="C3" s="61" t="s">
        <v>309</v>
      </c>
      <c r="D3" s="61" t="s">
        <v>310</v>
      </c>
      <c r="E3" s="61" t="s">
        <v>311</v>
      </c>
      <c r="F3" s="61" t="s">
        <v>312</v>
      </c>
      <c r="G3" s="61" t="s">
        <v>313</v>
      </c>
      <c r="H3" s="61" t="s">
        <v>314</v>
      </c>
      <c r="I3" s="61" t="s">
        <v>315</v>
      </c>
      <c r="J3" s="61" t="s">
        <v>316</v>
      </c>
    </row>
    <row r="4" spans="1:10" x14ac:dyDescent="0.25">
      <c r="A4" s="61" t="s">
        <v>317</v>
      </c>
      <c r="B4" s="61" t="s">
        <v>318</v>
      </c>
      <c r="C4" s="61">
        <v>249</v>
      </c>
      <c r="D4" s="61" t="s">
        <v>319</v>
      </c>
      <c r="E4" s="61">
        <v>5</v>
      </c>
      <c r="F4" s="61">
        <f>C4/E4</f>
        <v>49.8</v>
      </c>
      <c r="G4" s="61">
        <v>1</v>
      </c>
      <c r="H4" s="61">
        <v>1</v>
      </c>
      <c r="I4" s="83">
        <f>F4*G4*H4</f>
        <v>49.8</v>
      </c>
      <c r="J4" s="84">
        <f>100-(I4/(SUM(I4:I8))*100)</f>
        <v>92.822759634508401</v>
      </c>
    </row>
    <row r="5" spans="1:10" x14ac:dyDescent="0.25">
      <c r="A5" s="61" t="s">
        <v>320</v>
      </c>
      <c r="B5" s="61" t="s">
        <v>321</v>
      </c>
      <c r="C5" s="61">
        <v>25000</v>
      </c>
      <c r="D5" s="61" t="s">
        <v>322</v>
      </c>
      <c r="E5" s="61">
        <v>150</v>
      </c>
      <c r="F5" s="61">
        <v>1</v>
      </c>
      <c r="G5" s="84">
        <f>C5/E5</f>
        <v>166.66666666666666</v>
      </c>
      <c r="H5" s="61">
        <f>0.3/8*100</f>
        <v>3.75</v>
      </c>
      <c r="I5" s="83">
        <f>G5*H5*F5</f>
        <v>625</v>
      </c>
    </row>
    <row r="6" spans="1:10" x14ac:dyDescent="0.25">
      <c r="A6" s="61" t="s">
        <v>141</v>
      </c>
      <c r="B6" s="61" t="s">
        <v>318</v>
      </c>
      <c r="C6" s="61">
        <v>3</v>
      </c>
      <c r="D6" s="61" t="s">
        <v>323</v>
      </c>
      <c r="E6" s="61">
        <v>2.5</v>
      </c>
      <c r="F6" s="61">
        <v>1</v>
      </c>
      <c r="G6" s="61">
        <f>C6/E6</f>
        <v>1.2</v>
      </c>
      <c r="H6" s="61">
        <f>0.7/8*100</f>
        <v>8.75</v>
      </c>
      <c r="I6" s="83">
        <f>G6*H6*F6</f>
        <v>10.5</v>
      </c>
      <c r="J6" s="84"/>
    </row>
    <row r="7" spans="1:10" x14ac:dyDescent="0.25">
      <c r="A7" s="61" t="s">
        <v>324</v>
      </c>
      <c r="B7" s="61" t="s">
        <v>318</v>
      </c>
      <c r="C7" s="61">
        <v>82</v>
      </c>
      <c r="D7" s="61" t="s">
        <v>325</v>
      </c>
      <c r="E7" s="61">
        <v>25</v>
      </c>
      <c r="F7" s="61">
        <v>1</v>
      </c>
      <c r="G7" s="61">
        <f>C7/E7</f>
        <v>3.28</v>
      </c>
      <c r="H7" s="61">
        <v>2</v>
      </c>
      <c r="I7" s="83">
        <f>G7*H7*F7</f>
        <v>6.56</v>
      </c>
    </row>
    <row r="8" spans="1:10" x14ac:dyDescent="0.25">
      <c r="A8" s="61" t="s">
        <v>326</v>
      </c>
      <c r="B8" s="61" t="s">
        <v>327</v>
      </c>
      <c r="C8" s="61">
        <v>2.5</v>
      </c>
      <c r="D8" s="61" t="s">
        <v>323</v>
      </c>
      <c r="E8" s="61">
        <v>2.5</v>
      </c>
      <c r="F8" s="61">
        <v>1</v>
      </c>
      <c r="G8" s="61">
        <f>C8/E8</f>
        <v>1</v>
      </c>
      <c r="H8" s="61">
        <f>2</f>
        <v>2</v>
      </c>
      <c r="I8" s="83">
        <f>G8*H8*F8</f>
        <v>2</v>
      </c>
    </row>
    <row r="9" spans="1:10" x14ac:dyDescent="0.25">
      <c r="A9" s="61" t="s">
        <v>328</v>
      </c>
      <c r="I9" s="83"/>
    </row>
    <row r="10" spans="1:10" x14ac:dyDescent="0.25">
      <c r="I10" s="83"/>
    </row>
    <row r="11" spans="1:10" x14ac:dyDescent="0.25">
      <c r="A11" s="61" t="s">
        <v>329</v>
      </c>
      <c r="I11" s="85">
        <f>SUM(I4:I8)</f>
        <v>693.8599999999999</v>
      </c>
      <c r="J11" s="64" t="s">
        <v>330</v>
      </c>
    </row>
    <row r="13" spans="1:10" s="86" customFormat="1" x14ac:dyDescent="0.25">
      <c r="A13" s="86" t="s">
        <v>331</v>
      </c>
    </row>
    <row r="14" spans="1:10" x14ac:dyDescent="0.25">
      <c r="A14" s="61" t="s">
        <v>332</v>
      </c>
      <c r="B14" s="61" t="s">
        <v>308</v>
      </c>
      <c r="C14" s="61" t="s">
        <v>309</v>
      </c>
      <c r="D14" s="61" t="s">
        <v>310</v>
      </c>
      <c r="E14" s="61" t="s">
        <v>311</v>
      </c>
      <c r="F14" s="61" t="s">
        <v>312</v>
      </c>
      <c r="G14" s="61" t="s">
        <v>313</v>
      </c>
      <c r="H14" s="61" t="s">
        <v>314</v>
      </c>
      <c r="I14" s="61" t="s">
        <v>315</v>
      </c>
      <c r="J14" s="61" t="s">
        <v>316</v>
      </c>
    </row>
    <row r="15" spans="1:10" x14ac:dyDescent="0.25">
      <c r="A15" s="61" t="s">
        <v>333</v>
      </c>
      <c r="B15" s="61" t="s">
        <v>334</v>
      </c>
      <c r="C15" s="61">
        <v>42.5</v>
      </c>
      <c r="D15" s="61" t="s">
        <v>335</v>
      </c>
      <c r="E15" s="61">
        <v>0.5</v>
      </c>
      <c r="F15" s="61">
        <f>C15/E15</f>
        <v>85</v>
      </c>
      <c r="G15" s="61">
        <v>1</v>
      </c>
      <c r="H15" s="61">
        <v>1</v>
      </c>
      <c r="I15" s="83">
        <f>F15*G15*H15</f>
        <v>85</v>
      </c>
      <c r="J15" s="84">
        <f>100-(I15/(SUM(I15:I18))*100)</f>
        <v>9.5093368114192742</v>
      </c>
    </row>
    <row r="16" spans="1:10" x14ac:dyDescent="0.25">
      <c r="A16" s="61" t="s">
        <v>141</v>
      </c>
      <c r="B16" s="61" t="s">
        <v>318</v>
      </c>
      <c r="C16" s="61">
        <v>3</v>
      </c>
      <c r="D16" s="61" t="s">
        <v>323</v>
      </c>
      <c r="E16" s="61">
        <v>2.5</v>
      </c>
      <c r="F16" s="61">
        <v>1</v>
      </c>
      <c r="G16" s="61">
        <f>C16/E16</f>
        <v>1.2</v>
      </c>
      <c r="H16" s="79">
        <f>0.85/15*100</f>
        <v>5.6666666666666661</v>
      </c>
      <c r="I16" s="83">
        <f>F16*G16*H16</f>
        <v>6.7999999999999989</v>
      </c>
    </row>
    <row r="17" spans="1:11" x14ac:dyDescent="0.25">
      <c r="A17" s="61" t="s">
        <v>336</v>
      </c>
      <c r="B17" s="61" t="s">
        <v>318</v>
      </c>
      <c r="C17" s="61">
        <v>6.88</v>
      </c>
      <c r="D17" s="61">
        <v>1</v>
      </c>
      <c r="E17" s="61">
        <v>1</v>
      </c>
      <c r="F17" s="61">
        <f>C17/E17</f>
        <v>6.88</v>
      </c>
      <c r="G17" s="61">
        <v>1</v>
      </c>
      <c r="H17" s="61">
        <v>0.04</v>
      </c>
      <c r="I17" s="83">
        <f>F17*G17*H17</f>
        <v>0.2752</v>
      </c>
    </row>
    <row r="18" spans="1:11" s="87" customFormat="1" x14ac:dyDescent="0.25">
      <c r="A18" s="87" t="s">
        <v>337</v>
      </c>
      <c r="B18" s="87" t="s">
        <v>318</v>
      </c>
      <c r="C18" s="87">
        <v>26</v>
      </c>
      <c r="D18" s="87">
        <v>112</v>
      </c>
      <c r="E18" s="87">
        <v>112</v>
      </c>
      <c r="I18" s="88">
        <f>C18/E18*8</f>
        <v>1.8571428571428572</v>
      </c>
    </row>
    <row r="19" spans="1:11" s="77" customFormat="1" x14ac:dyDescent="0.25">
      <c r="A19" s="77" t="s">
        <v>329</v>
      </c>
      <c r="I19" s="83">
        <f>SUM(I15:I18)</f>
        <v>93.932342857142856</v>
      </c>
      <c r="J19" s="61" t="s">
        <v>338</v>
      </c>
    </row>
    <row r="20" spans="1:11" x14ac:dyDescent="0.25">
      <c r="I20" s="89">
        <f>I19*(1+(1/3))</f>
        <v>125.24312380952381</v>
      </c>
      <c r="J20" s="76" t="s">
        <v>330</v>
      </c>
      <c r="K20" s="77" t="s">
        <v>339</v>
      </c>
    </row>
    <row r="21" spans="1:11" s="86" customFormat="1" x14ac:dyDescent="0.25">
      <c r="A21" s="86" t="s">
        <v>331</v>
      </c>
    </row>
    <row r="22" spans="1:11" x14ac:dyDescent="0.25">
      <c r="A22" s="61" t="s">
        <v>332</v>
      </c>
      <c r="B22" s="61" t="s">
        <v>308</v>
      </c>
      <c r="C22" s="61" t="s">
        <v>309</v>
      </c>
      <c r="D22" s="61" t="s">
        <v>310</v>
      </c>
      <c r="E22" s="61" t="s">
        <v>311</v>
      </c>
      <c r="F22" s="61" t="s">
        <v>312</v>
      </c>
      <c r="G22" s="61" t="s">
        <v>313</v>
      </c>
      <c r="H22" s="61" t="s">
        <v>314</v>
      </c>
      <c r="I22" s="61" t="s">
        <v>315</v>
      </c>
      <c r="J22" s="61" t="s">
        <v>316</v>
      </c>
    </row>
    <row r="23" spans="1:11" x14ac:dyDescent="0.25">
      <c r="A23" s="61" t="s">
        <v>340</v>
      </c>
      <c r="B23" s="61" t="s">
        <v>341</v>
      </c>
      <c r="C23" s="61">
        <v>100</v>
      </c>
      <c r="D23" s="61" t="s">
        <v>342</v>
      </c>
      <c r="E23" s="61">
        <v>10</v>
      </c>
      <c r="F23" s="61">
        <f>C23/E23</f>
        <v>10</v>
      </c>
      <c r="G23" s="61">
        <v>1</v>
      </c>
      <c r="H23" s="61">
        <v>1</v>
      </c>
      <c r="I23" s="83">
        <f>F23*G23*H23</f>
        <v>10</v>
      </c>
      <c r="J23" s="84">
        <f>100-(I23/(SUM(I23:I26))*100)</f>
        <v>47.180335389778939</v>
      </c>
    </row>
    <row r="24" spans="1:11" x14ac:dyDescent="0.25">
      <c r="A24" s="61" t="s">
        <v>141</v>
      </c>
      <c r="B24" s="61" t="s">
        <v>318</v>
      </c>
      <c r="C24" s="61">
        <v>3</v>
      </c>
      <c r="D24" s="61" t="s">
        <v>323</v>
      </c>
      <c r="E24" s="61">
        <v>2.5</v>
      </c>
      <c r="F24" s="61">
        <v>1</v>
      </c>
      <c r="G24" s="61">
        <f>C24/E24</f>
        <v>1.2</v>
      </c>
      <c r="H24" s="79">
        <f>0.85/15*100</f>
        <v>5.6666666666666661</v>
      </c>
      <c r="I24" s="83">
        <f>F24*G24*H24</f>
        <v>6.7999999999999989</v>
      </c>
    </row>
    <row r="25" spans="1:11" x14ac:dyDescent="0.25">
      <c r="A25" s="61" t="s">
        <v>336</v>
      </c>
      <c r="B25" s="61" t="s">
        <v>318</v>
      </c>
      <c r="C25" s="61">
        <v>6.88</v>
      </c>
      <c r="D25" s="61">
        <v>1</v>
      </c>
      <c r="E25" s="61">
        <v>1</v>
      </c>
      <c r="F25" s="61">
        <f>C25/E25</f>
        <v>6.88</v>
      </c>
      <c r="G25" s="61">
        <v>1</v>
      </c>
      <c r="H25" s="61">
        <v>0.04</v>
      </c>
      <c r="I25" s="83">
        <f>F25*G25*H25</f>
        <v>0.2752</v>
      </c>
    </row>
    <row r="26" spans="1:11" s="87" customFormat="1" x14ac:dyDescent="0.25">
      <c r="A26" s="87" t="s">
        <v>337</v>
      </c>
      <c r="B26" s="87" t="s">
        <v>318</v>
      </c>
      <c r="C26" s="87">
        <v>26</v>
      </c>
      <c r="D26" s="87">
        <v>112</v>
      </c>
      <c r="E26" s="87">
        <v>112</v>
      </c>
      <c r="I26" s="88">
        <f>C26/E26*8</f>
        <v>1.8571428571428572</v>
      </c>
    </row>
    <row r="27" spans="1:11" s="77" customFormat="1" x14ac:dyDescent="0.25">
      <c r="A27" s="77" t="s">
        <v>329</v>
      </c>
      <c r="I27" s="83">
        <f>SUM(I23:I26)</f>
        <v>18.932342857142856</v>
      </c>
      <c r="J27" s="61" t="s">
        <v>338</v>
      </c>
    </row>
    <row r="28" spans="1:11" x14ac:dyDescent="0.25">
      <c r="I28" s="89">
        <f>I27*(1+(1/3))</f>
        <v>25.243123809523809</v>
      </c>
      <c r="J28" s="76" t="s">
        <v>330</v>
      </c>
      <c r="K28" s="77" t="s">
        <v>339</v>
      </c>
    </row>
    <row r="29" spans="1:11" s="86" customFormat="1" x14ac:dyDescent="0.25">
      <c r="A29" s="86" t="s">
        <v>343</v>
      </c>
    </row>
    <row r="30" spans="1:11" x14ac:dyDescent="0.25">
      <c r="A30" s="61" t="s">
        <v>344</v>
      </c>
      <c r="B30" s="61" t="s">
        <v>308</v>
      </c>
      <c r="C30" s="61" t="s">
        <v>309</v>
      </c>
      <c r="D30" s="61" t="s">
        <v>310</v>
      </c>
      <c r="E30" s="61" t="s">
        <v>311</v>
      </c>
      <c r="F30" s="61" t="s">
        <v>312</v>
      </c>
      <c r="G30" s="61" t="s">
        <v>313</v>
      </c>
      <c r="H30" s="61" t="s">
        <v>314</v>
      </c>
      <c r="I30" s="61" t="s">
        <v>315</v>
      </c>
      <c r="J30" s="61" t="s">
        <v>316</v>
      </c>
    </row>
    <row r="31" spans="1:11" x14ac:dyDescent="0.25">
      <c r="A31" s="61" t="s">
        <v>345</v>
      </c>
      <c r="B31" s="61" t="s">
        <v>318</v>
      </c>
      <c r="C31" s="61">
        <v>265</v>
      </c>
      <c r="D31" s="61" t="s">
        <v>346</v>
      </c>
      <c r="E31" s="61">
        <v>2.5</v>
      </c>
      <c r="F31" s="61">
        <f>C31/E31</f>
        <v>106</v>
      </c>
      <c r="G31" s="61">
        <v>1</v>
      </c>
      <c r="H31" s="61">
        <v>0.93</v>
      </c>
      <c r="I31" s="83">
        <f>F31*G31*H31</f>
        <v>98.58</v>
      </c>
      <c r="J31" s="84">
        <f>100-((I31+I32)/(SUM(I31:I35))*100)</f>
        <v>5.5110480121487484</v>
      </c>
    </row>
    <row r="32" spans="1:11" x14ac:dyDescent="0.25">
      <c r="A32" s="61" t="s">
        <v>347</v>
      </c>
      <c r="B32" s="61" t="s">
        <v>348</v>
      </c>
      <c r="C32" s="61">
        <v>225</v>
      </c>
      <c r="D32" s="61" t="s">
        <v>349</v>
      </c>
      <c r="E32" s="61">
        <v>0.5</v>
      </c>
      <c r="F32" s="61">
        <f>C32/E32</f>
        <v>450</v>
      </c>
      <c r="G32" s="61">
        <v>1</v>
      </c>
      <c r="H32" s="61">
        <v>7.0000000000000007E-2</v>
      </c>
      <c r="I32" s="83">
        <f>F32*G32*H32</f>
        <v>31.500000000000004</v>
      </c>
      <c r="J32" s="84"/>
    </row>
    <row r="33" spans="1:10" x14ac:dyDescent="0.25">
      <c r="A33" s="61" t="s">
        <v>141</v>
      </c>
      <c r="B33" s="61" t="s">
        <v>318</v>
      </c>
      <c r="C33" s="61">
        <v>3</v>
      </c>
      <c r="D33" s="61" t="s">
        <v>323</v>
      </c>
      <c r="E33" s="61">
        <v>2.5</v>
      </c>
      <c r="F33" s="61">
        <v>1</v>
      </c>
      <c r="G33" s="61">
        <f>C33/E33</f>
        <v>1.2</v>
      </c>
      <c r="H33" s="83">
        <f>1/22*100</f>
        <v>4.5454545454545459</v>
      </c>
      <c r="I33" s="83">
        <f>F33*G33*H33</f>
        <v>5.454545454545455</v>
      </c>
    </row>
    <row r="34" spans="1:10" x14ac:dyDescent="0.25">
      <c r="A34" s="61" t="s">
        <v>336</v>
      </c>
      <c r="B34" s="61" t="s">
        <v>318</v>
      </c>
      <c r="C34" s="61">
        <v>6.88</v>
      </c>
      <c r="D34" s="61">
        <v>1</v>
      </c>
      <c r="E34" s="61">
        <v>1</v>
      </c>
      <c r="F34" s="61">
        <f>C34/E34</f>
        <v>6.88</v>
      </c>
      <c r="G34" s="61">
        <v>1</v>
      </c>
      <c r="H34" s="61">
        <v>0.04</v>
      </c>
      <c r="I34" s="83">
        <f>F34*G34*H34</f>
        <v>0.2752</v>
      </c>
    </row>
    <row r="35" spans="1:10" s="87" customFormat="1" x14ac:dyDescent="0.25">
      <c r="A35" s="87" t="s">
        <v>337</v>
      </c>
      <c r="B35" s="87" t="s">
        <v>318</v>
      </c>
      <c r="C35" s="87">
        <v>26</v>
      </c>
      <c r="D35" s="87">
        <v>112</v>
      </c>
      <c r="E35" s="87">
        <v>112</v>
      </c>
      <c r="I35" s="88">
        <f>C35/E35*8</f>
        <v>1.8571428571428572</v>
      </c>
    </row>
    <row r="36" spans="1:10" s="77" customFormat="1" x14ac:dyDescent="0.25">
      <c r="A36" s="77" t="s">
        <v>329</v>
      </c>
      <c r="I36" s="89">
        <f>SUM(I31:I35)</f>
        <v>137.66688831168835</v>
      </c>
      <c r="J36" s="76" t="s">
        <v>350</v>
      </c>
    </row>
    <row r="37" spans="1:10" x14ac:dyDescent="0.25">
      <c r="I37" s="83"/>
    </row>
  </sheetData>
  <mergeCells count="2">
    <mergeCell ref="A1:XFD1"/>
    <mergeCell ref="A2:XF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AA67-0B8F-4E06-B8FF-FDE43D688306}">
  <dimension ref="A1:AG32"/>
  <sheetViews>
    <sheetView topLeftCell="AC1" zoomScaleNormal="100" workbookViewId="0">
      <selection activeCell="AM23" sqref="AM23"/>
    </sheetView>
  </sheetViews>
  <sheetFormatPr defaultRowHeight="15" x14ac:dyDescent="0.25"/>
  <cols>
    <col min="1" max="1" width="14.28515625" style="61" bestFit="1" customWidth="1"/>
    <col min="2" max="2" width="10.85546875" style="61" bestFit="1" customWidth="1"/>
    <col min="3" max="3" width="30.7109375" style="61" bestFit="1" customWidth="1"/>
    <col min="4" max="4" width="27.140625" style="61" bestFit="1" customWidth="1"/>
    <col min="5" max="5" width="8" style="61" bestFit="1" customWidth="1"/>
    <col min="6" max="6" width="9.140625" style="61"/>
    <col min="7" max="7" width="15.42578125" style="61" bestFit="1" customWidth="1"/>
    <col min="8" max="8" width="13.7109375" style="61" bestFit="1" customWidth="1"/>
    <col min="9" max="9" width="15" style="61" bestFit="1" customWidth="1"/>
    <col min="10" max="10" width="13.5703125" style="61" bestFit="1" customWidth="1"/>
    <col min="11" max="11" width="3.85546875" style="61" bestFit="1" customWidth="1"/>
    <col min="12" max="14" width="9.140625" style="61"/>
    <col min="15" max="15" width="9.140625" style="64"/>
    <col min="16" max="16" width="12.28515625" style="61" bestFit="1" customWidth="1"/>
    <col min="17" max="17" width="25.7109375" style="61" customWidth="1"/>
    <col min="18" max="18" width="9.5703125" style="61" bestFit="1" customWidth="1"/>
    <col min="19" max="19" width="16.28515625" style="61" bestFit="1" customWidth="1"/>
    <col min="20" max="20" width="13.42578125" style="61" bestFit="1" customWidth="1"/>
    <col min="21" max="21" width="11.42578125" style="61" bestFit="1" customWidth="1"/>
    <col min="22" max="22" width="16.28515625" style="61" bestFit="1" customWidth="1"/>
    <col min="23" max="23" width="11" style="61" bestFit="1" customWidth="1"/>
    <col min="24" max="24" width="8.85546875" style="61" bestFit="1" customWidth="1"/>
    <col min="25" max="25" width="11.5703125" style="61" bestFit="1" customWidth="1"/>
    <col min="26" max="26" width="9.7109375" style="61" bestFit="1" customWidth="1"/>
    <col min="27" max="28" width="9.140625" style="61"/>
    <col min="29" max="29" width="10.85546875" style="61" bestFit="1" customWidth="1"/>
    <col min="30" max="30" width="11.5703125" style="61" bestFit="1" customWidth="1"/>
    <col min="31" max="16384" width="9.140625" style="61"/>
  </cols>
  <sheetData>
    <row r="1" spans="1:33" s="77" customFormat="1" x14ac:dyDescent="0.25">
      <c r="A1" s="110" t="s">
        <v>247</v>
      </c>
      <c r="B1" s="110"/>
      <c r="C1" s="110"/>
      <c r="D1" s="110"/>
      <c r="E1" s="110"/>
      <c r="F1" s="76"/>
      <c r="G1" s="76"/>
      <c r="H1" s="76"/>
      <c r="I1" s="76"/>
      <c r="J1" s="111" t="s">
        <v>7</v>
      </c>
      <c r="K1" s="111"/>
      <c r="L1" s="111"/>
      <c r="M1" s="111"/>
      <c r="N1" s="111"/>
      <c r="O1" s="76"/>
      <c r="P1" s="65" t="s">
        <v>248</v>
      </c>
      <c r="Q1" s="65" t="s">
        <v>197</v>
      </c>
      <c r="R1" s="65" t="s">
        <v>249</v>
      </c>
      <c r="S1" s="65" t="s">
        <v>198</v>
      </c>
      <c r="T1" s="65" t="s">
        <v>199</v>
      </c>
      <c r="U1" s="65" t="s">
        <v>200</v>
      </c>
      <c r="V1" s="65" t="s">
        <v>201</v>
      </c>
      <c r="W1" s="65" t="s">
        <v>203</v>
      </c>
      <c r="X1" s="65" t="s">
        <v>204</v>
      </c>
      <c r="Y1" s="65" t="s">
        <v>205</v>
      </c>
      <c r="Z1" s="65" t="s">
        <v>250</v>
      </c>
      <c r="AC1" s="65" t="s">
        <v>197</v>
      </c>
      <c r="AD1" s="65" t="s">
        <v>205</v>
      </c>
      <c r="AE1" s="65" t="s">
        <v>251</v>
      </c>
      <c r="AF1" s="8"/>
      <c r="AG1" s="8"/>
    </row>
    <row r="2" spans="1:33" x14ac:dyDescent="0.25">
      <c r="P2" s="42" t="s">
        <v>252</v>
      </c>
      <c r="Q2" s="42">
        <v>0.01</v>
      </c>
      <c r="R2" s="42">
        <v>0.5</v>
      </c>
      <c r="S2" s="42">
        <v>100</v>
      </c>
      <c r="T2" s="42">
        <v>0.1</v>
      </c>
      <c r="U2" s="42">
        <f>S2/100*Q2</f>
        <v>0.01</v>
      </c>
      <c r="V2" s="42">
        <v>58.44</v>
      </c>
      <c r="W2" s="68">
        <f>U2/V2</f>
        <v>1.7111567419575633E-4</v>
      </c>
      <c r="X2" s="42">
        <f>W2/T2</f>
        <v>1.7111567419575632E-3</v>
      </c>
      <c r="Y2" s="14">
        <f>X2*10^3</f>
        <v>1.7111567419575633</v>
      </c>
      <c r="Z2" s="42">
        <f>S2/100*R2</f>
        <v>0.5</v>
      </c>
    </row>
    <row r="3" spans="1:33" x14ac:dyDescent="0.25">
      <c r="A3" s="77"/>
      <c r="B3" s="77" t="s">
        <v>197</v>
      </c>
      <c r="C3" s="77" t="s">
        <v>253</v>
      </c>
      <c r="D3" s="77" t="s">
        <v>254</v>
      </c>
      <c r="E3" s="77" t="s">
        <v>255</v>
      </c>
      <c r="F3" s="77" t="s">
        <v>256</v>
      </c>
      <c r="G3" s="77" t="s">
        <v>257</v>
      </c>
      <c r="H3" s="77" t="s">
        <v>258</v>
      </c>
      <c r="I3" s="77" t="s">
        <v>259</v>
      </c>
      <c r="J3" s="77" t="s">
        <v>260</v>
      </c>
      <c r="K3" s="77" t="s">
        <v>261</v>
      </c>
      <c r="P3" s="42" t="s">
        <v>262</v>
      </c>
      <c r="Q3" s="42">
        <v>0.05</v>
      </c>
      <c r="R3" s="42">
        <v>0.5</v>
      </c>
      <c r="S3" s="42">
        <v>100</v>
      </c>
      <c r="T3" s="42">
        <v>0.1</v>
      </c>
      <c r="U3" s="42">
        <f t="shared" ref="U3:U9" si="0">S3/100*Q3</f>
        <v>0.05</v>
      </c>
      <c r="V3" s="42">
        <v>58.44</v>
      </c>
      <c r="W3" s="68">
        <f t="shared" ref="W3:W11" si="1">U3/V3</f>
        <v>8.5557837097878172E-4</v>
      </c>
      <c r="X3" s="42">
        <f t="shared" ref="X3:X9" si="2">W3/T3</f>
        <v>8.5557837097878162E-3</v>
      </c>
      <c r="Y3" s="14">
        <f t="shared" ref="Y3:Y9" si="3">X3*10^3</f>
        <v>8.555783709787816</v>
      </c>
      <c r="Z3" s="42">
        <f t="shared" ref="Z3:Z11" si="4">S3/100*R3</f>
        <v>0.5</v>
      </c>
    </row>
    <row r="4" spans="1:33" x14ac:dyDescent="0.25">
      <c r="A4" s="61" t="s">
        <v>263</v>
      </c>
      <c r="B4" s="61">
        <v>0.2</v>
      </c>
      <c r="C4" s="61">
        <v>25</v>
      </c>
      <c r="D4" s="61">
        <f>C4</f>
        <v>25</v>
      </c>
      <c r="E4" s="61">
        <f>D4/100*B4</f>
        <v>0.05</v>
      </c>
      <c r="F4" s="61">
        <v>2E-3</v>
      </c>
      <c r="G4" s="61">
        <f t="shared" ref="G4:G15" si="5">D4/100*F4</f>
        <v>5.0000000000000001E-4</v>
      </c>
      <c r="H4" s="61">
        <v>1.1999999999999999E-3</v>
      </c>
      <c r="I4" s="78">
        <f>H4/D4*100</f>
        <v>4.7999999999999996E-3</v>
      </c>
      <c r="P4" s="42" t="s">
        <v>264</v>
      </c>
      <c r="Q4" s="42">
        <v>0.1</v>
      </c>
      <c r="R4" s="42">
        <v>0.5</v>
      </c>
      <c r="S4" s="42">
        <v>100</v>
      </c>
      <c r="T4" s="42">
        <v>0.1</v>
      </c>
      <c r="U4" s="42">
        <f t="shared" si="0"/>
        <v>0.1</v>
      </c>
      <c r="V4" s="42">
        <v>58.44</v>
      </c>
      <c r="W4" s="68">
        <f t="shared" si="1"/>
        <v>1.7111567419575634E-3</v>
      </c>
      <c r="X4" s="42">
        <f t="shared" si="2"/>
        <v>1.7111567419575632E-2</v>
      </c>
      <c r="Y4" s="14">
        <f t="shared" si="3"/>
        <v>17.111567419575632</v>
      </c>
      <c r="Z4" s="42">
        <f t="shared" si="4"/>
        <v>0.5</v>
      </c>
      <c r="AC4" s="42">
        <v>0.01</v>
      </c>
      <c r="AD4" s="79">
        <v>1.7111567419575633</v>
      </c>
      <c r="AE4" s="61">
        <v>-20</v>
      </c>
    </row>
    <row r="5" spans="1:33" x14ac:dyDescent="0.25">
      <c r="A5" s="61" t="s">
        <v>265</v>
      </c>
      <c r="B5" s="61">
        <v>0.2</v>
      </c>
      <c r="C5" s="61">
        <v>25</v>
      </c>
      <c r="D5" s="61">
        <f>C5</f>
        <v>25</v>
      </c>
      <c r="E5" s="61">
        <f>D5/100*B5</f>
        <v>0.05</v>
      </c>
      <c r="F5" s="61">
        <v>6.0000000000000001E-3</v>
      </c>
      <c r="G5" s="61">
        <f t="shared" si="5"/>
        <v>1.5E-3</v>
      </c>
      <c r="H5" s="61">
        <v>2.0999999999999999E-3</v>
      </c>
      <c r="I5" s="78">
        <f>H5/D5*100</f>
        <v>8.3999999999999995E-3</v>
      </c>
      <c r="P5" s="42" t="s">
        <v>266</v>
      </c>
      <c r="Q5" s="42">
        <v>0.5</v>
      </c>
      <c r="R5" s="42">
        <v>0.5</v>
      </c>
      <c r="S5" s="42">
        <v>100</v>
      </c>
      <c r="T5" s="42">
        <v>0.1</v>
      </c>
      <c r="U5" s="42">
        <f t="shared" si="0"/>
        <v>0.5</v>
      </c>
      <c r="V5" s="42">
        <v>58.44</v>
      </c>
      <c r="W5" s="68">
        <f t="shared" si="1"/>
        <v>8.5557837097878162E-3</v>
      </c>
      <c r="X5" s="42">
        <f t="shared" si="2"/>
        <v>8.5557837097878162E-2</v>
      </c>
      <c r="Y5" s="14">
        <f t="shared" si="3"/>
        <v>85.557837097878163</v>
      </c>
      <c r="Z5" s="42">
        <f t="shared" si="4"/>
        <v>0.5</v>
      </c>
      <c r="AC5" s="42">
        <v>0.05</v>
      </c>
      <c r="AD5" s="79">
        <v>8.555783709787816</v>
      </c>
      <c r="AE5" s="61">
        <v>-10</v>
      </c>
    </row>
    <row r="6" spans="1:33" x14ac:dyDescent="0.25">
      <c r="A6" s="61" t="s">
        <v>267</v>
      </c>
      <c r="B6" s="61">
        <v>0.2</v>
      </c>
      <c r="C6" s="61">
        <v>25</v>
      </c>
      <c r="D6" s="61">
        <f>C6</f>
        <v>25</v>
      </c>
      <c r="E6" s="61">
        <f>D6/100*B6</f>
        <v>0.05</v>
      </c>
      <c r="F6" s="61">
        <v>0.02</v>
      </c>
      <c r="G6" s="61">
        <f t="shared" si="5"/>
        <v>5.0000000000000001E-3</v>
      </c>
      <c r="H6" s="61">
        <v>5.4999999999999997E-3</v>
      </c>
      <c r="I6" s="78">
        <f>H6/D6*100</f>
        <v>2.1999999999999999E-2</v>
      </c>
      <c r="J6">
        <v>-25.2</v>
      </c>
      <c r="P6" s="42" t="s">
        <v>268</v>
      </c>
      <c r="Q6" s="42">
        <v>1</v>
      </c>
      <c r="R6" s="42">
        <v>0.5</v>
      </c>
      <c r="S6" s="42">
        <v>100</v>
      </c>
      <c r="T6" s="42">
        <v>0.1</v>
      </c>
      <c r="U6" s="42">
        <f t="shared" si="0"/>
        <v>1</v>
      </c>
      <c r="V6" s="42">
        <v>58.44</v>
      </c>
      <c r="W6" s="68">
        <f t="shared" si="1"/>
        <v>1.7111567419575632E-2</v>
      </c>
      <c r="X6" s="42">
        <f t="shared" si="2"/>
        <v>0.17111567419575632</v>
      </c>
      <c r="Y6" s="14">
        <f t="shared" si="3"/>
        <v>171.11567419575633</v>
      </c>
      <c r="Z6" s="42">
        <f t="shared" si="4"/>
        <v>0.5</v>
      </c>
      <c r="AC6" s="42">
        <v>0.1</v>
      </c>
      <c r="AD6" s="79">
        <v>17.111567419575632</v>
      </c>
      <c r="AE6" s="61">
        <v>-7.8</v>
      </c>
    </row>
    <row r="7" spans="1:33" x14ac:dyDescent="0.25">
      <c r="A7" s="61" t="s">
        <v>269</v>
      </c>
      <c r="B7" s="61">
        <v>0.2</v>
      </c>
      <c r="C7" s="61">
        <v>25</v>
      </c>
      <c r="D7" s="61">
        <f>C7</f>
        <v>25</v>
      </c>
      <c r="E7" s="61">
        <f>D7/100*B7</f>
        <v>0.05</v>
      </c>
      <c r="F7" s="61">
        <v>0.06</v>
      </c>
      <c r="G7" s="61">
        <f t="shared" si="5"/>
        <v>1.4999999999999999E-2</v>
      </c>
      <c r="H7" s="61">
        <v>1.5100000000000001E-2</v>
      </c>
      <c r="I7" s="78">
        <f>H7/D7*100</f>
        <v>6.0400000000000002E-2</v>
      </c>
      <c r="P7" s="42" t="s">
        <v>270</v>
      </c>
      <c r="Q7" s="42">
        <v>2</v>
      </c>
      <c r="R7" s="42">
        <v>0.5</v>
      </c>
      <c r="S7" s="42">
        <v>100</v>
      </c>
      <c r="T7" s="42">
        <v>0.1</v>
      </c>
      <c r="U7" s="42">
        <f t="shared" si="0"/>
        <v>2</v>
      </c>
      <c r="V7" s="42">
        <v>58.44</v>
      </c>
      <c r="W7" s="68">
        <f t="shared" si="1"/>
        <v>3.4223134839151265E-2</v>
      </c>
      <c r="X7" s="42">
        <f t="shared" si="2"/>
        <v>0.34223134839151265</v>
      </c>
      <c r="Y7" s="14">
        <f t="shared" si="3"/>
        <v>342.23134839151265</v>
      </c>
      <c r="Z7" s="42">
        <f t="shared" si="4"/>
        <v>0.5</v>
      </c>
      <c r="AC7" s="42">
        <v>0.5</v>
      </c>
      <c r="AD7" s="79">
        <v>85.557837097878163</v>
      </c>
      <c r="AE7" s="61">
        <v>-4.5999999999999996</v>
      </c>
    </row>
    <row r="8" spans="1:33" x14ac:dyDescent="0.25">
      <c r="A8" s="61" t="s">
        <v>271</v>
      </c>
      <c r="B8" s="61">
        <v>0.1</v>
      </c>
      <c r="C8" s="61">
        <v>25</v>
      </c>
      <c r="D8" s="61">
        <f t="shared" ref="D8:D15" si="6">C8</f>
        <v>25</v>
      </c>
      <c r="E8" s="61">
        <f t="shared" ref="E8:E15" si="7">D8/100*B8</f>
        <v>2.5000000000000001E-2</v>
      </c>
      <c r="F8" s="61" t="s">
        <v>272</v>
      </c>
      <c r="G8" s="61" t="e">
        <f t="shared" si="5"/>
        <v>#VALUE!</v>
      </c>
      <c r="P8" s="42" t="s">
        <v>273</v>
      </c>
      <c r="Q8" s="42">
        <v>5</v>
      </c>
      <c r="R8" s="42">
        <v>0.5</v>
      </c>
      <c r="S8" s="42">
        <v>100</v>
      </c>
      <c r="T8" s="42">
        <v>0.1</v>
      </c>
      <c r="U8" s="42">
        <f t="shared" si="0"/>
        <v>5</v>
      </c>
      <c r="V8" s="42">
        <v>58.44</v>
      </c>
      <c r="W8" s="68">
        <f t="shared" si="1"/>
        <v>8.5557837097878175E-2</v>
      </c>
      <c r="X8" s="42">
        <f t="shared" si="2"/>
        <v>0.85557837097878175</v>
      </c>
      <c r="Y8" s="14">
        <f t="shared" si="3"/>
        <v>855.57837097878178</v>
      </c>
      <c r="Z8" s="42">
        <f t="shared" si="4"/>
        <v>0.5</v>
      </c>
      <c r="AC8" s="42">
        <v>1</v>
      </c>
      <c r="AD8" s="79">
        <v>171.11567419575633</v>
      </c>
      <c r="AE8" s="61">
        <v>-4.5999999999999996</v>
      </c>
    </row>
    <row r="9" spans="1:33" x14ac:dyDescent="0.25">
      <c r="A9" s="61" t="s">
        <v>274</v>
      </c>
      <c r="B9" s="61">
        <v>0.5</v>
      </c>
      <c r="C9" s="61">
        <v>25</v>
      </c>
      <c r="D9" s="61">
        <f t="shared" si="6"/>
        <v>25</v>
      </c>
      <c r="E9" s="61">
        <f t="shared" si="7"/>
        <v>0.125</v>
      </c>
      <c r="F9" s="61" t="s">
        <v>272</v>
      </c>
      <c r="G9" s="61" t="e">
        <f t="shared" si="5"/>
        <v>#VALUE!</v>
      </c>
      <c r="P9" s="42" t="s">
        <v>275</v>
      </c>
      <c r="Q9" s="42">
        <v>10</v>
      </c>
      <c r="R9" s="42">
        <v>0.5</v>
      </c>
      <c r="S9" s="42">
        <v>100</v>
      </c>
      <c r="T9" s="42">
        <v>0.1</v>
      </c>
      <c r="U9" s="42">
        <f t="shared" si="0"/>
        <v>10</v>
      </c>
      <c r="V9" s="42">
        <v>58.44</v>
      </c>
      <c r="W9" s="68">
        <f t="shared" si="1"/>
        <v>0.17111567419575635</v>
      </c>
      <c r="X9" s="42">
        <f t="shared" si="2"/>
        <v>1.7111567419575635</v>
      </c>
      <c r="Y9" s="14">
        <f t="shared" si="3"/>
        <v>1711.1567419575636</v>
      </c>
      <c r="Z9" s="42">
        <f t="shared" si="4"/>
        <v>0.5</v>
      </c>
      <c r="AC9" s="42">
        <v>2</v>
      </c>
      <c r="AD9" s="79">
        <v>342.23134839151265</v>
      </c>
      <c r="AE9" s="61">
        <v>-3.75</v>
      </c>
    </row>
    <row r="10" spans="1:33" x14ac:dyDescent="0.25">
      <c r="A10" s="61" t="s">
        <v>276</v>
      </c>
      <c r="B10" s="61">
        <v>1</v>
      </c>
      <c r="C10" s="61">
        <v>25</v>
      </c>
      <c r="D10" s="61">
        <f t="shared" si="6"/>
        <v>25</v>
      </c>
      <c r="E10" s="61">
        <f t="shared" si="7"/>
        <v>0.25</v>
      </c>
      <c r="F10" s="61" t="s">
        <v>272</v>
      </c>
      <c r="G10" s="61" t="e">
        <f t="shared" si="5"/>
        <v>#VALUE!</v>
      </c>
      <c r="P10" s="42" t="s">
        <v>277</v>
      </c>
      <c r="Q10" s="42">
        <v>1E-3</v>
      </c>
      <c r="R10" s="42">
        <v>0.5</v>
      </c>
      <c r="S10" s="42">
        <v>100</v>
      </c>
      <c r="T10" s="42">
        <v>0.1</v>
      </c>
      <c r="U10" s="42">
        <v>1E-3</v>
      </c>
      <c r="V10" s="42">
        <v>58.44</v>
      </c>
      <c r="W10" s="68">
        <f>U10/V10</f>
        <v>1.7111567419575633E-5</v>
      </c>
      <c r="X10" s="42">
        <f>W10/T10</f>
        <v>1.7111567419575633E-4</v>
      </c>
      <c r="Y10" s="14">
        <f>X10*10^3</f>
        <v>0.17111567419575632</v>
      </c>
      <c r="Z10" s="42">
        <f t="shared" si="4"/>
        <v>0.5</v>
      </c>
      <c r="AC10" s="42">
        <v>5</v>
      </c>
      <c r="AD10" s="79">
        <v>855.57837097878178</v>
      </c>
      <c r="AE10" s="61">
        <v>-1.0900000000000001</v>
      </c>
    </row>
    <row r="11" spans="1:33" x14ac:dyDescent="0.25">
      <c r="A11" s="61" t="s">
        <v>278</v>
      </c>
      <c r="B11" s="61">
        <v>1.5</v>
      </c>
      <c r="C11" s="61">
        <v>25</v>
      </c>
      <c r="D11" s="61">
        <f t="shared" si="6"/>
        <v>25</v>
      </c>
      <c r="E11" s="61">
        <f t="shared" si="7"/>
        <v>0.375</v>
      </c>
      <c r="F11" s="61" t="s">
        <v>272</v>
      </c>
      <c r="G11" s="61" t="e">
        <f t="shared" si="5"/>
        <v>#VALUE!</v>
      </c>
      <c r="P11" s="42" t="s">
        <v>279</v>
      </c>
      <c r="Q11" s="42">
        <v>1E-4</v>
      </c>
      <c r="R11" s="42">
        <v>0.5</v>
      </c>
      <c r="S11" s="42">
        <v>100</v>
      </c>
      <c r="T11" s="42">
        <v>0.1</v>
      </c>
      <c r="U11" s="42">
        <v>1E-4</v>
      </c>
      <c r="V11" s="42">
        <v>58.44</v>
      </c>
      <c r="W11" s="68">
        <f t="shared" si="1"/>
        <v>1.7111567419575635E-6</v>
      </c>
      <c r="X11" s="42">
        <f>W11/T11</f>
        <v>1.7111567419575633E-5</v>
      </c>
      <c r="Y11" s="14">
        <f>X11*10^3</f>
        <v>1.7111567419575632E-2</v>
      </c>
      <c r="Z11" s="42">
        <f t="shared" si="4"/>
        <v>0.5</v>
      </c>
      <c r="AC11" s="42"/>
      <c r="AD11" s="79"/>
    </row>
    <row r="12" spans="1:33" x14ac:dyDescent="0.25">
      <c r="A12" s="61" t="s">
        <v>280</v>
      </c>
      <c r="B12" s="61">
        <v>2</v>
      </c>
      <c r="C12" s="61">
        <v>25</v>
      </c>
      <c r="D12" s="61">
        <f t="shared" si="6"/>
        <v>25</v>
      </c>
      <c r="E12" s="61">
        <f t="shared" si="7"/>
        <v>0.5</v>
      </c>
      <c r="F12" s="61" t="s">
        <v>272</v>
      </c>
      <c r="G12" s="61" t="e">
        <f t="shared" si="5"/>
        <v>#VALUE!</v>
      </c>
    </row>
    <row r="13" spans="1:33" x14ac:dyDescent="0.25">
      <c r="A13" s="61" t="s">
        <v>281</v>
      </c>
      <c r="B13" s="61">
        <v>5</v>
      </c>
      <c r="C13" s="61">
        <v>25</v>
      </c>
      <c r="D13" s="61">
        <f t="shared" si="6"/>
        <v>25</v>
      </c>
      <c r="E13" s="61">
        <f t="shared" si="7"/>
        <v>1.25</v>
      </c>
      <c r="F13" s="61" t="s">
        <v>272</v>
      </c>
      <c r="G13" s="61" t="e">
        <f t="shared" si="5"/>
        <v>#VALUE!</v>
      </c>
    </row>
    <row r="14" spans="1:33" x14ac:dyDescent="0.25">
      <c r="A14" s="61" t="s">
        <v>282</v>
      </c>
      <c r="B14" s="61">
        <v>10</v>
      </c>
      <c r="C14" s="61">
        <v>25</v>
      </c>
      <c r="D14" s="61">
        <f t="shared" si="6"/>
        <v>25</v>
      </c>
      <c r="E14" s="61">
        <f t="shared" si="7"/>
        <v>2.5</v>
      </c>
      <c r="F14" s="61" t="s">
        <v>272</v>
      </c>
      <c r="G14" s="61" t="e">
        <f t="shared" si="5"/>
        <v>#VALUE!</v>
      </c>
    </row>
    <row r="15" spans="1:33" x14ac:dyDescent="0.25">
      <c r="A15" s="61" t="s">
        <v>283</v>
      </c>
      <c r="B15" s="61">
        <v>0</v>
      </c>
      <c r="C15" s="61">
        <v>25</v>
      </c>
      <c r="D15" s="61">
        <f t="shared" si="6"/>
        <v>25</v>
      </c>
      <c r="E15" s="61">
        <f t="shared" si="7"/>
        <v>0</v>
      </c>
      <c r="F15" s="61">
        <v>0</v>
      </c>
      <c r="G15" s="61">
        <f t="shared" si="5"/>
        <v>0</v>
      </c>
    </row>
    <row r="17" spans="1:8" s="81" customFormat="1" x14ac:dyDescent="0.25">
      <c r="A17" s="80" t="s">
        <v>284</v>
      </c>
      <c r="B17" s="80" t="s">
        <v>285</v>
      </c>
      <c r="C17" s="80" t="s">
        <v>286</v>
      </c>
      <c r="D17" s="80" t="s">
        <v>287</v>
      </c>
      <c r="E17" s="80" t="s">
        <v>288</v>
      </c>
      <c r="F17" s="80" t="s">
        <v>289</v>
      </c>
      <c r="G17" s="80" t="s">
        <v>290</v>
      </c>
      <c r="H17" s="80" t="s">
        <v>291</v>
      </c>
    </row>
    <row r="18" spans="1:8" x14ac:dyDescent="0.25">
      <c r="A18">
        <v>1</v>
      </c>
      <c r="B18" t="s">
        <v>292</v>
      </c>
      <c r="C18" t="s">
        <v>293</v>
      </c>
      <c r="D18" s="82">
        <v>44283.830740740741</v>
      </c>
      <c r="E18">
        <v>25</v>
      </c>
      <c r="F18">
        <v>-2.88</v>
      </c>
      <c r="G18">
        <v>-0.22570000000000001</v>
      </c>
      <c r="H18">
        <v>3.83</v>
      </c>
    </row>
    <row r="19" spans="1:8" x14ac:dyDescent="0.25">
      <c r="A19">
        <v>2</v>
      </c>
      <c r="B19" t="s">
        <v>292</v>
      </c>
      <c r="C19" t="s">
        <v>294</v>
      </c>
      <c r="D19" s="82">
        <v>44283.834791666668</v>
      </c>
      <c r="E19">
        <v>25</v>
      </c>
      <c r="F19">
        <v>-31.8</v>
      </c>
      <c r="G19">
        <v>-2.4950000000000001</v>
      </c>
      <c r="H19">
        <v>5.66</v>
      </c>
    </row>
    <row r="20" spans="1:8" x14ac:dyDescent="0.25">
      <c r="A20">
        <v>3</v>
      </c>
      <c r="B20" t="s">
        <v>292</v>
      </c>
      <c r="C20" t="s">
        <v>295</v>
      </c>
      <c r="D20" s="82">
        <v>44283.835243055553</v>
      </c>
      <c r="E20">
        <v>25</v>
      </c>
      <c r="F20">
        <v>-36.5</v>
      </c>
      <c r="G20">
        <v>-2.8610000000000002</v>
      </c>
      <c r="H20">
        <v>5.85</v>
      </c>
    </row>
    <row r="21" spans="1:8" x14ac:dyDescent="0.25">
      <c r="A21"/>
      <c r="B21"/>
      <c r="C21"/>
      <c r="D21" s="82"/>
      <c r="E21"/>
      <c r="F21"/>
      <c r="G21"/>
      <c r="H21"/>
    </row>
    <row r="22" spans="1:8" x14ac:dyDescent="0.25">
      <c r="A22">
        <v>4</v>
      </c>
      <c r="B22" t="s">
        <v>292</v>
      </c>
      <c r="C22" t="s">
        <v>296</v>
      </c>
      <c r="D22" s="82">
        <v>44283.837916666664</v>
      </c>
      <c r="E22">
        <v>25</v>
      </c>
      <c r="F22">
        <v>-1.45</v>
      </c>
      <c r="G22">
        <v>-0.1134</v>
      </c>
      <c r="H22">
        <v>3.82</v>
      </c>
    </row>
    <row r="23" spans="1:8" x14ac:dyDescent="0.25">
      <c r="A23">
        <v>5</v>
      </c>
      <c r="B23" t="s">
        <v>292</v>
      </c>
      <c r="C23" t="s">
        <v>297</v>
      </c>
      <c r="D23" s="82">
        <v>44283.840694444443</v>
      </c>
      <c r="E23">
        <v>25</v>
      </c>
      <c r="F23">
        <v>-4.04</v>
      </c>
      <c r="G23">
        <v>-0.31680000000000003</v>
      </c>
      <c r="H23">
        <v>4.96</v>
      </c>
    </row>
    <row r="24" spans="1:8" x14ac:dyDescent="0.25">
      <c r="A24">
        <v>6</v>
      </c>
      <c r="B24" t="s">
        <v>292</v>
      </c>
      <c r="C24" t="s">
        <v>298</v>
      </c>
      <c r="D24" s="82">
        <v>44283.841180555559</v>
      </c>
      <c r="E24">
        <v>25</v>
      </c>
      <c r="F24">
        <v>-23.4</v>
      </c>
      <c r="G24">
        <v>-1.8340000000000001</v>
      </c>
      <c r="H24">
        <v>5.21</v>
      </c>
    </row>
    <row r="25" spans="1:8" x14ac:dyDescent="0.25">
      <c r="A25"/>
      <c r="B25"/>
      <c r="C25"/>
      <c r="D25" s="82"/>
      <c r="E25"/>
      <c r="F25"/>
      <c r="G25"/>
      <c r="H25"/>
    </row>
    <row r="26" spans="1:8" x14ac:dyDescent="0.25">
      <c r="A26">
        <v>7</v>
      </c>
      <c r="B26" t="s">
        <v>292</v>
      </c>
      <c r="C26" t="s">
        <v>299</v>
      </c>
      <c r="D26" s="82">
        <v>44283.844155092593</v>
      </c>
      <c r="E26">
        <v>25</v>
      </c>
      <c r="F26">
        <v>-6.5</v>
      </c>
      <c r="G26">
        <v>-0.50970000000000004</v>
      </c>
      <c r="H26">
        <v>3.91</v>
      </c>
    </row>
    <row r="27" spans="1:8" x14ac:dyDescent="0.25">
      <c r="A27">
        <v>8</v>
      </c>
      <c r="B27" t="s">
        <v>292</v>
      </c>
      <c r="C27" t="s">
        <v>300</v>
      </c>
      <c r="D27" s="82">
        <v>44283.847002314818</v>
      </c>
      <c r="E27">
        <v>25</v>
      </c>
      <c r="F27">
        <v>-19.2</v>
      </c>
      <c r="G27">
        <v>-1.5069999999999999</v>
      </c>
      <c r="H27">
        <v>5.2</v>
      </c>
    </row>
    <row r="28" spans="1:8" x14ac:dyDescent="0.25">
      <c r="A28">
        <v>9</v>
      </c>
      <c r="B28" t="s">
        <v>292</v>
      </c>
      <c r="C28" t="s">
        <v>301</v>
      </c>
      <c r="D28" s="82">
        <v>44283.847627314812</v>
      </c>
      <c r="E28">
        <v>25</v>
      </c>
      <c r="F28">
        <v>-25.2</v>
      </c>
      <c r="G28">
        <v>-1.9770000000000001</v>
      </c>
      <c r="H28">
        <v>5.58</v>
      </c>
    </row>
    <row r="29" spans="1:8" x14ac:dyDescent="0.25">
      <c r="A29"/>
      <c r="B29"/>
      <c r="C29"/>
      <c r="D29" s="82"/>
      <c r="E29"/>
      <c r="F29"/>
      <c r="G29"/>
      <c r="H29"/>
    </row>
    <row r="30" spans="1:8" x14ac:dyDescent="0.25">
      <c r="A30">
        <v>10</v>
      </c>
      <c r="B30" t="s">
        <v>292</v>
      </c>
      <c r="C30" t="s">
        <v>302</v>
      </c>
      <c r="D30" s="82">
        <v>44283.850740740738</v>
      </c>
      <c r="E30">
        <v>25</v>
      </c>
      <c r="F30">
        <v>-2.74</v>
      </c>
      <c r="G30">
        <v>-0.2147</v>
      </c>
      <c r="H30">
        <v>3.83</v>
      </c>
    </row>
    <row r="31" spans="1:8" x14ac:dyDescent="0.25">
      <c r="A31">
        <v>11</v>
      </c>
      <c r="B31" t="s">
        <v>292</v>
      </c>
      <c r="C31" t="s">
        <v>303</v>
      </c>
      <c r="D31" s="82">
        <v>44283.85355324074</v>
      </c>
      <c r="E31">
        <v>25</v>
      </c>
      <c r="F31">
        <v>-14.2</v>
      </c>
      <c r="G31">
        <v>-1.113</v>
      </c>
      <c r="H31">
        <v>4.99</v>
      </c>
    </row>
    <row r="32" spans="1:8" x14ac:dyDescent="0.25">
      <c r="A32">
        <v>12</v>
      </c>
      <c r="B32" t="s">
        <v>292</v>
      </c>
      <c r="C32" t="s">
        <v>304</v>
      </c>
      <c r="D32" s="82">
        <v>44283.854004629633</v>
      </c>
      <c r="E32">
        <v>25</v>
      </c>
      <c r="F32">
        <v>-27.3</v>
      </c>
      <c r="G32">
        <v>-2.14</v>
      </c>
      <c r="H32">
        <v>5.22</v>
      </c>
    </row>
  </sheetData>
  <mergeCells count="2">
    <mergeCell ref="A1:E1"/>
    <mergeCell ref="J1:N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B41D-2534-4B15-A768-4940F0F0E5A2}">
  <dimension ref="A1:CX106"/>
  <sheetViews>
    <sheetView topLeftCell="BE1" zoomScale="85" zoomScaleNormal="85" workbookViewId="0">
      <selection activeCell="P47" sqref="P47"/>
    </sheetView>
  </sheetViews>
  <sheetFormatPr defaultRowHeight="15" x14ac:dyDescent="0.25"/>
  <cols>
    <col min="1" max="1" width="15.140625" bestFit="1" customWidth="1"/>
    <col min="2" max="2" width="9.5703125" bestFit="1" customWidth="1"/>
    <col min="3" max="3" width="23.7109375" bestFit="1" customWidth="1"/>
    <col min="4" max="4" width="18.85546875" bestFit="1" customWidth="1"/>
    <col min="5" max="5" width="17" bestFit="1" customWidth="1"/>
    <col min="6" max="6" width="22.7109375" bestFit="1" customWidth="1"/>
    <col min="7" max="7" width="16.28515625" bestFit="1" customWidth="1"/>
    <col min="8" max="8" width="15.42578125" bestFit="1" customWidth="1"/>
    <col min="9" max="9" width="14.42578125" bestFit="1" customWidth="1"/>
    <col min="10" max="10" width="16" bestFit="1" customWidth="1"/>
    <col min="11" max="11" width="25.85546875" bestFit="1" customWidth="1"/>
    <col min="12" max="12" width="21.140625" bestFit="1" customWidth="1"/>
    <col min="13" max="13" width="26.42578125" bestFit="1" customWidth="1"/>
    <col min="14" max="14" width="26.140625" bestFit="1" customWidth="1"/>
    <col min="15" max="16" width="35.140625" bestFit="1" customWidth="1"/>
    <col min="17" max="17" width="21.140625" bestFit="1" customWidth="1"/>
    <col min="18" max="18" width="21.42578125" bestFit="1" customWidth="1"/>
    <col min="19" max="19" width="26.140625" bestFit="1" customWidth="1"/>
    <col min="20" max="20" width="24.5703125" bestFit="1" customWidth="1"/>
    <col min="21" max="21" width="26.42578125" bestFit="1" customWidth="1"/>
    <col min="22" max="22" width="41.140625" bestFit="1" customWidth="1"/>
    <col min="23" max="23" width="31" bestFit="1" customWidth="1"/>
    <col min="24" max="24" width="26.85546875" bestFit="1" customWidth="1"/>
    <col min="25" max="25" width="28" bestFit="1" customWidth="1"/>
    <col min="26" max="26" width="26.140625" bestFit="1" customWidth="1"/>
    <col min="27" max="27" width="31" bestFit="1" customWidth="1"/>
    <col min="28" max="28" width="26.85546875" bestFit="1" customWidth="1"/>
    <col min="29" max="29" width="28" bestFit="1" customWidth="1"/>
    <col min="30" max="30" width="38.85546875" bestFit="1" customWidth="1"/>
    <col min="31" max="31" width="25.5703125" bestFit="1" customWidth="1"/>
    <col min="32" max="32" width="17" bestFit="1" customWidth="1"/>
    <col min="33" max="33" width="17.85546875" bestFit="1" customWidth="1"/>
    <col min="35" max="35" width="47.140625" bestFit="1" customWidth="1"/>
    <col min="36" max="37" width="6.85546875" bestFit="1" customWidth="1"/>
    <col min="38" max="43" width="6.140625" bestFit="1" customWidth="1"/>
    <col min="44" max="44" width="4.42578125" customWidth="1"/>
    <col min="45" max="45" width="14.7109375" bestFit="1" customWidth="1"/>
    <col min="46" max="46" width="6.85546875" bestFit="1" customWidth="1"/>
    <col min="47" max="47" width="6.140625" bestFit="1" customWidth="1"/>
    <col min="48" max="48" width="47.140625" bestFit="1" customWidth="1"/>
    <col min="49" max="56" width="16" bestFit="1" customWidth="1"/>
    <col min="57" max="57" width="9.42578125" customWidth="1"/>
    <col min="58" max="58" width="14.7109375" bestFit="1" customWidth="1"/>
    <col min="59" max="59" width="10" bestFit="1" customWidth="1"/>
    <col min="60" max="60" width="5.85546875" bestFit="1" customWidth="1"/>
    <col min="61" max="61" width="78.5703125" style="62" customWidth="1"/>
    <col min="62" max="62" width="16.28515625" bestFit="1" customWidth="1"/>
    <col min="63" max="70" width="9.42578125" bestFit="1" customWidth="1"/>
    <col min="71" max="71" width="14.7109375" bestFit="1" customWidth="1"/>
    <col min="72" max="73" width="9.42578125" bestFit="1" customWidth="1"/>
    <col min="74" max="74" width="17.85546875" bestFit="1" customWidth="1"/>
    <col min="75" max="82" width="15.7109375" bestFit="1" customWidth="1"/>
    <col min="83" max="83" width="14.7109375" bestFit="1" customWidth="1"/>
    <col min="84" max="85" width="9.42578125" bestFit="1" customWidth="1"/>
    <col min="100" max="100" width="13.42578125" bestFit="1" customWidth="1"/>
    <col min="101" max="101" width="23.7109375" bestFit="1" customWidth="1"/>
    <col min="102" max="102" width="6.140625" bestFit="1" customWidth="1"/>
  </cols>
  <sheetData>
    <row r="1" spans="1:102" x14ac:dyDescent="0.25">
      <c r="AI1" s="113" t="s">
        <v>191</v>
      </c>
      <c r="AJ1" s="113"/>
      <c r="AK1" s="113"/>
      <c r="AL1" s="113"/>
      <c r="AM1" s="113"/>
      <c r="AN1" s="113"/>
      <c r="AO1" s="113"/>
      <c r="AP1" s="113"/>
      <c r="AQ1" s="113"/>
      <c r="AR1" s="61"/>
      <c r="AS1" s="61"/>
    </row>
    <row r="2" spans="1:102" x14ac:dyDescent="0.25">
      <c r="A2" s="114" t="s">
        <v>192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63"/>
      <c r="M2" s="114" t="s">
        <v>193</v>
      </c>
      <c r="N2" s="114"/>
      <c r="O2" s="11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I2" s="112" t="s">
        <v>194</v>
      </c>
      <c r="AJ2" s="114" t="s">
        <v>195</v>
      </c>
      <c r="AK2" s="114"/>
      <c r="AL2" s="114"/>
      <c r="AM2" s="114"/>
      <c r="AN2" s="114"/>
      <c r="AO2" s="114"/>
      <c r="AP2" s="114"/>
      <c r="AQ2" s="114"/>
      <c r="AR2" s="64"/>
      <c r="AS2" s="64"/>
      <c r="AV2" s="112" t="s">
        <v>194</v>
      </c>
      <c r="AW2" s="114" t="s">
        <v>195</v>
      </c>
      <c r="AX2" s="114"/>
      <c r="AY2" s="114"/>
      <c r="AZ2" s="114"/>
      <c r="BA2" s="114"/>
      <c r="BB2" s="114"/>
      <c r="BC2" s="114"/>
      <c r="BD2" s="114"/>
      <c r="BE2" s="64"/>
      <c r="BF2" s="64"/>
      <c r="BG2" s="64"/>
      <c r="BH2" s="64"/>
      <c r="BJ2" s="112" t="s">
        <v>196</v>
      </c>
      <c r="BK2" s="114" t="s">
        <v>195</v>
      </c>
      <c r="BL2" s="114"/>
      <c r="BM2" s="114"/>
      <c r="BN2" s="114"/>
      <c r="BO2" s="114"/>
      <c r="BP2" s="114"/>
      <c r="BQ2" s="114"/>
      <c r="BR2" s="114"/>
      <c r="BV2" s="112" t="s">
        <v>196</v>
      </c>
      <c r="BW2" s="114"/>
      <c r="BX2" s="114"/>
      <c r="BY2" s="114"/>
      <c r="BZ2" s="114"/>
      <c r="CA2" s="114"/>
      <c r="CB2" s="114"/>
      <c r="CC2" s="114"/>
      <c r="CD2" s="114"/>
    </row>
    <row r="3" spans="1:102" ht="17.25" x14ac:dyDescent="0.25">
      <c r="A3" s="65" t="s">
        <v>197</v>
      </c>
      <c r="B3" s="65"/>
      <c r="C3" s="65" t="s">
        <v>198</v>
      </c>
      <c r="D3" s="65" t="s">
        <v>199</v>
      </c>
      <c r="E3" s="65" t="s">
        <v>200</v>
      </c>
      <c r="F3" s="65" t="s">
        <v>201</v>
      </c>
      <c r="G3" s="65" t="s">
        <v>202</v>
      </c>
      <c r="H3" s="65" t="s">
        <v>203</v>
      </c>
      <c r="I3" s="65" t="s">
        <v>204</v>
      </c>
      <c r="J3" s="65" t="s">
        <v>205</v>
      </c>
      <c r="K3" s="66" t="s">
        <v>206</v>
      </c>
      <c r="L3" s="66" t="s">
        <v>207</v>
      </c>
      <c r="M3" s="65" t="s">
        <v>208</v>
      </c>
      <c r="N3" s="65" t="s">
        <v>209</v>
      </c>
      <c r="O3" s="65" t="s">
        <v>210</v>
      </c>
      <c r="P3" s="65" t="s">
        <v>210</v>
      </c>
      <c r="Q3" s="65" t="s">
        <v>211</v>
      </c>
      <c r="R3" s="65" t="s">
        <v>212</v>
      </c>
      <c r="S3" s="65" t="s">
        <v>213</v>
      </c>
      <c r="T3" s="65" t="s">
        <v>214</v>
      </c>
      <c r="U3" s="65" t="s">
        <v>215</v>
      </c>
      <c r="V3" s="65" t="s">
        <v>216</v>
      </c>
      <c r="W3" s="65" t="s">
        <v>217</v>
      </c>
      <c r="X3" s="65"/>
      <c r="Y3" s="65" t="s">
        <v>218</v>
      </c>
      <c r="Z3" s="65"/>
      <c r="AA3" s="65" t="s">
        <v>219</v>
      </c>
      <c r="AB3" s="65" t="str">
        <f>L3</f>
        <v>AS density g/ml</v>
      </c>
      <c r="AC3" s="65"/>
      <c r="AD3" s="65"/>
      <c r="AE3" s="65"/>
      <c r="AF3" s="65" t="s">
        <v>220</v>
      </c>
      <c r="AG3" s="65" t="s">
        <v>221</v>
      </c>
      <c r="AI3" s="112"/>
      <c r="AJ3" s="67">
        <v>0.01</v>
      </c>
      <c r="AK3" s="67">
        <v>0.05</v>
      </c>
      <c r="AL3" s="67">
        <v>0.1</v>
      </c>
      <c r="AM3" s="67">
        <v>0.5</v>
      </c>
      <c r="AN3" s="67">
        <v>1</v>
      </c>
      <c r="AO3" s="67">
        <v>2</v>
      </c>
      <c r="AP3" s="67">
        <v>5</v>
      </c>
      <c r="AQ3" s="67">
        <v>10</v>
      </c>
      <c r="AR3" s="20"/>
      <c r="AS3" s="20"/>
      <c r="AV3" s="112"/>
      <c r="AW3" s="29">
        <v>0.01</v>
      </c>
      <c r="AX3" s="29">
        <v>0.05</v>
      </c>
      <c r="AY3" s="29">
        <v>0.1</v>
      </c>
      <c r="AZ3" s="29">
        <v>0.5</v>
      </c>
      <c r="BA3" s="29">
        <v>1</v>
      </c>
      <c r="BB3" s="29">
        <v>2</v>
      </c>
      <c r="BC3" s="29">
        <v>5</v>
      </c>
      <c r="BD3" s="29">
        <v>10</v>
      </c>
      <c r="BE3" s="20"/>
      <c r="BF3" s="20"/>
      <c r="BG3" s="20"/>
      <c r="BH3" s="20"/>
      <c r="BJ3" s="112"/>
      <c r="BK3" s="29">
        <v>0.01</v>
      </c>
      <c r="BL3" s="29">
        <v>0.05</v>
      </c>
      <c r="BM3" s="29">
        <v>0.1</v>
      </c>
      <c r="BN3" s="29">
        <v>0.5</v>
      </c>
      <c r="BO3" s="29">
        <v>1</v>
      </c>
      <c r="BP3" s="29">
        <v>2</v>
      </c>
      <c r="BQ3" s="29">
        <v>5</v>
      </c>
      <c r="BR3" s="29">
        <v>10</v>
      </c>
      <c r="BV3" s="112"/>
      <c r="BW3" s="29">
        <v>0.01</v>
      </c>
      <c r="BX3" s="29">
        <v>0.05</v>
      </c>
      <c r="BY3" s="29">
        <v>0.1</v>
      </c>
      <c r="BZ3" s="29">
        <v>0.5</v>
      </c>
      <c r="CA3" s="29">
        <v>1</v>
      </c>
      <c r="CB3" s="29">
        <v>2</v>
      </c>
      <c r="CC3" s="29">
        <v>5</v>
      </c>
      <c r="CD3" s="29">
        <v>10</v>
      </c>
    </row>
    <row r="4" spans="1:102" ht="15" customHeight="1" x14ac:dyDescent="0.25">
      <c r="A4" s="42">
        <v>0.01</v>
      </c>
      <c r="B4" s="42"/>
      <c r="C4" s="42">
        <v>400</v>
      </c>
      <c r="D4" s="42">
        <v>0.4</v>
      </c>
      <c r="E4" s="42">
        <f>C4/100*A4</f>
        <v>0.04</v>
      </c>
      <c r="F4" s="42">
        <v>58.44</v>
      </c>
      <c r="G4" s="42">
        <f>E4*1000/D4</f>
        <v>100</v>
      </c>
      <c r="H4" s="68">
        <f>E4/F4</f>
        <v>6.8446269678302531E-4</v>
      </c>
      <c r="I4" s="46">
        <f>H4/D4</f>
        <v>1.7111567419575632E-3</v>
      </c>
      <c r="J4" s="17">
        <f t="shared" ref="J4:J11" si="0">I4*10^3</f>
        <v>1.7111567419575633</v>
      </c>
      <c r="K4">
        <v>998.43200000000002</v>
      </c>
      <c r="L4" s="5">
        <f>K4/1000</f>
        <v>0.99843199999999999</v>
      </c>
      <c r="M4" s="42">
        <v>4.9000000000000004</v>
      </c>
      <c r="N4" s="42">
        <v>4.3700000000000003E-2</v>
      </c>
      <c r="O4" s="42">
        <f>N4/10</f>
        <v>4.3700000000000006E-3</v>
      </c>
      <c r="P4" s="42">
        <f>$O$12</f>
        <v>4.4650000000000002E-3</v>
      </c>
      <c r="Q4" s="42"/>
      <c r="R4" s="42"/>
      <c r="S4" s="42">
        <f>P4/10^6</f>
        <v>4.4650000000000006E-9</v>
      </c>
      <c r="T4" s="45">
        <f>((3*S4)/(4*PI()))^(1/3)</f>
        <v>1.0215139095880272E-3</v>
      </c>
      <c r="U4" s="14">
        <f>T4*1000</f>
        <v>1.0215139095880272</v>
      </c>
      <c r="V4" s="43">
        <f>($P$4/1000)*9.81*1000</f>
        <v>4.3801650000000004E-2</v>
      </c>
      <c r="W4" s="14">
        <f>(9.81*M4/10)</f>
        <v>4.8069000000000006</v>
      </c>
      <c r="X4" s="14"/>
      <c r="Y4" s="2">
        <v>72.443900068446297</v>
      </c>
      <c r="Z4" s="2"/>
      <c r="AA4" s="5">
        <f>Y4/10</f>
        <v>7.2443900068446299</v>
      </c>
      <c r="AB4" s="46">
        <f t="shared" ref="AB4:AB24" si="1">L4</f>
        <v>0.99843199999999999</v>
      </c>
      <c r="AC4" s="14"/>
      <c r="AD4" s="14"/>
      <c r="AE4" s="14"/>
      <c r="AF4" s="14"/>
      <c r="AG4" s="14"/>
      <c r="AI4" s="117" t="s">
        <v>222</v>
      </c>
      <c r="AJ4" s="69">
        <v>1.98</v>
      </c>
      <c r="AK4" s="58">
        <v>2</v>
      </c>
      <c r="AL4" s="69">
        <v>1.98</v>
      </c>
      <c r="AM4" s="69">
        <v>2.0499999999999998</v>
      </c>
      <c r="AN4" s="69">
        <v>2.04</v>
      </c>
      <c r="AO4" s="69">
        <v>2.04</v>
      </c>
      <c r="AP4" s="69">
        <v>2.04</v>
      </c>
      <c r="AQ4" s="69">
        <v>1.98</v>
      </c>
      <c r="AV4" s="117" t="s">
        <v>222</v>
      </c>
      <c r="AW4" s="69">
        <v>1.24</v>
      </c>
      <c r="AX4" s="58">
        <v>1.26</v>
      </c>
      <c r="AY4" s="69">
        <v>1.27</v>
      </c>
      <c r="AZ4" s="69">
        <v>1.29</v>
      </c>
      <c r="BA4" s="69">
        <v>1.29</v>
      </c>
      <c r="BB4" s="69">
        <v>1.24</v>
      </c>
      <c r="BC4" s="69">
        <v>1.36</v>
      </c>
      <c r="BD4" s="69">
        <v>1.43</v>
      </c>
      <c r="BE4" s="1"/>
      <c r="BF4" s="1"/>
      <c r="BG4" s="1"/>
      <c r="BH4" s="1"/>
      <c r="BK4" s="69">
        <v>2.34</v>
      </c>
      <c r="BL4" s="58">
        <v>2.2999999999999998</v>
      </c>
      <c r="BM4" s="69">
        <v>2.37</v>
      </c>
      <c r="BN4" s="69">
        <v>2.2999999999999998</v>
      </c>
      <c r="BO4" s="69">
        <v>2.31</v>
      </c>
      <c r="BP4" s="69">
        <v>2.35</v>
      </c>
      <c r="BQ4" s="69">
        <v>2.36</v>
      </c>
      <c r="BR4" s="69">
        <v>2.2999999999999998</v>
      </c>
      <c r="BW4" s="69">
        <v>1.98</v>
      </c>
      <c r="BX4" s="58">
        <v>1.92</v>
      </c>
      <c r="BY4" s="69">
        <v>2.06</v>
      </c>
      <c r="BZ4" s="69">
        <v>2.02</v>
      </c>
      <c r="CA4" s="69">
        <v>1.98</v>
      </c>
      <c r="CB4" s="69">
        <v>1.99</v>
      </c>
      <c r="CC4" s="69">
        <v>2.12</v>
      </c>
      <c r="CD4" s="69">
        <v>1.92</v>
      </c>
      <c r="CV4" s="115" t="s">
        <v>223</v>
      </c>
      <c r="CW4" s="69" t="s">
        <v>224</v>
      </c>
      <c r="CX4" s="69">
        <v>1.1097625</v>
      </c>
    </row>
    <row r="5" spans="1:102" x14ac:dyDescent="0.25">
      <c r="A5" s="42">
        <v>0.05</v>
      </c>
      <c r="B5" s="42"/>
      <c r="C5" s="42">
        <v>400</v>
      </c>
      <c r="D5" s="42">
        <v>0.4</v>
      </c>
      <c r="E5" s="42">
        <f t="shared" ref="E5:E11" si="2">C5/100*A5</f>
        <v>0.2</v>
      </c>
      <c r="F5" s="42">
        <v>58.44</v>
      </c>
      <c r="G5" s="42">
        <f t="shared" ref="G5:G11" si="3">E5*1000/D5</f>
        <v>500</v>
      </c>
      <c r="H5" s="68">
        <f t="shared" ref="H5:H11" si="4">E5/F5</f>
        <v>3.4223134839151269E-3</v>
      </c>
      <c r="I5" s="46">
        <f t="shared" ref="I5:I11" si="5">H5/D5</f>
        <v>8.5557837097878162E-3</v>
      </c>
      <c r="J5" s="15">
        <f t="shared" si="0"/>
        <v>8.555783709787816</v>
      </c>
      <c r="K5">
        <v>998.73800000000006</v>
      </c>
      <c r="L5" s="5">
        <f t="shared" ref="L5:L10" si="6">K5/1000</f>
        <v>0.99873800000000001</v>
      </c>
      <c r="M5" s="42">
        <v>4.9000000000000004</v>
      </c>
      <c r="N5" s="42">
        <v>2.2800000000000001E-2</v>
      </c>
      <c r="O5" s="42">
        <f>N5/5</f>
        <v>4.5599999999999998E-3</v>
      </c>
      <c r="P5" s="42">
        <f t="shared" ref="P5:P11" si="7">$O$12</f>
        <v>4.4650000000000002E-3</v>
      </c>
      <c r="Q5" s="42"/>
      <c r="R5" s="42"/>
      <c r="S5" s="42">
        <f t="shared" ref="S5:S11" si="8">P5/10^6</f>
        <v>4.4650000000000006E-9</v>
      </c>
      <c r="T5" s="45">
        <f t="shared" ref="T5:T11" si="9">((3*S5)/(4*PI()))^(1/3)</f>
        <v>1.0215139095880272E-3</v>
      </c>
      <c r="U5" s="14">
        <f>T5*1000</f>
        <v>1.0215139095880272</v>
      </c>
      <c r="V5" s="43">
        <f t="shared" ref="V5:V11" si="10">($P$4/1000)*9.81*1000</f>
        <v>4.3801650000000004E-2</v>
      </c>
      <c r="W5" s="14">
        <f t="shared" ref="W5:W11" si="11">(9.81*M5/10)</f>
        <v>4.8069000000000006</v>
      </c>
      <c r="X5" s="14"/>
      <c r="Y5" s="2">
        <v>72.455500342231346</v>
      </c>
      <c r="Z5" s="2"/>
      <c r="AA5" s="5">
        <f t="shared" ref="AA5:AA11" si="12">Y5/10</f>
        <v>7.2455500342231343</v>
      </c>
      <c r="AB5" s="46">
        <f t="shared" si="1"/>
        <v>0.99873800000000001</v>
      </c>
      <c r="AC5" s="14"/>
      <c r="AD5" s="14"/>
      <c r="AE5" s="14"/>
      <c r="AF5" s="14"/>
      <c r="AG5" s="14"/>
      <c r="AI5" s="117"/>
      <c r="AJ5" s="69">
        <v>1.92</v>
      </c>
      <c r="AK5" s="58">
        <v>1.92</v>
      </c>
      <c r="AL5" s="69">
        <v>1.85</v>
      </c>
      <c r="AM5" s="69">
        <v>2.09</v>
      </c>
      <c r="AN5" s="69">
        <v>2</v>
      </c>
      <c r="AO5" s="69">
        <v>2</v>
      </c>
      <c r="AP5" s="69">
        <v>2.0099999999999998</v>
      </c>
      <c r="AQ5" s="69">
        <v>1.99</v>
      </c>
      <c r="AV5" s="117"/>
      <c r="AW5" s="69">
        <v>1.23</v>
      </c>
      <c r="AX5" s="58">
        <v>1.35</v>
      </c>
      <c r="AY5" s="69">
        <v>1.26</v>
      </c>
      <c r="AZ5" s="69">
        <v>1.29</v>
      </c>
      <c r="BA5" s="69">
        <v>1.31</v>
      </c>
      <c r="BB5" s="69">
        <v>1.24</v>
      </c>
      <c r="BC5" s="69">
        <v>1.29</v>
      </c>
      <c r="BD5" s="69">
        <v>1.39</v>
      </c>
      <c r="BE5" s="1"/>
      <c r="BF5" s="1"/>
      <c r="BG5" s="1"/>
      <c r="BH5" s="1"/>
      <c r="BK5" s="69">
        <v>2.34</v>
      </c>
      <c r="BL5" s="58">
        <v>2.35</v>
      </c>
      <c r="BM5" s="69">
        <v>2.41</v>
      </c>
      <c r="BN5" s="69">
        <v>2.36</v>
      </c>
      <c r="BO5" s="69">
        <v>2.35</v>
      </c>
      <c r="BP5" s="69">
        <v>2.2999999999999998</v>
      </c>
      <c r="BQ5" s="69">
        <v>2.36</v>
      </c>
      <c r="BR5" s="69">
        <v>2.35</v>
      </c>
      <c r="BW5" s="69">
        <v>2.02</v>
      </c>
      <c r="BX5" s="58">
        <v>1.83</v>
      </c>
      <c r="BY5" s="69">
        <v>1.99</v>
      </c>
      <c r="BZ5" s="69">
        <v>2.0099999999999998</v>
      </c>
      <c r="CA5" s="69">
        <v>2.0299999999999998</v>
      </c>
      <c r="CB5" s="69">
        <v>2.0099999999999998</v>
      </c>
      <c r="CC5" s="69">
        <v>2.11</v>
      </c>
      <c r="CD5" s="69">
        <v>2.11</v>
      </c>
      <c r="CV5" s="115"/>
      <c r="CW5" s="69" t="s">
        <v>225</v>
      </c>
      <c r="CX5" s="69">
        <v>6.8952055210280097E-2</v>
      </c>
    </row>
    <row r="6" spans="1:102" x14ac:dyDescent="0.25">
      <c r="A6" s="42">
        <v>0.1</v>
      </c>
      <c r="B6" s="42"/>
      <c r="C6" s="42">
        <v>400</v>
      </c>
      <c r="D6" s="42">
        <v>0.4</v>
      </c>
      <c r="E6" s="42">
        <f t="shared" si="2"/>
        <v>0.4</v>
      </c>
      <c r="F6" s="42">
        <v>58.44</v>
      </c>
      <c r="G6" s="42">
        <f t="shared" si="3"/>
        <v>1000</v>
      </c>
      <c r="H6" s="68">
        <f t="shared" si="4"/>
        <v>6.8446269678302538E-3</v>
      </c>
      <c r="I6" s="46">
        <f t="shared" si="5"/>
        <v>1.7111567419575632E-2</v>
      </c>
      <c r="J6" s="15">
        <f t="shared" si="0"/>
        <v>17.111567419575632</v>
      </c>
      <c r="K6">
        <v>999.12</v>
      </c>
      <c r="L6" s="5">
        <f t="shared" si="6"/>
        <v>0.99912000000000001</v>
      </c>
      <c r="M6" s="42">
        <v>5.8</v>
      </c>
      <c r="N6" s="42"/>
      <c r="O6" s="42"/>
      <c r="P6" s="42">
        <f t="shared" si="7"/>
        <v>4.4650000000000002E-3</v>
      </c>
      <c r="Q6" s="42"/>
      <c r="R6" s="42"/>
      <c r="S6" s="42">
        <f t="shared" si="8"/>
        <v>4.4650000000000006E-9</v>
      </c>
      <c r="T6" s="45">
        <f>((3*S6)/(4*PI()))^(1/3)</f>
        <v>1.0215139095880272E-3</v>
      </c>
      <c r="U6" s="14">
        <f t="shared" ref="U6:U11" si="13">T6*1000</f>
        <v>1.0215139095880272</v>
      </c>
      <c r="V6" s="43">
        <f t="shared" si="10"/>
        <v>4.3801650000000004E-2</v>
      </c>
      <c r="W6" s="14">
        <f t="shared" si="11"/>
        <v>5.6898</v>
      </c>
      <c r="X6" s="14"/>
      <c r="Y6" s="2">
        <v>72.470000684462704</v>
      </c>
      <c r="Z6" s="2"/>
      <c r="AA6" s="5">
        <f t="shared" si="12"/>
        <v>7.2470000684462708</v>
      </c>
      <c r="AB6" s="46">
        <f t="shared" si="1"/>
        <v>0.99912000000000001</v>
      </c>
      <c r="AC6" s="14"/>
      <c r="AD6" s="14"/>
      <c r="AE6" s="14"/>
      <c r="AF6" s="14"/>
      <c r="AG6" s="14"/>
      <c r="AI6" s="117"/>
      <c r="AJ6" s="69">
        <v>1.97</v>
      </c>
      <c r="AK6" s="58">
        <v>1.89</v>
      </c>
      <c r="AL6" s="69">
        <v>1.94</v>
      </c>
      <c r="AM6" s="69">
        <v>2.02</v>
      </c>
      <c r="AN6" s="69">
        <v>1.99</v>
      </c>
      <c r="AO6" s="69">
        <v>2.02</v>
      </c>
      <c r="AP6" s="69">
        <v>2.1</v>
      </c>
      <c r="AQ6" s="69">
        <v>1.97</v>
      </c>
      <c r="AV6" s="117"/>
      <c r="AW6" s="69">
        <v>1.26</v>
      </c>
      <c r="AX6" s="58">
        <v>1.28</v>
      </c>
      <c r="AY6" s="69">
        <v>1.23</v>
      </c>
      <c r="AZ6" s="69">
        <v>1.22</v>
      </c>
      <c r="BA6" s="69">
        <v>1.3</v>
      </c>
      <c r="BB6" s="69">
        <v>1.28</v>
      </c>
      <c r="BC6" s="69">
        <v>1.44</v>
      </c>
      <c r="BD6" s="69">
        <v>1.45</v>
      </c>
      <c r="BE6" s="1"/>
      <c r="BF6" s="1"/>
      <c r="BG6" s="1"/>
      <c r="BH6" s="1"/>
      <c r="BK6" s="69">
        <v>2.3199999999999998</v>
      </c>
      <c r="BL6" s="58">
        <v>2.37</v>
      </c>
      <c r="BM6" s="69">
        <v>2.34</v>
      </c>
      <c r="BN6" s="69">
        <v>2.2999999999999998</v>
      </c>
      <c r="BO6" s="69">
        <v>2.33</v>
      </c>
      <c r="BP6" s="69">
        <v>2.37</v>
      </c>
      <c r="BQ6" s="69">
        <v>2.37</v>
      </c>
      <c r="BR6" s="69">
        <v>2.25</v>
      </c>
      <c r="BW6" s="69">
        <v>1.94</v>
      </c>
      <c r="BX6" s="58">
        <v>1.95</v>
      </c>
      <c r="BY6" s="69">
        <v>2.02</v>
      </c>
      <c r="BZ6" s="69">
        <v>2.0299999999999998</v>
      </c>
      <c r="CA6" s="69">
        <v>2.0499999999999998</v>
      </c>
      <c r="CB6" s="69">
        <v>1.96</v>
      </c>
      <c r="CC6" s="69">
        <v>2.13</v>
      </c>
      <c r="CD6" s="69">
        <v>2.09</v>
      </c>
      <c r="CV6" s="115"/>
      <c r="CW6" s="69" t="s">
        <v>226</v>
      </c>
      <c r="CX6" s="69">
        <f>CX5/CX4*100</f>
        <v>6.2132262723132294</v>
      </c>
    </row>
    <row r="7" spans="1:102" x14ac:dyDescent="0.25">
      <c r="A7" s="42">
        <v>0.5</v>
      </c>
      <c r="B7" s="42"/>
      <c r="C7" s="42">
        <v>400</v>
      </c>
      <c r="D7" s="42">
        <v>0.4</v>
      </c>
      <c r="E7" s="42">
        <f t="shared" si="2"/>
        <v>2</v>
      </c>
      <c r="F7" s="42">
        <v>58.44</v>
      </c>
      <c r="G7" s="42">
        <f t="shared" si="3"/>
        <v>5000</v>
      </c>
      <c r="H7" s="68">
        <f t="shared" si="4"/>
        <v>3.4223134839151265E-2</v>
      </c>
      <c r="I7" s="46">
        <f t="shared" si="5"/>
        <v>8.5557837097878162E-2</v>
      </c>
      <c r="J7" s="15">
        <f t="shared" si="0"/>
        <v>85.557837097878163</v>
      </c>
      <c r="K7">
        <v>1002.162</v>
      </c>
      <c r="L7" s="5">
        <f t="shared" si="6"/>
        <v>1.002162</v>
      </c>
      <c r="M7" s="42">
        <v>5.4</v>
      </c>
      <c r="N7" s="42"/>
      <c r="O7" s="42"/>
      <c r="P7" s="42">
        <f t="shared" si="7"/>
        <v>4.4650000000000002E-3</v>
      </c>
      <c r="Q7" s="42"/>
      <c r="R7" s="42"/>
      <c r="S7" s="42">
        <f t="shared" si="8"/>
        <v>4.4650000000000006E-9</v>
      </c>
      <c r="T7" s="45">
        <f t="shared" si="9"/>
        <v>1.0215139095880272E-3</v>
      </c>
      <c r="U7" s="14">
        <f t="shared" si="13"/>
        <v>1.0215139095880272</v>
      </c>
      <c r="V7" s="43">
        <f t="shared" si="10"/>
        <v>4.3801650000000004E-2</v>
      </c>
      <c r="W7" s="14">
        <f t="shared" si="11"/>
        <v>5.2974000000000006</v>
      </c>
      <c r="X7" s="14"/>
      <c r="Y7" s="2">
        <v>72.586003422313482</v>
      </c>
      <c r="Z7" s="2"/>
      <c r="AA7" s="5">
        <f t="shared" si="12"/>
        <v>7.2586003422313485</v>
      </c>
      <c r="AB7" s="46">
        <f t="shared" si="1"/>
        <v>1.002162</v>
      </c>
      <c r="AC7" s="14"/>
      <c r="AD7" s="14"/>
      <c r="AE7" s="14"/>
      <c r="AF7" s="14"/>
      <c r="AG7" s="14"/>
      <c r="AI7" s="117"/>
      <c r="AJ7" s="69">
        <v>2.02</v>
      </c>
      <c r="AK7" s="58">
        <v>1.89</v>
      </c>
      <c r="AL7" s="69">
        <v>2</v>
      </c>
      <c r="AM7" s="69">
        <v>2</v>
      </c>
      <c r="AN7" s="69">
        <v>2.0499999999999998</v>
      </c>
      <c r="AO7" s="69">
        <v>2.02</v>
      </c>
      <c r="AP7" s="69">
        <v>1.96</v>
      </c>
      <c r="AQ7" s="69">
        <v>2.02</v>
      </c>
      <c r="AV7" s="117"/>
      <c r="AW7" s="69">
        <v>1.1499999999999999</v>
      </c>
      <c r="AX7" s="58">
        <v>1.3</v>
      </c>
      <c r="AY7" s="69">
        <v>1.27</v>
      </c>
      <c r="AZ7" s="69">
        <v>1.35</v>
      </c>
      <c r="BA7" s="69">
        <v>1.27</v>
      </c>
      <c r="BB7" s="69">
        <v>1.38</v>
      </c>
      <c r="BC7" s="69">
        <v>1.35</v>
      </c>
      <c r="BD7" s="69">
        <v>1.27</v>
      </c>
      <c r="BE7" s="1"/>
      <c r="BF7" s="1"/>
      <c r="BG7" s="1"/>
      <c r="BH7" s="1"/>
      <c r="BK7" s="69">
        <v>2.35</v>
      </c>
      <c r="BL7" s="58">
        <v>2.29</v>
      </c>
      <c r="BM7" s="69">
        <v>2.36</v>
      </c>
      <c r="BN7" s="69">
        <v>2.33</v>
      </c>
      <c r="BO7" s="69">
        <v>2.38</v>
      </c>
      <c r="BP7" s="69">
        <v>2.33</v>
      </c>
      <c r="BQ7" s="69">
        <v>2.2999999999999998</v>
      </c>
      <c r="BR7" s="69">
        <v>2.31</v>
      </c>
      <c r="BW7" s="69">
        <v>1.98</v>
      </c>
      <c r="BX7" s="58">
        <v>2</v>
      </c>
      <c r="BY7" s="69">
        <v>2</v>
      </c>
      <c r="BZ7" s="69">
        <v>2.0499999999999998</v>
      </c>
      <c r="CA7" s="69">
        <v>2</v>
      </c>
      <c r="CB7" s="69">
        <v>2.12</v>
      </c>
      <c r="CC7" s="69">
        <v>2.12</v>
      </c>
      <c r="CD7" s="69">
        <v>2.1</v>
      </c>
    </row>
    <row r="8" spans="1:102" x14ac:dyDescent="0.25">
      <c r="A8" s="42">
        <v>1</v>
      </c>
      <c r="B8" s="42"/>
      <c r="C8" s="42">
        <v>400</v>
      </c>
      <c r="D8" s="42">
        <v>0.4</v>
      </c>
      <c r="E8" s="42">
        <f t="shared" si="2"/>
        <v>4</v>
      </c>
      <c r="F8" s="42">
        <v>58.44</v>
      </c>
      <c r="G8" s="42">
        <f t="shared" si="3"/>
        <v>10000</v>
      </c>
      <c r="H8" s="68">
        <f t="shared" si="4"/>
        <v>6.8446269678302529E-2</v>
      </c>
      <c r="I8" s="46">
        <f t="shared" si="5"/>
        <v>0.17111567419575632</v>
      </c>
      <c r="J8" s="15">
        <f t="shared" si="0"/>
        <v>171.11567419575633</v>
      </c>
      <c r="K8">
        <v>1005.952</v>
      </c>
      <c r="L8" s="5">
        <f t="shared" si="6"/>
        <v>1.005952</v>
      </c>
      <c r="M8" s="42">
        <v>5.2</v>
      </c>
      <c r="N8" s="42"/>
      <c r="O8" s="42"/>
      <c r="P8" s="42">
        <f t="shared" si="7"/>
        <v>4.4650000000000002E-3</v>
      </c>
      <c r="Q8" s="42"/>
      <c r="R8" s="42"/>
      <c r="S8" s="42">
        <f t="shared" si="8"/>
        <v>4.4650000000000006E-9</v>
      </c>
      <c r="T8" s="45">
        <f t="shared" si="9"/>
        <v>1.0215139095880272E-3</v>
      </c>
      <c r="U8" s="14">
        <f t="shared" si="13"/>
        <v>1.0215139095880272</v>
      </c>
      <c r="V8" s="43">
        <f t="shared" si="10"/>
        <v>4.3801650000000004E-2</v>
      </c>
      <c r="W8" s="14">
        <f t="shared" si="11"/>
        <v>5.1012000000000004</v>
      </c>
      <c r="X8" s="14"/>
      <c r="Y8" s="2">
        <v>72.731006844626975</v>
      </c>
      <c r="Z8" s="2"/>
      <c r="AA8" s="5">
        <f t="shared" si="12"/>
        <v>7.2731006844626975</v>
      </c>
      <c r="AB8" s="46">
        <f t="shared" si="1"/>
        <v>1.005952</v>
      </c>
      <c r="AC8" s="14"/>
      <c r="AD8" s="14"/>
      <c r="AE8" s="14"/>
      <c r="AF8" s="14"/>
      <c r="AG8" s="14"/>
      <c r="AI8" s="117"/>
      <c r="AJ8" s="69">
        <v>2</v>
      </c>
      <c r="AK8" s="58">
        <v>1.98</v>
      </c>
      <c r="AL8" s="69">
        <v>1.9</v>
      </c>
      <c r="AM8" s="69">
        <v>1.89</v>
      </c>
      <c r="AN8" s="69">
        <v>2.0299999999999998</v>
      </c>
      <c r="AO8" s="69">
        <v>2.06</v>
      </c>
      <c r="AP8" s="69">
        <v>2.0299999999999998</v>
      </c>
      <c r="AQ8" s="69">
        <v>2.0099999999999998</v>
      </c>
      <c r="AV8" s="117"/>
      <c r="AW8" s="69">
        <v>1.19</v>
      </c>
      <c r="AX8" s="58">
        <v>1.27</v>
      </c>
      <c r="AY8" s="69">
        <v>1.3</v>
      </c>
      <c r="AZ8" s="69">
        <v>1.37</v>
      </c>
      <c r="BA8" s="69">
        <v>1.33</v>
      </c>
      <c r="BB8" s="69">
        <v>1.3</v>
      </c>
      <c r="BC8" s="69">
        <v>1.27</v>
      </c>
      <c r="BD8" s="69">
        <v>1.31</v>
      </c>
      <c r="BE8" s="1"/>
      <c r="BF8" s="1"/>
      <c r="BG8" s="1"/>
      <c r="BH8" s="1"/>
      <c r="BK8" s="69">
        <v>2.33</v>
      </c>
      <c r="BL8" s="58">
        <v>2.2799999999999998</v>
      </c>
      <c r="BM8" s="69">
        <v>2.31</v>
      </c>
      <c r="BN8" s="69">
        <v>2.35</v>
      </c>
      <c r="BO8" s="69">
        <v>2.35</v>
      </c>
      <c r="BP8" s="69">
        <v>2.38</v>
      </c>
      <c r="BQ8" s="69">
        <v>2.33</v>
      </c>
      <c r="BR8" s="69">
        <v>2.3199999999999998</v>
      </c>
      <c r="BW8" s="69">
        <v>2.02</v>
      </c>
      <c r="BX8" s="58">
        <v>1.96</v>
      </c>
      <c r="BY8" s="69">
        <v>1.99</v>
      </c>
      <c r="BZ8" s="69">
        <v>2.06</v>
      </c>
      <c r="CA8" s="69">
        <v>2.0099999999999998</v>
      </c>
      <c r="CB8" s="69">
        <v>2.09</v>
      </c>
      <c r="CC8" s="69">
        <v>2.09</v>
      </c>
      <c r="CD8" s="69">
        <v>2.14</v>
      </c>
      <c r="CV8" s="115" t="s">
        <v>194</v>
      </c>
      <c r="CW8" s="69" t="s">
        <v>224</v>
      </c>
      <c r="CX8" s="69">
        <v>1.2885000000000006</v>
      </c>
    </row>
    <row r="9" spans="1:102" x14ac:dyDescent="0.25">
      <c r="A9" s="42">
        <v>2</v>
      </c>
      <c r="B9" s="42"/>
      <c r="C9" s="42">
        <v>400</v>
      </c>
      <c r="D9" s="42">
        <v>0.4</v>
      </c>
      <c r="E9" s="42">
        <f t="shared" si="2"/>
        <v>8</v>
      </c>
      <c r="F9" s="42">
        <v>58.44</v>
      </c>
      <c r="G9" s="42">
        <f t="shared" si="3"/>
        <v>20000</v>
      </c>
      <c r="H9" s="68">
        <f t="shared" si="4"/>
        <v>0.13689253935660506</v>
      </c>
      <c r="I9" s="46">
        <f t="shared" si="5"/>
        <v>0.34223134839151265</v>
      </c>
      <c r="J9" s="15">
        <f t="shared" si="0"/>
        <v>342.23134839151265</v>
      </c>
      <c r="K9">
        <v>1013.532</v>
      </c>
      <c r="L9" s="5">
        <f t="shared" si="6"/>
        <v>1.0135320000000001</v>
      </c>
      <c r="M9" s="42">
        <v>5.8</v>
      </c>
      <c r="N9" s="42"/>
      <c r="O9" s="42"/>
      <c r="P9" s="42">
        <f t="shared" si="7"/>
        <v>4.4650000000000002E-3</v>
      </c>
      <c r="Q9" s="42"/>
      <c r="R9" s="42"/>
      <c r="S9" s="42">
        <f t="shared" si="8"/>
        <v>4.4650000000000006E-9</v>
      </c>
      <c r="T9" s="45">
        <f t="shared" si="9"/>
        <v>1.0215139095880272E-3</v>
      </c>
      <c r="U9" s="14">
        <f t="shared" si="13"/>
        <v>1.0215139095880272</v>
      </c>
      <c r="V9" s="43">
        <f t="shared" si="10"/>
        <v>4.3801650000000004E-2</v>
      </c>
      <c r="W9" s="14">
        <f t="shared" si="11"/>
        <v>5.6898</v>
      </c>
      <c r="X9" s="14"/>
      <c r="Y9" s="2">
        <v>73.021013689253934</v>
      </c>
      <c r="Z9" s="2"/>
      <c r="AA9" s="5">
        <f t="shared" si="12"/>
        <v>7.3021013689253937</v>
      </c>
      <c r="AB9" s="46">
        <f t="shared" si="1"/>
        <v>1.0135320000000001</v>
      </c>
      <c r="AC9" s="14"/>
      <c r="AD9" s="14"/>
      <c r="AE9" s="14"/>
      <c r="AF9" s="14"/>
      <c r="AG9" s="14"/>
      <c r="AI9" s="117"/>
      <c r="AJ9" s="69">
        <v>1.87</v>
      </c>
      <c r="AK9" s="58">
        <v>2.02</v>
      </c>
      <c r="AL9" s="69">
        <v>1.98</v>
      </c>
      <c r="AM9" s="69">
        <v>1.97</v>
      </c>
      <c r="AN9" s="69">
        <v>2.0299999999999998</v>
      </c>
      <c r="AO9" s="69">
        <v>2.0099999999999998</v>
      </c>
      <c r="AP9" s="69">
        <v>2</v>
      </c>
      <c r="AQ9" s="69">
        <v>1.95</v>
      </c>
      <c r="AV9" s="117"/>
      <c r="AW9" s="69">
        <v>1.2</v>
      </c>
      <c r="AX9" s="58">
        <v>1.29</v>
      </c>
      <c r="AY9" s="69">
        <v>1.39</v>
      </c>
      <c r="AZ9" s="69">
        <v>1.17</v>
      </c>
      <c r="BA9" s="69">
        <v>1.35</v>
      </c>
      <c r="BB9" s="69">
        <v>1.26</v>
      </c>
      <c r="BC9" s="69">
        <v>1.26</v>
      </c>
      <c r="BD9" s="69">
        <v>1.3</v>
      </c>
      <c r="BE9" s="1"/>
      <c r="BF9" s="70">
        <f>1.12/2</f>
        <v>0.56000000000000005</v>
      </c>
      <c r="BG9" s="1"/>
      <c r="BH9" s="1"/>
      <c r="BK9" s="69">
        <v>2.42</v>
      </c>
      <c r="BL9" s="58">
        <v>2.33</v>
      </c>
      <c r="BM9" s="69">
        <v>2.36</v>
      </c>
      <c r="BN9" s="69">
        <v>2.36</v>
      </c>
      <c r="BO9" s="69">
        <v>2.42</v>
      </c>
      <c r="BP9" s="69">
        <v>2.35</v>
      </c>
      <c r="BQ9" s="69">
        <v>2.33</v>
      </c>
      <c r="BR9" s="69">
        <v>2.36</v>
      </c>
      <c r="BW9" s="69">
        <v>1.95</v>
      </c>
      <c r="BX9" s="58">
        <v>1.94</v>
      </c>
      <c r="BY9" s="69">
        <v>2</v>
      </c>
      <c r="BZ9" s="69">
        <v>2.0699999999999998</v>
      </c>
      <c r="CA9" s="69">
        <v>1.97</v>
      </c>
      <c r="CB9" s="69">
        <v>2.0299999999999998</v>
      </c>
      <c r="CC9" s="69">
        <v>2.06</v>
      </c>
      <c r="CD9" s="69">
        <v>2.16</v>
      </c>
      <c r="CV9" s="115"/>
      <c r="CW9" s="69" t="s">
        <v>225</v>
      </c>
      <c r="CX9" s="69">
        <v>6.8308681361647514E-2</v>
      </c>
    </row>
    <row r="10" spans="1:102" x14ac:dyDescent="0.25">
      <c r="A10" s="42">
        <v>5</v>
      </c>
      <c r="B10" s="42"/>
      <c r="C10" s="42">
        <v>400</v>
      </c>
      <c r="D10" s="42">
        <v>0.4</v>
      </c>
      <c r="E10" s="42">
        <f t="shared" si="2"/>
        <v>20</v>
      </c>
      <c r="F10" s="42">
        <v>58.44</v>
      </c>
      <c r="G10" s="42">
        <f t="shared" si="3"/>
        <v>50000</v>
      </c>
      <c r="H10" s="68">
        <f t="shared" si="4"/>
        <v>0.3422313483915127</v>
      </c>
      <c r="I10" s="46">
        <f t="shared" si="5"/>
        <v>0.85557837097878175</v>
      </c>
      <c r="J10" s="15">
        <f t="shared" si="0"/>
        <v>855.57837097878178</v>
      </c>
      <c r="K10">
        <v>1036.454</v>
      </c>
      <c r="L10" s="5">
        <f t="shared" si="6"/>
        <v>1.036454</v>
      </c>
      <c r="M10" s="42">
        <v>5.4</v>
      </c>
      <c r="N10" s="42"/>
      <c r="O10" s="42"/>
      <c r="P10" s="42">
        <f t="shared" si="7"/>
        <v>4.4650000000000002E-3</v>
      </c>
      <c r="Q10" s="42"/>
      <c r="R10" s="42"/>
      <c r="S10" s="42">
        <f t="shared" si="8"/>
        <v>4.4650000000000006E-9</v>
      </c>
      <c r="T10" s="45">
        <f t="shared" si="9"/>
        <v>1.0215139095880272E-3</v>
      </c>
      <c r="U10" s="14">
        <f t="shared" si="13"/>
        <v>1.0215139095880272</v>
      </c>
      <c r="V10" s="43">
        <f t="shared" si="10"/>
        <v>4.3801650000000004E-2</v>
      </c>
      <c r="W10" s="14">
        <f t="shared" si="11"/>
        <v>5.2974000000000006</v>
      </c>
      <c r="X10" s="14"/>
      <c r="Y10" s="2">
        <v>73.891034223134838</v>
      </c>
      <c r="Z10" s="2"/>
      <c r="AA10" s="5">
        <f t="shared" si="12"/>
        <v>7.3891034223134842</v>
      </c>
      <c r="AB10" s="46">
        <f t="shared" si="1"/>
        <v>1.036454</v>
      </c>
      <c r="AC10" s="14"/>
      <c r="AD10" s="14"/>
      <c r="AE10" s="14"/>
      <c r="AF10" s="14"/>
      <c r="AG10" s="14"/>
      <c r="AI10" s="117"/>
      <c r="AJ10" s="69">
        <v>1.91</v>
      </c>
      <c r="AK10" s="58">
        <v>1.95</v>
      </c>
      <c r="AL10" s="69">
        <v>2.0099999999999998</v>
      </c>
      <c r="AM10" s="69">
        <v>2.02</v>
      </c>
      <c r="AN10" s="69">
        <v>2.02</v>
      </c>
      <c r="AO10" s="69">
        <v>2.02</v>
      </c>
      <c r="AP10" s="69">
        <v>2.0099999999999998</v>
      </c>
      <c r="AQ10" s="69">
        <v>1.97</v>
      </c>
      <c r="AV10" s="117"/>
      <c r="AW10" s="69">
        <v>1.19</v>
      </c>
      <c r="AX10" s="58">
        <v>1.23</v>
      </c>
      <c r="AY10" s="69">
        <v>1.29</v>
      </c>
      <c r="AZ10" s="69">
        <v>1.18</v>
      </c>
      <c r="BA10" s="69">
        <v>1.3</v>
      </c>
      <c r="BB10" s="69">
        <v>1.34</v>
      </c>
      <c r="BC10" s="69">
        <v>1.25</v>
      </c>
      <c r="BD10" s="69">
        <v>1.36</v>
      </c>
      <c r="BE10" s="1"/>
      <c r="BF10" s="70">
        <f>BF9/1000</f>
        <v>5.6000000000000006E-4</v>
      </c>
      <c r="BG10" s="1"/>
      <c r="BH10" s="1"/>
      <c r="BK10" s="69">
        <v>2.3199999999999998</v>
      </c>
      <c r="BL10" s="58">
        <v>2.37</v>
      </c>
      <c r="BM10" s="69">
        <v>2.36</v>
      </c>
      <c r="BN10" s="69">
        <v>2.34</v>
      </c>
      <c r="BO10" s="69">
        <v>2.2999999999999998</v>
      </c>
      <c r="BP10" s="69">
        <v>2.35</v>
      </c>
      <c r="BQ10" s="69">
        <v>2.36</v>
      </c>
      <c r="BR10" s="69">
        <v>2.2999999999999998</v>
      </c>
      <c r="BW10" s="69">
        <v>1.92</v>
      </c>
      <c r="BX10" s="58">
        <v>1.93</v>
      </c>
      <c r="BY10" s="69">
        <v>2.0499999999999998</v>
      </c>
      <c r="BZ10" s="69">
        <v>2.0099999999999998</v>
      </c>
      <c r="CA10" s="69">
        <v>1.98</v>
      </c>
      <c r="CB10" s="69">
        <v>2.1</v>
      </c>
      <c r="CC10" s="69">
        <v>2.12</v>
      </c>
      <c r="CD10" s="69">
        <v>2.11</v>
      </c>
      <c r="CV10" s="115"/>
      <c r="CW10" s="69" t="s">
        <v>226</v>
      </c>
      <c r="CX10" s="69">
        <f>CX9/CX8*100</f>
        <v>5.3014110486338755</v>
      </c>
    </row>
    <row r="11" spans="1:102" x14ac:dyDescent="0.25">
      <c r="A11" s="42">
        <v>10</v>
      </c>
      <c r="B11" s="42"/>
      <c r="C11" s="42">
        <v>400</v>
      </c>
      <c r="D11" s="42">
        <v>0.4</v>
      </c>
      <c r="E11" s="42">
        <f t="shared" si="2"/>
        <v>40</v>
      </c>
      <c r="F11" s="42">
        <v>58.44</v>
      </c>
      <c r="G11" s="42">
        <f t="shared" si="3"/>
        <v>100000</v>
      </c>
      <c r="H11" s="68">
        <f t="shared" si="4"/>
        <v>0.6844626967830254</v>
      </c>
      <c r="I11" s="46">
        <f t="shared" si="5"/>
        <v>1.7111567419575635</v>
      </c>
      <c r="J11" s="15">
        <f t="shared" si="0"/>
        <v>1711.1567419575636</v>
      </c>
      <c r="K11">
        <v>1075.69</v>
      </c>
      <c r="L11" s="5">
        <f>K11/1000</f>
        <v>1.07569</v>
      </c>
      <c r="M11" s="42"/>
      <c r="N11" s="42"/>
      <c r="O11" s="42"/>
      <c r="P11" s="42">
        <f t="shared" si="7"/>
        <v>4.4650000000000002E-3</v>
      </c>
      <c r="Q11" s="42"/>
      <c r="R11" s="42"/>
      <c r="S11" s="42">
        <f t="shared" si="8"/>
        <v>4.4650000000000006E-9</v>
      </c>
      <c r="T11" s="45">
        <f t="shared" si="9"/>
        <v>1.0215139095880272E-3</v>
      </c>
      <c r="U11" s="14">
        <f t="shared" si="13"/>
        <v>1.0215139095880272</v>
      </c>
      <c r="V11" s="43">
        <f t="shared" si="10"/>
        <v>4.3801650000000004E-2</v>
      </c>
      <c r="W11" s="14">
        <f t="shared" si="11"/>
        <v>0</v>
      </c>
      <c r="X11" s="14"/>
      <c r="Y11" s="2">
        <v>75.341068446269688</v>
      </c>
      <c r="Z11" s="2"/>
      <c r="AA11" s="5">
        <f t="shared" si="12"/>
        <v>7.5341068446269688</v>
      </c>
      <c r="AB11" s="46">
        <f t="shared" si="1"/>
        <v>1.07569</v>
      </c>
      <c r="AC11" s="14"/>
      <c r="AD11" s="14"/>
      <c r="AE11" s="14"/>
      <c r="AF11" s="14"/>
      <c r="AG11" s="14"/>
      <c r="AI11" s="117"/>
      <c r="AJ11" s="69">
        <v>2</v>
      </c>
      <c r="AK11" s="58">
        <v>2.02</v>
      </c>
      <c r="AL11" s="69">
        <v>1.94</v>
      </c>
      <c r="AM11" s="69">
        <v>2.0099999999999998</v>
      </c>
      <c r="AN11" s="69">
        <v>2.0499999999999998</v>
      </c>
      <c r="AO11" s="69">
        <v>2.04</v>
      </c>
      <c r="AP11" s="69">
        <v>2.0299999999999998</v>
      </c>
      <c r="AQ11" s="69">
        <v>1.99</v>
      </c>
      <c r="AV11" s="117"/>
      <c r="AW11" s="69">
        <v>1.27</v>
      </c>
      <c r="AX11" s="58">
        <v>1.19</v>
      </c>
      <c r="AY11" s="69">
        <v>1.19</v>
      </c>
      <c r="AZ11" s="69">
        <v>1.3</v>
      </c>
      <c r="BA11" s="69">
        <v>1.26</v>
      </c>
      <c r="BB11" s="69">
        <v>1.29</v>
      </c>
      <c r="BC11" s="69">
        <v>1.31</v>
      </c>
      <c r="BD11" s="69">
        <v>1.43</v>
      </c>
      <c r="BE11" s="1"/>
      <c r="BF11" s="1"/>
      <c r="BG11" s="1"/>
      <c r="BH11" s="1"/>
      <c r="BK11" s="69">
        <v>2.3199999999999998</v>
      </c>
      <c r="BL11" s="58">
        <v>2.4</v>
      </c>
      <c r="BM11" s="69">
        <v>2.36</v>
      </c>
      <c r="BN11" s="69">
        <v>2.36</v>
      </c>
      <c r="BO11" s="69">
        <v>2.36</v>
      </c>
      <c r="BP11" s="69">
        <v>2.36</v>
      </c>
      <c r="BQ11" s="69">
        <v>2.383</v>
      </c>
      <c r="BR11" s="69">
        <v>2.29</v>
      </c>
      <c r="BW11" s="69">
        <v>1.89</v>
      </c>
      <c r="BX11" s="58">
        <v>1.95</v>
      </c>
      <c r="BY11" s="69">
        <v>1.8</v>
      </c>
      <c r="BZ11" s="69">
        <v>1.93</v>
      </c>
      <c r="CA11" s="69">
        <v>1.97</v>
      </c>
      <c r="CB11" s="69">
        <v>2.08</v>
      </c>
      <c r="CC11" s="69">
        <v>2.12</v>
      </c>
      <c r="CD11" s="69">
        <v>2.11</v>
      </c>
    </row>
    <row r="12" spans="1:102" x14ac:dyDescent="0.25">
      <c r="M12" s="42"/>
      <c r="N12" s="42"/>
      <c r="O12" s="42">
        <f>AVERAGE(O4:O11)</f>
        <v>4.4650000000000002E-3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8"/>
      <c r="AC12" s="42"/>
      <c r="AD12" s="42"/>
      <c r="AE12" s="42"/>
      <c r="AF12" s="42"/>
      <c r="AG12" s="42"/>
      <c r="AI12" s="117"/>
      <c r="AJ12" s="69">
        <v>1.99</v>
      </c>
      <c r="AK12" s="58">
        <v>1.94</v>
      </c>
      <c r="AL12" s="69">
        <v>2.02</v>
      </c>
      <c r="AM12" s="69">
        <v>2.0299999999999998</v>
      </c>
      <c r="AN12" s="69">
        <v>1.97</v>
      </c>
      <c r="AO12" s="69">
        <v>2.02</v>
      </c>
      <c r="AP12" s="69">
        <v>1.93</v>
      </c>
      <c r="AQ12" s="69">
        <v>2.0099999999999998</v>
      </c>
      <c r="AV12" s="117"/>
      <c r="AW12" s="69">
        <v>1.34</v>
      </c>
      <c r="AX12" s="58">
        <v>1.23</v>
      </c>
      <c r="AY12" s="69">
        <v>1.31</v>
      </c>
      <c r="AZ12" s="69">
        <v>1.34</v>
      </c>
      <c r="BA12" s="69">
        <v>1.26</v>
      </c>
      <c r="BB12" s="69">
        <v>1.34</v>
      </c>
      <c r="BC12" s="69">
        <v>1.34</v>
      </c>
      <c r="BD12" s="69">
        <v>1.32</v>
      </c>
      <c r="BE12" s="1"/>
      <c r="BF12" s="1"/>
      <c r="BG12" s="1"/>
      <c r="BH12" s="1"/>
      <c r="BK12" s="69">
        <v>2.31</v>
      </c>
      <c r="BL12" s="58">
        <v>2.33</v>
      </c>
      <c r="BM12" s="69">
        <v>2.36</v>
      </c>
      <c r="BN12" s="69">
        <v>2.2799999999999998</v>
      </c>
      <c r="BO12" s="69">
        <v>2.36</v>
      </c>
      <c r="BP12" s="69">
        <v>2.35</v>
      </c>
      <c r="BQ12" s="69">
        <v>2.36</v>
      </c>
      <c r="BR12" s="69">
        <v>2.31</v>
      </c>
      <c r="BW12" s="69">
        <v>2.02</v>
      </c>
      <c r="BX12" s="58">
        <v>2.0099999999999998</v>
      </c>
      <c r="BY12" s="69">
        <v>2.0099999999999998</v>
      </c>
      <c r="BZ12" s="69">
        <v>2.0499999999999998</v>
      </c>
      <c r="CA12" s="69">
        <v>2.0299999999999998</v>
      </c>
      <c r="CB12" s="69">
        <v>2.08</v>
      </c>
      <c r="CC12" s="69">
        <v>2.08</v>
      </c>
      <c r="CD12" s="69">
        <v>2.11</v>
      </c>
      <c r="CV12" s="115" t="s">
        <v>196</v>
      </c>
      <c r="CW12" s="69" t="s">
        <v>227</v>
      </c>
      <c r="CX12" s="69">
        <v>2.0257500000000013</v>
      </c>
    </row>
    <row r="13" spans="1:102" x14ac:dyDescent="0.25">
      <c r="M13" s="42"/>
      <c r="N13" s="42"/>
      <c r="O13" s="44">
        <f>STDEV(O4:O11)</f>
        <v>1.3435028842544345E-4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8"/>
      <c r="AC13" s="44"/>
      <c r="AD13" s="44"/>
      <c r="AE13" s="44"/>
      <c r="AF13" s="44"/>
      <c r="AG13" s="44"/>
      <c r="AI13" s="117"/>
      <c r="AJ13" s="69">
        <v>1.89</v>
      </c>
      <c r="AK13" s="58">
        <v>1.98</v>
      </c>
      <c r="AL13" s="69">
        <v>1.9</v>
      </c>
      <c r="AM13" s="69">
        <v>2.04</v>
      </c>
      <c r="AN13" s="69">
        <v>2.0299999999999998</v>
      </c>
      <c r="AO13" s="69">
        <v>2.0099999999999998</v>
      </c>
      <c r="AP13" s="69">
        <v>2</v>
      </c>
      <c r="AQ13" s="69">
        <v>1.99</v>
      </c>
      <c r="AV13" s="117"/>
      <c r="AW13" s="69">
        <v>1.1599999999999999</v>
      </c>
      <c r="AX13" s="58">
        <v>1.19</v>
      </c>
      <c r="AY13" s="69">
        <v>1.2</v>
      </c>
      <c r="AZ13" s="69">
        <v>1.19</v>
      </c>
      <c r="BA13" s="69">
        <v>1.28</v>
      </c>
      <c r="BB13" s="69">
        <v>1.31</v>
      </c>
      <c r="BC13" s="69">
        <v>1.34</v>
      </c>
      <c r="BD13" s="69">
        <v>1.45</v>
      </c>
      <c r="BE13" s="1"/>
      <c r="BF13" s="1"/>
      <c r="BG13" s="1"/>
      <c r="BH13" s="1"/>
      <c r="BK13" s="69">
        <v>2.34</v>
      </c>
      <c r="BL13" s="58">
        <v>2.3199999999999998</v>
      </c>
      <c r="BM13" s="69">
        <v>2.35</v>
      </c>
      <c r="BN13" s="69">
        <v>2.39</v>
      </c>
      <c r="BO13" s="69">
        <v>2.34</v>
      </c>
      <c r="BP13" s="69">
        <v>2.4</v>
      </c>
      <c r="BQ13" s="69">
        <v>2.4900000000000002</v>
      </c>
      <c r="BR13" s="69"/>
      <c r="BW13" s="69">
        <v>2.0099999999999998</v>
      </c>
      <c r="BX13" s="58">
        <v>2.0099999999999998</v>
      </c>
      <c r="BY13" s="69">
        <v>2</v>
      </c>
      <c r="BZ13" s="69">
        <v>2.12</v>
      </c>
      <c r="CA13" s="69">
        <v>2.0499999999999998</v>
      </c>
      <c r="CB13" s="69">
        <v>2.0299999999999998</v>
      </c>
      <c r="CC13" s="69">
        <v>2.09</v>
      </c>
      <c r="CD13" s="69">
        <v>2.11</v>
      </c>
      <c r="CV13" s="115"/>
      <c r="CW13" s="69" t="s">
        <v>225</v>
      </c>
      <c r="CX13" s="69">
        <v>7.1755121547903686E-2</v>
      </c>
    </row>
    <row r="14" spans="1:102" x14ac:dyDescent="0.25">
      <c r="A14" s="42"/>
      <c r="B14" s="42"/>
      <c r="C14" s="42"/>
      <c r="D14" s="42"/>
      <c r="E14" s="42"/>
      <c r="F14" s="42"/>
      <c r="G14" s="42"/>
      <c r="H14" s="68"/>
      <c r="I14" s="46"/>
      <c r="J14" s="46"/>
      <c r="K14" s="14"/>
      <c r="L14" s="14"/>
      <c r="M14" s="42"/>
      <c r="N14" s="42"/>
      <c r="O14" s="17">
        <f>O13/O12*100</f>
        <v>3.008965026325721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8"/>
      <c r="AC14" s="17"/>
      <c r="AD14" s="17"/>
      <c r="AE14" s="17"/>
      <c r="AF14" s="17"/>
      <c r="AG14" s="17"/>
      <c r="AM14" s="1"/>
      <c r="AZ14" s="1"/>
      <c r="CV14" s="115"/>
      <c r="CW14" s="69" t="s">
        <v>226</v>
      </c>
      <c r="CX14" s="69">
        <f>CX13/CX12*100</f>
        <v>3.5421508847539744</v>
      </c>
    </row>
    <row r="15" spans="1:102" x14ac:dyDescent="0.25">
      <c r="A15" s="108" t="s">
        <v>228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19"/>
      <c r="AC15" s="20"/>
      <c r="AD15" s="20"/>
      <c r="AE15" s="20"/>
      <c r="AF15" s="20"/>
      <c r="AG15" s="20"/>
      <c r="AM15" s="1"/>
      <c r="AZ15" s="1"/>
      <c r="BF15" t="s">
        <v>97</v>
      </c>
      <c r="BG15" s="71">
        <f>4/3*PI()*(BF10)^3</f>
        <v>7.3561858060376696E-10</v>
      </c>
      <c r="BH15" s="1"/>
    </row>
    <row r="16" spans="1:102" ht="17.25" x14ac:dyDescent="0.25">
      <c r="A16" s="65" t="s">
        <v>197</v>
      </c>
      <c r="B16" s="65"/>
      <c r="C16" s="65" t="s">
        <v>198</v>
      </c>
      <c r="D16" s="65" t="s">
        <v>199</v>
      </c>
      <c r="E16" s="65" t="s">
        <v>200</v>
      </c>
      <c r="F16" s="65" t="s">
        <v>201</v>
      </c>
      <c r="G16" s="65" t="s">
        <v>202</v>
      </c>
      <c r="H16" s="65" t="s">
        <v>203</v>
      </c>
      <c r="I16" s="65" t="s">
        <v>204</v>
      </c>
      <c r="J16" s="65" t="s">
        <v>205</v>
      </c>
      <c r="K16" s="66" t="s">
        <v>206</v>
      </c>
      <c r="L16" s="66" t="s">
        <v>207</v>
      </c>
      <c r="M16" s="65" t="s">
        <v>208</v>
      </c>
      <c r="N16" s="65" t="s">
        <v>209</v>
      </c>
      <c r="O16" s="65" t="s">
        <v>210</v>
      </c>
      <c r="P16" s="65" t="s">
        <v>210</v>
      </c>
      <c r="Q16" s="65" t="s">
        <v>211</v>
      </c>
      <c r="R16" s="65" t="s">
        <v>229</v>
      </c>
      <c r="S16" s="65" t="s">
        <v>213</v>
      </c>
      <c r="T16" s="65" t="s">
        <v>214</v>
      </c>
      <c r="U16" s="65" t="s">
        <v>215</v>
      </c>
      <c r="V16" s="65" t="s">
        <v>216</v>
      </c>
      <c r="W16" s="65" t="s">
        <v>217</v>
      </c>
      <c r="X16" s="65" t="s">
        <v>230</v>
      </c>
      <c r="Y16" s="65" t="s">
        <v>218</v>
      </c>
      <c r="Z16" s="65" t="s">
        <v>231</v>
      </c>
      <c r="AA16" s="65" t="s">
        <v>219</v>
      </c>
      <c r="AB16" s="65" t="str">
        <f t="shared" si="1"/>
        <v>AS density g/ml</v>
      </c>
      <c r="AC16" s="65"/>
      <c r="AD16" s="65" t="s">
        <v>232</v>
      </c>
      <c r="AE16" s="65" t="s">
        <v>233</v>
      </c>
      <c r="AF16" s="65" t="s">
        <v>234</v>
      </c>
      <c r="AG16" s="65" t="s">
        <v>221</v>
      </c>
      <c r="AM16" s="1"/>
      <c r="AZ16" s="1"/>
      <c r="CV16" s="115" t="s">
        <v>196</v>
      </c>
      <c r="CW16" s="69" t="s">
        <v>227</v>
      </c>
      <c r="CX16" s="69"/>
    </row>
    <row r="17" spans="1:102" x14ac:dyDescent="0.25">
      <c r="A17" s="42">
        <v>0.01</v>
      </c>
      <c r="B17" s="42"/>
      <c r="C17" s="42">
        <v>400</v>
      </c>
      <c r="D17" s="42">
        <v>0.4</v>
      </c>
      <c r="E17" s="42">
        <f>C17/100*A17</f>
        <v>0.04</v>
      </c>
      <c r="F17" s="42">
        <v>58.44</v>
      </c>
      <c r="G17" s="42">
        <f>E17*1000/D17</f>
        <v>100</v>
      </c>
      <c r="H17" s="68">
        <f>E17/F17</f>
        <v>6.8446269678302531E-4</v>
      </c>
      <c r="I17" s="46">
        <f>H17/D17</f>
        <v>1.7111567419575632E-3</v>
      </c>
      <c r="J17" s="17">
        <f t="shared" ref="J17:J24" si="14">I17*10^3</f>
        <v>1.7111567419575633</v>
      </c>
      <c r="K17">
        <v>998.43200000000002</v>
      </c>
      <c r="L17" s="5">
        <f>K17/1000</f>
        <v>0.99843199999999999</v>
      </c>
      <c r="M17" s="42">
        <v>3.2</v>
      </c>
      <c r="N17" s="42">
        <v>5.7299999999999997E-2</v>
      </c>
      <c r="O17" s="42">
        <f>N17/10</f>
        <v>5.7299999999999999E-3</v>
      </c>
      <c r="P17" s="42">
        <v>5.7299999999999999E-3</v>
      </c>
      <c r="Q17" s="42">
        <f>R17*1000</f>
        <v>1100</v>
      </c>
      <c r="R17" s="42">
        <v>1.1000000000000001</v>
      </c>
      <c r="S17" s="42">
        <f>P17/(10^6)*R17</f>
        <v>6.3030000000000003E-9</v>
      </c>
      <c r="T17" s="45">
        <f>((3*S17)/(4*PI()))^(1/3)</f>
        <v>1.1459163058448263E-3</v>
      </c>
      <c r="U17" s="14">
        <f>T17*1000</f>
        <v>1.1459163058448263</v>
      </c>
      <c r="V17" s="43">
        <f>($P$17/1000)*9.81*1000</f>
        <v>5.6211299999999999E-2</v>
      </c>
      <c r="W17" s="14">
        <v>0.79220000000000002</v>
      </c>
      <c r="X17" s="46">
        <f>(P17/1000)*9.81*(M17/10)/(T17*2)</f>
        <v>7.8485731934578931E-3</v>
      </c>
      <c r="Y17" s="2">
        <v>72.443900068446297</v>
      </c>
      <c r="Z17" s="5">
        <f>Y17/1000</f>
        <v>7.2443900068446296E-2</v>
      </c>
      <c r="AA17" s="5">
        <f>Y17/10</f>
        <v>7.2443900068446299</v>
      </c>
      <c r="AB17" s="46">
        <f t="shared" si="1"/>
        <v>0.99843199999999999</v>
      </c>
      <c r="AC17" s="42">
        <f>AA17*AB17</f>
        <v>7.2330308033138975</v>
      </c>
      <c r="AD17" s="42">
        <v>0.04</v>
      </c>
      <c r="AE17" s="42">
        <v>2.5</v>
      </c>
      <c r="AF17" s="14">
        <f>(AE17)/((T17*2)*AD17*Q17)^1/2</f>
        <v>12.395796605820316</v>
      </c>
      <c r="AG17" s="14">
        <f>(Q17*(W17^2)*(T17*2))/AD17</f>
        <v>39.553531478548614</v>
      </c>
      <c r="AM17" s="1"/>
      <c r="AV17" t="s">
        <v>97</v>
      </c>
      <c r="AZ17" s="1"/>
      <c r="CV17" s="115"/>
      <c r="CW17" s="69" t="s">
        <v>225</v>
      </c>
      <c r="CX17" s="69"/>
    </row>
    <row r="18" spans="1:102" x14ac:dyDescent="0.25">
      <c r="A18" s="42">
        <v>0.05</v>
      </c>
      <c r="B18" s="42"/>
      <c r="C18" s="42">
        <v>400</v>
      </c>
      <c r="D18" s="42">
        <v>0.4</v>
      </c>
      <c r="E18" s="42">
        <f t="shared" ref="E18:E24" si="15">C18/100*A18</f>
        <v>0.2</v>
      </c>
      <c r="F18" s="42">
        <v>58.44</v>
      </c>
      <c r="G18" s="42">
        <f t="shared" ref="G18:G24" si="16">E18*1000/D18</f>
        <v>500</v>
      </c>
      <c r="H18" s="68">
        <f t="shared" ref="H18:H24" si="17">E18/F18</f>
        <v>3.4223134839151269E-3</v>
      </c>
      <c r="I18" s="46">
        <f t="shared" ref="I18:I24" si="18">H18/D18</f>
        <v>8.5557837097878162E-3</v>
      </c>
      <c r="J18" s="15">
        <f t="shared" si="14"/>
        <v>8.555783709787816</v>
      </c>
      <c r="K18">
        <v>998.73800000000006</v>
      </c>
      <c r="L18" s="5">
        <f t="shared" ref="L18:L23" si="19">K18/1000</f>
        <v>0.99873800000000001</v>
      </c>
      <c r="M18" s="42">
        <v>3.8</v>
      </c>
      <c r="N18" s="42"/>
      <c r="O18" s="42">
        <f t="shared" ref="O18:O24" si="20">N18/10</f>
        <v>0</v>
      </c>
      <c r="P18" s="42">
        <v>5.7299999999999999E-3</v>
      </c>
      <c r="Q18" s="42">
        <f t="shared" ref="Q18:Q24" si="21">R18*1000</f>
        <v>1100</v>
      </c>
      <c r="R18" s="42">
        <v>1.1000000000000001</v>
      </c>
      <c r="S18" s="42">
        <f t="shared" ref="S18:S24" si="22">P18/(10^6)*R18</f>
        <v>6.3030000000000003E-9</v>
      </c>
      <c r="T18" s="45">
        <f t="shared" ref="T18:T24" si="23">((3*S18)/(4*PI()))^(1/3)</f>
        <v>1.1459163058448263E-3</v>
      </c>
      <c r="U18" s="14">
        <f t="shared" ref="U18:U24" si="24">T18*1000</f>
        <v>1.1459163058448263</v>
      </c>
      <c r="V18" s="43">
        <f t="shared" ref="V18:V23" si="25">($P$17/1000)*9.81*1000</f>
        <v>5.6211299999999999E-2</v>
      </c>
      <c r="W18" s="14">
        <v>0.86329999999999996</v>
      </c>
      <c r="X18" s="46">
        <f t="shared" ref="X18:X24" si="26">(P18/1000)*9.81*(M18/10)/(T18*2)</f>
        <v>9.3201806672312485E-3</v>
      </c>
      <c r="Y18" s="2">
        <v>72.455500342231346</v>
      </c>
      <c r="Z18" s="5">
        <f t="shared" ref="Z18:Z24" si="27">Y18/1000</f>
        <v>7.2455500342231347E-2</v>
      </c>
      <c r="AA18" s="5">
        <f t="shared" ref="AA18:AA24" si="28">Y18/10</f>
        <v>7.2455500342231343</v>
      </c>
      <c r="AB18" s="46">
        <f t="shared" si="1"/>
        <v>0.99873800000000001</v>
      </c>
      <c r="AC18" s="42">
        <f t="shared" ref="AC18:AC24" si="29">AA18*AB18</f>
        <v>7.2364061500799446</v>
      </c>
      <c r="AD18" s="42">
        <v>0.04</v>
      </c>
      <c r="AE18" s="42">
        <v>2.5</v>
      </c>
      <c r="AF18" s="14">
        <f t="shared" ref="AF18:AF24" si="30">(AE18)/((T18*2)*AD18*Q18)^1/2</f>
        <v>12.395796605820316</v>
      </c>
      <c r="AG18" s="14">
        <f t="shared" ref="AG18:AG24" si="31">(Q18*(W18^2)*(T18*2))/AD18</f>
        <v>46.972001988085864</v>
      </c>
      <c r="AM18" s="1"/>
      <c r="AZ18" s="1"/>
      <c r="CV18" s="115"/>
      <c r="CW18" s="69" t="s">
        <v>226</v>
      </c>
      <c r="CX18" s="69"/>
    </row>
    <row r="19" spans="1:102" x14ac:dyDescent="0.25">
      <c r="A19" s="42">
        <v>0.1</v>
      </c>
      <c r="B19" s="42"/>
      <c r="C19" s="42">
        <v>400</v>
      </c>
      <c r="D19" s="42">
        <v>0.4</v>
      </c>
      <c r="E19" s="42">
        <f t="shared" si="15"/>
        <v>0.4</v>
      </c>
      <c r="F19" s="42">
        <v>58.44</v>
      </c>
      <c r="G19" s="42">
        <f t="shared" si="16"/>
        <v>1000</v>
      </c>
      <c r="H19" s="68">
        <f t="shared" si="17"/>
        <v>6.8446269678302538E-3</v>
      </c>
      <c r="I19" s="46">
        <f t="shared" si="18"/>
        <v>1.7111567419575632E-2</v>
      </c>
      <c r="J19" s="15">
        <f t="shared" si="14"/>
        <v>17.111567419575632</v>
      </c>
      <c r="K19">
        <v>999.12</v>
      </c>
      <c r="L19" s="5">
        <f t="shared" si="19"/>
        <v>0.99912000000000001</v>
      </c>
      <c r="M19" s="42">
        <v>4.2</v>
      </c>
      <c r="N19" s="42"/>
      <c r="O19" s="42">
        <f t="shared" si="20"/>
        <v>0</v>
      </c>
      <c r="P19" s="42">
        <v>5.7299999999999999E-3</v>
      </c>
      <c r="Q19" s="42">
        <f t="shared" si="21"/>
        <v>1100</v>
      </c>
      <c r="R19" s="42">
        <v>1.1000000000000001</v>
      </c>
      <c r="S19" s="42">
        <f t="shared" si="22"/>
        <v>6.3030000000000003E-9</v>
      </c>
      <c r="T19" s="45">
        <f t="shared" si="23"/>
        <v>1.1459163058448263E-3</v>
      </c>
      <c r="U19" s="14">
        <f t="shared" si="24"/>
        <v>1.1459163058448263</v>
      </c>
      <c r="V19" s="43">
        <f t="shared" si="25"/>
        <v>5.6211299999999999E-2</v>
      </c>
      <c r="W19" s="14">
        <v>0.90759999999999996</v>
      </c>
      <c r="X19" s="46">
        <f t="shared" si="26"/>
        <v>1.0301252316413486E-2</v>
      </c>
      <c r="Y19" s="2">
        <v>72.470000684462704</v>
      </c>
      <c r="Z19" s="5">
        <f t="shared" si="27"/>
        <v>7.2470000684462701E-2</v>
      </c>
      <c r="AA19" s="5">
        <f t="shared" si="28"/>
        <v>7.2470000684462708</v>
      </c>
      <c r="AB19" s="46">
        <f t="shared" si="1"/>
        <v>0.99912000000000001</v>
      </c>
      <c r="AC19" s="42">
        <f t="shared" si="29"/>
        <v>7.2406227083860379</v>
      </c>
      <c r="AD19" s="42">
        <v>0.04</v>
      </c>
      <c r="AE19" s="42">
        <v>2.5</v>
      </c>
      <c r="AF19" s="14">
        <f t="shared" si="30"/>
        <v>12.395796605820316</v>
      </c>
      <c r="AG19" s="14">
        <f t="shared" si="31"/>
        <v>51.916399200825069</v>
      </c>
      <c r="AI19" s="58" t="s">
        <v>67</v>
      </c>
      <c r="AJ19" s="72">
        <f>COUNT(AJ4:AJ18)</f>
        <v>10</v>
      </c>
      <c r="AK19" s="72">
        <f>COUNT(AK4:AK18)</f>
        <v>10</v>
      </c>
      <c r="AL19" s="72">
        <f t="shared" ref="AL19:AQ19" si="32">COUNT(AL4:AL18)</f>
        <v>10</v>
      </c>
      <c r="AM19" s="72">
        <f t="shared" si="32"/>
        <v>10</v>
      </c>
      <c r="AN19" s="72">
        <f t="shared" si="32"/>
        <v>10</v>
      </c>
      <c r="AO19" s="72">
        <f t="shared" si="32"/>
        <v>10</v>
      </c>
      <c r="AP19" s="72">
        <f t="shared" si="32"/>
        <v>10</v>
      </c>
      <c r="AQ19" s="72">
        <f t="shared" si="32"/>
        <v>10</v>
      </c>
      <c r="AR19" s="73"/>
      <c r="AS19" s="73"/>
      <c r="AT19">
        <v>0.01</v>
      </c>
      <c r="AU19">
        <v>10</v>
      </c>
      <c r="AV19" s="58" t="s">
        <v>67</v>
      </c>
      <c r="AW19" s="72">
        <f t="shared" ref="AW19:BD19" si="33">COUNT(AW4:AW18)</f>
        <v>10</v>
      </c>
      <c r="AX19" s="72">
        <f t="shared" si="33"/>
        <v>10</v>
      </c>
      <c r="AY19" s="72">
        <f t="shared" si="33"/>
        <v>10</v>
      </c>
      <c r="AZ19" s="72">
        <f t="shared" si="33"/>
        <v>10</v>
      </c>
      <c r="BA19" s="72">
        <f t="shared" si="33"/>
        <v>10</v>
      </c>
      <c r="BB19" s="72">
        <f t="shared" si="33"/>
        <v>10</v>
      </c>
      <c r="BC19" s="72">
        <f t="shared" si="33"/>
        <v>10</v>
      </c>
      <c r="BD19" s="72">
        <f t="shared" si="33"/>
        <v>10</v>
      </c>
      <c r="BE19" s="73"/>
      <c r="BF19" s="73"/>
      <c r="BG19">
        <v>0.01</v>
      </c>
      <c r="BH19">
        <v>10</v>
      </c>
      <c r="BJ19" s="58" t="s">
        <v>67</v>
      </c>
      <c r="BK19" s="72">
        <f t="shared" ref="BK19:BR19" si="34">COUNT(BK4:BK18)</f>
        <v>10</v>
      </c>
      <c r="BL19" s="72">
        <f t="shared" si="34"/>
        <v>10</v>
      </c>
      <c r="BM19" s="72">
        <f t="shared" si="34"/>
        <v>10</v>
      </c>
      <c r="BN19" s="72">
        <f t="shared" si="34"/>
        <v>10</v>
      </c>
      <c r="BO19" s="72">
        <f t="shared" si="34"/>
        <v>10</v>
      </c>
      <c r="BP19" s="72">
        <f t="shared" si="34"/>
        <v>10</v>
      </c>
      <c r="BQ19" s="72">
        <f t="shared" si="34"/>
        <v>10</v>
      </c>
      <c r="BR19" s="72">
        <f t="shared" si="34"/>
        <v>9</v>
      </c>
      <c r="BS19" s="73"/>
      <c r="BT19">
        <v>0.01</v>
      </c>
      <c r="BU19">
        <v>10</v>
      </c>
      <c r="BV19" s="58" t="s">
        <v>67</v>
      </c>
      <c r="BW19" s="72">
        <f t="shared" ref="BW19:CD19" si="35">COUNT(BW4:BW18)</f>
        <v>10</v>
      </c>
      <c r="BX19" s="72">
        <f t="shared" si="35"/>
        <v>10</v>
      </c>
      <c r="BY19" s="72">
        <f t="shared" si="35"/>
        <v>10</v>
      </c>
      <c r="BZ19" s="72">
        <f t="shared" si="35"/>
        <v>10</v>
      </c>
      <c r="CA19" s="72">
        <f t="shared" si="35"/>
        <v>10</v>
      </c>
      <c r="CB19" s="72">
        <f t="shared" si="35"/>
        <v>10</v>
      </c>
      <c r="CC19" s="72">
        <f t="shared" si="35"/>
        <v>10</v>
      </c>
      <c r="CD19" s="72">
        <f t="shared" si="35"/>
        <v>10</v>
      </c>
      <c r="CE19" s="73"/>
      <c r="CF19">
        <v>0.01</v>
      </c>
      <c r="CG19">
        <v>10</v>
      </c>
    </row>
    <row r="20" spans="1:102" x14ac:dyDescent="0.25">
      <c r="A20" s="42">
        <v>0.5</v>
      </c>
      <c r="B20" s="42"/>
      <c r="C20" s="42">
        <v>400</v>
      </c>
      <c r="D20" s="42">
        <v>0.4</v>
      </c>
      <c r="E20" s="42">
        <f t="shared" si="15"/>
        <v>2</v>
      </c>
      <c r="F20" s="42">
        <v>58.44</v>
      </c>
      <c r="G20" s="42">
        <f t="shared" si="16"/>
        <v>5000</v>
      </c>
      <c r="H20" s="68">
        <f t="shared" si="17"/>
        <v>3.4223134839151265E-2</v>
      </c>
      <c r="I20" s="46">
        <f t="shared" si="18"/>
        <v>8.5557837097878162E-2</v>
      </c>
      <c r="J20" s="15">
        <f t="shared" si="14"/>
        <v>85.557837097878163</v>
      </c>
      <c r="K20">
        <v>1002.162</v>
      </c>
      <c r="L20" s="5">
        <f t="shared" si="19"/>
        <v>1.002162</v>
      </c>
      <c r="M20" s="42">
        <v>4.4000000000000004</v>
      </c>
      <c r="N20" s="42"/>
      <c r="O20" s="42">
        <f t="shared" si="20"/>
        <v>0</v>
      </c>
      <c r="P20" s="42">
        <v>5.7299999999999999E-3</v>
      </c>
      <c r="Q20" s="42">
        <f t="shared" si="21"/>
        <v>1100</v>
      </c>
      <c r="R20" s="42">
        <v>1.1000000000000001</v>
      </c>
      <c r="S20" s="42">
        <f t="shared" si="22"/>
        <v>6.3030000000000003E-9</v>
      </c>
      <c r="T20" s="45">
        <f t="shared" si="23"/>
        <v>1.1459163058448263E-3</v>
      </c>
      <c r="U20" s="14">
        <f t="shared" si="24"/>
        <v>1.1459163058448263</v>
      </c>
      <c r="V20" s="43">
        <f t="shared" si="25"/>
        <v>5.6211299999999999E-2</v>
      </c>
      <c r="W20" s="14">
        <v>0.92900000000000005</v>
      </c>
      <c r="X20" s="46">
        <f t="shared" si="26"/>
        <v>1.0791788141004606E-2</v>
      </c>
      <c r="Y20" s="2">
        <v>72.586003422313482</v>
      </c>
      <c r="Z20" s="5">
        <f t="shared" si="27"/>
        <v>7.2586003422313486E-2</v>
      </c>
      <c r="AA20" s="5">
        <f t="shared" si="28"/>
        <v>7.2586003422313485</v>
      </c>
      <c r="AB20" s="46">
        <f t="shared" si="1"/>
        <v>1.002162</v>
      </c>
      <c r="AC20" s="42">
        <f t="shared" si="29"/>
        <v>7.274293436171253</v>
      </c>
      <c r="AD20" s="42">
        <v>0.04</v>
      </c>
      <c r="AE20" s="42">
        <v>2.5</v>
      </c>
      <c r="AF20" s="14">
        <f t="shared" si="30"/>
        <v>12.395796605820316</v>
      </c>
      <c r="AG20" s="14">
        <f t="shared" si="31"/>
        <v>54.393501498194361</v>
      </c>
      <c r="AI20" s="58" t="s">
        <v>64</v>
      </c>
      <c r="AJ20" s="69">
        <f>AVERAGE(AJ4:AJ18)</f>
        <v>1.9550000000000001</v>
      </c>
      <c r="AK20" s="69">
        <f t="shared" ref="AK20:AQ20" si="36">AVERAGE(AK4:AK18)</f>
        <v>1.9590000000000001</v>
      </c>
      <c r="AL20" s="69">
        <f t="shared" si="36"/>
        <v>1.952</v>
      </c>
      <c r="AM20" s="69">
        <f t="shared" si="36"/>
        <v>2.012</v>
      </c>
      <c r="AN20" s="69">
        <f t="shared" si="36"/>
        <v>2.0209999999999999</v>
      </c>
      <c r="AO20" s="69">
        <f t="shared" si="36"/>
        <v>2.024</v>
      </c>
      <c r="AP20" s="69">
        <f t="shared" si="36"/>
        <v>2.0110000000000001</v>
      </c>
      <c r="AQ20" s="69">
        <f t="shared" si="36"/>
        <v>1.988</v>
      </c>
      <c r="AR20" s="1"/>
      <c r="AS20" s="1" t="s">
        <v>224</v>
      </c>
      <c r="AT20" s="1">
        <f>AVERAGE(AJ4:AQ13)</f>
        <v>1.9902500000000007</v>
      </c>
      <c r="AU20" s="1">
        <f>AVERAGE(AJ4:AQ13)</f>
        <v>1.9902500000000007</v>
      </c>
      <c r="AV20" s="58" t="s">
        <v>64</v>
      </c>
      <c r="AW20" s="69">
        <f>AVERAGE(AW4:AW18)</f>
        <v>1.2229999999999999</v>
      </c>
      <c r="AX20" s="69">
        <f t="shared" ref="AX20:BD20" si="37">AVERAGE(AX4:AX18)</f>
        <v>1.2589999999999999</v>
      </c>
      <c r="AY20" s="69">
        <f t="shared" si="37"/>
        <v>1.2709999999999999</v>
      </c>
      <c r="AZ20" s="69">
        <f t="shared" si="37"/>
        <v>1.27</v>
      </c>
      <c r="BA20" s="69">
        <f t="shared" si="37"/>
        <v>1.2949999999999999</v>
      </c>
      <c r="BB20" s="69">
        <f t="shared" si="37"/>
        <v>1.2979999999999998</v>
      </c>
      <c r="BC20" s="69">
        <f t="shared" si="37"/>
        <v>1.321</v>
      </c>
      <c r="BD20" s="69">
        <f t="shared" si="37"/>
        <v>1.371</v>
      </c>
      <c r="BE20" s="1"/>
      <c r="BF20" s="1" t="s">
        <v>224</v>
      </c>
      <c r="BG20" s="1">
        <f>AVERAGE(AW4:BD13)</f>
        <v>1.2885000000000006</v>
      </c>
      <c r="BH20" s="1">
        <f>AVERAGE(AW4:BD13)</f>
        <v>1.2885000000000006</v>
      </c>
      <c r="BJ20" s="58" t="s">
        <v>64</v>
      </c>
      <c r="BK20" s="69">
        <f>AVERAGE(BK4:BK18)</f>
        <v>2.3389999999999995</v>
      </c>
      <c r="BL20" s="69">
        <f t="shared" ref="BL20:BR20" si="38">AVERAGE(BL4:BL18)</f>
        <v>2.3339999999999996</v>
      </c>
      <c r="BM20" s="69">
        <f t="shared" si="38"/>
        <v>2.3580000000000001</v>
      </c>
      <c r="BN20" s="69">
        <f t="shared" si="38"/>
        <v>2.3369999999999997</v>
      </c>
      <c r="BO20" s="69">
        <f t="shared" si="38"/>
        <v>2.35</v>
      </c>
      <c r="BP20" s="69">
        <f t="shared" si="38"/>
        <v>2.3540000000000001</v>
      </c>
      <c r="BQ20" s="69">
        <f t="shared" si="38"/>
        <v>2.3643000000000001</v>
      </c>
      <c r="BR20" s="69">
        <f t="shared" si="38"/>
        <v>2.31</v>
      </c>
      <c r="BS20" s="1" t="s">
        <v>224</v>
      </c>
      <c r="BT20" s="1">
        <f>AVERAGE(BK4:BR13)</f>
        <v>2.3437088607594947</v>
      </c>
      <c r="BU20" s="1">
        <f>AVERAGE(BK4:BR13)</f>
        <v>2.3437088607594947</v>
      </c>
      <c r="BV20" s="58" t="s">
        <v>64</v>
      </c>
      <c r="BW20" s="69">
        <f>AVERAGE(BW4:BW18)</f>
        <v>1.9729999999999996</v>
      </c>
      <c r="BX20" s="69">
        <f t="shared" ref="BX20:CD20" si="39">AVERAGE(BX4:BX18)</f>
        <v>1.95</v>
      </c>
      <c r="BY20" s="69">
        <f t="shared" si="39"/>
        <v>1.9920000000000002</v>
      </c>
      <c r="BZ20" s="69">
        <f t="shared" si="39"/>
        <v>2.0350000000000001</v>
      </c>
      <c r="CA20" s="69">
        <f t="shared" si="39"/>
        <v>2.0070000000000001</v>
      </c>
      <c r="CB20" s="69">
        <f t="shared" si="39"/>
        <v>2.0490000000000004</v>
      </c>
      <c r="CC20" s="69">
        <f t="shared" si="39"/>
        <v>2.1040000000000001</v>
      </c>
      <c r="CD20" s="69">
        <f t="shared" si="39"/>
        <v>2.0959999999999996</v>
      </c>
      <c r="CE20" s="1" t="s">
        <v>224</v>
      </c>
      <c r="CF20" s="1">
        <f>AVERAGE(BW4:CD13)</f>
        <v>2.0257500000000013</v>
      </c>
      <c r="CG20" s="1">
        <f>AVERAGE(BX4:CE13)</f>
        <v>2.0332857142857148</v>
      </c>
    </row>
    <row r="21" spans="1:102" x14ac:dyDescent="0.25">
      <c r="A21" s="42">
        <v>1</v>
      </c>
      <c r="B21" s="42"/>
      <c r="C21" s="42">
        <v>400</v>
      </c>
      <c r="D21" s="42">
        <v>0.4</v>
      </c>
      <c r="E21" s="42">
        <f t="shared" si="15"/>
        <v>4</v>
      </c>
      <c r="F21" s="42">
        <v>58.44</v>
      </c>
      <c r="G21" s="42">
        <f t="shared" si="16"/>
        <v>10000</v>
      </c>
      <c r="H21" s="68">
        <f t="shared" si="17"/>
        <v>6.8446269678302529E-2</v>
      </c>
      <c r="I21" s="46">
        <f t="shared" si="18"/>
        <v>0.17111567419575632</v>
      </c>
      <c r="J21" s="15">
        <f t="shared" si="14"/>
        <v>171.11567419575633</v>
      </c>
      <c r="K21">
        <v>1005.952</v>
      </c>
      <c r="L21" s="5">
        <f t="shared" si="19"/>
        <v>1.005952</v>
      </c>
      <c r="M21" s="42">
        <v>4.4000000000000004</v>
      </c>
      <c r="N21" s="42"/>
      <c r="O21" s="42">
        <f t="shared" si="20"/>
        <v>0</v>
      </c>
      <c r="P21" s="42">
        <v>5.7299999999999999E-3</v>
      </c>
      <c r="Q21" s="42">
        <f t="shared" si="21"/>
        <v>1100</v>
      </c>
      <c r="R21" s="42">
        <v>1.1000000000000001</v>
      </c>
      <c r="S21" s="42">
        <f t="shared" si="22"/>
        <v>6.3030000000000003E-9</v>
      </c>
      <c r="T21" s="45">
        <f t="shared" si="23"/>
        <v>1.1459163058448263E-3</v>
      </c>
      <c r="U21" s="14">
        <f t="shared" si="24"/>
        <v>1.1459163058448263</v>
      </c>
      <c r="V21" s="43">
        <f t="shared" si="25"/>
        <v>5.6211299999999999E-2</v>
      </c>
      <c r="W21" s="14">
        <v>0.92900000000000005</v>
      </c>
      <c r="X21" s="46">
        <f t="shared" si="26"/>
        <v>1.0791788141004606E-2</v>
      </c>
      <c r="Y21" s="2">
        <v>72.731006844626975</v>
      </c>
      <c r="Z21" s="5">
        <f t="shared" si="27"/>
        <v>7.273100684462698E-2</v>
      </c>
      <c r="AA21" s="5">
        <f t="shared" si="28"/>
        <v>7.2731006844626975</v>
      </c>
      <c r="AB21" s="46">
        <f t="shared" si="1"/>
        <v>1.005952</v>
      </c>
      <c r="AC21" s="42">
        <f t="shared" si="29"/>
        <v>7.3163901797366195</v>
      </c>
      <c r="AD21" s="42">
        <v>0.04</v>
      </c>
      <c r="AE21" s="42">
        <v>2.5</v>
      </c>
      <c r="AF21" s="14">
        <f t="shared" si="30"/>
        <v>12.395796605820316</v>
      </c>
      <c r="AG21" s="14">
        <f t="shared" si="31"/>
        <v>54.393501498194361</v>
      </c>
      <c r="AI21" s="58" t="s">
        <v>225</v>
      </c>
      <c r="AJ21" s="69">
        <f>STDEV(AJ4:AJ18)</f>
        <v>5.2757305971148055E-2</v>
      </c>
      <c r="AK21" s="69">
        <f t="shared" ref="AK21:AQ21" si="40">STDEV(AK4:AK18)</f>
        <v>4.8864893101057551E-2</v>
      </c>
      <c r="AL21" s="69">
        <f t="shared" si="40"/>
        <v>5.57374799095426E-2</v>
      </c>
      <c r="AM21" s="69">
        <f t="shared" si="40"/>
        <v>5.329165037789689E-2</v>
      </c>
      <c r="AN21" s="69">
        <f t="shared" si="40"/>
        <v>2.6436506745197746E-2</v>
      </c>
      <c r="AO21" s="69">
        <f t="shared" si="40"/>
        <v>1.7763883459299024E-2</v>
      </c>
      <c r="AP21" s="69">
        <f t="shared" si="40"/>
        <v>4.5813632129409809E-2</v>
      </c>
      <c r="AQ21" s="69">
        <f t="shared" si="40"/>
        <v>2.1499353995462767E-2</v>
      </c>
      <c r="AR21" s="1"/>
      <c r="AS21" s="1" t="s">
        <v>225</v>
      </c>
      <c r="AT21" s="1">
        <f>STDEV(AJ4:AQ13)</f>
        <v>5.0188883735673075E-2</v>
      </c>
      <c r="AU21" s="1">
        <f>STDEV(AJ4:AQ13)</f>
        <v>5.0188883735673075E-2</v>
      </c>
      <c r="AV21" s="58" t="s">
        <v>225</v>
      </c>
      <c r="AW21" s="69">
        <f>STDEV(AW4:AW18)</f>
        <v>5.7358521598799998E-2</v>
      </c>
      <c r="AX21" s="69">
        <f t="shared" ref="AX21:BD21" si="41">STDEV(AX4:AX18)</f>
        <v>5.0210667303981493E-2</v>
      </c>
      <c r="AY21" s="69">
        <f t="shared" si="41"/>
        <v>5.8013408411810762E-2</v>
      </c>
      <c r="AZ21" s="69">
        <f t="shared" si="41"/>
        <v>7.4535599249993062E-2</v>
      </c>
      <c r="BA21" s="69">
        <f t="shared" si="41"/>
        <v>2.9533408577782277E-2</v>
      </c>
      <c r="BB21" s="69">
        <f t="shared" si="41"/>
        <v>4.5898438608156011E-2</v>
      </c>
      <c r="BC21" s="69">
        <f t="shared" si="41"/>
        <v>5.7435954670301145E-2</v>
      </c>
      <c r="BD21" s="69">
        <f t="shared" si="41"/>
        <v>6.7896980787071778E-2</v>
      </c>
      <c r="BE21" s="1"/>
      <c r="BF21" s="1" t="s">
        <v>225</v>
      </c>
      <c r="BG21" s="1">
        <f>STDEV(AW4:BD13)</f>
        <v>6.8308681361647514E-2</v>
      </c>
      <c r="BH21" s="1">
        <f>STDEV(AW4:BD13)</f>
        <v>6.8308681361647514E-2</v>
      </c>
      <c r="BJ21" s="58" t="s">
        <v>225</v>
      </c>
      <c r="BK21" s="69">
        <f>STDEV(BK4:BK18)</f>
        <v>3.107338983045712E-2</v>
      </c>
      <c r="BL21" s="69">
        <f t="shared" ref="BL21:BR21" si="42">STDEV(BL4:BL18)</f>
        <v>3.8643671323171896E-2</v>
      </c>
      <c r="BM21" s="69">
        <f t="shared" si="42"/>
        <v>2.4855135843076359E-2</v>
      </c>
      <c r="BN21" s="69">
        <f t="shared" si="42"/>
        <v>3.4334951418181645E-2</v>
      </c>
      <c r="BO21" s="69">
        <f t="shared" si="42"/>
        <v>3.4318767136623324E-2</v>
      </c>
      <c r="BP21" s="69">
        <f t="shared" si="42"/>
        <v>2.7162065049951153E-2</v>
      </c>
      <c r="BQ21" s="69">
        <f t="shared" si="42"/>
        <v>5.0270490570733746E-2</v>
      </c>
      <c r="BR21" s="69">
        <f t="shared" si="42"/>
        <v>3.2403703492039297E-2</v>
      </c>
      <c r="BS21" s="1" t="s">
        <v>225</v>
      </c>
      <c r="BT21" s="1">
        <f>STDEV(BK4:BR13)</f>
        <v>3.6909852724884624E-2</v>
      </c>
      <c r="BU21" s="1">
        <f>STDEV(BK4:BR13)</f>
        <v>3.6909852724884624E-2</v>
      </c>
      <c r="BV21" s="58" t="s">
        <v>225</v>
      </c>
      <c r="BW21" s="69">
        <f>STDEV(BW4:BW18)</f>
        <v>4.6439925351648322E-2</v>
      </c>
      <c r="BX21" s="69">
        <f t="shared" ref="BX21:CD21" si="43">STDEV(BX4:BX18)</f>
        <v>5.3333333333333267E-2</v>
      </c>
      <c r="BY21" s="69">
        <f t="shared" si="43"/>
        <v>7.1616261343977486E-2</v>
      </c>
      <c r="BZ21" s="69">
        <f t="shared" si="43"/>
        <v>4.9497474683058366E-2</v>
      </c>
      <c r="CA21" s="69">
        <f t="shared" si="43"/>
        <v>3.1640339933558019E-2</v>
      </c>
      <c r="CB21" s="69">
        <f t="shared" si="43"/>
        <v>5.2588549662027785E-2</v>
      </c>
      <c r="CC21" s="69">
        <f t="shared" si="43"/>
        <v>2.2705848487901886E-2</v>
      </c>
      <c r="CD21" s="69">
        <f t="shared" si="43"/>
        <v>6.5012819248719489E-2</v>
      </c>
      <c r="CE21" s="1" t="s">
        <v>225</v>
      </c>
      <c r="CF21" s="1">
        <f>STDEV(BW4:CD13)</f>
        <v>7.1755121547903686E-2</v>
      </c>
      <c r="CG21" s="1">
        <f>STDEV(BV4:CC13)</f>
        <v>6.7277737743322019E-2</v>
      </c>
    </row>
    <row r="22" spans="1:102" x14ac:dyDescent="0.25">
      <c r="A22" s="42">
        <v>2</v>
      </c>
      <c r="B22" s="42"/>
      <c r="C22" s="42">
        <v>400</v>
      </c>
      <c r="D22" s="42">
        <v>0.4</v>
      </c>
      <c r="E22" s="42">
        <f t="shared" si="15"/>
        <v>8</v>
      </c>
      <c r="F22" s="42">
        <v>58.44</v>
      </c>
      <c r="G22" s="42">
        <f t="shared" si="16"/>
        <v>20000</v>
      </c>
      <c r="H22" s="68">
        <f t="shared" si="17"/>
        <v>0.13689253935660506</v>
      </c>
      <c r="I22" s="46">
        <f t="shared" si="18"/>
        <v>0.34223134839151265</v>
      </c>
      <c r="J22" s="15">
        <f t="shared" si="14"/>
        <v>342.23134839151265</v>
      </c>
      <c r="K22">
        <v>1013.532</v>
      </c>
      <c r="L22" s="5">
        <f t="shared" si="19"/>
        <v>1.0135320000000001</v>
      </c>
      <c r="M22" s="42">
        <v>4</v>
      </c>
      <c r="N22" s="42"/>
      <c r="O22" s="42">
        <f t="shared" si="20"/>
        <v>0</v>
      </c>
      <c r="P22" s="42">
        <v>5.7299999999999999E-3</v>
      </c>
      <c r="Q22" s="42">
        <f t="shared" si="21"/>
        <v>1100</v>
      </c>
      <c r="R22" s="42">
        <v>1.1000000000000001</v>
      </c>
      <c r="S22" s="42">
        <f t="shared" si="22"/>
        <v>6.3030000000000003E-9</v>
      </c>
      <c r="T22" s="45">
        <f t="shared" si="23"/>
        <v>1.1459163058448263E-3</v>
      </c>
      <c r="U22" s="14">
        <f t="shared" si="24"/>
        <v>1.1459163058448263</v>
      </c>
      <c r="V22" s="43">
        <f t="shared" si="25"/>
        <v>5.6211299999999999E-2</v>
      </c>
      <c r="W22" s="14">
        <v>0.88570000000000004</v>
      </c>
      <c r="X22" s="46">
        <f t="shared" si="26"/>
        <v>9.8107164918223681E-3</v>
      </c>
      <c r="Y22" s="2">
        <v>73.021013689253934</v>
      </c>
      <c r="Z22" s="5">
        <f t="shared" si="27"/>
        <v>7.3021013689253927E-2</v>
      </c>
      <c r="AA22" s="5">
        <f t="shared" si="28"/>
        <v>7.3021013689253937</v>
      </c>
      <c r="AB22" s="46">
        <f t="shared" si="1"/>
        <v>1.0135320000000001</v>
      </c>
      <c r="AC22" s="42">
        <f t="shared" si="29"/>
        <v>7.4009134046496925</v>
      </c>
      <c r="AD22" s="42">
        <v>0.04</v>
      </c>
      <c r="AE22" s="42">
        <v>2.5</v>
      </c>
      <c r="AF22" s="14">
        <f t="shared" si="30"/>
        <v>12.395796605820316</v>
      </c>
      <c r="AG22" s="14">
        <f t="shared" si="31"/>
        <v>49.441185774598516</v>
      </c>
      <c r="AI22" s="58" t="s">
        <v>226</v>
      </c>
      <c r="AJ22" s="69">
        <f>AJ21/AJ20*100</f>
        <v>2.6985834256341716</v>
      </c>
      <c r="AK22" s="69">
        <f t="shared" ref="AK22:AQ22" si="44">AK21/AK20*100</f>
        <v>2.4943794334383642</v>
      </c>
      <c r="AL22" s="69">
        <f t="shared" si="44"/>
        <v>2.8554036838905019</v>
      </c>
      <c r="AM22" s="69">
        <f t="shared" si="44"/>
        <v>2.6486903766350345</v>
      </c>
      <c r="AN22" s="69">
        <f t="shared" si="44"/>
        <v>1.3080903881839558</v>
      </c>
      <c r="AO22" s="69">
        <f t="shared" si="44"/>
        <v>0.87766222624995183</v>
      </c>
      <c r="AP22" s="69">
        <f t="shared" si="44"/>
        <v>2.2781517717259976</v>
      </c>
      <c r="AQ22" s="69">
        <f t="shared" si="44"/>
        <v>1.0814564384035597</v>
      </c>
      <c r="AR22" s="1"/>
      <c r="AS22" s="1" t="s">
        <v>226</v>
      </c>
      <c r="AT22" s="1">
        <v>2.1</v>
      </c>
      <c r="AU22">
        <v>2.1</v>
      </c>
      <c r="AV22" s="58" t="s">
        <v>226</v>
      </c>
      <c r="AW22" s="69">
        <f t="shared" ref="AW22:BD22" si="45">AW21/AW20*100</f>
        <v>4.6899854128209322</v>
      </c>
      <c r="AX22" s="69">
        <f t="shared" si="45"/>
        <v>3.9881387850660444</v>
      </c>
      <c r="AY22" s="69">
        <f t="shared" si="45"/>
        <v>4.5643909057286205</v>
      </c>
      <c r="AZ22" s="69">
        <f t="shared" si="45"/>
        <v>5.8689448228340986</v>
      </c>
      <c r="BA22" s="69">
        <f t="shared" si="45"/>
        <v>2.2805720909484384</v>
      </c>
      <c r="BB22" s="69">
        <f t="shared" si="45"/>
        <v>3.5360892610289691</v>
      </c>
      <c r="BC22" s="69">
        <f t="shared" si="45"/>
        <v>4.3479148122862341</v>
      </c>
      <c r="BD22" s="69">
        <f t="shared" si="45"/>
        <v>4.9523691310774458</v>
      </c>
      <c r="BE22" s="1"/>
      <c r="BF22" s="1" t="s">
        <v>226</v>
      </c>
      <c r="BG22" s="1">
        <f>BG21/BG20*100</f>
        <v>5.3014110486338755</v>
      </c>
      <c r="BH22" s="1">
        <f>BH21/BH20*100</f>
        <v>5.3014110486338755</v>
      </c>
      <c r="BJ22" s="58" t="s">
        <v>226</v>
      </c>
      <c r="BK22" s="69">
        <f t="shared" ref="BK22:BR22" si="46">BK21/BK20*100</f>
        <v>1.3284903732559694</v>
      </c>
      <c r="BL22" s="69">
        <f t="shared" si="46"/>
        <v>1.6556842897674335</v>
      </c>
      <c r="BM22" s="69">
        <f t="shared" si="46"/>
        <v>1.0540770077640527</v>
      </c>
      <c r="BN22" s="69">
        <f t="shared" si="46"/>
        <v>1.4691891920488511</v>
      </c>
      <c r="BO22" s="69">
        <f t="shared" si="46"/>
        <v>1.4603730696435457</v>
      </c>
      <c r="BP22" s="69">
        <f t="shared" si="46"/>
        <v>1.1538685237872197</v>
      </c>
      <c r="BQ22" s="69">
        <f t="shared" si="46"/>
        <v>2.126231466849966</v>
      </c>
      <c r="BR22" s="69">
        <f t="shared" si="46"/>
        <v>1.4027577269281082</v>
      </c>
      <c r="BS22" s="1" t="s">
        <v>226</v>
      </c>
      <c r="BT22" s="1">
        <f>BT21/BT20*100</f>
        <v>1.5748480258304669</v>
      </c>
      <c r="BU22" s="1">
        <f>BU21/BU20*100</f>
        <v>1.5748480258304669</v>
      </c>
      <c r="BV22" s="58" t="s">
        <v>226</v>
      </c>
      <c r="BW22" s="69">
        <f t="shared" ref="BW22:CD22" si="47">BW21/BW20*100</f>
        <v>2.3537721921768036</v>
      </c>
      <c r="BX22" s="69">
        <f t="shared" si="47"/>
        <v>2.7350427350427315</v>
      </c>
      <c r="BY22" s="69">
        <f t="shared" si="47"/>
        <v>3.5951938425691505</v>
      </c>
      <c r="BZ22" s="69">
        <f t="shared" si="47"/>
        <v>2.4323083382338262</v>
      </c>
      <c r="CA22" s="69">
        <f t="shared" si="47"/>
        <v>1.5764992493053323</v>
      </c>
      <c r="CB22" s="69">
        <f t="shared" si="47"/>
        <v>2.5665470796499648</v>
      </c>
      <c r="CC22" s="69">
        <f t="shared" si="47"/>
        <v>1.0791753083603557</v>
      </c>
      <c r="CD22" s="69">
        <f t="shared" si="47"/>
        <v>3.1017566435457775</v>
      </c>
      <c r="CE22" s="1" t="s">
        <v>226</v>
      </c>
      <c r="CF22" s="1">
        <v>2.1</v>
      </c>
      <c r="CG22" s="1">
        <v>2.1</v>
      </c>
    </row>
    <row r="23" spans="1:102" x14ac:dyDescent="0.25">
      <c r="A23" s="42">
        <v>5</v>
      </c>
      <c r="B23" s="42"/>
      <c r="C23" s="42">
        <v>400</v>
      </c>
      <c r="D23" s="42">
        <v>0.4</v>
      </c>
      <c r="E23" s="42">
        <f t="shared" si="15"/>
        <v>20</v>
      </c>
      <c r="F23" s="42">
        <v>58.44</v>
      </c>
      <c r="G23" s="42">
        <f t="shared" si="16"/>
        <v>50000</v>
      </c>
      <c r="H23" s="68">
        <f t="shared" si="17"/>
        <v>0.3422313483915127</v>
      </c>
      <c r="I23" s="46">
        <f t="shared" si="18"/>
        <v>0.85557837097878175</v>
      </c>
      <c r="J23" s="15">
        <f t="shared" si="14"/>
        <v>855.57837097878178</v>
      </c>
      <c r="K23">
        <v>1036.454</v>
      </c>
      <c r="L23" s="5">
        <f t="shared" si="19"/>
        <v>1.036454</v>
      </c>
      <c r="M23" s="17">
        <v>4</v>
      </c>
      <c r="N23" s="42"/>
      <c r="O23" s="42">
        <f t="shared" si="20"/>
        <v>0</v>
      </c>
      <c r="P23" s="42">
        <v>5.7299999999999999E-3</v>
      </c>
      <c r="Q23" s="42">
        <f t="shared" si="21"/>
        <v>1100</v>
      </c>
      <c r="R23" s="42">
        <v>1.1000000000000001</v>
      </c>
      <c r="S23" s="42">
        <f t="shared" si="22"/>
        <v>6.3030000000000003E-9</v>
      </c>
      <c r="T23" s="45">
        <f t="shared" si="23"/>
        <v>1.1459163058448263E-3</v>
      </c>
      <c r="U23" s="14">
        <f t="shared" si="24"/>
        <v>1.1459163058448263</v>
      </c>
      <c r="V23" s="43">
        <f t="shared" si="25"/>
        <v>5.6211299999999999E-2</v>
      </c>
      <c r="W23" s="14">
        <v>0.88570000000000004</v>
      </c>
      <c r="X23" s="46">
        <f t="shared" si="26"/>
        <v>9.8107164918223681E-3</v>
      </c>
      <c r="Y23" s="2">
        <v>73.891034223134838</v>
      </c>
      <c r="Z23" s="5">
        <f t="shared" si="27"/>
        <v>7.3891034223134838E-2</v>
      </c>
      <c r="AA23" s="5">
        <f t="shared" si="28"/>
        <v>7.3891034223134842</v>
      </c>
      <c r="AB23" s="46">
        <f t="shared" si="1"/>
        <v>1.036454</v>
      </c>
      <c r="AC23" s="42">
        <f t="shared" si="29"/>
        <v>7.6584657984705</v>
      </c>
      <c r="AD23" s="42">
        <v>0.04</v>
      </c>
      <c r="AE23" s="42">
        <v>2.5</v>
      </c>
      <c r="AF23" s="14">
        <f t="shared" si="30"/>
        <v>12.395796605820316</v>
      </c>
      <c r="AG23" s="14">
        <f t="shared" si="31"/>
        <v>49.441185774598516</v>
      </c>
      <c r="AI23" s="58" t="s">
        <v>235</v>
      </c>
      <c r="AJ23" s="58"/>
      <c r="AK23" s="58"/>
      <c r="AL23" s="58"/>
      <c r="AM23" s="58"/>
      <c r="AN23" s="58"/>
      <c r="AO23" s="58"/>
      <c r="AP23" s="58"/>
      <c r="AQ23" s="58"/>
      <c r="AV23" s="58" t="s">
        <v>235</v>
      </c>
      <c r="AW23" s="74">
        <f>(AJ20-AW20)/AJ20*100</f>
        <v>37.442455242966759</v>
      </c>
      <c r="AX23" s="74">
        <f t="shared" ref="AX23:BD23" si="48">(AK20-AX20)/AK20*100</f>
        <v>35.732516590096999</v>
      </c>
      <c r="AY23" s="74">
        <f t="shared" si="48"/>
        <v>34.887295081967217</v>
      </c>
      <c r="AZ23" s="74">
        <f t="shared" si="48"/>
        <v>36.878727634194831</v>
      </c>
      <c r="BA23" s="74">
        <f t="shared" si="48"/>
        <v>35.922810489856502</v>
      </c>
      <c r="BB23" s="74">
        <f t="shared" si="48"/>
        <v>35.869565217391312</v>
      </c>
      <c r="BC23" s="74">
        <f t="shared" si="48"/>
        <v>34.311287916459484</v>
      </c>
      <c r="BD23" s="74">
        <f t="shared" si="48"/>
        <v>31.036217303822937</v>
      </c>
      <c r="BE23" s="2"/>
      <c r="BJ23" s="58" t="s">
        <v>235</v>
      </c>
      <c r="BK23" s="74"/>
      <c r="BL23" s="74"/>
      <c r="BM23" s="74"/>
      <c r="BN23" s="74"/>
      <c r="BO23" s="74"/>
      <c r="BP23" s="74"/>
      <c r="BQ23" s="74"/>
      <c r="BR23" s="74"/>
      <c r="BV23" s="58" t="s">
        <v>235</v>
      </c>
      <c r="BW23" s="74">
        <f>(BK20-BW20)/BK20*100</f>
        <v>15.647712697734073</v>
      </c>
      <c r="BX23" s="74">
        <f t="shared" ref="BX23:CD23" si="49">(BK20-BX20)/BK20*100</f>
        <v>16.631038905515165</v>
      </c>
      <c r="BY23" s="74">
        <f t="shared" si="49"/>
        <v>14.652956298200493</v>
      </c>
      <c r="BZ23" s="74">
        <f t="shared" si="49"/>
        <v>13.698049194232398</v>
      </c>
      <c r="CA23" s="74">
        <f t="shared" si="49"/>
        <v>14.120667522464684</v>
      </c>
      <c r="CB23" s="74">
        <f t="shared" si="49"/>
        <v>12.808510638297859</v>
      </c>
      <c r="CC23" s="74">
        <f t="shared" si="49"/>
        <v>10.620220900594731</v>
      </c>
      <c r="CD23" s="74">
        <f t="shared" si="49"/>
        <v>11.347967685995872</v>
      </c>
    </row>
    <row r="24" spans="1:102" x14ac:dyDescent="0.25">
      <c r="A24" s="42">
        <v>10</v>
      </c>
      <c r="B24" s="42"/>
      <c r="C24" s="42">
        <v>400</v>
      </c>
      <c r="D24" s="42">
        <v>0.4</v>
      </c>
      <c r="E24" s="42">
        <f t="shared" si="15"/>
        <v>40</v>
      </c>
      <c r="F24" s="42">
        <v>58.44</v>
      </c>
      <c r="G24" s="42">
        <f t="shared" si="16"/>
        <v>100000</v>
      </c>
      <c r="H24" s="68">
        <f t="shared" si="17"/>
        <v>0.6844626967830254</v>
      </c>
      <c r="I24" s="46">
        <f t="shared" si="18"/>
        <v>1.7111567419575635</v>
      </c>
      <c r="J24" s="15">
        <f t="shared" si="14"/>
        <v>1711.1567419575636</v>
      </c>
      <c r="K24">
        <v>1075.69</v>
      </c>
      <c r="L24" s="5">
        <f>K24/1000</f>
        <v>1.07569</v>
      </c>
      <c r="M24" s="42">
        <v>3.6</v>
      </c>
      <c r="N24" s="42"/>
      <c r="O24" s="42">
        <f t="shared" si="20"/>
        <v>0</v>
      </c>
      <c r="P24" s="42">
        <v>5.7299999999999999E-3</v>
      </c>
      <c r="Q24" s="42">
        <f t="shared" si="21"/>
        <v>1100</v>
      </c>
      <c r="R24" s="42">
        <v>1.1000000000000001</v>
      </c>
      <c r="S24" s="42">
        <f t="shared" si="22"/>
        <v>6.3030000000000003E-9</v>
      </c>
      <c r="T24" s="45">
        <f t="shared" si="23"/>
        <v>1.1459163058448263E-3</v>
      </c>
      <c r="U24" s="14">
        <f t="shared" si="24"/>
        <v>1.1459163058448263</v>
      </c>
      <c r="V24" s="43">
        <f>($P$17/1000)*9.81*1000</f>
        <v>5.6211299999999999E-2</v>
      </c>
      <c r="W24" s="14">
        <v>0.88570000000000004</v>
      </c>
      <c r="X24" s="46">
        <f t="shared" si="26"/>
        <v>8.8296448426401289E-3</v>
      </c>
      <c r="Y24" s="2">
        <v>75.341068446269688</v>
      </c>
      <c r="Z24" s="5">
        <f t="shared" si="27"/>
        <v>7.5341068446269685E-2</v>
      </c>
      <c r="AA24" s="5">
        <f t="shared" si="28"/>
        <v>7.5341068446269688</v>
      </c>
      <c r="AB24" s="46">
        <f t="shared" si="1"/>
        <v>1.07569</v>
      </c>
      <c r="AC24" s="42">
        <f t="shared" si="29"/>
        <v>8.1043633916967845</v>
      </c>
      <c r="AD24" s="42">
        <v>0.04</v>
      </c>
      <c r="AE24" s="42">
        <v>2.5</v>
      </c>
      <c r="AF24" s="14">
        <f t="shared" si="30"/>
        <v>12.395796605820316</v>
      </c>
      <c r="AG24" s="14">
        <f t="shared" si="31"/>
        <v>49.441185774598516</v>
      </c>
      <c r="AI24" s="116" t="s">
        <v>223</v>
      </c>
      <c r="AJ24" s="114" t="s">
        <v>195</v>
      </c>
      <c r="AK24" s="114"/>
      <c r="AL24" s="114"/>
      <c r="AM24" s="114"/>
      <c r="AN24" s="114"/>
      <c r="AO24" s="114"/>
      <c r="AP24" s="114"/>
      <c r="AQ24" s="114"/>
      <c r="AR24" s="64"/>
      <c r="AS24" s="20" t="s">
        <v>236</v>
      </c>
      <c r="AT24" s="1">
        <f>AT20+AT21</f>
        <v>2.0404388837356739</v>
      </c>
      <c r="AU24" s="1">
        <f>AU20+AU21</f>
        <v>2.0404388837356739</v>
      </c>
      <c r="AV24" s="116" t="s">
        <v>223</v>
      </c>
      <c r="AW24" s="114" t="s">
        <v>195</v>
      </c>
      <c r="AX24" s="114"/>
      <c r="AY24" s="114"/>
      <c r="AZ24" s="114"/>
      <c r="BA24" s="114"/>
      <c r="BB24" s="114"/>
      <c r="BC24" s="114"/>
      <c r="BD24" s="114"/>
      <c r="BE24" s="64"/>
      <c r="BF24" s="20" t="s">
        <v>236</v>
      </c>
      <c r="BG24" s="1">
        <f>BG20+BG21</f>
        <v>1.3568086813616482</v>
      </c>
      <c r="BH24" s="1">
        <f>BH20+BH21</f>
        <v>1.3568086813616482</v>
      </c>
      <c r="BJ24" s="112" t="s">
        <v>237</v>
      </c>
      <c r="BK24" s="114"/>
      <c r="BL24" s="114"/>
      <c r="BM24" s="114"/>
      <c r="BN24" s="114"/>
      <c r="BO24" s="114"/>
      <c r="BP24" s="114"/>
      <c r="BQ24" s="114"/>
      <c r="BR24" s="114"/>
      <c r="BS24" s="20" t="s">
        <v>236</v>
      </c>
      <c r="BT24" s="1">
        <f>BT20+BT21</f>
        <v>2.3806187134843793</v>
      </c>
      <c r="BU24" s="1">
        <f>BU20+BU21</f>
        <v>2.3806187134843793</v>
      </c>
      <c r="BW24" s="114"/>
      <c r="BX24" s="114"/>
      <c r="BY24" s="114"/>
      <c r="BZ24" s="114"/>
      <c r="CA24" s="114"/>
      <c r="CB24" s="114"/>
      <c r="CC24" s="114"/>
      <c r="CD24" s="114"/>
      <c r="CE24" s="20" t="s">
        <v>236</v>
      </c>
      <c r="CF24" s="1">
        <f>CF20+CF21</f>
        <v>2.097505121547905</v>
      </c>
      <c r="CG24" s="1">
        <f>CG20+CG21</f>
        <v>2.1005634520290366</v>
      </c>
    </row>
    <row r="25" spans="1:102" x14ac:dyDescent="0.25">
      <c r="M25" s="42" t="s">
        <v>193</v>
      </c>
      <c r="N25" s="42"/>
      <c r="O25" s="42"/>
      <c r="P25" s="42"/>
      <c r="Q25" s="42"/>
      <c r="R25" s="42" t="s">
        <v>238</v>
      </c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I25" s="116"/>
      <c r="AJ25" s="29">
        <v>0.01</v>
      </c>
      <c r="AK25" s="29">
        <v>0.05</v>
      </c>
      <c r="AL25" s="29">
        <v>0.1</v>
      </c>
      <c r="AM25" s="29">
        <v>0.5</v>
      </c>
      <c r="AN25" s="29">
        <v>1</v>
      </c>
      <c r="AO25" s="29">
        <v>2</v>
      </c>
      <c r="AP25" s="29">
        <v>5</v>
      </c>
      <c r="AQ25" s="29">
        <v>10</v>
      </c>
      <c r="AR25" s="20"/>
      <c r="AS25" s="64" t="s">
        <v>239</v>
      </c>
      <c r="AT25" s="1">
        <f>AT20-AT21</f>
        <v>1.9400611162643278</v>
      </c>
      <c r="AU25" s="1">
        <f>AU20-AU21</f>
        <v>1.9400611162643278</v>
      </c>
      <c r="AV25" s="116"/>
      <c r="AW25" s="29">
        <v>0.01</v>
      </c>
      <c r="AX25" s="29">
        <v>0.05</v>
      </c>
      <c r="AY25" s="29">
        <v>0.1</v>
      </c>
      <c r="AZ25" s="29">
        <v>0.5</v>
      </c>
      <c r="BA25" s="29">
        <v>1</v>
      </c>
      <c r="BB25" s="29">
        <v>2</v>
      </c>
      <c r="BC25" s="29">
        <v>5</v>
      </c>
      <c r="BD25" s="29">
        <v>10</v>
      </c>
      <c r="BE25" s="20"/>
      <c r="BF25" s="64" t="s">
        <v>239</v>
      </c>
      <c r="BG25" s="1">
        <f>BG20-BG21</f>
        <v>1.2201913186383531</v>
      </c>
      <c r="BH25" s="1">
        <f>BH20-BH21</f>
        <v>1.2201913186383531</v>
      </c>
      <c r="BJ25" s="112"/>
      <c r="BK25" s="29">
        <v>0.01</v>
      </c>
      <c r="BL25" s="29">
        <v>0.05</v>
      </c>
      <c r="BM25" s="29">
        <v>0.1</v>
      </c>
      <c r="BN25" s="29">
        <v>0.5</v>
      </c>
      <c r="BO25" s="29">
        <v>1</v>
      </c>
      <c r="BP25" s="29">
        <v>2</v>
      </c>
      <c r="BQ25" s="29">
        <v>5</v>
      </c>
      <c r="BR25" s="29">
        <v>10</v>
      </c>
      <c r="BS25" s="64" t="s">
        <v>239</v>
      </c>
      <c r="BT25" s="1">
        <f>BT20-BT21</f>
        <v>2.3067990080346101</v>
      </c>
      <c r="BU25" s="1">
        <f>BU20-BU21</f>
        <v>2.3067990080346101</v>
      </c>
      <c r="BW25" s="29">
        <v>0.01</v>
      </c>
      <c r="BX25" s="29">
        <v>0.05</v>
      </c>
      <c r="BY25" s="29">
        <v>0.1</v>
      </c>
      <c r="BZ25" s="29">
        <v>0.5</v>
      </c>
      <c r="CA25" s="29">
        <v>1</v>
      </c>
      <c r="CB25" s="29">
        <v>2</v>
      </c>
      <c r="CC25" s="29">
        <v>5</v>
      </c>
      <c r="CD25" s="29">
        <v>10</v>
      </c>
      <c r="CE25" s="64" t="s">
        <v>239</v>
      </c>
      <c r="CF25" s="1">
        <f>CF20-CF21</f>
        <v>1.9539948784520975</v>
      </c>
      <c r="CG25" s="1">
        <f>CG20-CG21</f>
        <v>1.9660079765423928</v>
      </c>
    </row>
    <row r="26" spans="1:102" ht="15" customHeight="1" x14ac:dyDescent="0.25"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I26" s="117" t="s">
        <v>222</v>
      </c>
      <c r="AJ26" s="69">
        <v>1.71</v>
      </c>
      <c r="AK26" s="58">
        <v>1.72</v>
      </c>
      <c r="AL26" s="69">
        <v>1.83</v>
      </c>
      <c r="AM26" s="69">
        <v>1.77</v>
      </c>
      <c r="AN26" s="69">
        <v>1.76</v>
      </c>
      <c r="AO26" s="69">
        <v>1.9</v>
      </c>
      <c r="AP26" s="69">
        <v>1.83</v>
      </c>
      <c r="AQ26" s="69">
        <v>1.76</v>
      </c>
      <c r="AV26" s="117" t="s">
        <v>222</v>
      </c>
      <c r="AW26" s="69">
        <v>1</v>
      </c>
      <c r="AX26" s="58">
        <v>1.03</v>
      </c>
      <c r="AY26" s="69">
        <v>1.1100000000000001</v>
      </c>
      <c r="AZ26" s="69">
        <v>1.0900000000000001</v>
      </c>
      <c r="BA26" s="69">
        <v>1.1399999999999999</v>
      </c>
      <c r="BB26" s="69">
        <v>1.21</v>
      </c>
      <c r="BC26" s="69">
        <v>1.1499999999999999</v>
      </c>
      <c r="BD26" s="69">
        <v>1.21</v>
      </c>
      <c r="BE26" s="1"/>
      <c r="BF26" s="1"/>
      <c r="BG26" s="1"/>
      <c r="BH26" s="1"/>
      <c r="BK26" s="69"/>
      <c r="BL26" s="58"/>
      <c r="BM26" s="69"/>
      <c r="BN26" s="69"/>
      <c r="BO26" s="69"/>
      <c r="BP26" s="69"/>
      <c r="BQ26" s="69"/>
      <c r="BR26" s="69"/>
      <c r="BS26" s="1"/>
      <c r="BT26" s="1"/>
      <c r="BU26" s="1"/>
      <c r="BW26" s="69"/>
      <c r="BX26" s="58"/>
      <c r="BY26" s="69"/>
      <c r="BZ26" s="69"/>
      <c r="CA26" s="69"/>
      <c r="CB26" s="69"/>
      <c r="CC26" s="69"/>
      <c r="CD26" s="69"/>
      <c r="CE26" s="1"/>
      <c r="CF26" s="1"/>
      <c r="CG26" s="1"/>
    </row>
    <row r="27" spans="1:102" x14ac:dyDescent="0.25">
      <c r="AI27" s="117"/>
      <c r="AJ27" s="69">
        <v>1.64</v>
      </c>
      <c r="AK27" s="58">
        <v>1.84</v>
      </c>
      <c r="AL27" s="69">
        <v>1.82</v>
      </c>
      <c r="AM27" s="69">
        <v>1.77</v>
      </c>
      <c r="AN27" s="69">
        <v>1.89</v>
      </c>
      <c r="AO27" s="69">
        <v>1.77</v>
      </c>
      <c r="AP27" s="69">
        <v>1.86</v>
      </c>
      <c r="AQ27" s="69">
        <v>1.66</v>
      </c>
      <c r="AV27" s="117"/>
      <c r="AW27" s="69">
        <v>0.97</v>
      </c>
      <c r="AX27" s="58">
        <v>1.0900000000000001</v>
      </c>
      <c r="AY27" s="69">
        <v>1.06</v>
      </c>
      <c r="AZ27" s="69">
        <v>1.08</v>
      </c>
      <c r="BA27" s="69">
        <v>1.1399999999999999</v>
      </c>
      <c r="BB27" s="69">
        <v>1.21</v>
      </c>
      <c r="BC27" s="69">
        <v>1.1499999999999999</v>
      </c>
      <c r="BD27" s="69">
        <v>1.21</v>
      </c>
      <c r="BE27" s="1"/>
      <c r="BF27" s="1"/>
      <c r="BG27" s="1"/>
      <c r="BH27" s="1"/>
      <c r="BK27" s="69"/>
      <c r="BL27" s="58"/>
      <c r="BM27" s="69"/>
      <c r="BN27" s="69"/>
      <c r="BO27" s="69"/>
      <c r="BP27" s="69"/>
      <c r="BQ27" s="69"/>
      <c r="BR27" s="69"/>
      <c r="BS27" s="1"/>
      <c r="BT27" s="1"/>
      <c r="BU27" s="1"/>
      <c r="BW27" s="69"/>
      <c r="BX27" s="58"/>
      <c r="BY27" s="69"/>
      <c r="BZ27" s="69"/>
      <c r="CA27" s="69"/>
      <c r="CB27" s="69"/>
      <c r="CC27" s="69"/>
      <c r="CD27" s="69"/>
      <c r="CE27" s="1"/>
      <c r="CF27" s="1"/>
      <c r="CG27" s="1"/>
    </row>
    <row r="28" spans="1:102" x14ac:dyDescent="0.25">
      <c r="F28" t="s">
        <v>240</v>
      </c>
      <c r="G28" t="s">
        <v>241</v>
      </c>
      <c r="AI28" s="117"/>
      <c r="AJ28" s="69">
        <v>1.7</v>
      </c>
      <c r="AK28" s="58">
        <v>1.75</v>
      </c>
      <c r="AL28" s="69">
        <v>1.83</v>
      </c>
      <c r="AM28" s="69">
        <v>1.79</v>
      </c>
      <c r="AN28" s="69">
        <v>1.79</v>
      </c>
      <c r="AO28" s="69">
        <v>1.76</v>
      </c>
      <c r="AP28" s="69">
        <v>1.83</v>
      </c>
      <c r="AQ28" s="69">
        <v>1.72</v>
      </c>
      <c r="AV28" s="117"/>
      <c r="AW28" s="69">
        <v>0.97</v>
      </c>
      <c r="AX28" s="58">
        <v>1.04</v>
      </c>
      <c r="AY28" s="69">
        <v>1.02</v>
      </c>
      <c r="AZ28" s="69">
        <v>1.1200000000000001</v>
      </c>
      <c r="BA28" s="69">
        <v>1.17</v>
      </c>
      <c r="BB28" s="69">
        <v>1.1599999999999999</v>
      </c>
      <c r="BC28" s="69">
        <v>1.18</v>
      </c>
      <c r="BD28" s="69">
        <v>1.1399999999999999</v>
      </c>
      <c r="BE28" s="1"/>
      <c r="BF28" s="1"/>
      <c r="BG28" s="1"/>
      <c r="BH28" s="1"/>
      <c r="BK28" s="69"/>
      <c r="BL28" s="58"/>
      <c r="BM28" s="69"/>
      <c r="BN28" s="69"/>
      <c r="BO28" s="69"/>
      <c r="BP28" s="69"/>
      <c r="BQ28" s="69"/>
      <c r="BR28" s="69"/>
      <c r="BS28" s="1"/>
      <c r="BT28" s="1"/>
      <c r="BU28" s="1"/>
      <c r="BW28" s="69"/>
      <c r="BX28" s="58"/>
      <c r="BY28" s="69"/>
      <c r="BZ28" s="69"/>
      <c r="CA28" s="69"/>
      <c r="CB28" s="69"/>
      <c r="CC28" s="69"/>
      <c r="CD28" s="69"/>
      <c r="CE28" s="1"/>
      <c r="CF28" s="1"/>
      <c r="CG28" s="1"/>
    </row>
    <row r="29" spans="1:102" x14ac:dyDescent="0.25">
      <c r="F29">
        <v>0</v>
      </c>
      <c r="G29">
        <v>72.72</v>
      </c>
      <c r="I29" t="s">
        <v>242</v>
      </c>
      <c r="J29" t="s">
        <v>241</v>
      </c>
      <c r="AI29" s="117"/>
      <c r="AJ29" s="69">
        <v>1.81</v>
      </c>
      <c r="AK29" s="58">
        <v>1.77</v>
      </c>
      <c r="AL29" s="69">
        <v>1.75</v>
      </c>
      <c r="AM29" s="69">
        <v>1.74</v>
      </c>
      <c r="AN29" s="69">
        <v>1.74</v>
      </c>
      <c r="AO29" s="69">
        <v>1.76</v>
      </c>
      <c r="AP29" s="69">
        <v>1.82</v>
      </c>
      <c r="AQ29" s="69">
        <v>1.76</v>
      </c>
      <c r="AV29" s="117"/>
      <c r="AW29" s="69">
        <v>0.97</v>
      </c>
      <c r="AX29" s="58">
        <v>1.1000000000000001</v>
      </c>
      <c r="AY29" s="69">
        <v>1.0900000000000001</v>
      </c>
      <c r="AZ29" s="69">
        <v>1.18</v>
      </c>
      <c r="BA29" s="69">
        <v>1.19</v>
      </c>
      <c r="BB29" s="69">
        <v>1.1000000000000001</v>
      </c>
      <c r="BC29" s="69">
        <v>1.1399999999999999</v>
      </c>
      <c r="BD29" s="69">
        <v>1.1599999999999999</v>
      </c>
      <c r="BE29" s="1"/>
      <c r="BF29" s="1"/>
      <c r="BG29" s="1"/>
      <c r="BH29" s="1"/>
      <c r="BK29" s="69"/>
      <c r="BL29" s="58"/>
      <c r="BM29" s="69"/>
      <c r="BN29" s="69"/>
      <c r="BO29" s="69"/>
      <c r="BP29" s="69"/>
      <c r="BQ29" s="69"/>
      <c r="BR29" s="69"/>
      <c r="BS29" s="1"/>
      <c r="BT29" s="1"/>
      <c r="BU29" s="1"/>
      <c r="BW29" s="69"/>
      <c r="BX29" s="58"/>
      <c r="BY29" s="69"/>
      <c r="BZ29" s="69"/>
      <c r="CA29" s="69"/>
      <c r="CB29" s="69"/>
      <c r="CC29" s="69"/>
      <c r="CD29" s="69"/>
      <c r="CE29" s="1"/>
      <c r="CF29" s="1"/>
      <c r="CG29" s="1"/>
    </row>
    <row r="30" spans="1:102" x14ac:dyDescent="0.25">
      <c r="F30">
        <v>0.25</v>
      </c>
      <c r="G30">
        <v>73.03</v>
      </c>
      <c r="I30" s="46">
        <v>1.7111567419575632E-3</v>
      </c>
      <c r="J30">
        <f>1.6948*I30+72.441</f>
        <v>72.443900068446268</v>
      </c>
      <c r="AI30" s="117"/>
      <c r="AJ30" s="69">
        <v>1.79</v>
      </c>
      <c r="AK30" s="58">
        <v>1.85</v>
      </c>
      <c r="AL30" s="69">
        <v>1.81</v>
      </c>
      <c r="AM30" s="69">
        <v>1.83</v>
      </c>
      <c r="AN30" s="69">
        <v>1.78</v>
      </c>
      <c r="AO30" s="69">
        <v>1.74</v>
      </c>
      <c r="AP30" s="69">
        <v>1.71</v>
      </c>
      <c r="AQ30" s="69">
        <v>1.7</v>
      </c>
      <c r="AV30" s="117"/>
      <c r="AW30" s="69">
        <v>1.01</v>
      </c>
      <c r="AX30" s="58">
        <v>1.04</v>
      </c>
      <c r="AY30" s="69">
        <v>1.1100000000000001</v>
      </c>
      <c r="AZ30" s="69">
        <v>1.1100000000000001</v>
      </c>
      <c r="BA30" s="69">
        <v>1.1399999999999999</v>
      </c>
      <c r="BB30" s="69">
        <v>1.19</v>
      </c>
      <c r="BC30" s="69">
        <v>1.1499999999999999</v>
      </c>
      <c r="BD30" s="69">
        <v>1.1399999999999999</v>
      </c>
      <c r="BE30" s="1"/>
      <c r="BF30" s="1"/>
      <c r="BG30" s="1"/>
      <c r="BH30" s="1"/>
      <c r="BK30" s="69"/>
      <c r="BL30" s="58"/>
      <c r="BM30" s="69"/>
      <c r="BN30" s="69"/>
      <c r="BO30" s="69"/>
      <c r="BP30" s="69"/>
      <c r="BQ30" s="69"/>
      <c r="BR30" s="69"/>
      <c r="BS30" s="1"/>
      <c r="BT30" s="1"/>
      <c r="BU30" s="1"/>
      <c r="BW30" s="69"/>
      <c r="BX30" s="58"/>
      <c r="BY30" s="69"/>
      <c r="BZ30" s="69"/>
      <c r="CA30" s="69"/>
      <c r="CB30" s="69"/>
      <c r="CC30" s="69"/>
      <c r="CD30" s="69"/>
      <c r="CE30" s="1"/>
      <c r="CF30" s="1"/>
      <c r="CG30" s="1"/>
    </row>
    <row r="31" spans="1:102" x14ac:dyDescent="0.25">
      <c r="F31">
        <v>0.5</v>
      </c>
      <c r="G31">
        <v>73.459999999999994</v>
      </c>
      <c r="I31" s="46">
        <v>8.5557837097878162E-3</v>
      </c>
      <c r="J31">
        <f t="shared" ref="J31:J37" si="50">1.6948*I31+72.441</f>
        <v>72.455500342231346</v>
      </c>
      <c r="AI31" s="117"/>
      <c r="AJ31" s="69">
        <v>1.75</v>
      </c>
      <c r="AK31" s="58">
        <v>1.74</v>
      </c>
      <c r="AL31" s="69">
        <v>1.86</v>
      </c>
      <c r="AM31" s="69">
        <v>1.77</v>
      </c>
      <c r="AN31" s="69">
        <v>1.79</v>
      </c>
      <c r="AO31" s="69">
        <v>1.89</v>
      </c>
      <c r="AP31" s="69">
        <v>1.8</v>
      </c>
      <c r="AQ31" s="69">
        <v>1.75</v>
      </c>
      <c r="AV31" s="117"/>
      <c r="AW31" s="69">
        <v>0.93</v>
      </c>
      <c r="AX31" s="58">
        <v>0.98</v>
      </c>
      <c r="AY31" s="69">
        <v>1.04</v>
      </c>
      <c r="AZ31" s="69">
        <v>1.1200000000000001</v>
      </c>
      <c r="BA31" s="69">
        <v>1.1399999999999999</v>
      </c>
      <c r="BB31" s="69">
        <v>1.1399999999999999</v>
      </c>
      <c r="BC31" s="69">
        <v>1.1299999999999999</v>
      </c>
      <c r="BD31" s="69">
        <v>1.23</v>
      </c>
      <c r="BE31" s="1"/>
      <c r="BF31" s="1"/>
      <c r="BG31" s="1"/>
      <c r="BH31" s="1"/>
      <c r="BK31" s="69"/>
      <c r="BL31" s="58"/>
      <c r="BM31" s="69"/>
      <c r="BN31" s="69"/>
      <c r="BO31" s="69"/>
      <c r="BP31" s="69"/>
      <c r="BQ31" s="69"/>
      <c r="BR31" s="69"/>
      <c r="BS31" s="1"/>
      <c r="BT31" s="1"/>
      <c r="BU31" s="1"/>
      <c r="BW31" s="69"/>
      <c r="BX31" s="58"/>
      <c r="BY31" s="69"/>
      <c r="BZ31" s="69"/>
      <c r="CA31" s="69"/>
      <c r="CB31" s="69"/>
      <c r="CC31" s="69"/>
      <c r="CD31" s="69"/>
      <c r="CE31" s="1"/>
      <c r="CF31" s="1"/>
      <c r="CG31" s="1"/>
    </row>
    <row r="32" spans="1:102" x14ac:dyDescent="0.25">
      <c r="F32">
        <v>1</v>
      </c>
      <c r="G32">
        <v>74.05</v>
      </c>
      <c r="I32" s="46">
        <v>1.7111567419575632E-2</v>
      </c>
      <c r="J32">
        <f t="shared" si="50"/>
        <v>72.470000684462704</v>
      </c>
      <c r="AI32" s="117"/>
      <c r="AJ32" s="69">
        <v>1.75</v>
      </c>
      <c r="AK32" s="58">
        <v>1.65</v>
      </c>
      <c r="AL32" s="69">
        <v>1.84</v>
      </c>
      <c r="AM32" s="69">
        <v>1.77</v>
      </c>
      <c r="AN32" s="69">
        <v>1.81</v>
      </c>
      <c r="AO32" s="69">
        <v>1.74</v>
      </c>
      <c r="AP32" s="69">
        <v>1.84</v>
      </c>
      <c r="AQ32" s="69">
        <v>1.81</v>
      </c>
      <c r="AV32" s="117"/>
      <c r="AW32" s="69">
        <v>1.03</v>
      </c>
      <c r="AX32" s="58">
        <v>1.01</v>
      </c>
      <c r="AY32" s="69">
        <v>1.111</v>
      </c>
      <c r="AZ32" s="69">
        <v>1.1200000000000001</v>
      </c>
      <c r="BA32" s="69">
        <v>1.1299999999999999</v>
      </c>
      <c r="BB32" s="69">
        <v>1.1499999999999999</v>
      </c>
      <c r="BC32" s="69">
        <v>1.1100000000000001</v>
      </c>
      <c r="BD32" s="69">
        <v>1.1299999999999999</v>
      </c>
      <c r="BE32" s="1"/>
      <c r="BF32" s="70">
        <f>1.11/2</f>
        <v>0.55500000000000005</v>
      </c>
      <c r="BG32" s="1"/>
      <c r="BH32" s="1"/>
      <c r="BK32" s="69"/>
      <c r="BL32" s="58"/>
      <c r="BM32" s="69"/>
      <c r="BN32" s="69"/>
      <c r="BO32" s="69"/>
      <c r="BP32" s="69"/>
      <c r="BQ32" s="69"/>
      <c r="BR32" s="69"/>
      <c r="BS32" s="1"/>
      <c r="BT32" s="1"/>
      <c r="BU32" s="1"/>
      <c r="BW32" s="69"/>
      <c r="BX32" s="58"/>
      <c r="BY32" s="69"/>
      <c r="BZ32" s="69"/>
      <c r="CA32" s="69"/>
      <c r="CB32" s="69"/>
      <c r="CC32" s="69"/>
      <c r="CD32" s="69"/>
      <c r="CE32" s="1"/>
      <c r="CF32" s="1"/>
      <c r="CG32" s="1"/>
    </row>
    <row r="33" spans="6:85" x14ac:dyDescent="0.25">
      <c r="F33">
        <v>1.5</v>
      </c>
      <c r="G33">
        <v>74.75</v>
      </c>
      <c r="I33" s="46">
        <v>8.5557837097878162E-2</v>
      </c>
      <c r="J33">
        <f t="shared" si="50"/>
        <v>72.586003422313482</v>
      </c>
      <c r="AI33" s="117"/>
      <c r="AJ33" s="69">
        <v>1.71</v>
      </c>
      <c r="AK33" s="58">
        <v>1.85</v>
      </c>
      <c r="AL33" s="69">
        <v>1.82</v>
      </c>
      <c r="AM33" s="69">
        <v>1.84</v>
      </c>
      <c r="AN33" s="69">
        <v>1.83</v>
      </c>
      <c r="AO33" s="69">
        <v>1.77</v>
      </c>
      <c r="AP33" s="69">
        <v>1.77</v>
      </c>
      <c r="AQ33" s="69">
        <v>1.7</v>
      </c>
      <c r="AV33" s="117"/>
      <c r="AW33" s="69">
        <v>1.06</v>
      </c>
      <c r="AX33" s="58">
        <v>1.1000000000000001</v>
      </c>
      <c r="AY33" s="69">
        <v>1.04</v>
      </c>
      <c r="AZ33" s="69">
        <v>1.1100000000000001</v>
      </c>
      <c r="BA33" s="69">
        <v>1.24</v>
      </c>
      <c r="BB33" s="69">
        <v>1.2</v>
      </c>
      <c r="BC33" s="69">
        <v>1.17</v>
      </c>
      <c r="BD33" s="69">
        <v>1.1399999999999999</v>
      </c>
      <c r="BE33" s="1"/>
      <c r="BF33" s="70">
        <f>BF32/1000</f>
        <v>5.5500000000000005E-4</v>
      </c>
      <c r="BG33" s="1"/>
      <c r="BH33" s="1"/>
      <c r="BK33" s="69"/>
      <c r="BL33" s="58"/>
      <c r="BM33" s="69"/>
      <c r="BN33" s="69"/>
      <c r="BO33" s="69"/>
      <c r="BP33" s="69"/>
      <c r="BQ33" s="69"/>
      <c r="BR33" s="69"/>
      <c r="BS33" s="1"/>
      <c r="BT33" s="1"/>
      <c r="BU33" s="1"/>
      <c r="BW33" s="69"/>
      <c r="BX33" s="58"/>
      <c r="BY33" s="69"/>
      <c r="BZ33" s="69"/>
      <c r="CA33" s="69"/>
      <c r="CB33" s="69"/>
      <c r="CC33" s="69"/>
      <c r="CD33" s="69"/>
      <c r="CE33" s="1"/>
      <c r="CF33" s="1"/>
      <c r="CG33" s="1"/>
    </row>
    <row r="34" spans="6:85" x14ac:dyDescent="0.25">
      <c r="F34">
        <v>2</v>
      </c>
      <c r="G34">
        <v>75.540000000000006</v>
      </c>
      <c r="I34" s="46">
        <v>0.17111567419575632</v>
      </c>
      <c r="J34">
        <f t="shared" si="50"/>
        <v>72.731006844626975</v>
      </c>
      <c r="AI34" s="117"/>
      <c r="AJ34" s="69">
        <v>1.7</v>
      </c>
      <c r="AK34" s="58">
        <v>1.73</v>
      </c>
      <c r="AL34" s="69">
        <v>1.81</v>
      </c>
      <c r="AM34" s="69">
        <v>1.82</v>
      </c>
      <c r="AN34" s="69">
        <v>1.83</v>
      </c>
      <c r="AO34" s="69">
        <v>1.83</v>
      </c>
      <c r="AP34" s="69">
        <v>1.73</v>
      </c>
      <c r="AQ34" s="69">
        <v>1.71</v>
      </c>
      <c r="AV34" s="117"/>
      <c r="AW34" s="69">
        <v>0.99</v>
      </c>
      <c r="AX34" s="58">
        <v>1.06</v>
      </c>
      <c r="AY34" s="69">
        <v>1.0900000000000001</v>
      </c>
      <c r="AZ34" s="69">
        <v>1.18</v>
      </c>
      <c r="BA34" s="69">
        <v>1.22</v>
      </c>
      <c r="BB34" s="69">
        <v>1.1299999999999999</v>
      </c>
      <c r="BC34" s="69">
        <v>1.1000000000000001</v>
      </c>
      <c r="BD34" s="69">
        <v>1.18</v>
      </c>
      <c r="BE34" s="1"/>
      <c r="BF34" s="1"/>
      <c r="BG34" s="1"/>
      <c r="BH34" s="1"/>
      <c r="BK34" s="69"/>
      <c r="BL34" s="58"/>
      <c r="BM34" s="69"/>
      <c r="BN34" s="69"/>
      <c r="BO34" s="69"/>
      <c r="BP34" s="69"/>
      <c r="BQ34" s="69"/>
      <c r="BR34" s="69"/>
      <c r="BS34" s="1"/>
      <c r="BT34" s="1"/>
      <c r="BU34" s="1"/>
      <c r="BW34" s="69"/>
      <c r="BX34" s="58"/>
      <c r="BY34" s="69"/>
      <c r="BZ34" s="69"/>
      <c r="CA34" s="69"/>
      <c r="CB34" s="69"/>
      <c r="CC34" s="69"/>
      <c r="CD34" s="69"/>
      <c r="CE34" s="1"/>
      <c r="CF34" s="1"/>
      <c r="CG34" s="1"/>
    </row>
    <row r="35" spans="6:85" x14ac:dyDescent="0.25">
      <c r="F35">
        <v>2.5</v>
      </c>
      <c r="G35">
        <v>76.52</v>
      </c>
      <c r="I35" s="46">
        <v>0.34223134839151265</v>
      </c>
      <c r="J35">
        <f t="shared" si="50"/>
        <v>73.021013689253934</v>
      </c>
      <c r="AI35" s="117"/>
      <c r="AJ35" s="69">
        <v>1.75</v>
      </c>
      <c r="AK35" s="58">
        <v>1.83</v>
      </c>
      <c r="AL35" s="69">
        <v>1.85</v>
      </c>
      <c r="AM35" s="69">
        <v>1.81</v>
      </c>
      <c r="AN35" s="69">
        <v>1.84</v>
      </c>
      <c r="AO35" s="69">
        <v>1.75</v>
      </c>
      <c r="AP35" s="69"/>
      <c r="AQ35" s="69">
        <v>1.72</v>
      </c>
      <c r="AV35" s="117"/>
      <c r="AW35" s="69">
        <v>1.02</v>
      </c>
      <c r="AX35" s="58">
        <v>1.04</v>
      </c>
      <c r="AY35" s="69">
        <v>1.0900000000000001</v>
      </c>
      <c r="AZ35" s="69">
        <v>1.1499999999999999</v>
      </c>
      <c r="BA35" s="69">
        <v>1.1399999999999999</v>
      </c>
      <c r="BB35" s="69">
        <v>1.1499999999999999</v>
      </c>
      <c r="BC35" s="69">
        <v>1.1000000000000001</v>
      </c>
      <c r="BD35" s="69">
        <v>1.1100000000000001</v>
      </c>
      <c r="BE35" s="1"/>
      <c r="BF35" s="1"/>
      <c r="BG35" s="1"/>
      <c r="BH35" s="1"/>
      <c r="BK35" s="69"/>
      <c r="BL35" s="58"/>
      <c r="BM35" s="69"/>
      <c r="BN35" s="69"/>
      <c r="BO35" s="69"/>
      <c r="BP35" s="69"/>
      <c r="BQ35" s="69"/>
      <c r="BR35" s="69"/>
      <c r="BS35" s="1"/>
      <c r="BT35" s="1"/>
      <c r="BU35" s="1"/>
      <c r="BW35" s="69"/>
      <c r="BX35" s="58"/>
      <c r="BY35" s="69"/>
      <c r="BZ35" s="69"/>
      <c r="CA35" s="69"/>
      <c r="CB35" s="69"/>
      <c r="CC35" s="69"/>
      <c r="CD35" s="69"/>
      <c r="CE35" s="1"/>
      <c r="CF35" s="1"/>
      <c r="CG35" s="1"/>
    </row>
    <row r="36" spans="6:85" x14ac:dyDescent="0.25">
      <c r="F36">
        <v>3</v>
      </c>
      <c r="G36">
        <v>77.48</v>
      </c>
      <c r="I36" s="46">
        <v>0.85557837097878175</v>
      </c>
      <c r="J36">
        <f t="shared" si="50"/>
        <v>73.891034223134838</v>
      </c>
      <c r="AM36" s="1"/>
      <c r="AZ36" s="1"/>
      <c r="BF36" s="1"/>
      <c r="BG36" s="1"/>
      <c r="BH36" s="1"/>
    </row>
    <row r="37" spans="6:85" x14ac:dyDescent="0.25">
      <c r="F37">
        <v>3.5</v>
      </c>
      <c r="G37">
        <v>78.09</v>
      </c>
      <c r="I37" s="46">
        <v>1.7111567419575635</v>
      </c>
      <c r="J37">
        <f t="shared" si="50"/>
        <v>75.341068446269688</v>
      </c>
      <c r="AM37" s="1"/>
      <c r="AZ37" s="1"/>
    </row>
    <row r="38" spans="6:85" x14ac:dyDescent="0.25">
      <c r="F38">
        <v>4</v>
      </c>
      <c r="G38">
        <v>79.31</v>
      </c>
      <c r="AM38" s="1"/>
      <c r="AZ38" s="1"/>
      <c r="BF38" t="s">
        <v>97</v>
      </c>
      <c r="BG38" s="71">
        <f>4/3*PI()*(BF33)^3</f>
        <v>7.1608991707027714E-10</v>
      </c>
      <c r="BH38" s="1"/>
    </row>
    <row r="39" spans="6:85" x14ac:dyDescent="0.25">
      <c r="F39">
        <v>4.5</v>
      </c>
      <c r="G39">
        <v>80.08</v>
      </c>
      <c r="AM39" s="1"/>
      <c r="AZ39" s="1"/>
    </row>
    <row r="40" spans="6:85" x14ac:dyDescent="0.25">
      <c r="F40">
        <v>5</v>
      </c>
      <c r="G40">
        <v>80.8</v>
      </c>
      <c r="AM40" s="1"/>
      <c r="AZ40" s="1"/>
    </row>
    <row r="41" spans="6:85" x14ac:dyDescent="0.25">
      <c r="F41">
        <v>5.2</v>
      </c>
      <c r="G41">
        <v>81.75</v>
      </c>
      <c r="AI41" s="58" t="s">
        <v>67</v>
      </c>
      <c r="AJ41" s="72">
        <f t="shared" ref="AJ41:AQ41" si="51">COUNT(AJ26:AJ40)</f>
        <v>10</v>
      </c>
      <c r="AK41" s="72">
        <f t="shared" si="51"/>
        <v>10</v>
      </c>
      <c r="AL41" s="72">
        <f t="shared" si="51"/>
        <v>10</v>
      </c>
      <c r="AM41" s="72">
        <f t="shared" si="51"/>
        <v>10</v>
      </c>
      <c r="AN41" s="72">
        <f t="shared" si="51"/>
        <v>10</v>
      </c>
      <c r="AO41" s="72">
        <f t="shared" si="51"/>
        <v>10</v>
      </c>
      <c r="AP41" s="72">
        <f t="shared" si="51"/>
        <v>9</v>
      </c>
      <c r="AQ41" s="72">
        <f t="shared" si="51"/>
        <v>10</v>
      </c>
      <c r="AS41" s="73"/>
      <c r="AT41">
        <v>0.01</v>
      </c>
      <c r="AU41">
        <v>10</v>
      </c>
      <c r="AV41" s="58" t="s">
        <v>67</v>
      </c>
      <c r="AW41" s="72">
        <f t="shared" ref="AW41:BD41" si="52">COUNT(AW26:AW40)</f>
        <v>10</v>
      </c>
      <c r="AX41" s="72">
        <f t="shared" si="52"/>
        <v>10</v>
      </c>
      <c r="AY41" s="72">
        <f t="shared" si="52"/>
        <v>10</v>
      </c>
      <c r="AZ41" s="72">
        <f t="shared" si="52"/>
        <v>10</v>
      </c>
      <c r="BA41" s="72">
        <f t="shared" si="52"/>
        <v>10</v>
      </c>
      <c r="BB41" s="72">
        <f t="shared" si="52"/>
        <v>10</v>
      </c>
      <c r="BC41" s="72">
        <f t="shared" si="52"/>
        <v>10</v>
      </c>
      <c r="BD41" s="72">
        <f t="shared" si="52"/>
        <v>10</v>
      </c>
      <c r="BE41" s="73"/>
      <c r="BG41">
        <v>0.01</v>
      </c>
      <c r="BH41">
        <v>10</v>
      </c>
      <c r="BJ41" s="58" t="s">
        <v>67</v>
      </c>
      <c r="BK41" s="72">
        <f t="shared" ref="BK41:BR41" si="53">COUNT(BK26:BK40)</f>
        <v>0</v>
      </c>
      <c r="BL41" s="72">
        <f t="shared" si="53"/>
        <v>0</v>
      </c>
      <c r="BM41" s="72">
        <f t="shared" si="53"/>
        <v>0</v>
      </c>
      <c r="BN41" s="72">
        <f t="shared" si="53"/>
        <v>0</v>
      </c>
      <c r="BO41" s="72">
        <f t="shared" si="53"/>
        <v>0</v>
      </c>
      <c r="BP41" s="72">
        <f t="shared" si="53"/>
        <v>0</v>
      </c>
      <c r="BQ41" s="72">
        <f t="shared" si="53"/>
        <v>0</v>
      </c>
      <c r="BR41" s="72">
        <f t="shared" si="53"/>
        <v>0</v>
      </c>
      <c r="BS41" s="73"/>
      <c r="BT41">
        <v>0.01</v>
      </c>
      <c r="BU41">
        <v>10</v>
      </c>
      <c r="BV41" s="58" t="s">
        <v>67</v>
      </c>
      <c r="BW41" s="72">
        <f t="shared" ref="BW41:CD41" si="54">COUNT(BW26:BW40)</f>
        <v>0</v>
      </c>
      <c r="BX41" s="72">
        <f t="shared" si="54"/>
        <v>0</v>
      </c>
      <c r="BY41" s="72">
        <f t="shared" si="54"/>
        <v>0</v>
      </c>
      <c r="BZ41" s="72">
        <f t="shared" si="54"/>
        <v>0</v>
      </c>
      <c r="CA41" s="72">
        <f t="shared" si="54"/>
        <v>0</v>
      </c>
      <c r="CB41" s="72">
        <f t="shared" si="54"/>
        <v>0</v>
      </c>
      <c r="CC41" s="72">
        <f t="shared" si="54"/>
        <v>0</v>
      </c>
      <c r="CD41" s="72">
        <f t="shared" si="54"/>
        <v>0</v>
      </c>
      <c r="CE41" s="73"/>
      <c r="CF41">
        <v>0.01</v>
      </c>
      <c r="CG41">
        <v>10</v>
      </c>
    </row>
    <row r="42" spans="6:85" x14ac:dyDescent="0.25">
      <c r="AI42" s="58" t="s">
        <v>64</v>
      </c>
      <c r="AJ42" s="69">
        <f>AVERAGE(AJ26:AJ40)</f>
        <v>1.7309999999999999</v>
      </c>
      <c r="AK42" s="69">
        <f t="shared" ref="AK42:AQ42" si="55">AVERAGE(AK26:AK40)</f>
        <v>1.7730000000000001</v>
      </c>
      <c r="AL42" s="69">
        <f t="shared" si="55"/>
        <v>1.8220000000000003</v>
      </c>
      <c r="AM42" s="69">
        <f t="shared" si="55"/>
        <v>1.7909999999999997</v>
      </c>
      <c r="AN42" s="69">
        <f t="shared" si="55"/>
        <v>1.8059999999999998</v>
      </c>
      <c r="AO42" s="69">
        <f t="shared" si="55"/>
        <v>1.7909999999999999</v>
      </c>
      <c r="AP42" s="69">
        <f t="shared" si="55"/>
        <v>1.798888888888889</v>
      </c>
      <c r="AQ42" s="69">
        <f t="shared" si="55"/>
        <v>1.7289999999999999</v>
      </c>
      <c r="AS42" s="1" t="s">
        <v>224</v>
      </c>
      <c r="AT42" s="1">
        <f>AVERAGE(AJ26:AQ35)</f>
        <v>1.78</v>
      </c>
      <c r="AU42" s="1">
        <f>AVERAGE(AJ26:AQ35)</f>
        <v>1.78</v>
      </c>
      <c r="AV42" s="58" t="s">
        <v>64</v>
      </c>
      <c r="AW42" s="69">
        <f>AVERAGE(AW26:AW40)</f>
        <v>0.99499999999999988</v>
      </c>
      <c r="AX42" s="69">
        <f t="shared" ref="AX42:BD42" si="56">AVERAGE(AX26:AX40)</f>
        <v>1.0489999999999999</v>
      </c>
      <c r="AY42" s="69">
        <f t="shared" si="56"/>
        <v>1.0760999999999998</v>
      </c>
      <c r="AZ42" s="69">
        <f t="shared" si="56"/>
        <v>1.1259999999999999</v>
      </c>
      <c r="BA42" s="69">
        <f t="shared" si="56"/>
        <v>1.165</v>
      </c>
      <c r="BB42" s="69">
        <f t="shared" si="56"/>
        <v>1.1639999999999999</v>
      </c>
      <c r="BC42" s="69">
        <f t="shared" si="56"/>
        <v>1.1379999999999999</v>
      </c>
      <c r="BD42" s="69">
        <f t="shared" si="56"/>
        <v>1.1649999999999998</v>
      </c>
      <c r="BE42" s="1"/>
      <c r="BF42" s="1" t="s">
        <v>224</v>
      </c>
      <c r="BG42" s="1">
        <f>AVERAGE(AW26:BD35)</f>
        <v>1.1097625</v>
      </c>
      <c r="BH42" s="1">
        <f>AVERAGE(AW26:BD35)</f>
        <v>1.1097625</v>
      </c>
      <c r="BJ42" s="58" t="s">
        <v>64</v>
      </c>
      <c r="BK42" s="69" t="e">
        <f>AVERAGE(BK26:BK40)</f>
        <v>#DIV/0!</v>
      </c>
      <c r="BL42" s="69" t="e">
        <f t="shared" ref="BL42:BR42" si="57">AVERAGE(BL26:BL40)</f>
        <v>#DIV/0!</v>
      </c>
      <c r="BM42" s="69" t="e">
        <f t="shared" si="57"/>
        <v>#DIV/0!</v>
      </c>
      <c r="BN42" s="69" t="e">
        <f t="shared" si="57"/>
        <v>#DIV/0!</v>
      </c>
      <c r="BO42" s="69" t="e">
        <f t="shared" si="57"/>
        <v>#DIV/0!</v>
      </c>
      <c r="BP42" s="69" t="e">
        <f t="shared" si="57"/>
        <v>#DIV/0!</v>
      </c>
      <c r="BQ42" s="69" t="e">
        <f t="shared" si="57"/>
        <v>#DIV/0!</v>
      </c>
      <c r="BR42" s="69" t="e">
        <f t="shared" si="57"/>
        <v>#DIV/0!</v>
      </c>
      <c r="BS42" s="1" t="s">
        <v>224</v>
      </c>
      <c r="BT42" s="1" t="e">
        <f>AVERAGE(BJ26:BQ35)</f>
        <v>#DIV/0!</v>
      </c>
      <c r="BU42" s="1" t="e">
        <f>AVERAGE(BJ26:BQ35)</f>
        <v>#DIV/0!</v>
      </c>
      <c r="BV42" s="58" t="s">
        <v>64</v>
      </c>
      <c r="BW42" s="69" t="e">
        <f>AVERAGE(BW26:BW40)</f>
        <v>#DIV/0!</v>
      </c>
      <c r="BX42" s="69" t="e">
        <f t="shared" ref="BX42:CD42" si="58">AVERAGE(BX26:BX40)</f>
        <v>#DIV/0!</v>
      </c>
      <c r="BY42" s="69" t="e">
        <f t="shared" si="58"/>
        <v>#DIV/0!</v>
      </c>
      <c r="BZ42" s="69" t="e">
        <f t="shared" si="58"/>
        <v>#DIV/0!</v>
      </c>
      <c r="CA42" s="69" t="e">
        <f t="shared" si="58"/>
        <v>#DIV/0!</v>
      </c>
      <c r="CB42" s="69" t="e">
        <f t="shared" si="58"/>
        <v>#DIV/0!</v>
      </c>
      <c r="CC42" s="69" t="e">
        <f t="shared" si="58"/>
        <v>#DIV/0!</v>
      </c>
      <c r="CD42" s="69" t="e">
        <f t="shared" si="58"/>
        <v>#DIV/0!</v>
      </c>
      <c r="CE42" s="1" t="s">
        <v>224</v>
      </c>
      <c r="CF42" s="1" t="e">
        <f>AVERAGE(BV26:CC35)</f>
        <v>#DIV/0!</v>
      </c>
      <c r="CG42" s="1" t="e">
        <f>AVERAGE(BV26:CC35)</f>
        <v>#DIV/0!</v>
      </c>
    </row>
    <row r="43" spans="6:85" x14ac:dyDescent="0.25">
      <c r="N43" t="s">
        <v>243</v>
      </c>
      <c r="O43" s="66" t="s">
        <v>207</v>
      </c>
      <c r="AI43" s="58" t="s">
        <v>225</v>
      </c>
      <c r="AJ43" s="69">
        <f>STDEV(AJ26:AJ40)</f>
        <v>4.9317565047579406E-2</v>
      </c>
      <c r="AK43" s="69">
        <f t="shared" ref="AK43:AQ43" si="59">STDEV(AK26:AK40)</f>
        <v>6.7503086349193511E-2</v>
      </c>
      <c r="AL43" s="69">
        <f t="shared" si="59"/>
        <v>3.0110906108363266E-2</v>
      </c>
      <c r="AM43" s="69">
        <f t="shared" si="59"/>
        <v>3.2472210341220172E-2</v>
      </c>
      <c r="AN43" s="69">
        <f t="shared" si="59"/>
        <v>4.3512450325548582E-2</v>
      </c>
      <c r="AO43" s="69">
        <f t="shared" si="59"/>
        <v>6.0452001161619466E-2</v>
      </c>
      <c r="AP43" s="69">
        <f t="shared" si="59"/>
        <v>5.1585958468473914E-2</v>
      </c>
      <c r="AQ43" s="69">
        <f t="shared" si="59"/>
        <v>4.2018514437751828E-2</v>
      </c>
      <c r="AS43" s="1" t="s">
        <v>225</v>
      </c>
      <c r="AT43" s="1">
        <f>STDEV(AJ26:AQ35)</f>
        <v>5.6409673656663599E-2</v>
      </c>
      <c r="AU43" s="1">
        <f>STDEV(AJ26:AQ35)</f>
        <v>5.6409673656663599E-2</v>
      </c>
      <c r="AV43" s="58" t="s">
        <v>225</v>
      </c>
      <c r="AW43" s="69">
        <f>STDEV(AW26:AW40)</f>
        <v>3.7193189340702336E-2</v>
      </c>
      <c r="AX43" s="69">
        <f t="shared" ref="AX43:BD43" si="60">STDEV(AX26:AX40)</f>
        <v>3.9285281382896275E-2</v>
      </c>
      <c r="AY43" s="69">
        <f t="shared" si="60"/>
        <v>3.3514341871967467E-2</v>
      </c>
      <c r="AZ43" s="69">
        <f t="shared" si="60"/>
        <v>3.4058772731852732E-2</v>
      </c>
      <c r="BA43" s="69">
        <f t="shared" si="60"/>
        <v>3.8944404818493109E-2</v>
      </c>
      <c r="BB43" s="69">
        <f t="shared" si="60"/>
        <v>3.7178249316263151E-2</v>
      </c>
      <c r="BC43" s="69">
        <f t="shared" si="60"/>
        <v>2.7808871486152211E-2</v>
      </c>
      <c r="BD43" s="69">
        <f t="shared" si="60"/>
        <v>4.0345728123034018E-2</v>
      </c>
      <c r="BE43" s="1"/>
      <c r="BF43" s="1" t="s">
        <v>225</v>
      </c>
      <c r="BG43" s="1">
        <f>STDEV(AW26:BD35)</f>
        <v>6.8952055210280097E-2</v>
      </c>
      <c r="BH43" s="1">
        <f>STDEV(AW26:BD35)</f>
        <v>6.8952055210280097E-2</v>
      </c>
      <c r="BJ43" s="58" t="s">
        <v>225</v>
      </c>
      <c r="BK43" s="69" t="e">
        <f>STDEV(BK26:BK40)</f>
        <v>#DIV/0!</v>
      </c>
      <c r="BL43" s="69" t="e">
        <f t="shared" ref="BL43:BR43" si="61">STDEV(BL26:BL40)</f>
        <v>#DIV/0!</v>
      </c>
      <c r="BM43" s="69" t="e">
        <f t="shared" si="61"/>
        <v>#DIV/0!</v>
      </c>
      <c r="BN43" s="69" t="e">
        <f t="shared" si="61"/>
        <v>#DIV/0!</v>
      </c>
      <c r="BO43" s="69" t="e">
        <f t="shared" si="61"/>
        <v>#DIV/0!</v>
      </c>
      <c r="BP43" s="69" t="e">
        <f t="shared" si="61"/>
        <v>#DIV/0!</v>
      </c>
      <c r="BQ43" s="69" t="e">
        <f t="shared" si="61"/>
        <v>#DIV/0!</v>
      </c>
      <c r="BR43" s="69" t="e">
        <f t="shared" si="61"/>
        <v>#DIV/0!</v>
      </c>
      <c r="BS43" s="1" t="s">
        <v>225</v>
      </c>
      <c r="BT43" s="1" t="e">
        <f>STDEV(BJ26:BQ35)</f>
        <v>#DIV/0!</v>
      </c>
      <c r="BU43" s="1" t="e">
        <f>STDEV(BJ26:BQ35)</f>
        <v>#DIV/0!</v>
      </c>
      <c r="BV43" s="58" t="s">
        <v>225</v>
      </c>
      <c r="BW43" s="69" t="e">
        <f>STDEV(BW26:BW40)</f>
        <v>#DIV/0!</v>
      </c>
      <c r="BX43" s="69" t="e">
        <f t="shared" ref="BX43:CD43" si="62">STDEV(BX26:BX40)</f>
        <v>#DIV/0!</v>
      </c>
      <c r="BY43" s="69" t="e">
        <f t="shared" si="62"/>
        <v>#DIV/0!</v>
      </c>
      <c r="BZ43" s="69" t="e">
        <f t="shared" si="62"/>
        <v>#DIV/0!</v>
      </c>
      <c r="CA43" s="69" t="e">
        <f t="shared" si="62"/>
        <v>#DIV/0!</v>
      </c>
      <c r="CB43" s="69" t="e">
        <f t="shared" si="62"/>
        <v>#DIV/0!</v>
      </c>
      <c r="CC43" s="69" t="e">
        <f t="shared" si="62"/>
        <v>#DIV/0!</v>
      </c>
      <c r="CD43" s="69" t="e">
        <f t="shared" si="62"/>
        <v>#DIV/0!</v>
      </c>
      <c r="CE43" s="1" t="s">
        <v>225</v>
      </c>
      <c r="CF43" s="1" t="e">
        <f>STDEV(BV26:CC35)</f>
        <v>#DIV/0!</v>
      </c>
      <c r="CG43" s="1" t="e">
        <f>STDEV(BV26:CC35)</f>
        <v>#DIV/0!</v>
      </c>
    </row>
    <row r="44" spans="6:85" x14ac:dyDescent="0.25">
      <c r="M44">
        <f>M17/1000</f>
        <v>3.2000000000000002E-3</v>
      </c>
      <c r="N44">
        <v>0.2505</v>
      </c>
      <c r="O44" s="5">
        <v>0.99843199999999999</v>
      </c>
      <c r="AI44" s="58" t="s">
        <v>226</v>
      </c>
      <c r="AJ44" s="69">
        <f t="shared" ref="AJ44:AQ44" si="63">AJ43/AJ42*100</f>
        <v>2.8490794366019303</v>
      </c>
      <c r="AK44" s="69">
        <f t="shared" si="63"/>
        <v>3.8072806739533847</v>
      </c>
      <c r="AL44" s="69">
        <f t="shared" si="63"/>
        <v>1.6526293143997399</v>
      </c>
      <c r="AM44" s="69">
        <f t="shared" si="63"/>
        <v>1.8130770709782345</v>
      </c>
      <c r="AN44" s="69">
        <f t="shared" si="63"/>
        <v>2.4093272605508633</v>
      </c>
      <c r="AO44" s="69">
        <f t="shared" si="63"/>
        <v>3.3753211145516175</v>
      </c>
      <c r="AP44" s="69">
        <f t="shared" si="63"/>
        <v>2.8676567400634045</v>
      </c>
      <c r="AQ44" s="69">
        <f t="shared" si="63"/>
        <v>2.430220615254588</v>
      </c>
      <c r="AS44" s="1" t="s">
        <v>226</v>
      </c>
      <c r="AT44" s="1">
        <v>2.1</v>
      </c>
      <c r="AU44">
        <v>2.1</v>
      </c>
      <c r="AV44" s="58" t="s">
        <v>226</v>
      </c>
      <c r="AW44" s="69">
        <f t="shared" ref="AW44:BD44" si="64">AW43/AW42*100</f>
        <v>3.7380089789650595</v>
      </c>
      <c r="AX44" s="69">
        <f t="shared" si="64"/>
        <v>3.7450220574734292</v>
      </c>
      <c r="AY44" s="69">
        <f t="shared" si="64"/>
        <v>3.1144263425301988</v>
      </c>
      <c r="AZ44" s="69">
        <f t="shared" si="64"/>
        <v>3.0247577914611665</v>
      </c>
      <c r="BA44" s="69">
        <f t="shared" si="64"/>
        <v>3.3428673663942581</v>
      </c>
      <c r="BB44" s="69">
        <f t="shared" si="64"/>
        <v>3.1940076732184837</v>
      </c>
      <c r="BC44" s="69">
        <f t="shared" si="64"/>
        <v>2.4436618177638145</v>
      </c>
      <c r="BD44" s="69">
        <f t="shared" si="64"/>
        <v>3.4631526285866117</v>
      </c>
      <c r="BE44" s="1"/>
      <c r="BF44" s="1" t="s">
        <v>226</v>
      </c>
      <c r="BG44" s="1">
        <f>BG43/BG42*100</f>
        <v>6.2132262723132294</v>
      </c>
      <c r="BH44">
        <v>2.1</v>
      </c>
      <c r="BJ44" s="58" t="s">
        <v>226</v>
      </c>
      <c r="BK44" s="69" t="e">
        <f t="shared" ref="BK44:BR44" si="65">BK43/BK42*100</f>
        <v>#DIV/0!</v>
      </c>
      <c r="BL44" s="69" t="e">
        <f t="shared" si="65"/>
        <v>#DIV/0!</v>
      </c>
      <c r="BM44" s="69" t="e">
        <f t="shared" si="65"/>
        <v>#DIV/0!</v>
      </c>
      <c r="BN44" s="69" t="e">
        <f t="shared" si="65"/>
        <v>#DIV/0!</v>
      </c>
      <c r="BO44" s="69" t="e">
        <f t="shared" si="65"/>
        <v>#DIV/0!</v>
      </c>
      <c r="BP44" s="69" t="e">
        <f t="shared" si="65"/>
        <v>#DIV/0!</v>
      </c>
      <c r="BQ44" s="69" t="e">
        <f t="shared" si="65"/>
        <v>#DIV/0!</v>
      </c>
      <c r="BR44" s="69" t="e">
        <f t="shared" si="65"/>
        <v>#DIV/0!</v>
      </c>
      <c r="BS44" s="1" t="s">
        <v>226</v>
      </c>
      <c r="BT44" s="1">
        <v>2.1</v>
      </c>
      <c r="BU44">
        <v>2.1</v>
      </c>
      <c r="BV44" s="58" t="s">
        <v>226</v>
      </c>
      <c r="BW44" s="69" t="e">
        <f t="shared" ref="BW44:CD44" si="66">BW43/BW42*100</f>
        <v>#DIV/0!</v>
      </c>
      <c r="BX44" s="69" t="e">
        <f t="shared" si="66"/>
        <v>#DIV/0!</v>
      </c>
      <c r="BY44" s="69" t="e">
        <f t="shared" si="66"/>
        <v>#DIV/0!</v>
      </c>
      <c r="BZ44" s="69" t="e">
        <f t="shared" si="66"/>
        <v>#DIV/0!</v>
      </c>
      <c r="CA44" s="69" t="e">
        <f t="shared" si="66"/>
        <v>#DIV/0!</v>
      </c>
      <c r="CB44" s="69" t="e">
        <f t="shared" si="66"/>
        <v>#DIV/0!</v>
      </c>
      <c r="CC44" s="69" t="e">
        <f t="shared" si="66"/>
        <v>#DIV/0!</v>
      </c>
      <c r="CD44" s="69" t="e">
        <f t="shared" si="66"/>
        <v>#DIV/0!</v>
      </c>
      <c r="CE44" s="1" t="s">
        <v>226</v>
      </c>
      <c r="CF44" s="1">
        <v>2.1</v>
      </c>
      <c r="CG44">
        <v>2.1</v>
      </c>
    </row>
    <row r="45" spans="6:85" x14ac:dyDescent="0.25">
      <c r="M45">
        <f t="shared" ref="M45:M51" si="67">M18/1000</f>
        <v>3.8E-3</v>
      </c>
      <c r="N45">
        <v>0.27300000000000002</v>
      </c>
      <c r="O45" s="5">
        <v>0.99873800000000001</v>
      </c>
      <c r="AI45" s="58" t="s">
        <v>235</v>
      </c>
      <c r="AJ45" s="58"/>
      <c r="AK45" s="58"/>
      <c r="AL45" s="58"/>
      <c r="AM45" s="58"/>
      <c r="AN45" s="58"/>
      <c r="AO45" s="58"/>
      <c r="AP45" s="58"/>
      <c r="AQ45" s="58"/>
      <c r="AV45" s="58" t="s">
        <v>235</v>
      </c>
      <c r="AW45" s="74">
        <f t="shared" ref="AW45:BD45" si="68">(AJ42-AW42)/AJ42*100</f>
        <v>42.518775274407858</v>
      </c>
      <c r="AX45" s="74">
        <f t="shared" si="68"/>
        <v>40.834743372814444</v>
      </c>
      <c r="AY45" s="74">
        <f t="shared" si="68"/>
        <v>40.938529088913299</v>
      </c>
      <c r="AZ45" s="74">
        <f t="shared" si="68"/>
        <v>37.130094919039635</v>
      </c>
      <c r="BA45" s="74">
        <f t="shared" si="68"/>
        <v>35.492801771871527</v>
      </c>
      <c r="BB45" s="74">
        <f t="shared" si="68"/>
        <v>35.00837520938024</v>
      </c>
      <c r="BC45" s="74">
        <f t="shared" si="68"/>
        <v>36.738727609635582</v>
      </c>
      <c r="BD45" s="74">
        <f t="shared" si="68"/>
        <v>32.62001156737999</v>
      </c>
      <c r="BJ45" s="58" t="s">
        <v>235</v>
      </c>
      <c r="BK45" s="74" t="e">
        <f t="shared" ref="BK45:BR45" si="69">(AX42-BK42)/AX42*100</f>
        <v>#DIV/0!</v>
      </c>
      <c r="BL45" s="74" t="e">
        <f t="shared" si="69"/>
        <v>#DIV/0!</v>
      </c>
      <c r="BM45" s="74" t="e">
        <f t="shared" si="69"/>
        <v>#DIV/0!</v>
      </c>
      <c r="BN45" s="74" t="e">
        <f t="shared" si="69"/>
        <v>#DIV/0!</v>
      </c>
      <c r="BO45" s="74" t="e">
        <f t="shared" si="69"/>
        <v>#DIV/0!</v>
      </c>
      <c r="BP45" s="74" t="e">
        <f t="shared" si="69"/>
        <v>#DIV/0!</v>
      </c>
      <c r="BQ45" s="74" t="e">
        <f t="shared" si="69"/>
        <v>#DIV/0!</v>
      </c>
      <c r="BR45" s="74" t="e">
        <f t="shared" si="69"/>
        <v>#DIV/0!</v>
      </c>
      <c r="BV45" s="58" t="s">
        <v>235</v>
      </c>
      <c r="BW45" s="74" t="e">
        <f t="shared" ref="BW45:CD45" si="70">(BJ42-BW42)/BJ42*100</f>
        <v>#VALUE!</v>
      </c>
      <c r="BX45" s="74" t="e">
        <f t="shared" si="70"/>
        <v>#DIV/0!</v>
      </c>
      <c r="BY45" s="74" t="e">
        <f t="shared" si="70"/>
        <v>#DIV/0!</v>
      </c>
      <c r="BZ45" s="74" t="e">
        <f t="shared" si="70"/>
        <v>#DIV/0!</v>
      </c>
      <c r="CA45" s="74" t="e">
        <f t="shared" si="70"/>
        <v>#DIV/0!</v>
      </c>
      <c r="CB45" s="74" t="e">
        <f t="shared" si="70"/>
        <v>#DIV/0!</v>
      </c>
      <c r="CC45" s="74" t="e">
        <f t="shared" si="70"/>
        <v>#DIV/0!</v>
      </c>
      <c r="CD45" s="74" t="e">
        <f t="shared" si="70"/>
        <v>#DIV/0!</v>
      </c>
    </row>
    <row r="46" spans="6:85" x14ac:dyDescent="0.25">
      <c r="M46">
        <f t="shared" si="67"/>
        <v>4.2000000000000006E-3</v>
      </c>
      <c r="N46">
        <v>0.28699999999999998</v>
      </c>
      <c r="O46" s="5">
        <v>0.99912000000000001</v>
      </c>
      <c r="AS46" s="20" t="s">
        <v>236</v>
      </c>
      <c r="AT46" s="1">
        <f>AT42+AT43</f>
        <v>1.8364096736566635</v>
      </c>
      <c r="AU46" s="1">
        <f>AU42+AU43</f>
        <v>1.8364096736566635</v>
      </c>
      <c r="BF46" s="20" t="s">
        <v>236</v>
      </c>
      <c r="BG46" s="1">
        <f>BG42+BG43</f>
        <v>1.17871455521028</v>
      </c>
      <c r="BH46" s="1">
        <f>BH42+BH43</f>
        <v>1.17871455521028</v>
      </c>
      <c r="BS46" s="20" t="s">
        <v>236</v>
      </c>
      <c r="BT46" s="1" t="e">
        <f>BT42+BT43</f>
        <v>#DIV/0!</v>
      </c>
      <c r="BU46" s="1" t="e">
        <f>BU42+BU43</f>
        <v>#DIV/0!</v>
      </c>
      <c r="CE46" s="20" t="s">
        <v>236</v>
      </c>
      <c r="CF46" s="1" t="e">
        <f>CF42+CF43</f>
        <v>#DIV/0!</v>
      </c>
      <c r="CG46" s="1" t="e">
        <f>CG42+CG43</f>
        <v>#DIV/0!</v>
      </c>
    </row>
    <row r="47" spans="6:85" x14ac:dyDescent="0.25">
      <c r="M47">
        <f t="shared" si="67"/>
        <v>4.4000000000000003E-3</v>
      </c>
      <c r="N47">
        <v>0.29399999999999998</v>
      </c>
      <c r="O47" s="5">
        <v>1.002162</v>
      </c>
      <c r="AS47" s="64" t="s">
        <v>239</v>
      </c>
      <c r="AT47" s="1">
        <f>AT42-AT43</f>
        <v>1.7235903263433365</v>
      </c>
      <c r="AU47" s="1">
        <f>AU42-AU43</f>
        <v>1.7235903263433365</v>
      </c>
      <c r="AV47" t="s">
        <v>204</v>
      </c>
      <c r="AW47">
        <v>1.7111567419575632E-3</v>
      </c>
      <c r="AX47">
        <v>8.5557837097878162E-3</v>
      </c>
      <c r="AY47">
        <v>1.7111567419575632E-2</v>
      </c>
      <c r="AZ47">
        <v>8.5557837097878162E-2</v>
      </c>
      <c r="BA47">
        <v>0.17111567419575632</v>
      </c>
      <c r="BB47">
        <v>0.34223134839151265</v>
      </c>
      <c r="BC47">
        <v>0.85557837097878175</v>
      </c>
      <c r="BD47">
        <v>1.7111567419575635</v>
      </c>
      <c r="BF47" s="64" t="s">
        <v>239</v>
      </c>
      <c r="BG47" s="1">
        <f>BG42-BG43</f>
        <v>1.04081044478972</v>
      </c>
      <c r="BH47" s="1">
        <f>BH42-BH43</f>
        <v>1.04081044478972</v>
      </c>
      <c r="BS47" s="64" t="s">
        <v>239</v>
      </c>
      <c r="BT47" s="1" t="e">
        <f>BT42-BT43</f>
        <v>#DIV/0!</v>
      </c>
      <c r="BU47" s="1" t="e">
        <f>BU42-BU43</f>
        <v>#DIV/0!</v>
      </c>
      <c r="CE47" s="64" t="s">
        <v>239</v>
      </c>
      <c r="CF47" s="1" t="e">
        <f>CF42-CF43</f>
        <v>#DIV/0!</v>
      </c>
      <c r="CG47" s="1" t="e">
        <f>CG42-CG43</f>
        <v>#DIV/0!</v>
      </c>
    </row>
    <row r="48" spans="6:85" x14ac:dyDescent="0.25">
      <c r="M48">
        <f t="shared" si="67"/>
        <v>4.4000000000000003E-3</v>
      </c>
      <c r="N48">
        <v>0.29399999999999998</v>
      </c>
      <c r="O48" s="5">
        <v>1.005952</v>
      </c>
    </row>
    <row r="49" spans="13:82" x14ac:dyDescent="0.25">
      <c r="M49">
        <f t="shared" si="67"/>
        <v>4.0000000000000001E-3</v>
      </c>
      <c r="N49">
        <v>0.28000000000000003</v>
      </c>
      <c r="O49" s="5">
        <v>1.0135320000000001</v>
      </c>
      <c r="AV49" t="s">
        <v>244</v>
      </c>
      <c r="AW49">
        <f>4/3*PI()*(AJ42/2000)^3</f>
        <v>2.7157502359222052E-9</v>
      </c>
      <c r="AX49">
        <f t="shared" ref="AX49:BD49" si="71">4/3*PI()*(AK42/2000)^3</f>
        <v>2.9182656895665815E-9</v>
      </c>
      <c r="AY49">
        <f t="shared" si="71"/>
        <v>3.1669684745028866E-9</v>
      </c>
      <c r="AZ49">
        <f t="shared" si="71"/>
        <v>3.0080522788008768E-9</v>
      </c>
      <c r="BA49">
        <f t="shared" si="71"/>
        <v>3.0842662405814827E-9</v>
      </c>
      <c r="BB49">
        <f t="shared" si="71"/>
        <v>3.008052278800878E-9</v>
      </c>
      <c r="BC49">
        <f t="shared" si="71"/>
        <v>3.0479766824530787E-9</v>
      </c>
      <c r="BD49">
        <f t="shared" si="71"/>
        <v>2.7063477622220783E-9</v>
      </c>
    </row>
    <row r="50" spans="13:82" x14ac:dyDescent="0.25">
      <c r="M50">
        <f t="shared" si="67"/>
        <v>4.0000000000000001E-3</v>
      </c>
      <c r="N50">
        <v>0.28000000000000003</v>
      </c>
      <c r="O50" s="5">
        <v>1.036454</v>
      </c>
      <c r="AV50" t="s">
        <v>245</v>
      </c>
      <c r="AW50">
        <f>4/3*PI()*(AW42/2000)^3</f>
        <v>5.15783998422647E-10</v>
      </c>
      <c r="AX50">
        <f t="shared" ref="AX50:BD50" si="72">4/3*PI()*(AX42/2000)^3</f>
        <v>6.0440087846423372E-10</v>
      </c>
      <c r="AY50">
        <f t="shared" si="72"/>
        <v>6.5246394324549205E-10</v>
      </c>
      <c r="AZ50">
        <f t="shared" si="72"/>
        <v>7.4750446968298738E-10</v>
      </c>
      <c r="BA50">
        <f t="shared" si="72"/>
        <v>8.2789717066628231E-10</v>
      </c>
      <c r="BB50">
        <f t="shared" si="72"/>
        <v>8.2576707607576982E-10</v>
      </c>
      <c r="BC50">
        <f t="shared" si="72"/>
        <v>7.7165896922486049E-10</v>
      </c>
      <c r="BD50">
        <f t="shared" si="72"/>
        <v>8.278971706662818E-10</v>
      </c>
      <c r="BV50" t="s">
        <v>244</v>
      </c>
      <c r="BW50">
        <f>4/3*PI()*(BK20/2000)^3</f>
        <v>6.7002234690313494E-9</v>
      </c>
      <c r="BX50">
        <f t="shared" ref="BX50:CD50" si="73">4/3*PI()*(BL20/2000)^3</f>
        <v>6.6573467428417876E-9</v>
      </c>
      <c r="BY50">
        <f t="shared" si="73"/>
        <v>6.8648337574356966E-9</v>
      </c>
      <c r="BZ50">
        <f t="shared" si="73"/>
        <v>6.6830507559910233E-9</v>
      </c>
      <c r="CA50">
        <f t="shared" si="73"/>
        <v>6.7951994598677722E-9</v>
      </c>
      <c r="CB50">
        <f t="shared" si="73"/>
        <v>6.8299574461788825E-9</v>
      </c>
      <c r="CC50">
        <f t="shared" si="73"/>
        <v>6.9200043743305795E-9</v>
      </c>
      <c r="CD50">
        <f t="shared" si="73"/>
        <v>6.4540832351458896E-9</v>
      </c>
    </row>
    <row r="51" spans="13:82" x14ac:dyDescent="0.25">
      <c r="M51">
        <f t="shared" si="67"/>
        <v>3.5999999999999999E-3</v>
      </c>
      <c r="N51">
        <v>0.26600000000000001</v>
      </c>
      <c r="O51" s="5">
        <v>1.07569</v>
      </c>
      <c r="AV51" t="s">
        <v>246</v>
      </c>
      <c r="AW51" s="2">
        <f>(AW49-AW50)/AW49*100</f>
        <v>81.007679145151627</v>
      </c>
      <c r="AX51" s="2">
        <f t="shared" ref="AX51:BD51" si="74">(AX49-AX50)/AX49*100</f>
        <v>79.289038670293294</v>
      </c>
      <c r="AY51" s="2">
        <f t="shared" si="74"/>
        <v>79.397839021813809</v>
      </c>
      <c r="AZ51" s="2">
        <f t="shared" si="74"/>
        <v>75.149884363679647</v>
      </c>
      <c r="BA51" s="2">
        <f t="shared" si="74"/>
        <v>73.15740256878091</v>
      </c>
      <c r="BB51" s="2">
        <f t="shared" si="74"/>
        <v>72.548114210137612</v>
      </c>
      <c r="BC51" s="2">
        <f t="shared" si="74"/>
        <v>74.682911005611345</v>
      </c>
      <c r="BD51" s="2">
        <f t="shared" si="74"/>
        <v>69.409061827792314</v>
      </c>
      <c r="BV51" t="s">
        <v>245</v>
      </c>
      <c r="BW51">
        <f>4/3*PI()*(BW20/2000)^3</f>
        <v>4.0214241165423049E-9</v>
      </c>
      <c r="BX51">
        <f t="shared" ref="BX51:CD51" si="75">4/3*PI()*(BX20/2000)^3</f>
        <v>3.882419471214435E-9</v>
      </c>
      <c r="BY51">
        <f t="shared" si="75"/>
        <v>4.1387255161762118E-9</v>
      </c>
      <c r="BZ51">
        <f t="shared" si="75"/>
        <v>4.4125725908358296E-9</v>
      </c>
      <c r="CA51">
        <f t="shared" si="75"/>
        <v>4.2329266195710539E-9</v>
      </c>
      <c r="CB51">
        <f t="shared" si="75"/>
        <v>4.5042708496718133E-9</v>
      </c>
      <c r="CC51">
        <f t="shared" si="75"/>
        <v>4.8768099202874088E-9</v>
      </c>
      <c r="CD51">
        <f t="shared" si="75"/>
        <v>4.8213921588574408E-9</v>
      </c>
    </row>
    <row r="52" spans="13:82" x14ac:dyDescent="0.25">
      <c r="BV52" t="s">
        <v>246</v>
      </c>
      <c r="BW52" s="2">
        <f t="shared" ref="BW52:CD52" si="76">(BW50-BW51)/BW50*100</f>
        <v>39.980746386602505</v>
      </c>
      <c r="BX52" s="2">
        <f t="shared" si="76"/>
        <v>41.6821802861786</v>
      </c>
      <c r="BY52" s="2">
        <f t="shared" si="76"/>
        <v>39.711205508897869</v>
      </c>
      <c r="BZ52" s="2">
        <f t="shared" si="76"/>
        <v>33.973678310310945</v>
      </c>
      <c r="CA52" s="2">
        <f t="shared" si="76"/>
        <v>37.707102719050681</v>
      </c>
      <c r="CB52" s="2">
        <f t="shared" si="76"/>
        <v>34.05126041902659</v>
      </c>
      <c r="CC52" s="2">
        <f t="shared" si="76"/>
        <v>29.525912752632088</v>
      </c>
      <c r="CD52" s="2">
        <f t="shared" si="76"/>
        <v>25.297025414819323</v>
      </c>
    </row>
    <row r="58" spans="13:82" x14ac:dyDescent="0.25">
      <c r="Y58" s="75"/>
      <c r="Z58" s="75"/>
      <c r="AA58" s="75"/>
      <c r="AB58" s="75"/>
      <c r="AC58" s="75"/>
      <c r="AD58" s="20"/>
      <c r="AE58" s="20"/>
      <c r="AF58" s="20"/>
      <c r="AG58" s="20"/>
    </row>
    <row r="59" spans="13:82" x14ac:dyDescent="0.25">
      <c r="Y59" s="65" t="s">
        <v>197</v>
      </c>
      <c r="Z59" s="65" t="s">
        <v>208</v>
      </c>
      <c r="AA59" s="65" t="s">
        <v>217</v>
      </c>
      <c r="AB59" s="65" t="s">
        <v>230</v>
      </c>
      <c r="AC59" s="65" t="s">
        <v>218</v>
      </c>
      <c r="AD59" s="65" t="s">
        <v>232</v>
      </c>
      <c r="AE59" s="65" t="s">
        <v>233</v>
      </c>
      <c r="AF59" s="65" t="s">
        <v>234</v>
      </c>
      <c r="AG59" s="65" t="s">
        <v>221</v>
      </c>
    </row>
    <row r="60" spans="13:82" x14ac:dyDescent="0.25">
      <c r="Y60" s="42">
        <v>0.01</v>
      </c>
      <c r="Z60" s="42">
        <v>3.2</v>
      </c>
      <c r="AA60" s="14">
        <v>0.79220000000000002</v>
      </c>
      <c r="AB60" s="46">
        <v>7.8485731934578931E-3</v>
      </c>
      <c r="AC60" s="2">
        <v>72.443900068446297</v>
      </c>
      <c r="AD60" s="42">
        <v>0.04</v>
      </c>
      <c r="AE60" s="42">
        <v>2.5</v>
      </c>
      <c r="AF60" s="14">
        <v>12.395796605820316</v>
      </c>
      <c r="AG60" s="17">
        <v>39.553531478548614</v>
      </c>
    </row>
    <row r="61" spans="13:82" x14ac:dyDescent="0.25">
      <c r="Y61" s="42">
        <v>0.05</v>
      </c>
      <c r="Z61" s="42">
        <v>3.8</v>
      </c>
      <c r="AA61" s="14">
        <v>0.86329999999999996</v>
      </c>
      <c r="AB61" s="46">
        <v>9.3201806672312485E-3</v>
      </c>
      <c r="AC61" s="2">
        <v>72.455500342231346</v>
      </c>
      <c r="AD61" s="42">
        <v>0.04</v>
      </c>
      <c r="AE61" s="42">
        <v>2.5</v>
      </c>
      <c r="AF61" s="14">
        <v>12.395796605820316</v>
      </c>
      <c r="AG61" s="17">
        <v>46.972001988085864</v>
      </c>
    </row>
    <row r="62" spans="13:82" x14ac:dyDescent="0.25">
      <c r="Y62" s="42">
        <v>0.1</v>
      </c>
      <c r="Z62" s="42">
        <v>4.2</v>
      </c>
      <c r="AA62" s="14">
        <v>0.90759999999999996</v>
      </c>
      <c r="AB62" s="46">
        <v>1.0301252316413486E-2</v>
      </c>
      <c r="AC62" s="2">
        <v>72.470000684462704</v>
      </c>
      <c r="AD62" s="42">
        <v>0.04</v>
      </c>
      <c r="AE62" s="42">
        <v>2.5</v>
      </c>
      <c r="AF62" s="14">
        <v>12.395796605820316</v>
      </c>
      <c r="AG62" s="17">
        <v>51.916399200825069</v>
      </c>
    </row>
    <row r="63" spans="13:82" x14ac:dyDescent="0.25">
      <c r="Y63" s="42">
        <v>0.5</v>
      </c>
      <c r="Z63" s="42">
        <v>4.4000000000000004</v>
      </c>
      <c r="AA63" s="14">
        <v>0.92900000000000005</v>
      </c>
      <c r="AB63" s="46">
        <v>1.0791788141004606E-2</v>
      </c>
      <c r="AC63" s="2">
        <v>72.586003422313482</v>
      </c>
      <c r="AD63" s="42">
        <v>0.04</v>
      </c>
      <c r="AE63" s="42">
        <v>2.5</v>
      </c>
      <c r="AF63" s="14">
        <v>12.395796605820316</v>
      </c>
      <c r="AG63" s="17">
        <v>54.393501498194361</v>
      </c>
    </row>
    <row r="64" spans="13:82" x14ac:dyDescent="0.25">
      <c r="Y64" s="42">
        <v>1</v>
      </c>
      <c r="Z64" s="42">
        <v>4.4000000000000004</v>
      </c>
      <c r="AA64" s="14">
        <v>0.92900000000000005</v>
      </c>
      <c r="AB64" s="46">
        <v>1.0791788141004606E-2</v>
      </c>
      <c r="AC64" s="2">
        <v>72.731006844626975</v>
      </c>
      <c r="AD64" s="42">
        <v>0.04</v>
      </c>
      <c r="AE64" s="42">
        <v>2.5</v>
      </c>
      <c r="AF64" s="14">
        <v>12.395796605820316</v>
      </c>
      <c r="AG64" s="17">
        <v>54.393501498194361</v>
      </c>
    </row>
    <row r="65" spans="25:33" x14ac:dyDescent="0.25">
      <c r="Y65" s="42">
        <v>2</v>
      </c>
      <c r="Z65" s="42">
        <v>4</v>
      </c>
      <c r="AA65" s="14">
        <v>0.88570000000000004</v>
      </c>
      <c r="AB65" s="46">
        <v>9.8107164918223681E-3</v>
      </c>
      <c r="AC65" s="2">
        <v>73.021013689253934</v>
      </c>
      <c r="AD65" s="42">
        <v>0.04</v>
      </c>
      <c r="AE65" s="42">
        <v>2.5</v>
      </c>
      <c r="AF65" s="14">
        <v>12.395796605820316</v>
      </c>
      <c r="AG65" s="17">
        <v>49.441185774598516</v>
      </c>
    </row>
    <row r="66" spans="25:33" x14ac:dyDescent="0.25">
      <c r="Y66" s="42">
        <v>5</v>
      </c>
      <c r="Z66" s="17">
        <v>4</v>
      </c>
      <c r="AA66" s="14">
        <v>0.88570000000000004</v>
      </c>
      <c r="AB66" s="46">
        <v>9.8107164918223681E-3</v>
      </c>
      <c r="AC66" s="2">
        <v>73.891034223134838</v>
      </c>
      <c r="AD66" s="42">
        <v>0.04</v>
      </c>
      <c r="AE66" s="42">
        <v>2.5</v>
      </c>
      <c r="AF66" s="14">
        <v>12.395796605820316</v>
      </c>
      <c r="AG66" s="17">
        <v>49.441185774598516</v>
      </c>
    </row>
    <row r="67" spans="25:33" x14ac:dyDescent="0.25">
      <c r="Y67" s="42">
        <v>10</v>
      </c>
      <c r="Z67" s="42">
        <v>3.6</v>
      </c>
      <c r="AA67" s="14">
        <v>0.88570000000000004</v>
      </c>
      <c r="AB67" s="46">
        <v>9.8107164918223681E-3</v>
      </c>
      <c r="AC67" s="2">
        <v>75.341068446269688</v>
      </c>
      <c r="AD67" s="42">
        <v>0.04</v>
      </c>
      <c r="AE67" s="42">
        <v>2.5</v>
      </c>
      <c r="AF67" s="14">
        <v>12.395796605820316</v>
      </c>
      <c r="AG67" s="17">
        <v>49.441185774598516</v>
      </c>
    </row>
    <row r="106" spans="68:68" x14ac:dyDescent="0.25">
      <c r="BP106" t="s">
        <v>12</v>
      </c>
    </row>
  </sheetData>
  <mergeCells count="27">
    <mergeCell ref="AI26:AI35"/>
    <mergeCell ref="AV26:AV35"/>
    <mergeCell ref="CV4:CV6"/>
    <mergeCell ref="CV8:CV10"/>
    <mergeCell ref="CV12:CV14"/>
    <mergeCell ref="AI4:AI13"/>
    <mergeCell ref="AV4:AV13"/>
    <mergeCell ref="A15:M15"/>
    <mergeCell ref="CV16:CV18"/>
    <mergeCell ref="AI24:AI25"/>
    <mergeCell ref="AJ24:AQ24"/>
    <mergeCell ref="AV24:AV25"/>
    <mergeCell ref="AW24:BD24"/>
    <mergeCell ref="BJ24:BJ25"/>
    <mergeCell ref="BK24:BR24"/>
    <mergeCell ref="BW24:CD24"/>
    <mergeCell ref="AW2:BD2"/>
    <mergeCell ref="BJ2:BJ3"/>
    <mergeCell ref="BK2:BR2"/>
    <mergeCell ref="BV2:BV3"/>
    <mergeCell ref="BW2:CD2"/>
    <mergeCell ref="AV2:AV3"/>
    <mergeCell ref="AI1:AQ1"/>
    <mergeCell ref="A2:K2"/>
    <mergeCell ref="M2:O2"/>
    <mergeCell ref="AI2:AI3"/>
    <mergeCell ref="AJ2:AQ2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EC79-FC16-43A8-BEDD-9C033F51780D}">
  <dimension ref="A1"/>
  <sheetViews>
    <sheetView workbookViewId="0">
      <selection activeCell="AC19" sqref="AC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FD1F-8316-4BF9-BC04-7EF1492B0C15}">
  <dimension ref="A1:P74"/>
  <sheetViews>
    <sheetView zoomScale="70" zoomScaleNormal="70" workbookViewId="0">
      <pane ySplit="405" topLeftCell="A13" activePane="bottomLeft"/>
      <selection activeCell="M2" sqref="M2"/>
      <selection pane="bottomLeft" activeCell="H4" sqref="H4:K6"/>
    </sheetView>
  </sheetViews>
  <sheetFormatPr defaultRowHeight="15" x14ac:dyDescent="0.25"/>
  <cols>
    <col min="1" max="1" width="36.28515625" bestFit="1" customWidth="1"/>
    <col min="4" max="4" width="12.5703125" bestFit="1" customWidth="1"/>
    <col min="15" max="15" width="10.7109375" bestFit="1" customWidth="1"/>
    <col min="16" max="16" width="33.7109375" customWidth="1"/>
  </cols>
  <sheetData>
    <row r="1" spans="1:16" x14ac:dyDescent="0.25">
      <c r="A1" t="s">
        <v>101</v>
      </c>
      <c r="B1" s="59" t="s">
        <v>102</v>
      </c>
      <c r="C1" t="s">
        <v>103</v>
      </c>
      <c r="D1" t="s">
        <v>104</v>
      </c>
      <c r="E1" t="s">
        <v>105</v>
      </c>
      <c r="F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O1" t="s">
        <v>113</v>
      </c>
      <c r="P1" t="s">
        <v>114</v>
      </c>
    </row>
    <row r="2" spans="1:16" x14ac:dyDescent="0.25">
      <c r="A2" t="s">
        <v>115</v>
      </c>
      <c r="H2">
        <f>MIN(B2:B71)</f>
        <v>0</v>
      </c>
      <c r="I2">
        <f>MAX(B2:B71)</f>
        <v>1.1200000000000001</v>
      </c>
      <c r="J2">
        <f>MIN(C2:C71)</f>
        <v>0.28000000000000003</v>
      </c>
      <c r="K2">
        <f>MAX(C2:C71)</f>
        <v>0.88</v>
      </c>
      <c r="L2">
        <f>MIN(D2:D71)</f>
        <v>0.47</v>
      </c>
      <c r="M2">
        <f>MAX(D2:D71)</f>
        <v>1.0900000000000001</v>
      </c>
    </row>
    <row r="3" spans="1:16" x14ac:dyDescent="0.25">
      <c r="A3" t="s">
        <v>116</v>
      </c>
      <c r="B3">
        <v>1.1200000000000001</v>
      </c>
      <c r="D3">
        <v>0.64</v>
      </c>
      <c r="P3" s="60" t="s">
        <v>117</v>
      </c>
    </row>
    <row r="4" spans="1:16" x14ac:dyDescent="0.25">
      <c r="A4" t="s">
        <v>118</v>
      </c>
      <c r="I4" s="59" t="s">
        <v>102</v>
      </c>
      <c r="J4" t="s">
        <v>103</v>
      </c>
      <c r="K4" t="s">
        <v>104</v>
      </c>
    </row>
    <row r="5" spans="1:16" x14ac:dyDescent="0.25">
      <c r="A5" t="s">
        <v>119</v>
      </c>
      <c r="H5" t="s">
        <v>120</v>
      </c>
      <c r="I5">
        <f>H2</f>
        <v>0</v>
      </c>
      <c r="J5">
        <f>J2</f>
        <v>0.28000000000000003</v>
      </c>
      <c r="K5">
        <f>L2</f>
        <v>0.47</v>
      </c>
    </row>
    <row r="6" spans="1:16" x14ac:dyDescent="0.25">
      <c r="A6" t="s">
        <v>121</v>
      </c>
      <c r="H6" t="s">
        <v>122</v>
      </c>
      <c r="I6">
        <f>I2</f>
        <v>1.1200000000000001</v>
      </c>
      <c r="J6">
        <f>K2</f>
        <v>0.88</v>
      </c>
      <c r="K6">
        <f>M2</f>
        <v>1.0900000000000001</v>
      </c>
    </row>
    <row r="7" spans="1:16" x14ac:dyDescent="0.25">
      <c r="A7" t="s">
        <v>123</v>
      </c>
    </row>
    <row r="8" spans="1:16" x14ac:dyDescent="0.25">
      <c r="A8" t="s">
        <v>124</v>
      </c>
    </row>
    <row r="9" spans="1:16" x14ac:dyDescent="0.25">
      <c r="A9" t="s">
        <v>125</v>
      </c>
      <c r="B9">
        <v>0.79</v>
      </c>
      <c r="C9">
        <v>0.88</v>
      </c>
      <c r="D9">
        <v>0.47</v>
      </c>
      <c r="P9" s="60" t="s">
        <v>126</v>
      </c>
    </row>
    <row r="10" spans="1:16" x14ac:dyDescent="0.25">
      <c r="A10" t="s">
        <v>127</v>
      </c>
    </row>
    <row r="11" spans="1:16" x14ac:dyDescent="0.25">
      <c r="A11" t="s">
        <v>128</v>
      </c>
    </row>
    <row r="12" spans="1:16" x14ac:dyDescent="0.25">
      <c r="A12" t="s">
        <v>129</v>
      </c>
    </row>
    <row r="13" spans="1:16" x14ac:dyDescent="0.25">
      <c r="A13" t="s">
        <v>130</v>
      </c>
    </row>
    <row r="14" spans="1:16" x14ac:dyDescent="0.25">
      <c r="A14" t="s">
        <v>131</v>
      </c>
    </row>
    <row r="15" spans="1:16" x14ac:dyDescent="0.25">
      <c r="A15" t="s">
        <v>132</v>
      </c>
    </row>
    <row r="16" spans="1:16" x14ac:dyDescent="0.25">
      <c r="A16" t="s">
        <v>133</v>
      </c>
    </row>
    <row r="17" spans="1:16" x14ac:dyDescent="0.25">
      <c r="A17" t="s">
        <v>134</v>
      </c>
    </row>
    <row r="18" spans="1:16" x14ac:dyDescent="0.25">
      <c r="A18" t="s">
        <v>135</v>
      </c>
    </row>
    <row r="19" spans="1:16" x14ac:dyDescent="0.25">
      <c r="A19" t="s">
        <v>136</v>
      </c>
    </row>
    <row r="20" spans="1:16" x14ac:dyDescent="0.25">
      <c r="A20" t="s">
        <v>137</v>
      </c>
    </row>
    <row r="21" spans="1:16" x14ac:dyDescent="0.25">
      <c r="A21" t="s">
        <v>138</v>
      </c>
    </row>
    <row r="22" spans="1:16" x14ac:dyDescent="0.25">
      <c r="A22" t="s">
        <v>139</v>
      </c>
    </row>
    <row r="23" spans="1:16" x14ac:dyDescent="0.25">
      <c r="A23" t="s">
        <v>140</v>
      </c>
    </row>
    <row r="24" spans="1:16" x14ac:dyDescent="0.25">
      <c r="A24" t="s">
        <v>141</v>
      </c>
      <c r="B24">
        <v>0</v>
      </c>
      <c r="C24">
        <v>0.76</v>
      </c>
      <c r="D24">
        <v>1</v>
      </c>
      <c r="P24" s="60" t="s">
        <v>126</v>
      </c>
    </row>
    <row r="25" spans="1:16" x14ac:dyDescent="0.25">
      <c r="A25" t="s">
        <v>142</v>
      </c>
      <c r="B25">
        <v>0.83</v>
      </c>
      <c r="C25">
        <v>0.77</v>
      </c>
      <c r="D25">
        <v>0.62</v>
      </c>
      <c r="P25" s="60" t="s">
        <v>117</v>
      </c>
    </row>
    <row r="26" spans="1:16" x14ac:dyDescent="0.25">
      <c r="A26" t="s">
        <v>143</v>
      </c>
    </row>
    <row r="27" spans="1:16" x14ac:dyDescent="0.25">
      <c r="A27" t="s">
        <v>144</v>
      </c>
      <c r="B27">
        <v>0.69</v>
      </c>
      <c r="C27">
        <v>0.52</v>
      </c>
      <c r="D27">
        <v>0.82</v>
      </c>
      <c r="P27" s="60" t="s">
        <v>117</v>
      </c>
    </row>
    <row r="28" spans="1:16" x14ac:dyDescent="0.25">
      <c r="A28" t="s">
        <v>145</v>
      </c>
    </row>
    <row r="29" spans="1:16" x14ac:dyDescent="0.25">
      <c r="A29" t="s">
        <v>146</v>
      </c>
    </row>
    <row r="30" spans="1:16" x14ac:dyDescent="0.25">
      <c r="A30" t="s">
        <v>147</v>
      </c>
    </row>
    <row r="31" spans="1:16" x14ac:dyDescent="0.25">
      <c r="A31" t="s">
        <v>148</v>
      </c>
      <c r="B31">
        <v>0.9</v>
      </c>
      <c r="C31">
        <v>0.52</v>
      </c>
      <c r="D31">
        <v>0.92</v>
      </c>
      <c r="P31" s="60" t="s">
        <v>149</v>
      </c>
    </row>
    <row r="32" spans="1:16" x14ac:dyDescent="0.25">
      <c r="A32" t="s">
        <v>150</v>
      </c>
    </row>
    <row r="33" spans="1:16" x14ac:dyDescent="0.25">
      <c r="A33" t="s">
        <v>151</v>
      </c>
    </row>
    <row r="34" spans="1:16" x14ac:dyDescent="0.25">
      <c r="A34" t="s">
        <v>152</v>
      </c>
    </row>
    <row r="35" spans="1:16" x14ac:dyDescent="0.25">
      <c r="A35" t="s">
        <v>153</v>
      </c>
    </row>
    <row r="36" spans="1:16" x14ac:dyDescent="0.25">
      <c r="A36" t="s">
        <v>154</v>
      </c>
    </row>
    <row r="37" spans="1:16" x14ac:dyDescent="0.25">
      <c r="A37" t="s">
        <v>155</v>
      </c>
      <c r="B37">
        <v>0.93</v>
      </c>
      <c r="C37">
        <v>0.67</v>
      </c>
      <c r="D37">
        <v>1.04</v>
      </c>
      <c r="P37" s="60" t="s">
        <v>117</v>
      </c>
    </row>
    <row r="38" spans="1:16" x14ac:dyDescent="0.25">
      <c r="A38" t="s">
        <v>156</v>
      </c>
    </row>
    <row r="39" spans="1:16" x14ac:dyDescent="0.25">
      <c r="A39" t="s">
        <v>157</v>
      </c>
    </row>
    <row r="40" spans="1:16" x14ac:dyDescent="0.25">
      <c r="A40" t="s">
        <v>158</v>
      </c>
    </row>
    <row r="41" spans="1:16" x14ac:dyDescent="0.25">
      <c r="A41" t="s">
        <v>159</v>
      </c>
    </row>
    <row r="42" spans="1:16" x14ac:dyDescent="0.25">
      <c r="A42" t="s">
        <v>160</v>
      </c>
    </row>
    <row r="43" spans="1:16" x14ac:dyDescent="0.25">
      <c r="A43" t="s">
        <v>161</v>
      </c>
    </row>
    <row r="44" spans="1:16" x14ac:dyDescent="0.25">
      <c r="A44" t="s">
        <v>162</v>
      </c>
      <c r="K44">
        <f>0.35/6.3</f>
        <v>5.5555555555555552E-2</v>
      </c>
    </row>
    <row r="45" spans="1:16" x14ac:dyDescent="0.25">
      <c r="A45" t="s">
        <v>163</v>
      </c>
    </row>
    <row r="46" spans="1:16" x14ac:dyDescent="0.25">
      <c r="A46" t="s">
        <v>164</v>
      </c>
    </row>
    <row r="47" spans="1:16" x14ac:dyDescent="0.25">
      <c r="A47" t="s">
        <v>165</v>
      </c>
    </row>
    <row r="48" spans="1:16" x14ac:dyDescent="0.25">
      <c r="A48" t="s">
        <v>166</v>
      </c>
    </row>
    <row r="49" spans="1:16" x14ac:dyDescent="0.25">
      <c r="A49" t="s">
        <v>167</v>
      </c>
    </row>
    <row r="50" spans="1:16" x14ac:dyDescent="0.25">
      <c r="A50" t="s">
        <v>168</v>
      </c>
      <c r="C50">
        <v>0.4</v>
      </c>
      <c r="D50">
        <v>1.0900000000000001</v>
      </c>
      <c r="P50" s="60" t="s">
        <v>117</v>
      </c>
    </row>
    <row r="51" spans="1:16" x14ac:dyDescent="0.25">
      <c r="A51" t="s">
        <v>165</v>
      </c>
      <c r="B51">
        <v>0.93</v>
      </c>
      <c r="C51">
        <v>0.62</v>
      </c>
      <c r="D51">
        <v>0.6</v>
      </c>
      <c r="P51" s="60" t="s">
        <v>126</v>
      </c>
    </row>
    <row r="52" spans="1:16" x14ac:dyDescent="0.25">
      <c r="A52" t="s">
        <v>169</v>
      </c>
    </row>
    <row r="53" spans="1:16" x14ac:dyDescent="0.25">
      <c r="A53" t="s">
        <v>170</v>
      </c>
    </row>
    <row r="54" spans="1:16" x14ac:dyDescent="0.25">
      <c r="A54" t="s">
        <v>171</v>
      </c>
    </row>
    <row r="55" spans="1:16" x14ac:dyDescent="0.25">
      <c r="A55" t="s">
        <v>172</v>
      </c>
    </row>
    <row r="56" spans="1:16" x14ac:dyDescent="0.25">
      <c r="A56" t="s">
        <v>173</v>
      </c>
    </row>
    <row r="57" spans="1:16" x14ac:dyDescent="0.25">
      <c r="A57" t="s">
        <v>174</v>
      </c>
    </row>
    <row r="58" spans="1:16" x14ac:dyDescent="0.25">
      <c r="A58" t="s">
        <v>175</v>
      </c>
    </row>
    <row r="59" spans="1:16" x14ac:dyDescent="0.25">
      <c r="A59" t="s">
        <v>176</v>
      </c>
      <c r="B59">
        <v>1.1200000000000001</v>
      </c>
      <c r="C59">
        <v>0.28000000000000003</v>
      </c>
      <c r="D59">
        <v>0.51</v>
      </c>
      <c r="P59" s="60" t="s">
        <v>117</v>
      </c>
    </row>
    <row r="60" spans="1:16" x14ac:dyDescent="0.25">
      <c r="A60" t="s">
        <v>177</v>
      </c>
    </row>
    <row r="61" spans="1:16" x14ac:dyDescent="0.25">
      <c r="A61" t="s">
        <v>178</v>
      </c>
    </row>
    <row r="62" spans="1:16" x14ac:dyDescent="0.25">
      <c r="A62" t="s">
        <v>179</v>
      </c>
    </row>
    <row r="63" spans="1:16" x14ac:dyDescent="0.25">
      <c r="A63" t="s">
        <v>180</v>
      </c>
      <c r="B63">
        <v>0.78</v>
      </c>
      <c r="C63">
        <v>0.83</v>
      </c>
      <c r="D63">
        <v>0.52</v>
      </c>
      <c r="P63" s="60" t="s">
        <v>126</v>
      </c>
    </row>
    <row r="64" spans="1:16" x14ac:dyDescent="0.25">
      <c r="A64" t="s">
        <v>181</v>
      </c>
      <c r="B64">
        <v>0.79</v>
      </c>
      <c r="C64">
        <v>0.88</v>
      </c>
      <c r="D64">
        <v>0.48</v>
      </c>
      <c r="P64" s="60" t="s">
        <v>126</v>
      </c>
    </row>
    <row r="65" spans="1:16" x14ac:dyDescent="0.25">
      <c r="A65" t="s">
        <v>182</v>
      </c>
    </row>
    <row r="66" spans="1:16" x14ac:dyDescent="0.25">
      <c r="A66" t="s">
        <v>183</v>
      </c>
    </row>
    <row r="67" spans="1:16" x14ac:dyDescent="0.25">
      <c r="A67" t="s">
        <v>184</v>
      </c>
    </row>
    <row r="68" spans="1:16" x14ac:dyDescent="0.25">
      <c r="A68" t="s">
        <v>185</v>
      </c>
    </row>
    <row r="69" spans="1:16" x14ac:dyDescent="0.25">
      <c r="A69" t="s">
        <v>186</v>
      </c>
    </row>
    <row r="70" spans="1:16" x14ac:dyDescent="0.25">
      <c r="A70" t="s">
        <v>187</v>
      </c>
    </row>
    <row r="71" spans="1:16" x14ac:dyDescent="0.25">
      <c r="A71" t="s">
        <v>188</v>
      </c>
    </row>
    <row r="73" spans="1:16" x14ac:dyDescent="0.25">
      <c r="A73" t="s">
        <v>189</v>
      </c>
    </row>
    <row r="74" spans="1:16" x14ac:dyDescent="0.25">
      <c r="A74" t="s">
        <v>190</v>
      </c>
      <c r="B74">
        <v>1.0529999999999999</v>
      </c>
      <c r="C74">
        <v>0.47</v>
      </c>
      <c r="D74">
        <v>1.087</v>
      </c>
      <c r="P74" s="60" t="s">
        <v>126</v>
      </c>
    </row>
  </sheetData>
  <hyperlinks>
    <hyperlink ref="P24" r:id="rId1" display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xr:uid="{7D841EB2-9B0F-4553-A989-78EEB52CC803}"/>
    <hyperlink ref="P51" r:id="rId2" display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xr:uid="{96A4A0CD-D6D3-4B36-BB9C-7B44F5ADE21F}"/>
    <hyperlink ref="P63" r:id="rId3" display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xr:uid="{9E91557B-5652-40D2-9129-727070F0E598}"/>
    <hyperlink ref="P64" r:id="rId4" display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xr:uid="{46BF31C6-4F4A-4CC1-BAA8-DAEF61BEB782}"/>
    <hyperlink ref="P74" r:id="rId5" display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xr:uid="{5192ABDD-FD11-4D1E-A9A7-D97534C5282A}"/>
    <hyperlink ref="P9" r:id="rId6" display="https://www.researchgate.net/deref/http%3A%2F%2Fdx.doi.org%2F10.1007%2Fs00706-011-0639-7?_sg%5B0%5D=35nwzPxy1Dk7fnOj_beNsxxKDwM02ll184XEUPVMqDPUVDequNtntaMlTA9b2MDHF-y6UTPHeV6INkScoG1seun4uw._MzS_1VtpjqqNgzWwvVDTz3HvRoirWkDlxuEU-In7SkpZwulZtqUZn4aKfvkY4AhKSVMNCrUDL-e2recdphQhA" xr:uid="{25CA0685-3BC1-4F0E-B58B-3F64E2D17062}"/>
    <hyperlink ref="P3" r:id="rId7" display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xr:uid="{B431C219-A86C-4DBC-93D8-67B5504BF293}"/>
    <hyperlink ref="P25" r:id="rId8" display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xr:uid="{2EBC66C7-7A71-4786-9EC0-FDA94ED1E6E3}"/>
    <hyperlink ref="P27" r:id="rId9" display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xr:uid="{7331DFD8-9242-4DBB-82F4-F5C37F448B21}"/>
    <hyperlink ref="P37" r:id="rId10" display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xr:uid="{053000B4-C25A-47D5-B68C-CB11BC8DDC4A}"/>
    <hyperlink ref="P50" r:id="rId11" display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xr:uid="{FB8ED860-AB7D-435A-862F-744D4639B8D0}"/>
    <hyperlink ref="P59" r:id="rId12" display="https://www.researchgate.net/deref/http%3A%2F%2Fdx.doi.org%2F10.1016%2Fj.arabjc.2011.01.031?_sg%5B0%5D=rBD9gr36u4qO5Y_zfDzxWriwOejxQztkSUS_GznGthPvqi4_5Is-zhf3t47Xn6LeYfvY8jSPtHz5mGLk6eg3EvUM6w.qL2kJwev3IE1lmb4nmvxj2BxoDeYLzFypItOnBSH7dDn86SqlMnIsPWEtbc4VMH8RwYbv1Q8k-qZk8TNcepOuQ" xr:uid="{9D044029-EFEF-40AF-91AE-C2721395EED5}"/>
    <hyperlink ref="P31" r:id="rId13" display="https://www.researchgate.net/deref/http%3A%2F%2Fdx.doi.org%2F10.2116%2Fanalsci.18.1357?_sg%5B0%5D=dQmX8V8CjGld1vPSdPemFXtzif_Ef_kDSaxX_LN6D7ETiC5bZjRTkf7Udjgs8YicuG0-a7NBRaeHIUQQot7XyDt2ww.URULuNXLuW-WqQvw4RbfVi7TephbL5anvcDLu89BQOeRpeh1DyKHRQwK7Y0FqFwRJW1LnH0XqMOq3i269-iEtA" xr:uid="{512DD18B-1721-4FA5-9B10-815472BC99DA}"/>
  </hyperlinks>
  <pageMargins left="0.7" right="0.7" top="0.75" bottom="0.75" header="0.3" footer="0.3"/>
  <pageSetup paperSize="9" orientation="portrait" verticalDpi="0" r:id="rId14"/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2E28-9A8E-4957-BFC8-B14C63F2B9F9}">
  <dimension ref="A1:E19"/>
  <sheetViews>
    <sheetView zoomScale="55" zoomScaleNormal="55" workbookViewId="0">
      <selection activeCell="L3" sqref="L3"/>
    </sheetView>
  </sheetViews>
  <sheetFormatPr defaultRowHeight="15" x14ac:dyDescent="0.25"/>
  <cols>
    <col min="1" max="1" width="18.28515625" bestFit="1" customWidth="1"/>
    <col min="2" max="2" width="16.42578125" bestFit="1" customWidth="1"/>
    <col min="3" max="3" width="12" bestFit="1" customWidth="1"/>
    <col min="5" max="5" width="12" bestFit="1" customWidth="1"/>
  </cols>
  <sheetData>
    <row r="1" spans="1:5" x14ac:dyDescent="0.25">
      <c r="A1" s="58" t="s">
        <v>86</v>
      </c>
      <c r="B1" s="58" t="s">
        <v>87</v>
      </c>
      <c r="C1" s="58" t="s">
        <v>88</v>
      </c>
      <c r="D1" s="58" t="s">
        <v>89</v>
      </c>
    </row>
    <row r="2" spans="1:5" x14ac:dyDescent="0.25">
      <c r="A2" s="58" t="s">
        <v>90</v>
      </c>
      <c r="B2" s="58">
        <v>33</v>
      </c>
      <c r="C2" s="58" t="s">
        <v>91</v>
      </c>
      <c r="D2" s="58">
        <v>7.2</v>
      </c>
    </row>
    <row r="3" spans="1:5" x14ac:dyDescent="0.25">
      <c r="A3" s="58" t="s">
        <v>92</v>
      </c>
      <c r="B3" s="58">
        <v>40</v>
      </c>
      <c r="C3" s="58" t="s">
        <v>91</v>
      </c>
      <c r="D3" s="58">
        <v>7.2</v>
      </c>
    </row>
    <row r="4" spans="1:5" x14ac:dyDescent="0.25">
      <c r="A4" s="58" t="s">
        <v>93</v>
      </c>
      <c r="B4" s="58">
        <v>42</v>
      </c>
      <c r="C4" s="58" t="s">
        <v>91</v>
      </c>
      <c r="D4" s="58">
        <v>6.8</v>
      </c>
    </row>
    <row r="5" spans="1:5" x14ac:dyDescent="0.25">
      <c r="A5" s="58" t="s">
        <v>94</v>
      </c>
      <c r="B5" s="58">
        <v>40</v>
      </c>
      <c r="C5" s="58" t="s">
        <v>91</v>
      </c>
      <c r="D5" s="58">
        <v>6.8</v>
      </c>
    </row>
    <row r="6" spans="1:5" x14ac:dyDescent="0.25">
      <c r="A6" s="58" t="s">
        <v>95</v>
      </c>
      <c r="B6" s="58">
        <v>49</v>
      </c>
      <c r="C6" s="58" t="s">
        <v>91</v>
      </c>
      <c r="D6" s="58">
        <v>7.5</v>
      </c>
    </row>
    <row r="13" spans="1:5" x14ac:dyDescent="0.25">
      <c r="B13" t="s">
        <v>96</v>
      </c>
      <c r="C13" t="s">
        <v>97</v>
      </c>
      <c r="E13" t="s">
        <v>98</v>
      </c>
    </row>
    <row r="14" spans="1:5" x14ac:dyDescent="0.25">
      <c r="A14" t="s">
        <v>99</v>
      </c>
      <c r="B14">
        <v>1E-3</v>
      </c>
      <c r="C14">
        <f>(4/3)*PI()*((B14)^3)</f>
        <v>4.1887902047863909E-9</v>
      </c>
      <c r="E14">
        <f>C14-C15</f>
        <v>3.6651914291880918E-9</v>
      </c>
    </row>
    <row r="15" spans="1:5" x14ac:dyDescent="0.25">
      <c r="A15" t="s">
        <v>100</v>
      </c>
      <c r="B15">
        <v>5.0000000000000001E-4</v>
      </c>
      <c r="C15">
        <f>(4/3)*PI()*((B15)^3)</f>
        <v>5.2359877559829886E-10</v>
      </c>
      <c r="E15">
        <f>E14/C14*100</f>
        <v>87.5</v>
      </c>
    </row>
    <row r="17" spans="1:5" x14ac:dyDescent="0.25">
      <c r="B17" t="s">
        <v>96</v>
      </c>
      <c r="C17" t="s">
        <v>97</v>
      </c>
      <c r="E17" t="s">
        <v>98</v>
      </c>
    </row>
    <row r="18" spans="1:5" x14ac:dyDescent="0.25">
      <c r="A18" t="s">
        <v>99</v>
      </c>
      <c r="B18">
        <v>1</v>
      </c>
      <c r="C18">
        <f>(4/3)*PI()*((B18)^3)</f>
        <v>4.1887902047863905</v>
      </c>
      <c r="E18">
        <f>C18-C19</f>
        <v>3.6651914291880918</v>
      </c>
    </row>
    <row r="19" spans="1:5" x14ac:dyDescent="0.25">
      <c r="A19" t="s">
        <v>100</v>
      </c>
      <c r="B19">
        <v>0.5</v>
      </c>
      <c r="C19">
        <f>(4/3)*PI()*((B19)^3)</f>
        <v>0.52359877559829882</v>
      </c>
      <c r="E19">
        <f>E18/C18*100</f>
        <v>87.5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6BE38-23E8-41C2-B3A1-8E6C7526EC77}">
  <dimension ref="A1:S62"/>
  <sheetViews>
    <sheetView zoomScale="25" zoomScaleNormal="25" workbookViewId="0">
      <selection activeCell="V78" sqref="V78"/>
    </sheetView>
  </sheetViews>
  <sheetFormatPr defaultRowHeight="15" x14ac:dyDescent="0.25"/>
  <cols>
    <col min="5" max="5" width="40.28515625" customWidth="1"/>
    <col min="10" max="10" width="32.42578125" customWidth="1"/>
    <col min="15" max="15" width="48.5703125" customWidth="1"/>
    <col min="20" max="20" width="31.85546875" customWidth="1"/>
  </cols>
  <sheetData>
    <row r="1" spans="1:19" x14ac:dyDescent="0.25">
      <c r="A1" t="s">
        <v>2</v>
      </c>
      <c r="F1" t="s">
        <v>82</v>
      </c>
      <c r="K1" t="s">
        <v>4</v>
      </c>
      <c r="P1" t="s">
        <v>5</v>
      </c>
    </row>
    <row r="2" spans="1:19" x14ac:dyDescent="0.25">
      <c r="B2" t="s">
        <v>83</v>
      </c>
      <c r="C2" t="s">
        <v>84</v>
      </c>
      <c r="D2" t="s">
        <v>85</v>
      </c>
      <c r="G2" t="s">
        <v>83</v>
      </c>
      <c r="H2" t="s">
        <v>84</v>
      </c>
      <c r="I2" t="s">
        <v>85</v>
      </c>
      <c r="L2" t="s">
        <v>83</v>
      </c>
      <c r="M2" t="s">
        <v>84</v>
      </c>
      <c r="N2" t="s">
        <v>85</v>
      </c>
      <c r="Q2" t="s">
        <v>83</v>
      </c>
      <c r="R2" t="s">
        <v>84</v>
      </c>
      <c r="S2" t="s">
        <v>85</v>
      </c>
    </row>
    <row r="3" spans="1:19" x14ac:dyDescent="0.25">
      <c r="A3" s="2">
        <v>15</v>
      </c>
      <c r="B3" s="2">
        <v>82.253008305749688</v>
      </c>
      <c r="C3" s="2">
        <v>40.988224943600798</v>
      </c>
      <c r="D3" s="2">
        <v>61.620616624675243</v>
      </c>
      <c r="F3" s="2">
        <v>15</v>
      </c>
      <c r="G3" s="2">
        <v>34.562674535398493</v>
      </c>
      <c r="H3" s="2">
        <v>10.650707243527584</v>
      </c>
      <c r="I3" s="2">
        <v>22.606690889463039</v>
      </c>
      <c r="K3" s="2">
        <v>15</v>
      </c>
      <c r="L3" s="2">
        <v>59.714742319314666</v>
      </c>
      <c r="M3" s="2">
        <v>32.054420043314607</v>
      </c>
      <c r="N3" s="2">
        <v>45.884581181314637</v>
      </c>
      <c r="P3" s="2">
        <v>15</v>
      </c>
      <c r="Q3" s="2">
        <v>133.03122694825399</v>
      </c>
      <c r="R3" s="2">
        <v>81.124772364036446</v>
      </c>
      <c r="S3" s="2">
        <v>107.07799965614522</v>
      </c>
    </row>
    <row r="4" spans="1:19" x14ac:dyDescent="0.25">
      <c r="A4" s="2">
        <v>30</v>
      </c>
      <c r="B4" s="2">
        <v>39.139087701290642</v>
      </c>
      <c r="C4" s="2">
        <v>16.042985649926919</v>
      </c>
      <c r="D4" s="2">
        <v>27.59103667560878</v>
      </c>
      <c r="F4" s="2">
        <v>30</v>
      </c>
      <c r="G4" s="2">
        <v>33.370978121472696</v>
      </c>
      <c r="H4" s="2">
        <v>17.341013094969803</v>
      </c>
      <c r="I4" s="2">
        <v>25.355995608221249</v>
      </c>
      <c r="K4" s="2">
        <v>30</v>
      </c>
      <c r="L4" s="2">
        <v>53.922278974782728</v>
      </c>
      <c r="M4" s="2">
        <v>23.817998687844224</v>
      </c>
      <c r="N4" s="2">
        <v>38.870138831313476</v>
      </c>
      <c r="P4" s="2">
        <v>30</v>
      </c>
      <c r="Q4" s="2">
        <v>280.16382949928106</v>
      </c>
      <c r="R4" s="2">
        <v>151.02195401135162</v>
      </c>
      <c r="S4" s="2">
        <v>215.59289175531634</v>
      </c>
    </row>
    <row r="5" spans="1:19" x14ac:dyDescent="0.25">
      <c r="A5" s="2">
        <v>45</v>
      </c>
      <c r="B5" s="2">
        <v>200.30130778602108</v>
      </c>
      <c r="C5" s="2">
        <v>149.14254113783142</v>
      </c>
      <c r="D5" s="2">
        <v>174.72192446192625</v>
      </c>
      <c r="F5" s="2">
        <v>45</v>
      </c>
      <c r="G5" s="2">
        <v>34.449315166901087</v>
      </c>
      <c r="H5" s="2">
        <v>28.075174523150235</v>
      </c>
      <c r="I5" s="2">
        <v>31.262244845025663</v>
      </c>
      <c r="K5" s="2">
        <v>45</v>
      </c>
      <c r="L5" s="2">
        <v>80.38909548865837</v>
      </c>
      <c r="M5" s="2">
        <v>26.542174358312074</v>
      </c>
      <c r="N5" s="2">
        <v>53.465634923485219</v>
      </c>
      <c r="P5" s="2">
        <v>45</v>
      </c>
      <c r="Q5" s="2">
        <v>435.96310253758469</v>
      </c>
      <c r="R5" s="2">
        <v>180.09654416972177</v>
      </c>
      <c r="S5" s="2">
        <v>308.02982335365323</v>
      </c>
    </row>
    <row r="6" spans="1:19" x14ac:dyDescent="0.25">
      <c r="A6" s="2">
        <v>60</v>
      </c>
      <c r="B6" s="2">
        <v>196.53026059151313</v>
      </c>
      <c r="C6" s="2">
        <v>91.053698120079787</v>
      </c>
      <c r="D6" s="2">
        <v>143.79197935579646</v>
      </c>
      <c r="F6" s="2">
        <v>60</v>
      </c>
      <c r="G6" s="2">
        <v>34.619502266681614</v>
      </c>
      <c r="H6" s="2">
        <v>10.242279799626267</v>
      </c>
      <c r="I6" s="2">
        <v>22.430891033153941</v>
      </c>
      <c r="K6" s="2">
        <v>60</v>
      </c>
      <c r="L6" s="2">
        <v>94.880994238917566</v>
      </c>
      <c r="M6" s="2">
        <v>15.095302732685433</v>
      </c>
      <c r="N6" s="2">
        <v>54.988148485801496</v>
      </c>
      <c r="P6" s="2">
        <v>60</v>
      </c>
      <c r="Q6" s="2">
        <v>605.74402942466816</v>
      </c>
      <c r="R6" s="2">
        <v>238.10830882118296</v>
      </c>
      <c r="S6" s="2">
        <v>421.92616912292556</v>
      </c>
    </row>
    <row r="7" spans="1:19" x14ac:dyDescent="0.25">
      <c r="A7" s="2">
        <v>75</v>
      </c>
      <c r="B7">
        <f>(B6+B8)/2</f>
        <v>235.52132904168204</v>
      </c>
      <c r="C7">
        <f t="shared" ref="C7:D7" si="0">(C6+C8)/2</f>
        <v>109.0320631695317</v>
      </c>
      <c r="D7">
        <f t="shared" si="0"/>
        <v>172.27669610560685</v>
      </c>
      <c r="F7" s="2">
        <v>75</v>
      </c>
      <c r="G7">
        <f>(G6+G8)/2</f>
        <v>33.912627412784332</v>
      </c>
      <c r="H7">
        <f t="shared" ref="H7:I7" si="1">(H6+H8)/2</f>
        <v>12.266295870632138</v>
      </c>
      <c r="I7">
        <f t="shared" si="1"/>
        <v>23.089461641708233</v>
      </c>
      <c r="K7" s="2">
        <v>75</v>
      </c>
      <c r="L7">
        <f>(L6+L8)/2</f>
        <v>119.31167647856641</v>
      </c>
      <c r="M7">
        <f t="shared" ref="M7:N7" si="2">(M6+M8)/2</f>
        <v>39.175560625557779</v>
      </c>
      <c r="N7">
        <f t="shared" si="2"/>
        <v>79.243618552062102</v>
      </c>
      <c r="P7" s="2">
        <v>75</v>
      </c>
      <c r="Q7">
        <f>(Q6+Q8)/2</f>
        <v>616.46318661521696</v>
      </c>
      <c r="R7">
        <f t="shared" ref="R7:S7" si="3">(R6+R8)/2</f>
        <v>299.88352891890207</v>
      </c>
      <c r="S7">
        <f t="shared" si="3"/>
        <v>458.17335776705954</v>
      </c>
    </row>
    <row r="8" spans="1:19" x14ac:dyDescent="0.25">
      <c r="A8" s="2">
        <v>90</v>
      </c>
      <c r="B8">
        <f>(B10+B6)/2</f>
        <v>274.51239749185095</v>
      </c>
      <c r="C8">
        <f t="shared" ref="C8:D8" si="4">(C10+C6)/2</f>
        <v>127.01042821898361</v>
      </c>
      <c r="D8">
        <f t="shared" si="4"/>
        <v>200.76141285541726</v>
      </c>
      <c r="F8" s="2">
        <v>90</v>
      </c>
      <c r="G8">
        <f>(G10+G6)/2</f>
        <v>33.205752558887042</v>
      </c>
      <c r="H8">
        <f t="shared" ref="H8:I8" si="5">(H10+H6)/2</f>
        <v>14.290311941638011</v>
      </c>
      <c r="I8">
        <f t="shared" si="5"/>
        <v>23.748032250262526</v>
      </c>
      <c r="K8" s="2">
        <v>90</v>
      </c>
      <c r="L8">
        <f>(L10+L6)/2</f>
        <v>143.74235871821526</v>
      </c>
      <c r="M8">
        <f t="shared" ref="M8:N8" si="6">(M10+M6)/2</f>
        <v>63.255818518430132</v>
      </c>
      <c r="N8">
        <f t="shared" si="6"/>
        <v>103.4990886183227</v>
      </c>
      <c r="P8" s="2">
        <v>90</v>
      </c>
      <c r="Q8">
        <f>(Q10+Q6)/2</f>
        <v>627.18234380576575</v>
      </c>
      <c r="R8">
        <f t="shared" ref="R8:S8" si="7">(R10+R6)/2</f>
        <v>361.65874901662119</v>
      </c>
      <c r="S8">
        <f t="shared" si="7"/>
        <v>494.42054641119347</v>
      </c>
    </row>
    <row r="9" spans="1:19" x14ac:dyDescent="0.25">
      <c r="A9" s="2">
        <v>115</v>
      </c>
      <c r="B9">
        <f>(B8+B10)/2</f>
        <v>313.50346594201983</v>
      </c>
      <c r="C9">
        <f t="shared" ref="C9:D9" si="8">(C8+C10)/2</f>
        <v>144.98879326843553</v>
      </c>
      <c r="D9">
        <f t="shared" si="8"/>
        <v>229.24612960522768</v>
      </c>
      <c r="F9" s="2">
        <v>115</v>
      </c>
      <c r="G9">
        <f>(G8+G10)/2</f>
        <v>32.498877704989752</v>
      </c>
      <c r="H9">
        <f t="shared" ref="H9:I9" si="9">(H8+H10)/2</f>
        <v>16.314328012643884</v>
      </c>
      <c r="I9">
        <f t="shared" si="9"/>
        <v>24.406602858816818</v>
      </c>
      <c r="K9" s="2">
        <v>115</v>
      </c>
      <c r="L9">
        <f>(L8+L10)/2</f>
        <v>168.17304095786412</v>
      </c>
      <c r="M9">
        <f t="shared" ref="M9:N9" si="10">(M8+M10)/2</f>
        <v>87.336076411302486</v>
      </c>
      <c r="N9">
        <f t="shared" si="10"/>
        <v>127.7545586845833</v>
      </c>
      <c r="P9" s="2">
        <v>115</v>
      </c>
      <c r="Q9">
        <f>(Q8+Q10)/2</f>
        <v>637.90150099631455</v>
      </c>
      <c r="R9">
        <f t="shared" ref="R9:S9" si="11">(R8+R10)/2</f>
        <v>423.4339691143403</v>
      </c>
      <c r="S9">
        <f t="shared" si="11"/>
        <v>530.6677350553274</v>
      </c>
    </row>
    <row r="10" spans="1:19" x14ac:dyDescent="0.25">
      <c r="A10" s="2">
        <v>120</v>
      </c>
      <c r="B10" s="2">
        <v>352.49453439218871</v>
      </c>
      <c r="C10" s="2">
        <v>162.96715831788742</v>
      </c>
      <c r="D10" s="2">
        <v>257.73084635503807</v>
      </c>
      <c r="F10" s="2">
        <v>120</v>
      </c>
      <c r="G10" s="2">
        <v>31.792002851092466</v>
      </c>
      <c r="H10" s="2">
        <v>18.338344083649755</v>
      </c>
      <c r="I10" s="2">
        <v>25.06517346737111</v>
      </c>
      <c r="K10" s="2">
        <v>120</v>
      </c>
      <c r="L10" s="2">
        <v>192.60372319751298</v>
      </c>
      <c r="M10" s="2">
        <v>111.41633430417482</v>
      </c>
      <c r="N10" s="2">
        <v>152.0100287508439</v>
      </c>
      <c r="P10" s="2">
        <v>120</v>
      </c>
      <c r="Q10">
        <v>648.62065818686335</v>
      </c>
      <c r="R10">
        <v>485.20918921205941</v>
      </c>
      <c r="S10">
        <v>566.91492369946138</v>
      </c>
    </row>
    <row r="11" spans="1:19" x14ac:dyDescent="0.25">
      <c r="A11" s="2">
        <f>A10+15</f>
        <v>135</v>
      </c>
      <c r="B11">
        <f>(B10+B12)/2</f>
        <v>353.42678946644969</v>
      </c>
      <c r="C11">
        <f t="shared" ref="C11:D11" si="12">(C10+C12)/2</f>
        <v>170.08782781185917</v>
      </c>
      <c r="D11">
        <f t="shared" si="12"/>
        <v>261.75730863915442</v>
      </c>
      <c r="F11" s="2">
        <f>F10+15</f>
        <v>135</v>
      </c>
      <c r="G11">
        <f>(G10+G12)/2</f>
        <v>32.195960775007485</v>
      </c>
      <c r="H11">
        <f t="shared" ref="H11:I11" si="13">(H10+H12)/2</f>
        <v>18.686222059714645</v>
      </c>
      <c r="I11">
        <f t="shared" si="13"/>
        <v>25.469131391286133</v>
      </c>
      <c r="K11" s="2">
        <f>K10+15</f>
        <v>135</v>
      </c>
      <c r="L11">
        <f>(L10+L12)/2</f>
        <v>199.00022058671129</v>
      </c>
      <c r="M11">
        <f t="shared" ref="M11:N11" si="14">(M10+M12)/2</f>
        <v>114.29447082221964</v>
      </c>
      <c r="N11">
        <f t="shared" si="14"/>
        <v>156.64734570446547</v>
      </c>
      <c r="P11" s="2">
        <f>P10+15</f>
        <v>135</v>
      </c>
      <c r="Q11">
        <f>(Q10+Q12)/2</f>
        <v>668.70249958217755</v>
      </c>
      <c r="R11">
        <f t="shared" ref="R11:S11" si="15">(R10+R12)/2</f>
        <v>488.93029456621485</v>
      </c>
      <c r="S11">
        <f t="shared" si="15"/>
        <v>578.81639707419617</v>
      </c>
    </row>
    <row r="12" spans="1:19" x14ac:dyDescent="0.25">
      <c r="A12" s="2">
        <f t="shared" ref="A12:A26" si="16">A11+15</f>
        <v>150</v>
      </c>
      <c r="B12">
        <f>(B10+B14)/2</f>
        <v>354.35904454071073</v>
      </c>
      <c r="C12">
        <f t="shared" ref="C12:D12" si="17">(C10+C14)/2</f>
        <v>177.20849730583092</v>
      </c>
      <c r="D12">
        <f t="shared" si="17"/>
        <v>265.78377092327082</v>
      </c>
      <c r="F12" s="2">
        <f t="shared" ref="F12:F26" si="18">F11+15</f>
        <v>150</v>
      </c>
      <c r="G12">
        <f>(G10+G14)/2</f>
        <v>32.599918698922508</v>
      </c>
      <c r="H12">
        <f t="shared" ref="H12:I12" si="19">(H10+H14)/2</f>
        <v>19.034100035779531</v>
      </c>
      <c r="I12">
        <f t="shared" si="19"/>
        <v>25.873089315201153</v>
      </c>
      <c r="K12" s="2">
        <f t="shared" ref="K12:K26" si="20">K11+15</f>
        <v>150</v>
      </c>
      <c r="L12">
        <f>(L10+L14)/2</f>
        <v>205.39671797590961</v>
      </c>
      <c r="M12">
        <f t="shared" ref="M12:N12" si="21">(M10+M14)/2</f>
        <v>117.17260734026443</v>
      </c>
      <c r="N12">
        <f t="shared" si="21"/>
        <v>161.28466265808703</v>
      </c>
      <c r="P12" s="2">
        <f t="shared" ref="P12:P26" si="22">P11+15</f>
        <v>150</v>
      </c>
      <c r="Q12">
        <f>(Q10+Q14)/2</f>
        <v>688.78434097749187</v>
      </c>
      <c r="R12">
        <f t="shared" ref="R12:S12" si="23">(R10+R14)/2</f>
        <v>492.6513999203703</v>
      </c>
      <c r="S12">
        <f t="shared" si="23"/>
        <v>590.71787044893108</v>
      </c>
    </row>
    <row r="13" spans="1:19" x14ac:dyDescent="0.25">
      <c r="A13" s="2">
        <f t="shared" si="16"/>
        <v>165</v>
      </c>
      <c r="B13">
        <f>(B12+B14)/2</f>
        <v>355.29129961497176</v>
      </c>
      <c r="C13">
        <f t="shared" ref="C13:D13" si="24">(C12+C14)/2</f>
        <v>184.32916679980269</v>
      </c>
      <c r="D13">
        <f t="shared" si="24"/>
        <v>269.81023320738723</v>
      </c>
      <c r="F13" s="2">
        <f t="shared" si="18"/>
        <v>165</v>
      </c>
      <c r="G13">
        <f>(G12+G14)/2</f>
        <v>33.003876622837531</v>
      </c>
      <c r="H13">
        <f t="shared" ref="H13:I13" si="25">(H12+H14)/2</f>
        <v>19.381978011844421</v>
      </c>
      <c r="I13">
        <f t="shared" si="25"/>
        <v>26.277047239116172</v>
      </c>
      <c r="K13" s="2">
        <f t="shared" si="20"/>
        <v>165</v>
      </c>
      <c r="L13">
        <f>(L12+L14)/2</f>
        <v>211.79321536510793</v>
      </c>
      <c r="M13">
        <f t="shared" ref="M13:N13" si="26">(M12+M14)/2</f>
        <v>120.05074385830923</v>
      </c>
      <c r="N13">
        <f t="shared" si="26"/>
        <v>165.92197961170859</v>
      </c>
      <c r="P13" s="2">
        <f t="shared" si="22"/>
        <v>165</v>
      </c>
      <c r="Q13">
        <f>(Q12+Q14)/2</f>
        <v>708.86618237280618</v>
      </c>
      <c r="R13">
        <f t="shared" ref="R13:S13" si="27">(R12+R14)/2</f>
        <v>496.37250527452568</v>
      </c>
      <c r="S13">
        <f t="shared" si="27"/>
        <v>602.61934382366599</v>
      </c>
    </row>
    <row r="14" spans="1:19" x14ac:dyDescent="0.25">
      <c r="A14" s="2">
        <f t="shared" si="16"/>
        <v>180</v>
      </c>
      <c r="B14">
        <f>(B10+B18)/2</f>
        <v>356.22355468923274</v>
      </c>
      <c r="C14">
        <f t="shared" ref="C14:D14" si="28">(C10+C18)/2</f>
        <v>191.44983629377444</v>
      </c>
      <c r="D14">
        <f t="shared" si="28"/>
        <v>273.83669549150363</v>
      </c>
      <c r="F14" s="2">
        <f t="shared" si="18"/>
        <v>180</v>
      </c>
      <c r="G14">
        <f>(G10+G18)/2</f>
        <v>33.407834546752554</v>
      </c>
      <c r="H14">
        <f t="shared" ref="H14:I14" si="29">(H10+H18)/2</f>
        <v>19.72985598790931</v>
      </c>
      <c r="I14">
        <f t="shared" si="29"/>
        <v>26.681005163031195</v>
      </c>
      <c r="K14" s="2">
        <f t="shared" si="20"/>
        <v>180</v>
      </c>
      <c r="L14">
        <f>(L10+L18)/2</f>
        <v>218.18971275430624</v>
      </c>
      <c r="M14">
        <f t="shared" ref="M14:N14" si="30">(M10+M18)/2</f>
        <v>122.92888037635404</v>
      </c>
      <c r="N14">
        <f t="shared" si="30"/>
        <v>170.55929656533016</v>
      </c>
      <c r="P14" s="2">
        <f t="shared" si="22"/>
        <v>180</v>
      </c>
      <c r="Q14">
        <f>(Q10+Q18)/2</f>
        <v>728.94802376812049</v>
      </c>
      <c r="R14">
        <f t="shared" ref="R14:S14" si="31">(R10+R18)/2</f>
        <v>500.09361062868112</v>
      </c>
      <c r="S14">
        <f t="shared" si="31"/>
        <v>614.52081719840089</v>
      </c>
    </row>
    <row r="15" spans="1:19" x14ac:dyDescent="0.25">
      <c r="A15" s="2">
        <f t="shared" si="16"/>
        <v>195</v>
      </c>
      <c r="B15">
        <f>(B14+B16)/2</f>
        <v>357.15580976349378</v>
      </c>
      <c r="C15">
        <f t="shared" ref="C15:D15" si="32">(C14+C16)/2</f>
        <v>198.57050578774619</v>
      </c>
      <c r="D15">
        <f t="shared" si="32"/>
        <v>277.86315777562004</v>
      </c>
      <c r="F15" s="2">
        <f t="shared" si="18"/>
        <v>195</v>
      </c>
      <c r="G15">
        <f>(G14+G16)/2</f>
        <v>33.811792470667577</v>
      </c>
      <c r="H15">
        <f t="shared" ref="H15:I15" si="33">(H14+H16)/2</f>
        <v>20.0777339639742</v>
      </c>
      <c r="I15">
        <f t="shared" si="33"/>
        <v>27.084963086946217</v>
      </c>
      <c r="K15" s="2">
        <f t="shared" si="20"/>
        <v>195</v>
      </c>
      <c r="L15">
        <f>(L14+L16)/2</f>
        <v>224.58621014350456</v>
      </c>
      <c r="M15">
        <f t="shared" ref="M15:N15" si="34">(M14+M16)/2</f>
        <v>125.80701689439884</v>
      </c>
      <c r="N15">
        <f t="shared" si="34"/>
        <v>175.19661351895172</v>
      </c>
      <c r="P15" s="2">
        <f t="shared" si="22"/>
        <v>195</v>
      </c>
      <c r="Q15">
        <f>(Q14+Q16)/2</f>
        <v>749.02986516343481</v>
      </c>
      <c r="R15">
        <f t="shared" ref="R15:S15" si="35">(R14+R16)/2</f>
        <v>503.81471598283656</v>
      </c>
      <c r="S15">
        <f t="shared" si="35"/>
        <v>626.4222905731358</v>
      </c>
    </row>
    <row r="16" spans="1:19" x14ac:dyDescent="0.25">
      <c r="A16" s="2">
        <f t="shared" si="16"/>
        <v>210</v>
      </c>
      <c r="B16">
        <f>(B14+B18)/2</f>
        <v>358.08806483775481</v>
      </c>
      <c r="C16">
        <f t="shared" ref="C16:D16" si="36">(C14+C18)/2</f>
        <v>205.69117528171796</v>
      </c>
      <c r="D16">
        <f t="shared" si="36"/>
        <v>281.88962005973639</v>
      </c>
      <c r="F16" s="2">
        <f t="shared" si="18"/>
        <v>210</v>
      </c>
      <c r="G16">
        <f>(G14+G18)/2</f>
        <v>34.215750394582599</v>
      </c>
      <c r="H16">
        <f t="shared" ref="H16:I16" si="37">(H14+H18)/2</f>
        <v>20.42561194003909</v>
      </c>
      <c r="I16">
        <f t="shared" si="37"/>
        <v>27.488921010861237</v>
      </c>
      <c r="K16" s="2">
        <f t="shared" si="20"/>
        <v>210</v>
      </c>
      <c r="L16">
        <f>(L14+L18)/2</f>
        <v>230.98270753270288</v>
      </c>
      <c r="M16">
        <f t="shared" ref="M16:N16" si="38">(M14+M18)/2</f>
        <v>128.68515341244364</v>
      </c>
      <c r="N16">
        <f t="shared" si="38"/>
        <v>179.83393047257329</v>
      </c>
      <c r="P16" s="2">
        <f t="shared" si="22"/>
        <v>210</v>
      </c>
      <c r="Q16">
        <f>(Q14+Q18)/2</f>
        <v>769.11170655874912</v>
      </c>
      <c r="R16">
        <f t="shared" ref="R16:S16" si="39">(R14+R18)/2</f>
        <v>507.53582133699194</v>
      </c>
      <c r="S16">
        <f t="shared" si="39"/>
        <v>638.32376394787059</v>
      </c>
    </row>
    <row r="17" spans="1:19" x14ac:dyDescent="0.25">
      <c r="A17" s="2">
        <f t="shared" si="16"/>
        <v>225</v>
      </c>
      <c r="B17">
        <f>(B16+B18)/2</f>
        <v>359.02031991201579</v>
      </c>
      <c r="C17">
        <f t="shared" ref="C17:D17" si="40">(C16+C18)/2</f>
        <v>212.81184477568971</v>
      </c>
      <c r="D17">
        <f t="shared" si="40"/>
        <v>285.91608234385274</v>
      </c>
      <c r="F17" s="2">
        <f t="shared" si="18"/>
        <v>225</v>
      </c>
      <c r="G17">
        <f>(G16+G18)/2</f>
        <v>34.619708318497615</v>
      </c>
      <c r="H17">
        <f t="shared" ref="H17:I17" si="41">(H16+H18)/2</f>
        <v>20.77348991610398</v>
      </c>
      <c r="I17">
        <f t="shared" si="41"/>
        <v>27.892878934776256</v>
      </c>
      <c r="K17" s="2">
        <f t="shared" si="20"/>
        <v>225</v>
      </c>
      <c r="L17">
        <f>(L16+L18)/2</f>
        <v>237.37920492190119</v>
      </c>
      <c r="M17">
        <f t="shared" ref="M17:N17" si="42">(M16+M18)/2</f>
        <v>131.56328993048845</v>
      </c>
      <c r="N17">
        <f t="shared" si="42"/>
        <v>184.47124742619485</v>
      </c>
      <c r="P17" s="2">
        <f t="shared" si="22"/>
        <v>225</v>
      </c>
      <c r="Q17">
        <f>(Q16+Q18)/2</f>
        <v>789.19354795406343</v>
      </c>
      <c r="R17">
        <f t="shared" ref="R17:S17" si="43">(R16+R18)/2</f>
        <v>511.25692669114738</v>
      </c>
      <c r="S17">
        <f t="shared" si="43"/>
        <v>650.22523732260538</v>
      </c>
    </row>
    <row r="18" spans="1:19" x14ac:dyDescent="0.25">
      <c r="A18" s="2">
        <f t="shared" si="16"/>
        <v>240</v>
      </c>
      <c r="B18">
        <f>(B10+B26)/2</f>
        <v>359.95257498627683</v>
      </c>
      <c r="C18">
        <f t="shared" ref="C18:D18" si="44">(C10+C26)/2</f>
        <v>219.93251426966145</v>
      </c>
      <c r="D18">
        <f t="shared" si="44"/>
        <v>289.94254462796914</v>
      </c>
      <c r="F18" s="2">
        <f t="shared" si="18"/>
        <v>240</v>
      </c>
      <c r="G18">
        <f>(G10+G26)/2</f>
        <v>35.023666242412638</v>
      </c>
      <c r="H18">
        <f t="shared" ref="H18:I18" si="45">(H10+H26)/2</f>
        <v>21.12136789216887</v>
      </c>
      <c r="I18">
        <f t="shared" si="45"/>
        <v>28.296836858691279</v>
      </c>
      <c r="K18" s="2">
        <f t="shared" si="20"/>
        <v>240</v>
      </c>
      <c r="L18">
        <f>(L10+L26)/2</f>
        <v>243.77570231109954</v>
      </c>
      <c r="M18">
        <f t="shared" ref="M18:N18" si="46">(M10+M26)/2</f>
        <v>134.44142644853326</v>
      </c>
      <c r="N18">
        <f t="shared" si="46"/>
        <v>189.10856437981641</v>
      </c>
      <c r="P18" s="2">
        <f t="shared" si="22"/>
        <v>240</v>
      </c>
      <c r="Q18">
        <f>(Q10+Q26)/2</f>
        <v>809.27538934937775</v>
      </c>
      <c r="R18">
        <f t="shared" ref="R18:S18" si="47">(R10+R26)/2</f>
        <v>514.97803204530283</v>
      </c>
      <c r="S18">
        <f t="shared" si="47"/>
        <v>662.12671069734029</v>
      </c>
    </row>
    <row r="19" spans="1:19" x14ac:dyDescent="0.25">
      <c r="A19" s="2">
        <f t="shared" si="16"/>
        <v>255</v>
      </c>
      <c r="B19">
        <f>(B18+B20)/2</f>
        <v>360.88483006053787</v>
      </c>
      <c r="C19">
        <f t="shared" ref="C19:D19" si="48">(C18+C20)/2</f>
        <v>227.0531837636332</v>
      </c>
      <c r="D19">
        <f t="shared" si="48"/>
        <v>293.96900691208555</v>
      </c>
      <c r="F19" s="2">
        <f t="shared" si="18"/>
        <v>255</v>
      </c>
      <c r="G19">
        <f>(G18+G20)/2</f>
        <v>35.427624166327661</v>
      </c>
      <c r="H19">
        <f t="shared" ref="H19:I19" si="49">(H18+H20)/2</f>
        <v>21.469245868233759</v>
      </c>
      <c r="I19">
        <f t="shared" si="49"/>
        <v>28.700794782606302</v>
      </c>
      <c r="K19" s="2">
        <f t="shared" si="20"/>
        <v>255</v>
      </c>
      <c r="L19">
        <f>(L18+L20)/2</f>
        <v>250.17219970029788</v>
      </c>
      <c r="M19">
        <f t="shared" ref="M19:N19" si="50">(M18+M20)/2</f>
        <v>137.31956296657808</v>
      </c>
      <c r="N19">
        <f t="shared" si="50"/>
        <v>193.74588133343798</v>
      </c>
      <c r="P19" s="2">
        <f t="shared" si="22"/>
        <v>255</v>
      </c>
      <c r="Q19">
        <f>(Q18+Q20)/2</f>
        <v>829.35723074469206</v>
      </c>
      <c r="R19">
        <f t="shared" ref="R19:S19" si="51">(R18+R20)/2</f>
        <v>518.69913739945832</v>
      </c>
      <c r="S19">
        <f t="shared" si="51"/>
        <v>674.02818407207519</v>
      </c>
    </row>
    <row r="20" spans="1:19" x14ac:dyDescent="0.25">
      <c r="A20" s="2">
        <f t="shared" si="16"/>
        <v>270</v>
      </c>
      <c r="B20">
        <f>(B18+B22)/2</f>
        <v>361.81708513479884</v>
      </c>
      <c r="C20">
        <f t="shared" ref="C20:D20" si="52">(C18+C22)/2</f>
        <v>234.17385325760495</v>
      </c>
      <c r="D20">
        <f t="shared" si="52"/>
        <v>297.9954691962019</v>
      </c>
      <c r="F20" s="2">
        <f t="shared" si="18"/>
        <v>270</v>
      </c>
      <c r="G20">
        <f>(G18+G22)/2</f>
        <v>35.831582090242676</v>
      </c>
      <c r="H20">
        <f t="shared" ref="H20:I20" si="53">(H18+H22)/2</f>
        <v>21.817123844298649</v>
      </c>
      <c r="I20">
        <f t="shared" si="53"/>
        <v>29.104752706521321</v>
      </c>
      <c r="K20" s="2">
        <f t="shared" si="20"/>
        <v>270</v>
      </c>
      <c r="L20">
        <f>(L18+L22)/2</f>
        <v>256.5686970894962</v>
      </c>
      <c r="M20">
        <f t="shared" ref="M20:N20" si="54">(M18+M22)/2</f>
        <v>140.19769948462289</v>
      </c>
      <c r="N20">
        <f t="shared" si="54"/>
        <v>198.38319828705954</v>
      </c>
      <c r="P20" s="2">
        <f t="shared" si="22"/>
        <v>270</v>
      </c>
      <c r="Q20">
        <f>(Q18+Q22)/2</f>
        <v>849.43907214000637</v>
      </c>
      <c r="R20">
        <f t="shared" ref="R20:S20" si="55">(R18+R22)/2</f>
        <v>522.42024275361371</v>
      </c>
      <c r="S20">
        <f t="shared" si="55"/>
        <v>685.9296574468101</v>
      </c>
    </row>
    <row r="21" spans="1:19" x14ac:dyDescent="0.25">
      <c r="A21" s="2">
        <f t="shared" si="16"/>
        <v>285</v>
      </c>
      <c r="B21">
        <f>(B20+B22)/2</f>
        <v>362.74934020905988</v>
      </c>
      <c r="C21">
        <f t="shared" ref="C21:D21" si="56">(C20+C22)/2</f>
        <v>241.29452275157672</v>
      </c>
      <c r="D21">
        <f t="shared" si="56"/>
        <v>302.02193148031824</v>
      </c>
      <c r="F21" s="2">
        <f t="shared" si="18"/>
        <v>285</v>
      </c>
      <c r="G21">
        <f>(G20+G22)/2</f>
        <v>36.235540014157699</v>
      </c>
      <c r="H21">
        <f t="shared" ref="H21:I21" si="57">(H20+H22)/2</f>
        <v>22.165001820363536</v>
      </c>
      <c r="I21">
        <f t="shared" si="57"/>
        <v>29.50871063043634</v>
      </c>
      <c r="K21" s="2">
        <f t="shared" si="20"/>
        <v>285</v>
      </c>
      <c r="L21">
        <f>(L20+L22)/2</f>
        <v>262.96519447869451</v>
      </c>
      <c r="M21">
        <f t="shared" ref="M21:N21" si="58">(M20+M22)/2</f>
        <v>143.0758360026677</v>
      </c>
      <c r="N21">
        <f t="shared" si="58"/>
        <v>203.02051524068111</v>
      </c>
      <c r="P21" s="2">
        <f t="shared" si="22"/>
        <v>285</v>
      </c>
      <c r="Q21">
        <f>(Q20+Q22)/2</f>
        <v>869.52091353532069</v>
      </c>
      <c r="R21">
        <f t="shared" ref="R21:S21" si="59">(R20+R22)/2</f>
        <v>526.14134810776909</v>
      </c>
      <c r="S21">
        <f t="shared" si="59"/>
        <v>697.831130821545</v>
      </c>
    </row>
    <row r="22" spans="1:19" x14ac:dyDescent="0.25">
      <c r="A22" s="2">
        <f t="shared" si="16"/>
        <v>300</v>
      </c>
      <c r="B22">
        <f>(B18+B26)/2</f>
        <v>363.68159528332092</v>
      </c>
      <c r="C22">
        <f t="shared" ref="C22:D22" si="60">(C18+C26)/2</f>
        <v>248.41519224554847</v>
      </c>
      <c r="D22">
        <f t="shared" si="60"/>
        <v>306.04839376443465</v>
      </c>
      <c r="F22" s="2">
        <f t="shared" si="18"/>
        <v>300</v>
      </c>
      <c r="G22">
        <f>(G18+G26)/2</f>
        <v>36.639497938072722</v>
      </c>
      <c r="H22">
        <f t="shared" ref="H22:I22" si="61">(H18+H26)/2</f>
        <v>22.512879796428425</v>
      </c>
      <c r="I22">
        <f t="shared" si="61"/>
        <v>29.912668554351363</v>
      </c>
      <c r="K22" s="2">
        <f t="shared" si="20"/>
        <v>300</v>
      </c>
      <c r="L22">
        <f>(L18+L26)/2</f>
        <v>269.36169186789283</v>
      </c>
      <c r="M22">
        <f t="shared" ref="M22:N22" si="62">(M18+M26)/2</f>
        <v>145.95397252071248</v>
      </c>
      <c r="N22">
        <f t="shared" si="62"/>
        <v>207.65783219430267</v>
      </c>
      <c r="P22" s="2">
        <f t="shared" si="22"/>
        <v>300</v>
      </c>
      <c r="Q22">
        <f>(Q18+Q26)/2</f>
        <v>889.602754930635</v>
      </c>
      <c r="R22">
        <f t="shared" ref="R22:S22" si="63">(R18+R26)/2</f>
        <v>529.86245346192459</v>
      </c>
      <c r="S22">
        <f t="shared" si="63"/>
        <v>709.73260419627979</v>
      </c>
    </row>
    <row r="23" spans="1:19" x14ac:dyDescent="0.25">
      <c r="A23" s="2">
        <f t="shared" si="16"/>
        <v>315</v>
      </c>
      <c r="B23">
        <f>(B22+B24)/2</f>
        <v>364.6138503575819</v>
      </c>
      <c r="C23">
        <f t="shared" ref="C23:D23" si="64">(C22+C24)/2</f>
        <v>255.53586173952021</v>
      </c>
      <c r="D23">
        <f t="shared" si="64"/>
        <v>310.07485604855106</v>
      </c>
      <c r="F23" s="2">
        <f t="shared" si="18"/>
        <v>315</v>
      </c>
      <c r="G23">
        <f>(G22+G24)/2</f>
        <v>37.043455861987745</v>
      </c>
      <c r="H23">
        <f t="shared" ref="H23:I23" si="65">(H22+H24)/2</f>
        <v>22.860757772493315</v>
      </c>
      <c r="I23">
        <f t="shared" si="65"/>
        <v>30.316626478266386</v>
      </c>
      <c r="K23" s="2">
        <f t="shared" si="20"/>
        <v>315</v>
      </c>
      <c r="L23">
        <f>(L22+L24)/2</f>
        <v>275.75818925709115</v>
      </c>
      <c r="M23">
        <f t="shared" ref="M23:N23" si="66">(M22+M24)/2</f>
        <v>148.83210903875727</v>
      </c>
      <c r="N23">
        <f t="shared" si="66"/>
        <v>212.29514914792423</v>
      </c>
      <c r="P23" s="2">
        <f t="shared" si="22"/>
        <v>315</v>
      </c>
      <c r="Q23">
        <f>(Q22+Q24)/2</f>
        <v>909.68459632594931</v>
      </c>
      <c r="R23">
        <f t="shared" ref="R23:S23" si="67">(R22+R24)/2</f>
        <v>533.58355881608009</v>
      </c>
      <c r="S23">
        <f t="shared" si="67"/>
        <v>721.63407757101459</v>
      </c>
    </row>
    <row r="24" spans="1:19" x14ac:dyDescent="0.25">
      <c r="A24" s="2">
        <f t="shared" si="16"/>
        <v>330</v>
      </c>
      <c r="B24">
        <f>(B22+B26)/2</f>
        <v>365.54610543184293</v>
      </c>
      <c r="C24">
        <f t="shared" ref="C24:D24" si="68">(C22+C26)/2</f>
        <v>262.65653123349199</v>
      </c>
      <c r="D24">
        <f t="shared" si="68"/>
        <v>314.10131833266746</v>
      </c>
      <c r="F24" s="2">
        <f t="shared" si="18"/>
        <v>330</v>
      </c>
      <c r="G24">
        <f>(G22+G26)/2</f>
        <v>37.447413785902768</v>
      </c>
      <c r="H24">
        <f t="shared" ref="H24:I24" si="69">(H22+H26)/2</f>
        <v>23.208635748558201</v>
      </c>
      <c r="I24">
        <f t="shared" si="69"/>
        <v>30.720584402181409</v>
      </c>
      <c r="K24" s="2">
        <f t="shared" si="20"/>
        <v>330</v>
      </c>
      <c r="L24">
        <f>(L22+L26)/2</f>
        <v>282.15468664628946</v>
      </c>
      <c r="M24">
        <f t="shared" ref="M24:N24" si="70">(M22+M26)/2</f>
        <v>151.71024555680208</v>
      </c>
      <c r="N24">
        <f t="shared" si="70"/>
        <v>216.9324661015458</v>
      </c>
      <c r="P24" s="2">
        <f t="shared" si="22"/>
        <v>330</v>
      </c>
      <c r="Q24">
        <f>(Q22+Q26)/2</f>
        <v>929.76643772126363</v>
      </c>
      <c r="R24">
        <f t="shared" ref="R24:S24" si="71">(R22+R26)/2</f>
        <v>537.30466417023547</v>
      </c>
      <c r="S24">
        <f t="shared" si="71"/>
        <v>733.53555094574949</v>
      </c>
    </row>
    <row r="25" spans="1:19" x14ac:dyDescent="0.25">
      <c r="A25" s="2">
        <f t="shared" si="16"/>
        <v>345</v>
      </c>
      <c r="B25">
        <f>(B24+B26)/2</f>
        <v>366.47836050610397</v>
      </c>
      <c r="C25">
        <f t="shared" ref="C25:D25" si="72">(C24+C26)/2</f>
        <v>269.77720072746376</v>
      </c>
      <c r="D25">
        <f t="shared" si="72"/>
        <v>318.12778061678387</v>
      </c>
      <c r="F25" s="2">
        <f t="shared" si="18"/>
        <v>345</v>
      </c>
      <c r="G25">
        <f>(G24+G26)/2</f>
        <v>37.851371709817784</v>
      </c>
      <c r="H25">
        <f t="shared" ref="H25:I25" si="73">(H24+H26)/2</f>
        <v>23.556513724623091</v>
      </c>
      <c r="I25">
        <f t="shared" si="73"/>
        <v>31.124542326096432</v>
      </c>
      <c r="K25" s="2">
        <f t="shared" si="20"/>
        <v>345</v>
      </c>
      <c r="L25">
        <f>(L24+L26)/2</f>
        <v>288.55118403548778</v>
      </c>
      <c r="M25">
        <f t="shared" ref="M25:N25" si="74">(M24+M26)/2</f>
        <v>154.58838207484689</v>
      </c>
      <c r="N25">
        <f t="shared" si="74"/>
        <v>221.56978305516736</v>
      </c>
      <c r="P25" s="2">
        <f t="shared" si="22"/>
        <v>345</v>
      </c>
      <c r="Q25">
        <f>(Q24+Q26)/2</f>
        <v>949.84827911657794</v>
      </c>
      <c r="R25">
        <f t="shared" ref="R25:S25" si="75">(R24+R26)/2</f>
        <v>541.02576952439085</v>
      </c>
      <c r="S25">
        <f t="shared" si="75"/>
        <v>745.4370243204844</v>
      </c>
    </row>
    <row r="26" spans="1:19" x14ac:dyDescent="0.25">
      <c r="A26" s="2">
        <f t="shared" si="16"/>
        <v>360</v>
      </c>
      <c r="B26" s="2">
        <v>367.41061558036495</v>
      </c>
      <c r="C26" s="2">
        <v>276.89787022143548</v>
      </c>
      <c r="D26" s="2">
        <v>322.15424290090021</v>
      </c>
      <c r="F26" s="2">
        <f t="shared" si="18"/>
        <v>360</v>
      </c>
      <c r="G26" s="2">
        <v>38.255329633732806</v>
      </c>
      <c r="H26" s="2">
        <v>23.904391700687981</v>
      </c>
      <c r="I26" s="2">
        <v>31.528500250011451</v>
      </c>
      <c r="K26" s="2">
        <f t="shared" si="20"/>
        <v>360</v>
      </c>
      <c r="L26" s="2">
        <v>294.9476814246861</v>
      </c>
      <c r="M26" s="2">
        <v>157.4665185928917</v>
      </c>
      <c r="N26" s="2">
        <v>226.2071000087889</v>
      </c>
      <c r="P26" s="2">
        <f t="shared" si="22"/>
        <v>360</v>
      </c>
      <c r="Q26">
        <v>969.93012051189226</v>
      </c>
      <c r="R26">
        <v>544.74687487854635</v>
      </c>
      <c r="S26">
        <v>757.3384976952193</v>
      </c>
    </row>
    <row r="27" spans="1:19" x14ac:dyDescent="0.25">
      <c r="A27" s="2"/>
    </row>
    <row r="30" spans="1:19" x14ac:dyDescent="0.25">
      <c r="A30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  <row r="38" spans="1:4" x14ac:dyDescent="0.25">
      <c r="A38" s="2"/>
      <c r="B38" s="2"/>
      <c r="C38" s="2"/>
      <c r="D38" s="2"/>
    </row>
    <row r="39" spans="1:4" x14ac:dyDescent="0.25">
      <c r="A39" s="2"/>
      <c r="B39" s="2"/>
      <c r="C39" s="2"/>
      <c r="D39" s="2"/>
    </row>
    <row r="40" spans="1:4" x14ac:dyDescent="0.25">
      <c r="A40" s="2"/>
      <c r="B40" s="2"/>
      <c r="C40" s="2"/>
      <c r="D40" s="2"/>
    </row>
    <row r="41" spans="1:4" x14ac:dyDescent="0.25">
      <c r="A41" s="2"/>
      <c r="B41" s="2"/>
      <c r="C41" s="2"/>
      <c r="D41" s="2"/>
    </row>
    <row r="42" spans="1:4" x14ac:dyDescent="0.25">
      <c r="A42" s="2"/>
      <c r="B42" s="2"/>
      <c r="C42" s="2"/>
      <c r="D42" s="2"/>
    </row>
    <row r="47" spans="1:4" x14ac:dyDescent="0.25">
      <c r="A47" s="2"/>
      <c r="B47" s="2"/>
      <c r="C47" s="2"/>
      <c r="D47" s="2"/>
    </row>
    <row r="48" spans="1:4" x14ac:dyDescent="0.25">
      <c r="A48" s="2"/>
      <c r="B48" s="2"/>
      <c r="C48" s="2"/>
      <c r="D48" s="2"/>
    </row>
    <row r="49" spans="1:4" x14ac:dyDescent="0.25">
      <c r="A49" s="2"/>
      <c r="B49" s="2"/>
      <c r="C49" s="2"/>
      <c r="D49" s="2"/>
    </row>
    <row r="50" spans="1:4" x14ac:dyDescent="0.25">
      <c r="A50" s="2"/>
      <c r="B50" s="2"/>
      <c r="C50" s="2"/>
      <c r="D50" s="2"/>
    </row>
    <row r="51" spans="1:4" x14ac:dyDescent="0.25">
      <c r="A51" s="2"/>
      <c r="B51" s="2"/>
      <c r="C51" s="2"/>
      <c r="D51" s="2"/>
    </row>
    <row r="52" spans="1:4" x14ac:dyDescent="0.25">
      <c r="A52" s="2"/>
      <c r="B52" s="2"/>
      <c r="C52" s="2"/>
      <c r="D52" s="2"/>
    </row>
    <row r="57" spans="1:4" x14ac:dyDescent="0.25">
      <c r="A57" s="2"/>
      <c r="B57" s="2"/>
      <c r="C57" s="2"/>
      <c r="D57" s="2"/>
    </row>
    <row r="58" spans="1:4" x14ac:dyDescent="0.25">
      <c r="A58" s="2"/>
      <c r="B58" s="2"/>
      <c r="C58" s="2"/>
      <c r="D58" s="2"/>
    </row>
    <row r="59" spans="1:4" x14ac:dyDescent="0.25">
      <c r="A59" s="2"/>
      <c r="B59" s="2"/>
      <c r="C59" s="2"/>
      <c r="D59" s="2"/>
    </row>
    <row r="60" spans="1:4" x14ac:dyDescent="0.25">
      <c r="A60" s="2"/>
      <c r="B60" s="2"/>
      <c r="C60" s="2"/>
      <c r="D60" s="2"/>
    </row>
    <row r="61" spans="1:4" x14ac:dyDescent="0.25">
      <c r="A61" s="2"/>
      <c r="B61" s="2"/>
      <c r="C61" s="2"/>
      <c r="D61" s="2"/>
    </row>
    <row r="62" spans="1:4" x14ac:dyDescent="0.25">
      <c r="A62" s="2"/>
      <c r="B62" s="2"/>
      <c r="C62" s="2"/>
      <c r="D62" s="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5F9A2538F4E4B906CFA12872BD4D7" ma:contentTypeVersion="12" ma:contentTypeDescription="Create a new document." ma:contentTypeScope="" ma:versionID="458eefbf815ca7b027a2f820d262a540">
  <xsd:schema xmlns:xsd="http://www.w3.org/2001/XMLSchema" xmlns:xs="http://www.w3.org/2001/XMLSchema" xmlns:p="http://schemas.microsoft.com/office/2006/metadata/properties" xmlns:ns3="8358cc94-1bde-4e32-85cc-4947749a1460" xmlns:ns4="776bb293-bf7a-405d-9c12-e8754f622b89" targetNamespace="http://schemas.microsoft.com/office/2006/metadata/properties" ma:root="true" ma:fieldsID="9c67381cb5f1960c925832d033458fa9" ns3:_="" ns4:_="">
    <xsd:import namespace="8358cc94-1bde-4e32-85cc-4947749a1460"/>
    <xsd:import namespace="776bb293-bf7a-405d-9c12-e8754f622b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8cc94-1bde-4e32-85cc-4947749a14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bb293-bf7a-405d-9c12-e8754f622b8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50AFCA-ED5A-496F-A000-7A68099BF67C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776bb293-bf7a-405d-9c12-e8754f622b89"/>
    <ds:schemaRef ds:uri="8358cc94-1bde-4e32-85cc-4947749a146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3320F35-0DD4-4145-81FF-8FDACC129B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3FBB03-B410-47EB-8D5E-C7251FF12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58cc94-1bde-4e32-85cc-4947749a1460"/>
    <ds:schemaRef ds:uri="776bb293-bf7a-405d-9c12-e8754f622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Release charts</vt:lpstr>
      <vt:lpstr>Release images</vt:lpstr>
      <vt:lpstr>Costing for CA or C beads</vt:lpstr>
      <vt:lpstr>NaCl - poros&amp;Zetapotential work</vt:lpstr>
      <vt:lpstr>NaCl poros</vt:lpstr>
      <vt:lpstr>Initial cal </vt:lpstr>
      <vt:lpstr>Primary solvents</vt:lpstr>
      <vt:lpstr>Soil pH</vt:lpstr>
      <vt:lpstr>Area plots</vt:lpstr>
      <vt:lpstr>RESULTS SIZES</vt:lpstr>
      <vt:lpstr>bead mass</vt:lpstr>
    </vt:vector>
  </TitlesOfParts>
  <Company>University of Cambridge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 Jugdaohsingh</dc:creator>
  <cp:lastModifiedBy>Ciaran Callaghan</cp:lastModifiedBy>
  <dcterms:created xsi:type="dcterms:W3CDTF">2022-09-13T18:17:30Z</dcterms:created>
  <dcterms:modified xsi:type="dcterms:W3CDTF">2022-11-22T21:34:05Z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0x010100C545F9A2538F4E4B906CFA12872BD4D7</vt:lpwstr>
  </property>
</Properties>
</file>