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omputingservices-my.sharepoint.com/personal/tak35_bath_ac_uk/Documents/Research/effects of interventions/Agency of protection/Data/"/>
    </mc:Choice>
  </mc:AlternateContent>
  <xr:revisionPtr revIDLastSave="2" documentId="8_{D4ADF846-6F64-48AC-B8AB-2BBDB4916CD2}" xr6:coauthVersionLast="47" xr6:coauthVersionMax="47" xr10:uidLastSave="{905B4C90-05E5-444E-8A32-DDC4DA6E34A1}"/>
  <bookViews>
    <workbookView xWindow="-110" yWindow="-110" windowWidth="19420" windowHeight="10420" activeTab="1" xr2:uid="{E5F80BFF-0C37-4D36-A20D-1F5B592D41F6}"/>
  </bookViews>
  <sheets>
    <sheet name="Unilateral" sheetId="1" r:id="rId1"/>
    <sheet name="U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38" i="2" l="1"/>
  <c r="X21" i="1" l="1"/>
  <c r="J14" i="1"/>
  <c r="I7" i="1"/>
  <c r="H7" i="1"/>
  <c r="AG36" i="2" l="1"/>
  <c r="W40" i="2"/>
  <c r="V40" i="2"/>
  <c r="W6" i="2"/>
  <c r="W7" i="2"/>
  <c r="W9" i="2"/>
  <c r="W11" i="2"/>
  <c r="W12" i="2"/>
  <c r="W13" i="2"/>
  <c r="W15" i="2"/>
  <c r="W16" i="2"/>
  <c r="W17" i="2"/>
  <c r="W18" i="2"/>
  <c r="W19" i="2"/>
  <c r="W20" i="2"/>
  <c r="W21" i="2"/>
  <c r="W22" i="2"/>
  <c r="W23" i="2"/>
  <c r="W24" i="2"/>
  <c r="W25" i="2"/>
  <c r="W28" i="2"/>
  <c r="W32" i="2"/>
  <c r="W33" i="2"/>
  <c r="W34" i="2"/>
  <c r="W35" i="2"/>
  <c r="W36" i="2"/>
  <c r="W37" i="2"/>
  <c r="W38" i="2"/>
  <c r="V6" i="2"/>
  <c r="V7" i="2"/>
  <c r="V9" i="2"/>
  <c r="V10" i="2"/>
  <c r="V11" i="2"/>
  <c r="V12" i="2"/>
  <c r="V13" i="2"/>
  <c r="V15" i="2"/>
  <c r="V16" i="2"/>
  <c r="V17" i="2"/>
  <c r="V18" i="2"/>
  <c r="V19" i="2"/>
  <c r="V20" i="2"/>
  <c r="V21" i="2"/>
  <c r="V22" i="2"/>
  <c r="V23" i="2"/>
  <c r="V24" i="2"/>
  <c r="V25" i="2"/>
  <c r="V27" i="2"/>
  <c r="V28" i="2"/>
  <c r="V32" i="2"/>
  <c r="V33" i="2"/>
  <c r="V34" i="2"/>
  <c r="V35" i="2"/>
  <c r="V36" i="2"/>
  <c r="V37" i="2"/>
  <c r="V38" i="2"/>
  <c r="V21" i="1"/>
  <c r="W21" i="1"/>
  <c r="U21" i="1"/>
  <c r="T21" i="1"/>
  <c r="AD36" i="2"/>
  <c r="AE36" i="2"/>
  <c r="AF36" i="2"/>
  <c r="AC36" i="2"/>
  <c r="P21" i="2"/>
  <c r="Q21" i="2"/>
  <c r="P22" i="2"/>
  <c r="O22" i="2"/>
  <c r="F22" i="2"/>
  <c r="G22" i="2"/>
  <c r="O24" i="2" l="1"/>
  <c r="S21" i="2"/>
  <c r="P20" i="2"/>
  <c r="S20" i="2" s="1"/>
  <c r="S22" i="2"/>
  <c r="P23" i="2"/>
  <c r="S23" i="2" s="1"/>
  <c r="P24" i="2"/>
  <c r="S24" i="2" s="1"/>
  <c r="P25" i="2"/>
  <c r="S25" i="2" s="1"/>
  <c r="P26" i="2"/>
  <c r="P27" i="2"/>
  <c r="P28" i="2"/>
  <c r="P29" i="2"/>
  <c r="P30" i="2"/>
  <c r="P31" i="2"/>
  <c r="P32" i="2"/>
  <c r="S32" i="2" s="1"/>
  <c r="P33" i="2"/>
  <c r="P34" i="2"/>
  <c r="S34" i="2" s="1"/>
  <c r="P35" i="2"/>
  <c r="S35" i="2" s="1"/>
  <c r="P36" i="2"/>
  <c r="S36" i="2" s="1"/>
  <c r="P37" i="2"/>
  <c r="P38" i="2"/>
  <c r="P39" i="2"/>
  <c r="O21" i="2"/>
  <c r="R21" i="2" s="1"/>
  <c r="T21" i="2"/>
  <c r="F18" i="2"/>
  <c r="H20" i="2"/>
  <c r="Q5" i="2"/>
  <c r="T5" i="2" s="1"/>
  <c r="Q6" i="2"/>
  <c r="T6" i="2" s="1"/>
  <c r="Q7" i="2"/>
  <c r="T7" i="2" s="1"/>
  <c r="Q8" i="2"/>
  <c r="T8" i="2" s="1"/>
  <c r="Q9" i="2"/>
  <c r="T9" i="2" s="1"/>
  <c r="Q10" i="2"/>
  <c r="Q11" i="2"/>
  <c r="T11" i="2" s="1"/>
  <c r="Q12" i="2"/>
  <c r="T12" i="2" s="1"/>
  <c r="Q13" i="2"/>
  <c r="Q14" i="2"/>
  <c r="T14" i="2" s="1"/>
  <c r="Q15" i="2"/>
  <c r="T15" i="2" s="1"/>
  <c r="Q16" i="2"/>
  <c r="T16" i="2" s="1"/>
  <c r="Q17" i="2"/>
  <c r="T17" i="2" s="1"/>
  <c r="Q18" i="2"/>
  <c r="T18" i="2" s="1"/>
  <c r="Q19" i="2"/>
  <c r="T19" i="2" s="1"/>
  <c r="Q20" i="2"/>
  <c r="T20" i="2" s="1"/>
  <c r="Q22" i="2"/>
  <c r="T22" i="2" s="1"/>
  <c r="Q23" i="2"/>
  <c r="Q24" i="2"/>
  <c r="T24" i="2" s="1"/>
  <c r="Q25" i="2"/>
  <c r="T25" i="2" s="1"/>
  <c r="Q26" i="2"/>
  <c r="T26" i="2" s="1"/>
  <c r="Q27" i="2"/>
  <c r="Q28" i="2"/>
  <c r="T28" i="2" s="1"/>
  <c r="Q29" i="2"/>
  <c r="T29" i="2" s="1"/>
  <c r="Q30" i="2"/>
  <c r="T30" i="2" s="1"/>
  <c r="Q31" i="2"/>
  <c r="T31" i="2" s="1"/>
  <c r="Q32" i="2"/>
  <c r="T32" i="2" s="1"/>
  <c r="Q33" i="2"/>
  <c r="T33" i="2" s="1"/>
  <c r="Q34" i="2"/>
  <c r="T34" i="2" s="1"/>
  <c r="Q35" i="2"/>
  <c r="Q36" i="2"/>
  <c r="Q37" i="2"/>
  <c r="T37" i="2" s="1"/>
  <c r="Q38" i="2"/>
  <c r="T38" i="2" s="1"/>
  <c r="Q39" i="2"/>
  <c r="P5" i="2"/>
  <c r="S5" i="2" s="1"/>
  <c r="P6" i="2"/>
  <c r="S6" i="2" s="1"/>
  <c r="P7" i="2"/>
  <c r="S7" i="2" s="1"/>
  <c r="P8" i="2"/>
  <c r="S8" i="2" s="1"/>
  <c r="P9" i="2"/>
  <c r="S9" i="2" s="1"/>
  <c r="P10" i="2"/>
  <c r="S10" i="2" s="1"/>
  <c r="P11" i="2"/>
  <c r="S11" i="2" s="1"/>
  <c r="P12" i="2"/>
  <c r="S12" i="2" s="1"/>
  <c r="P13" i="2"/>
  <c r="S13" i="2" s="1"/>
  <c r="P14" i="2"/>
  <c r="S14" i="2" s="1"/>
  <c r="P15" i="2"/>
  <c r="S15" i="2" s="1"/>
  <c r="P16" i="2"/>
  <c r="S16" i="2" s="1"/>
  <c r="P17" i="2"/>
  <c r="S17" i="2" s="1"/>
  <c r="P18" i="2"/>
  <c r="S18" i="2" s="1"/>
  <c r="P19" i="2"/>
  <c r="S19" i="2" s="1"/>
  <c r="S26" i="2"/>
  <c r="S27" i="2"/>
  <c r="S28" i="2"/>
  <c r="S29" i="2"/>
  <c r="S30" i="2"/>
  <c r="S31" i="2"/>
  <c r="S33" i="2"/>
  <c r="S37" i="2"/>
  <c r="S38" i="2"/>
  <c r="S39" i="2"/>
  <c r="O5" i="2"/>
  <c r="R5" i="2" s="1"/>
  <c r="O6" i="2"/>
  <c r="R6" i="2" s="1"/>
  <c r="O7" i="2"/>
  <c r="R7" i="2" s="1"/>
  <c r="O8" i="2"/>
  <c r="R8" i="2" s="1"/>
  <c r="O9" i="2"/>
  <c r="R9" i="2" s="1"/>
  <c r="O10" i="2"/>
  <c r="R10" i="2" s="1"/>
  <c r="O11" i="2"/>
  <c r="R11" i="2" s="1"/>
  <c r="O12" i="2"/>
  <c r="R12" i="2" s="1"/>
  <c r="O13" i="2"/>
  <c r="R13" i="2" s="1"/>
  <c r="O14" i="2"/>
  <c r="R14" i="2" s="1"/>
  <c r="O15" i="2"/>
  <c r="R15" i="2" s="1"/>
  <c r="O16" i="2"/>
  <c r="R16" i="2" s="1"/>
  <c r="O17" i="2"/>
  <c r="R17" i="2" s="1"/>
  <c r="O18" i="2"/>
  <c r="R18" i="2" s="1"/>
  <c r="O19" i="2"/>
  <c r="R19" i="2" s="1"/>
  <c r="O20" i="2"/>
  <c r="R20" i="2" s="1"/>
  <c r="R22" i="2"/>
  <c r="O23" i="2"/>
  <c r="R23" i="2" s="1"/>
  <c r="R24" i="2"/>
  <c r="O25" i="2"/>
  <c r="R25" i="2" s="1"/>
  <c r="O26" i="2"/>
  <c r="R26" i="2" s="1"/>
  <c r="O27" i="2"/>
  <c r="R27" i="2" s="1"/>
  <c r="O28" i="2"/>
  <c r="R28" i="2" s="1"/>
  <c r="O29" i="2"/>
  <c r="R29" i="2" s="1"/>
  <c r="O30" i="2"/>
  <c r="R30" i="2" s="1"/>
  <c r="O31" i="2"/>
  <c r="R31" i="2" s="1"/>
  <c r="O32" i="2"/>
  <c r="R32" i="2" s="1"/>
  <c r="O33" i="2"/>
  <c r="R33" i="2" s="1"/>
  <c r="O34" i="2"/>
  <c r="R34" i="2" s="1"/>
  <c r="O35" i="2"/>
  <c r="R35" i="2" s="1"/>
  <c r="O36" i="2"/>
  <c r="R36" i="2" s="1"/>
  <c r="O37" i="2"/>
  <c r="R37" i="2" s="1"/>
  <c r="O38" i="2"/>
  <c r="R38" i="2" s="1"/>
  <c r="O39" i="2"/>
  <c r="R39" i="2" s="1"/>
  <c r="Q4" i="2"/>
  <c r="T4" i="2" s="1"/>
  <c r="P4" i="2"/>
  <c r="S4" i="2" s="1"/>
  <c r="O4" i="2"/>
  <c r="M7" i="1" l="1"/>
  <c r="K7" i="1"/>
  <c r="P7" i="1" s="1"/>
  <c r="P4" i="1"/>
  <c r="P6" i="1"/>
  <c r="P9" i="1"/>
  <c r="P13" i="1"/>
  <c r="O4" i="1"/>
  <c r="O5" i="1"/>
  <c r="O6" i="1"/>
  <c r="O8" i="1"/>
  <c r="O9" i="1"/>
  <c r="O10" i="1"/>
  <c r="O12" i="1"/>
  <c r="O13" i="1"/>
  <c r="O14" i="1"/>
  <c r="O16" i="1"/>
  <c r="O17" i="1"/>
  <c r="O18" i="1"/>
  <c r="O19" i="1"/>
  <c r="P3" i="1"/>
  <c r="O3" i="1"/>
  <c r="I19" i="1"/>
  <c r="H19" i="1"/>
  <c r="I18" i="1"/>
  <c r="H18" i="1"/>
  <c r="I17" i="1"/>
  <c r="H17" i="1"/>
  <c r="I16" i="1"/>
  <c r="H16" i="1"/>
  <c r="L15" i="1"/>
  <c r="I15" i="1"/>
  <c r="I14" i="1" l="1"/>
  <c r="H14" i="1"/>
  <c r="J13" i="1"/>
  <c r="I13" i="1"/>
  <c r="H13" i="1"/>
  <c r="J11" i="1" l="1"/>
  <c r="I11" i="1"/>
  <c r="I10" i="1"/>
  <c r="H10" i="1"/>
  <c r="J9" i="1"/>
  <c r="I9" i="1"/>
  <c r="H9" i="1"/>
  <c r="I8" i="1"/>
  <c r="H8" i="1"/>
  <c r="K8" i="1" s="1"/>
  <c r="J7" i="1"/>
  <c r="J6" i="1"/>
  <c r="I6" i="1"/>
  <c r="H6" i="1"/>
  <c r="I5" i="1"/>
  <c r="H5" i="1"/>
  <c r="J4" i="1"/>
  <c r="I4" i="1"/>
  <c r="H4" i="1"/>
  <c r="L3" i="1"/>
  <c r="M3" i="1"/>
  <c r="L4" i="1"/>
  <c r="M4" i="1"/>
  <c r="L5" i="1"/>
  <c r="L6" i="1"/>
  <c r="M6" i="1"/>
  <c r="L7" i="1"/>
  <c r="O7" i="1" s="1"/>
  <c r="O20" i="1" s="1"/>
  <c r="L8" i="1"/>
  <c r="L9" i="1"/>
  <c r="M9" i="1"/>
  <c r="L10" i="1"/>
  <c r="L11" i="1"/>
  <c r="M11" i="1"/>
  <c r="L12" i="1"/>
  <c r="L13" i="1"/>
  <c r="M13" i="1"/>
  <c r="L14" i="1"/>
  <c r="M14" i="1"/>
  <c r="P14" i="1" s="1"/>
  <c r="P20" i="1" s="1"/>
  <c r="L16" i="1"/>
  <c r="L17" i="1"/>
  <c r="L18" i="1"/>
  <c r="L19" i="1"/>
  <c r="K4" i="1"/>
  <c r="K5" i="1"/>
  <c r="K6" i="1"/>
  <c r="K9" i="1"/>
  <c r="K10" i="1"/>
  <c r="K11" i="1"/>
  <c r="K12" i="1"/>
  <c r="K13" i="1"/>
  <c r="K14" i="1"/>
  <c r="K15" i="1"/>
  <c r="K16" i="1"/>
  <c r="K17" i="1"/>
  <c r="K18" i="1"/>
  <c r="K19" i="1"/>
  <c r="K3" i="1"/>
  <c r="I3" i="1" l="1"/>
  <c r="H3" i="1"/>
  <c r="F19" i="1" l="1"/>
  <c r="F18" i="1"/>
  <c r="F17" i="1"/>
  <c r="F16" i="1"/>
  <c r="F15" i="1"/>
  <c r="F14" i="1"/>
  <c r="F13" i="1"/>
  <c r="F12" i="1"/>
  <c r="F10" i="1"/>
  <c r="F9" i="1"/>
  <c r="F8" i="1"/>
  <c r="F7" i="1"/>
  <c r="F6" i="1"/>
  <c r="F5" i="1"/>
  <c r="F4" i="1"/>
  <c r="F3" i="1"/>
</calcChain>
</file>

<file path=xl/sharedStrings.xml><?xml version="1.0" encoding="utf-8"?>
<sst xmlns="http://schemas.openxmlformats.org/spreadsheetml/2006/main" count="200" uniqueCount="104">
  <si>
    <t>Serbia/Kosovo, 24. March – 10 June 1999</t>
  </si>
  <si>
    <t>Sierra Leone, 7 May -  15 June 2000 (training, rescue and advisory operations continued until 2002 without direct combat)</t>
  </si>
  <si>
    <t>Afghanistan, 26 September 2001 – 31 August 2021</t>
  </si>
  <si>
    <t>Pakistan, 19 December 2001 – 7 October 2017</t>
  </si>
  <si>
    <t>Iraq, 22 March 2003 – 31 December 2011</t>
  </si>
  <si>
    <t>Iraq, August 8, 2014–</t>
  </si>
  <si>
    <t>CAR, 28 November 2006 – 31 December 2006</t>
  </si>
  <si>
    <t>Somalia, 8 January 2007–</t>
  </si>
  <si>
    <t>Georgia 7 August 2008 – 12 August 2008</t>
  </si>
  <si>
    <t>Mauritania, August 1, 2014-</t>
  </si>
  <si>
    <t>Libya, 19 Mar 2011 – 31 Oct 2011</t>
  </si>
  <si>
    <t>Pre</t>
  </si>
  <si>
    <t>during</t>
  </si>
  <si>
    <t>after</t>
  </si>
  <si>
    <t>Libya, 13 November 2015–30 Oct 2019</t>
  </si>
  <si>
    <t>Yemen, 18 March 2008-</t>
  </si>
  <si>
    <t xml:space="preserve">Mali, 13 Jan  2013– </t>
  </si>
  <si>
    <t>Ukraine 20 Feb 2014-</t>
  </si>
  <si>
    <t>Syria, 4 July 2014–</t>
  </si>
  <si>
    <t>Syria, 30 Sept 2015–</t>
  </si>
  <si>
    <t>UNILATERAL OPERATIONS, DAYS BEFORE, DURING AND AFTER</t>
  </si>
  <si>
    <t>Start date</t>
  </si>
  <si>
    <t>End date</t>
  </si>
  <si>
    <t>24. March 1999</t>
  </si>
  <si>
    <t>August 8, 2014</t>
  </si>
  <si>
    <t>August 1, 2014</t>
  </si>
  <si>
    <t>DAYS</t>
  </si>
  <si>
    <t>FATALITIES</t>
  </si>
  <si>
    <t>INTENSITY</t>
  </si>
  <si>
    <t>sum best if [country == "Iraq" &amp; preUnilat==1 &amp; operNr == 2]</t>
  </si>
  <si>
    <t>Increase</t>
  </si>
  <si>
    <t xml:space="preserve">during </t>
  </si>
  <si>
    <t>infinite</t>
  </si>
  <si>
    <t>AVERAGE</t>
  </si>
  <si>
    <t>x</t>
  </si>
  <si>
    <t>Country</t>
  </si>
  <si>
    <t>Start Year</t>
  </si>
  <si>
    <t>End Year</t>
  </si>
  <si>
    <t>Days before operation</t>
  </si>
  <si>
    <t>Days after operation</t>
  </si>
  <si>
    <t xml:space="preserve">Angola </t>
  </si>
  <si>
    <t>Bosnia</t>
  </si>
  <si>
    <t>Burundi</t>
  </si>
  <si>
    <t>Cambodia</t>
  </si>
  <si>
    <t>CAR</t>
  </si>
  <si>
    <t>Côte d'Ivoire, ECOWAS &amp; French mission &amp; UN political mission from 2003, Full UN mission from 4.4.2004</t>
  </si>
  <si>
    <t>Croatia</t>
  </si>
  <si>
    <t>DRC</t>
  </si>
  <si>
    <t>East Timor</t>
  </si>
  <si>
    <t>Ethiopia &amp; Eritrea</t>
  </si>
  <si>
    <t>Georgia</t>
  </si>
  <si>
    <t>Guatemala (Honduras, etc)</t>
  </si>
  <si>
    <t xml:space="preserve">Guatemala </t>
  </si>
  <si>
    <t>Haiti</t>
  </si>
  <si>
    <t>Iran-Iraq</t>
  </si>
  <si>
    <t>Iraq-Kuwait</t>
  </si>
  <si>
    <t>Kosovo</t>
  </si>
  <si>
    <t>Liberia</t>
  </si>
  <si>
    <t>Libya</t>
  </si>
  <si>
    <t>Mali</t>
  </si>
  <si>
    <t xml:space="preserve">Mozambique </t>
  </si>
  <si>
    <t xml:space="preserve">Namibia </t>
  </si>
  <si>
    <t xml:space="preserve">North Macedonia </t>
  </si>
  <si>
    <t xml:space="preserve">Rwanda </t>
  </si>
  <si>
    <t xml:space="preserve">El Salvador </t>
  </si>
  <si>
    <t xml:space="preserve">Sierra Leone </t>
  </si>
  <si>
    <t>Somalia</t>
  </si>
  <si>
    <t>The Sudans</t>
  </si>
  <si>
    <t>South Sudan</t>
  </si>
  <si>
    <t>Syria</t>
  </si>
  <si>
    <t>Tajikistan</t>
  </si>
  <si>
    <t>West Sahara</t>
  </si>
  <si>
    <t>TOTAL</t>
  </si>
  <si>
    <t xml:space="preserve">[1] This operation ended only in October 2019, and thus it has not yet UCDP data on fatalities after the operation. However, claiming it continuing would not be correct, and since Haiti has had fatalities of political violence only during the first two of the 15 years of UN operation, it would seem right to code Haiti as an operation that has 0 post-operation fatalities, while it is one with higher levels of operation and pre-operation fatalities due to the fact that the UN reacted to the onset of conflict in 2004.  </t>
  </si>
  <si>
    <t>Days during operation</t>
  </si>
  <si>
    <t>Before oper</t>
  </si>
  <si>
    <t>events</t>
  </si>
  <si>
    <t>mean fatal</t>
  </si>
  <si>
    <t>during operation</t>
  </si>
  <si>
    <t>after operation</t>
  </si>
  <si>
    <t>fatalities</t>
  </si>
  <si>
    <t>before</t>
  </si>
  <si>
    <t>Intensity</t>
  </si>
  <si>
    <t>SUCCESS</t>
  </si>
  <si>
    <t>(x)</t>
  </si>
  <si>
    <t>But all under 1/day</t>
  </si>
  <si>
    <t>Calculated on the basis of Iran only, due to the other Iraqi war. Calculation of Iraqi fatalities gives the same result for re and during operation.</t>
  </si>
  <si>
    <t>fatalities related to the conflict had stopped during the first years of operation. The other Iraqi war confuses the picture for the post-operation fatalities</t>
  </si>
  <si>
    <t>post-oper success</t>
  </si>
  <si>
    <t>during oper success</t>
  </si>
  <si>
    <t>total failure</t>
  </si>
  <si>
    <t>much lower level of fatalities</t>
  </si>
  <si>
    <t>no end</t>
  </si>
  <si>
    <t>operations</t>
  </si>
  <si>
    <t>total</t>
  </si>
  <si>
    <t>not ended</t>
  </si>
  <si>
    <t>failed totally</t>
  </si>
  <si>
    <t>success during</t>
  </si>
  <si>
    <t>success after</t>
  </si>
  <si>
    <t>incl. Parioned Iraq operation and partioned Libya operation. Taken together both are total failures</t>
  </si>
  <si>
    <t xml:space="preserve">avearage </t>
  </si>
  <si>
    <t>total success</t>
  </si>
  <si>
    <t>Libya as one operation would mean failure</t>
  </si>
  <si>
    <t>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</si>
</sst>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0" fontId="0" fillId="0" borderId="0" xfId="0" applyFill="1"/>
    <xf numFmtId="15" fontId="0" fillId="0" borderId="0" xfId="0" applyNumberFormat="1" applyFill="1"/>
    <xf numFmtId="0" fontId="0" fillId="0" borderId="0" xfId="0" applyFill="1" applyAlignment="1">
      <alignment horizontal="left" vertical="center" indent="5"/>
    </xf>
    <xf numFmtId="9" fontId="0" fillId="0" borderId="0" xfId="1" applyFont="1" applyFill="1"/>
    <xf numFmtId="9" fontId="0" fillId="0" borderId="0" xfId="1" applyNumberFormat="1" applyFont="1" applyFill="1"/>
    <xf numFmtId="0" fontId="0" fillId="0" borderId="0" xfId="0" applyFill="1" applyAlignment="1">
      <alignment wrapText="1"/>
    </xf>
    <xf numFmtId="3" fontId="0" fillId="0" borderId="0" xfId="0" applyNumberFormat="1" applyFill="1"/>
    <xf numFmtId="16" fontId="0" fillId="0" borderId="0" xfId="0" applyNumberForma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18ACF-04AB-4BD6-8995-C679B2773129}">
  <dimension ref="A1:X22"/>
  <sheetViews>
    <sheetView workbookViewId="0">
      <selection activeCell="D20" sqref="D20"/>
    </sheetView>
  </sheetViews>
  <sheetFormatPr defaultColWidth="9.1796875" defaultRowHeight="14.5" x14ac:dyDescent="0.35"/>
  <cols>
    <col min="1" max="1" width="9.1796875" style="1"/>
    <col min="2" max="2" width="30" style="1" customWidth="1"/>
    <col min="3" max="4" width="13.54296875" style="1" customWidth="1"/>
    <col min="5" max="16384" width="9.1796875" style="1"/>
  </cols>
  <sheetData>
    <row r="1" spans="1:24" x14ac:dyDescent="0.35">
      <c r="A1" s="1" t="s">
        <v>20</v>
      </c>
      <c r="E1" s="1" t="s">
        <v>26</v>
      </c>
      <c r="H1" s="1" t="s">
        <v>27</v>
      </c>
      <c r="K1" s="1" t="s">
        <v>28</v>
      </c>
      <c r="O1" s="1" t="s">
        <v>30</v>
      </c>
    </row>
    <row r="2" spans="1:24" x14ac:dyDescent="0.35">
      <c r="C2" s="1" t="s">
        <v>21</v>
      </c>
      <c r="D2" s="1" t="s">
        <v>22</v>
      </c>
      <c r="E2" s="1" t="s">
        <v>11</v>
      </c>
      <c r="F2" s="1" t="s">
        <v>12</v>
      </c>
      <c r="G2" s="1" t="s">
        <v>13</v>
      </c>
      <c r="H2" s="1" t="s">
        <v>11</v>
      </c>
      <c r="I2" s="1" t="s">
        <v>12</v>
      </c>
      <c r="J2" s="1" t="s">
        <v>13</v>
      </c>
      <c r="O2" s="1" t="s">
        <v>31</v>
      </c>
      <c r="P2" s="1" t="s">
        <v>13</v>
      </c>
      <c r="X2" s="3" t="s">
        <v>29</v>
      </c>
    </row>
    <row r="3" spans="1:24" x14ac:dyDescent="0.35">
      <c r="A3" s="1" t="s">
        <v>0</v>
      </c>
      <c r="C3" s="1" t="s">
        <v>23</v>
      </c>
      <c r="D3" s="2">
        <v>36321</v>
      </c>
      <c r="E3" s="1">
        <v>1095</v>
      </c>
      <c r="F3" s="1">
        <f>2*30+17</f>
        <v>77</v>
      </c>
      <c r="G3" s="1">
        <v>1095</v>
      </c>
      <c r="H3" s="1">
        <f>263*6.277567</f>
        <v>1651.000121</v>
      </c>
      <c r="I3" s="1">
        <f>226*4.89823</f>
        <v>1106.9999800000001</v>
      </c>
      <c r="J3" s="1">
        <v>5</v>
      </c>
      <c r="K3" s="1">
        <f>H3/E3</f>
        <v>1.5077626675799087</v>
      </c>
      <c r="L3" s="1">
        <f t="shared" ref="L3:M18" si="0">I3/F3</f>
        <v>14.376623116883117</v>
      </c>
      <c r="M3" s="1">
        <f t="shared" si="0"/>
        <v>4.5662100456621002E-3</v>
      </c>
      <c r="O3" s="1">
        <f>L3/K3</f>
        <v>9.5350703569009685</v>
      </c>
      <c r="P3" s="1">
        <f>M3/K3</f>
        <v>3.0284673734436388E-3</v>
      </c>
      <c r="R3" s="1" t="s">
        <v>34</v>
      </c>
      <c r="X3" s="3"/>
    </row>
    <row r="4" spans="1:24" x14ac:dyDescent="0.35">
      <c r="A4" s="1" t="s">
        <v>1</v>
      </c>
      <c r="C4" s="2">
        <v>36653</v>
      </c>
      <c r="D4" s="2">
        <v>36692</v>
      </c>
      <c r="E4" s="1">
        <v>1095</v>
      </c>
      <c r="F4" s="1">
        <f>30+8</f>
        <v>38</v>
      </c>
      <c r="G4" s="1">
        <v>1095</v>
      </c>
      <c r="H4" s="1">
        <f>691*16.16498</f>
        <v>11170.001179999999</v>
      </c>
      <c r="I4" s="1">
        <f>19*9.894737</f>
        <v>188.00000299999999</v>
      </c>
      <c r="J4" s="1">
        <f>45*6.8</f>
        <v>306</v>
      </c>
      <c r="K4" s="1">
        <f t="shared" ref="K4:K19" si="1">H4/E4</f>
        <v>10.200914319634702</v>
      </c>
      <c r="L4" s="1">
        <f t="shared" si="0"/>
        <v>4.9473684999999996</v>
      </c>
      <c r="M4" s="1">
        <f t="shared" si="0"/>
        <v>0.27945205479452057</v>
      </c>
      <c r="O4" s="1">
        <f t="shared" ref="O4:O19" si="2">L4/K4</f>
        <v>0.48499265310731149</v>
      </c>
      <c r="P4" s="1">
        <f t="shared" ref="P4:P14" si="3">M4/K4</f>
        <v>2.7394804626153142E-2</v>
      </c>
      <c r="Q4" s="1" t="s">
        <v>34</v>
      </c>
      <c r="R4" s="1" t="s">
        <v>34</v>
      </c>
      <c r="X4" s="3"/>
    </row>
    <row r="5" spans="1:24" x14ac:dyDescent="0.35">
      <c r="A5" s="1" t="s">
        <v>2</v>
      </c>
      <c r="C5" s="2">
        <v>37160</v>
      </c>
      <c r="D5" s="2">
        <v>44439</v>
      </c>
      <c r="E5" s="1">
        <v>1095</v>
      </c>
      <c r="F5" s="1">
        <f>19*365+3*30+5</f>
        <v>7030</v>
      </c>
      <c r="G5" s="1">
        <v>0</v>
      </c>
      <c r="H5" s="1">
        <f>555*26.30991</f>
        <v>14602.000049999999</v>
      </c>
      <c r="I5" s="1">
        <f>34884*6.02705</f>
        <v>210247.6122</v>
      </c>
      <c r="K5" s="1">
        <f t="shared" si="1"/>
        <v>13.335159863013697</v>
      </c>
      <c r="L5" s="1">
        <f t="shared" si="0"/>
        <v>29.907199459459459</v>
      </c>
      <c r="O5" s="1">
        <f t="shared" si="2"/>
        <v>2.242732728117482</v>
      </c>
      <c r="X5" s="3"/>
    </row>
    <row r="6" spans="1:24" x14ac:dyDescent="0.35">
      <c r="A6" s="1" t="s">
        <v>3</v>
      </c>
      <c r="C6" s="2">
        <v>37244</v>
      </c>
      <c r="D6" s="2">
        <v>43015</v>
      </c>
      <c r="E6" s="1">
        <v>1095</v>
      </c>
      <c r="F6" s="1">
        <f>15*365+13+9*30+7</f>
        <v>5765</v>
      </c>
      <c r="G6" s="1">
        <v>1095</v>
      </c>
      <c r="H6" s="1">
        <f>44*3</f>
        <v>132</v>
      </c>
      <c r="I6" s="1">
        <f>5576*7.183644</f>
        <v>40055.998943999999</v>
      </c>
      <c r="J6" s="1">
        <f>331*3.564955</f>
        <v>1180.0001049999998</v>
      </c>
      <c r="K6" s="1">
        <f t="shared" si="1"/>
        <v>0.12054794520547946</v>
      </c>
      <c r="L6" s="1">
        <f t="shared" si="0"/>
        <v>6.9481351160450995</v>
      </c>
      <c r="M6" s="1">
        <f t="shared" si="0"/>
        <v>1.0776256666666666</v>
      </c>
      <c r="O6" s="1">
        <f t="shared" si="2"/>
        <v>57.637939030828662</v>
      </c>
      <c r="P6" s="1">
        <f t="shared" si="3"/>
        <v>8.9393947348484843</v>
      </c>
      <c r="X6" s="3"/>
    </row>
    <row r="7" spans="1:24" x14ac:dyDescent="0.35">
      <c r="A7" s="1" t="s">
        <v>4</v>
      </c>
      <c r="C7" s="2">
        <v>37700</v>
      </c>
      <c r="D7" s="2">
        <v>40908</v>
      </c>
      <c r="E7" s="1">
        <v>1095</v>
      </c>
      <c r="F7" s="1">
        <f>8*365+9*30+10</f>
        <v>3200</v>
      </c>
      <c r="G7" s="1">
        <v>545</v>
      </c>
      <c r="H7" s="1">
        <f>33*11.24242</f>
        <v>370.99985999999996</v>
      </c>
      <c r="I7" s="1">
        <f>3251*10.04675</f>
        <v>32661.984249999998</v>
      </c>
      <c r="J7" s="1">
        <f>444*6.011261</f>
        <v>2668.9998840000003</v>
      </c>
      <c r="K7" s="1">
        <f>H7/E7</f>
        <v>0.33881265753424655</v>
      </c>
      <c r="L7" s="1">
        <f t="shared" si="0"/>
        <v>10.206870078125</v>
      </c>
      <c r="M7" s="1">
        <f>J7/G7</f>
        <v>4.8972474935779822</v>
      </c>
      <c r="O7" s="1">
        <f t="shared" si="2"/>
        <v>30.125409577100314</v>
      </c>
      <c r="P7" s="1">
        <f t="shared" si="3"/>
        <v>14.454145630857896</v>
      </c>
      <c r="X7" s="3"/>
    </row>
    <row r="8" spans="1:24" x14ac:dyDescent="0.35">
      <c r="A8" s="1" t="s">
        <v>5</v>
      </c>
      <c r="C8" s="1" t="s">
        <v>24</v>
      </c>
      <c r="E8" s="1">
        <v>402</v>
      </c>
      <c r="F8" s="1">
        <f>6*365+4*30+24</f>
        <v>2334</v>
      </c>
      <c r="G8" s="1">
        <v>0</v>
      </c>
      <c r="H8" s="1">
        <f>767*14.80313</f>
        <v>11354.00071</v>
      </c>
      <c r="I8" s="1">
        <f>3126*14.18778</f>
        <v>44351.00028</v>
      </c>
      <c r="K8" s="1">
        <f t="shared" si="1"/>
        <v>28.24378286069652</v>
      </c>
      <c r="L8" s="1">
        <f t="shared" si="0"/>
        <v>19.002142365038562</v>
      </c>
      <c r="O8" s="1">
        <f t="shared" si="2"/>
        <v>0.67279027242068068</v>
      </c>
      <c r="Q8" s="1" t="s">
        <v>34</v>
      </c>
      <c r="X8" s="3"/>
    </row>
    <row r="9" spans="1:24" x14ac:dyDescent="0.35">
      <c r="A9" s="1" t="s">
        <v>6</v>
      </c>
      <c r="C9" s="2">
        <v>39049</v>
      </c>
      <c r="D9" s="2">
        <v>39082</v>
      </c>
      <c r="E9" s="1">
        <v>1095</v>
      </c>
      <c r="F9" s="1">
        <f>30+3</f>
        <v>33</v>
      </c>
      <c r="G9" s="1">
        <v>1095</v>
      </c>
      <c r="H9" s="1">
        <f>39*5.076923</f>
        <v>197.99999700000001</v>
      </c>
      <c r="I9" s="1">
        <f>12*1.916667</f>
        <v>23.000003999999997</v>
      </c>
      <c r="J9" s="1">
        <f>89*4.438202</f>
        <v>394.99997800000006</v>
      </c>
      <c r="K9" s="1">
        <f t="shared" si="1"/>
        <v>0.18082191506849316</v>
      </c>
      <c r="L9" s="1">
        <f t="shared" si="0"/>
        <v>0.69696981818181813</v>
      </c>
      <c r="M9" s="1">
        <f t="shared" si="0"/>
        <v>0.36073057351598181</v>
      </c>
      <c r="O9" s="1">
        <f t="shared" si="2"/>
        <v>3.8544543559214843</v>
      </c>
      <c r="P9" s="1">
        <f t="shared" si="3"/>
        <v>1.9949494140648905</v>
      </c>
      <c r="X9" s="3"/>
    </row>
    <row r="10" spans="1:24" x14ac:dyDescent="0.35">
      <c r="A10" s="1" t="s">
        <v>7</v>
      </c>
      <c r="C10" s="2">
        <v>39090</v>
      </c>
      <c r="E10" s="1">
        <v>1095</v>
      </c>
      <c r="F10" s="1">
        <f>13*365+11*30+24</f>
        <v>5099</v>
      </c>
      <c r="G10" s="1">
        <v>0</v>
      </c>
      <c r="H10" s="1">
        <f>167*13.4012</f>
        <v>2238.0003999999999</v>
      </c>
      <c r="I10" s="1">
        <f>4954*5.631611</f>
        <v>27899.000894000001</v>
      </c>
      <c r="K10" s="1">
        <f t="shared" si="1"/>
        <v>2.0438359817351599</v>
      </c>
      <c r="L10" s="1">
        <f t="shared" si="0"/>
        <v>5.4714651684644053</v>
      </c>
      <c r="O10" s="1">
        <f t="shared" si="2"/>
        <v>2.6770568760704974</v>
      </c>
      <c r="X10" s="3"/>
    </row>
    <row r="11" spans="1:24" x14ac:dyDescent="0.35">
      <c r="A11" s="1" t="s">
        <v>8</v>
      </c>
      <c r="C11" s="2">
        <v>39667</v>
      </c>
      <c r="D11" s="2">
        <v>39672</v>
      </c>
      <c r="E11" s="1">
        <v>1095</v>
      </c>
      <c r="F11" s="1">
        <v>6</v>
      </c>
      <c r="G11" s="1">
        <v>1095</v>
      </c>
      <c r="H11" s="1">
        <v>0</v>
      </c>
      <c r="I11" s="1">
        <f>4*152.5</f>
        <v>610</v>
      </c>
      <c r="J11" s="1">
        <f>8*0.75</f>
        <v>6</v>
      </c>
      <c r="K11" s="1">
        <f t="shared" si="1"/>
        <v>0</v>
      </c>
      <c r="L11" s="1">
        <f t="shared" si="0"/>
        <v>101.66666666666667</v>
      </c>
      <c r="M11" s="1">
        <f t="shared" si="0"/>
        <v>5.4794520547945206E-3</v>
      </c>
      <c r="O11" s="1" t="s">
        <v>32</v>
      </c>
      <c r="P11" s="1" t="s">
        <v>32</v>
      </c>
      <c r="X11" s="3"/>
    </row>
    <row r="12" spans="1:24" x14ac:dyDescent="0.35">
      <c r="A12" s="1" t="s">
        <v>9</v>
      </c>
      <c r="C12" s="1" t="s">
        <v>25</v>
      </c>
      <c r="E12" s="1">
        <v>1095</v>
      </c>
      <c r="F12" s="1">
        <f>6*365+5*30</f>
        <v>2340</v>
      </c>
      <c r="G12" s="1">
        <v>0</v>
      </c>
      <c r="H12" s="1">
        <v>2</v>
      </c>
      <c r="I12" s="1">
        <v>0</v>
      </c>
      <c r="K12" s="1">
        <f t="shared" si="1"/>
        <v>1.8264840182648401E-3</v>
      </c>
      <c r="L12" s="1">
        <f t="shared" si="0"/>
        <v>0</v>
      </c>
      <c r="O12" s="1">
        <f t="shared" si="2"/>
        <v>0</v>
      </c>
      <c r="Q12" s="1" t="s">
        <v>34</v>
      </c>
      <c r="X12" s="3"/>
    </row>
    <row r="13" spans="1:24" x14ac:dyDescent="0.35">
      <c r="A13" s="1" t="s">
        <v>10</v>
      </c>
      <c r="C13" s="2">
        <v>40621</v>
      </c>
      <c r="D13" s="2">
        <v>40846</v>
      </c>
      <c r="E13" s="1">
        <v>1095</v>
      </c>
      <c r="F13" s="1">
        <f>7*30+19</f>
        <v>229</v>
      </c>
      <c r="G13" s="1">
        <v>790</v>
      </c>
      <c r="H13" s="1">
        <f>32*32.125</f>
        <v>1028</v>
      </c>
      <c r="I13" s="1">
        <f>203*14.21182</f>
        <v>2884.99946</v>
      </c>
      <c r="J13" s="1">
        <f>38*11.07895</f>
        <v>421.00010000000003</v>
      </c>
      <c r="K13" s="1">
        <f t="shared" si="1"/>
        <v>0.93881278538812785</v>
      </c>
      <c r="L13" s="1">
        <f t="shared" si="0"/>
        <v>12.598250917030567</v>
      </c>
      <c r="M13" s="1">
        <f t="shared" si="0"/>
        <v>0.53291151898734179</v>
      </c>
      <c r="O13" s="1">
        <f t="shared" si="2"/>
        <v>13.419343146058823</v>
      </c>
      <c r="P13" s="1">
        <f t="shared" si="3"/>
        <v>0.56764407907698378</v>
      </c>
      <c r="R13" s="1" t="s">
        <v>34</v>
      </c>
      <c r="X13" s="3"/>
    </row>
    <row r="14" spans="1:24" x14ac:dyDescent="0.35">
      <c r="A14" s="1" t="s">
        <v>14</v>
      </c>
      <c r="C14" s="2">
        <v>42321</v>
      </c>
      <c r="D14" s="2">
        <v>43768</v>
      </c>
      <c r="E14" s="1">
        <v>677</v>
      </c>
      <c r="F14" s="1">
        <f>3*365+11*30+18</f>
        <v>1443</v>
      </c>
      <c r="G14" s="1">
        <v>425</v>
      </c>
      <c r="H14" s="1">
        <f>261*11.42912</f>
        <v>2983.0003199999996</v>
      </c>
      <c r="I14" s="1">
        <f>562*10.42527</f>
        <v>5859.0017399999997</v>
      </c>
      <c r="J14" s="1">
        <f>129*5.295302</f>
        <v>683.09395800000004</v>
      </c>
      <c r="K14" s="1">
        <f t="shared" si="1"/>
        <v>4.4062043131462332</v>
      </c>
      <c r="L14" s="1">
        <f t="shared" si="0"/>
        <v>4.060292266112266</v>
      </c>
      <c r="M14" s="1">
        <f t="shared" si="0"/>
        <v>1.6072799011764707</v>
      </c>
      <c r="O14" s="1">
        <f t="shared" si="2"/>
        <v>0.92149432426410338</v>
      </c>
      <c r="P14" s="1">
        <f t="shared" si="3"/>
        <v>0.36477652576868336</v>
      </c>
      <c r="Q14" s="1" t="s">
        <v>34</v>
      </c>
      <c r="R14" s="1" t="s">
        <v>34</v>
      </c>
      <c r="X14" s="3"/>
    </row>
    <row r="15" spans="1:24" x14ac:dyDescent="0.35">
      <c r="A15" s="1" t="s">
        <v>15</v>
      </c>
      <c r="C15" s="2">
        <v>39525</v>
      </c>
      <c r="E15" s="1">
        <v>1095</v>
      </c>
      <c r="F15" s="1">
        <f>12*365+9*30+14</f>
        <v>4664</v>
      </c>
      <c r="G15" s="1">
        <v>0</v>
      </c>
      <c r="H15" s="1">
        <v>0</v>
      </c>
      <c r="I15" s="1">
        <f>3015*10.05274</f>
        <v>30309.0111</v>
      </c>
      <c r="K15" s="1">
        <f t="shared" si="1"/>
        <v>0</v>
      </c>
      <c r="L15" s="1">
        <f>I15/F15</f>
        <v>6.4985015222984561</v>
      </c>
      <c r="O15" s="1" t="s">
        <v>32</v>
      </c>
      <c r="X15" s="3"/>
    </row>
    <row r="16" spans="1:24" x14ac:dyDescent="0.35">
      <c r="A16" s="1" t="s">
        <v>16</v>
      </c>
      <c r="C16" s="2">
        <v>41287</v>
      </c>
      <c r="E16" s="1">
        <v>1095</v>
      </c>
      <c r="F16" s="1">
        <f>7*365+11*30+19</f>
        <v>2904</v>
      </c>
      <c r="G16" s="1">
        <v>0</v>
      </c>
      <c r="H16" s="1">
        <f>61*10.85246</f>
        <v>662.00006000000008</v>
      </c>
      <c r="I16" s="1">
        <f>997*5.977934</f>
        <v>5960.0001980000006</v>
      </c>
      <c r="K16" s="1">
        <f t="shared" si="1"/>
        <v>0.60456626484018272</v>
      </c>
      <c r="L16" s="1">
        <f t="shared" si="0"/>
        <v>2.0523416659779619</v>
      </c>
      <c r="O16" s="1">
        <f t="shared" si="2"/>
        <v>3.3947340189755693</v>
      </c>
      <c r="X16" s="3"/>
    </row>
    <row r="17" spans="1:24" x14ac:dyDescent="0.35">
      <c r="A17" s="1" t="s">
        <v>17</v>
      </c>
      <c r="C17" s="2">
        <v>41690</v>
      </c>
      <c r="E17" s="1">
        <v>1095</v>
      </c>
      <c r="F17" s="1">
        <f>6*365+300+9</f>
        <v>2499</v>
      </c>
      <c r="G17" s="1">
        <v>0</v>
      </c>
      <c r="H17" s="1">
        <f>5*8</f>
        <v>40</v>
      </c>
      <c r="I17" s="1">
        <f>1294*5.432767</f>
        <v>7030.0004980000003</v>
      </c>
      <c r="K17" s="1">
        <f t="shared" si="1"/>
        <v>3.6529680365296802E-2</v>
      </c>
      <c r="L17" s="1">
        <f t="shared" si="0"/>
        <v>2.813125449379752</v>
      </c>
      <c r="O17" s="1">
        <f t="shared" si="2"/>
        <v>77.009309176770714</v>
      </c>
      <c r="X17" s="3"/>
    </row>
    <row r="18" spans="1:24" x14ac:dyDescent="0.35">
      <c r="A18" s="1" t="s">
        <v>18</v>
      </c>
      <c r="C18" s="2">
        <v>41824</v>
      </c>
      <c r="E18" s="1">
        <v>1095</v>
      </c>
      <c r="F18" s="1">
        <f>6*365+30*5+28</f>
        <v>2368</v>
      </c>
      <c r="G18" s="1">
        <v>0</v>
      </c>
      <c r="H18" s="1">
        <f>7798*5.111695</f>
        <v>39860.997609999999</v>
      </c>
      <c r="I18" s="1">
        <f>38104*5.476485</f>
        <v>208675.98444</v>
      </c>
      <c r="K18" s="1">
        <f t="shared" si="1"/>
        <v>36.402737543378997</v>
      </c>
      <c r="L18" s="1">
        <f t="shared" si="0"/>
        <v>88.123304239864865</v>
      </c>
      <c r="O18" s="1">
        <f t="shared" si="2"/>
        <v>2.4207878359382593</v>
      </c>
      <c r="X18" s="3"/>
    </row>
    <row r="19" spans="1:24" x14ac:dyDescent="0.35">
      <c r="A19" s="1" t="s">
        <v>19</v>
      </c>
      <c r="C19" s="2">
        <v>42277</v>
      </c>
      <c r="E19" s="1">
        <v>1095</v>
      </c>
      <c r="F19" s="1">
        <f>5*365+90</f>
        <v>1915</v>
      </c>
      <c r="G19" s="1">
        <v>0</v>
      </c>
      <c r="H19" s="1">
        <f>46437*4.687835</f>
        <v>217688.99389499999</v>
      </c>
      <c r="I19" s="1">
        <f>24074*5.545734</f>
        <v>133508.00031600002</v>
      </c>
      <c r="K19" s="1">
        <f t="shared" si="1"/>
        <v>198.80273415068493</v>
      </c>
      <c r="L19" s="1">
        <f t="shared" ref="L19" si="4">I19/F19</f>
        <v>69.716971444386431</v>
      </c>
      <c r="O19" s="1">
        <f t="shared" si="2"/>
        <v>0.35068416811382286</v>
      </c>
      <c r="Q19" s="1" t="s">
        <v>34</v>
      </c>
      <c r="R19" s="1" t="s">
        <v>84</v>
      </c>
      <c r="S19" s="1" t="s">
        <v>94</v>
      </c>
      <c r="T19" s="1" t="s">
        <v>95</v>
      </c>
      <c r="U19" s="1" t="s">
        <v>96</v>
      </c>
      <c r="V19" s="1" t="s">
        <v>97</v>
      </c>
      <c r="W19" s="1" t="s">
        <v>98</v>
      </c>
      <c r="X19" s="1" t="s">
        <v>101</v>
      </c>
    </row>
    <row r="20" spans="1:24" x14ac:dyDescent="0.35">
      <c r="N20" s="1" t="s">
        <v>33</v>
      </c>
      <c r="O20" s="1">
        <f>AVERAGE(O3:O19)</f>
        <v>13.649786568039245</v>
      </c>
      <c r="P20" s="1">
        <f>AVERAGE(P3:P19)</f>
        <v>3.764476236659505</v>
      </c>
      <c r="S20" s="1">
        <v>17</v>
      </c>
      <c r="T20" s="1">
        <v>8</v>
      </c>
      <c r="U20" s="1">
        <v>11</v>
      </c>
      <c r="V20" s="1">
        <v>5</v>
      </c>
      <c r="W20" s="1">
        <v>3</v>
      </c>
      <c r="X20" s="1">
        <v>2</v>
      </c>
    </row>
    <row r="21" spans="1:24" x14ac:dyDescent="0.35">
      <c r="T21" s="4">
        <f>T20/17</f>
        <v>0.47058823529411764</v>
      </c>
      <c r="U21" s="4">
        <f>U20/17</f>
        <v>0.6470588235294118</v>
      </c>
      <c r="V21" s="4">
        <f t="shared" ref="V21:X21" si="5">V20/17</f>
        <v>0.29411764705882354</v>
      </c>
      <c r="W21" s="4">
        <f t="shared" si="5"/>
        <v>0.17647058823529413</v>
      </c>
      <c r="X21" s="4">
        <f t="shared" si="5"/>
        <v>0.11764705882352941</v>
      </c>
    </row>
    <row r="22" spans="1:24" ht="165" customHeight="1" x14ac:dyDescent="0.35">
      <c r="V22" s="6" t="s">
        <v>99</v>
      </c>
      <c r="W22" s="6" t="s">
        <v>102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0231-D0D2-4344-9DCB-3842832DA192}">
  <dimension ref="B1:AG43"/>
  <sheetViews>
    <sheetView tabSelected="1" workbookViewId="0">
      <selection activeCell="Q4" sqref="Q4"/>
    </sheetView>
  </sheetViews>
  <sheetFormatPr defaultColWidth="9.1796875" defaultRowHeight="14.5" x14ac:dyDescent="0.35"/>
  <cols>
    <col min="1" max="2" width="9.1796875" style="1"/>
    <col min="3" max="3" width="12.7265625" style="1" customWidth="1"/>
    <col min="4" max="4" width="11.7265625" style="1" customWidth="1"/>
    <col min="5" max="5" width="0.81640625" style="1" customWidth="1"/>
    <col min="6" max="6" width="12.54296875" style="1" customWidth="1"/>
    <col min="7" max="7" width="11.1796875" style="1" customWidth="1"/>
    <col min="8" max="8" width="9.7265625" style="1" customWidth="1"/>
    <col min="9" max="16384" width="9.1796875" style="1"/>
  </cols>
  <sheetData>
    <row r="1" spans="2:28" x14ac:dyDescent="0.35">
      <c r="O1" s="1" t="s">
        <v>80</v>
      </c>
      <c r="R1" s="1" t="s">
        <v>82</v>
      </c>
      <c r="U1" s="1" t="s">
        <v>30</v>
      </c>
      <c r="Y1" s="1" t="s">
        <v>83</v>
      </c>
    </row>
    <row r="2" spans="2:28" x14ac:dyDescent="0.35">
      <c r="F2" s="1" t="s">
        <v>26</v>
      </c>
      <c r="I2" s="1" t="s">
        <v>75</v>
      </c>
      <c r="K2" s="1" t="s">
        <v>78</v>
      </c>
      <c r="M2" s="1" t="s">
        <v>79</v>
      </c>
      <c r="O2" s="1" t="s">
        <v>81</v>
      </c>
      <c r="P2" s="1" t="s">
        <v>12</v>
      </c>
      <c r="Q2" s="1" t="s">
        <v>13</v>
      </c>
      <c r="R2" s="1" t="s">
        <v>81</v>
      </c>
      <c r="S2" s="1" t="s">
        <v>12</v>
      </c>
      <c r="T2" s="1" t="s">
        <v>13</v>
      </c>
      <c r="V2" s="1" t="s">
        <v>12</v>
      </c>
      <c r="W2" s="1" t="s">
        <v>13</v>
      </c>
    </row>
    <row r="3" spans="2:28" x14ac:dyDescent="0.35">
      <c r="B3" s="1" t="s">
        <v>35</v>
      </c>
      <c r="C3" s="1" t="s">
        <v>36</v>
      </c>
      <c r="D3" s="1" t="s">
        <v>37</v>
      </c>
      <c r="F3" s="1" t="s">
        <v>38</v>
      </c>
      <c r="G3" s="1" t="s">
        <v>74</v>
      </c>
      <c r="H3" s="1" t="s">
        <v>39</v>
      </c>
      <c r="I3" s="1" t="s">
        <v>76</v>
      </c>
      <c r="J3" s="1" t="s">
        <v>77</v>
      </c>
      <c r="K3" s="1" t="s">
        <v>76</v>
      </c>
      <c r="L3" s="1" t="s">
        <v>77</v>
      </c>
      <c r="M3" s="1" t="s">
        <v>76</v>
      </c>
      <c r="N3" s="1" t="s">
        <v>77</v>
      </c>
      <c r="R3" s="1" t="s">
        <v>81</v>
      </c>
      <c r="S3" s="1" t="s">
        <v>12</v>
      </c>
      <c r="T3" s="1" t="s">
        <v>13</v>
      </c>
      <c r="Z3" s="1" t="s">
        <v>12</v>
      </c>
      <c r="AA3" s="1" t="s">
        <v>13</v>
      </c>
    </row>
    <row r="4" spans="2:28" x14ac:dyDescent="0.35">
      <c r="B4" s="1" t="s">
        <v>40</v>
      </c>
      <c r="C4" s="2">
        <v>32497</v>
      </c>
      <c r="D4" s="2">
        <v>36217</v>
      </c>
      <c r="G4" s="1">
        <v>3716</v>
      </c>
      <c r="H4" s="1">
        <v>1095</v>
      </c>
      <c r="K4" s="1">
        <v>1325</v>
      </c>
      <c r="L4" s="1">
        <v>20.488299999999999</v>
      </c>
      <c r="M4" s="1">
        <v>489</v>
      </c>
      <c r="N4" s="1">
        <v>11.64622</v>
      </c>
      <c r="O4" s="1">
        <f>I4*J4</f>
        <v>0</v>
      </c>
      <c r="P4" s="1">
        <f>K4*L4</f>
        <v>27146.997499999998</v>
      </c>
      <c r="Q4" s="1">
        <f>M4*N4</f>
        <v>5695.0015800000001</v>
      </c>
      <c r="S4" s="1">
        <f t="shared" ref="S4:T18" si="0">P4/G4</f>
        <v>7.305435279870828</v>
      </c>
      <c r="T4" s="1">
        <f t="shared" si="0"/>
        <v>5.2009146849315071</v>
      </c>
      <c r="V4" s="1">
        <v>0</v>
      </c>
      <c r="W4" s="1">
        <v>0</v>
      </c>
      <c r="Z4" s="1" t="s">
        <v>34</v>
      </c>
      <c r="AA4" s="1" t="s">
        <v>34</v>
      </c>
    </row>
    <row r="5" spans="2:28" x14ac:dyDescent="0.35">
      <c r="B5" s="1" t="s">
        <v>41</v>
      </c>
      <c r="C5" s="2">
        <v>33655</v>
      </c>
      <c r="D5" s="2">
        <v>37621</v>
      </c>
      <c r="F5" s="1">
        <v>1095</v>
      </c>
      <c r="G5" s="1">
        <v>3870</v>
      </c>
      <c r="H5" s="1">
        <v>1095</v>
      </c>
      <c r="I5" s="1">
        <v>0</v>
      </c>
      <c r="J5" s="1">
        <v>0</v>
      </c>
      <c r="K5" s="1">
        <v>4563</v>
      </c>
      <c r="L5" s="1">
        <v>8.9237339999999996</v>
      </c>
      <c r="M5" s="1">
        <v>0</v>
      </c>
      <c r="N5" s="1">
        <v>0</v>
      </c>
      <c r="O5" s="1">
        <f t="shared" ref="O5:O39" si="1">I5*J5</f>
        <v>0</v>
      </c>
      <c r="P5" s="1">
        <f t="shared" ref="P5:P39" si="2">K5*L5</f>
        <v>40718.998242000001</v>
      </c>
      <c r="Q5" s="1">
        <f t="shared" ref="Q5:Q39" si="3">M5*N5</f>
        <v>0</v>
      </c>
      <c r="R5" s="1">
        <f t="shared" ref="R5:T39" si="4">O5/F5</f>
        <v>0</v>
      </c>
      <c r="S5" s="1">
        <f t="shared" si="0"/>
        <v>10.521704972093024</v>
      </c>
      <c r="T5" s="1">
        <f t="shared" si="0"/>
        <v>0</v>
      </c>
      <c r="V5" s="1" t="s">
        <v>32</v>
      </c>
      <c r="W5" s="1">
        <v>0</v>
      </c>
      <c r="AA5" s="1" t="s">
        <v>34</v>
      </c>
    </row>
    <row r="6" spans="2:28" x14ac:dyDescent="0.35">
      <c r="B6" s="1" t="s">
        <v>42</v>
      </c>
      <c r="C6" s="2">
        <v>38128</v>
      </c>
      <c r="D6" s="2">
        <v>39082</v>
      </c>
      <c r="F6" s="1">
        <v>1095</v>
      </c>
      <c r="G6" s="1">
        <v>932</v>
      </c>
      <c r="H6" s="1">
        <v>1095</v>
      </c>
      <c r="I6" s="1">
        <v>467</v>
      </c>
      <c r="J6" s="1">
        <v>8.3618839999999999</v>
      </c>
      <c r="K6" s="1">
        <v>174</v>
      </c>
      <c r="L6" s="1">
        <v>5.4655170000000002</v>
      </c>
      <c r="M6" s="1">
        <v>47</v>
      </c>
      <c r="N6" s="1">
        <v>6.3617020000000002</v>
      </c>
      <c r="O6" s="1">
        <f t="shared" si="1"/>
        <v>3904.999828</v>
      </c>
      <c r="P6" s="1">
        <f t="shared" si="2"/>
        <v>950.99995799999999</v>
      </c>
      <c r="Q6" s="1">
        <f t="shared" si="3"/>
        <v>298.99999400000002</v>
      </c>
      <c r="R6" s="1">
        <f t="shared" si="4"/>
        <v>3.5662098885844751</v>
      </c>
      <c r="S6" s="1">
        <f t="shared" si="0"/>
        <v>1.020386221030043</v>
      </c>
      <c r="T6" s="1">
        <f t="shared" si="0"/>
        <v>0.27305935525114156</v>
      </c>
      <c r="V6" s="1">
        <f t="shared" ref="V6:V38" si="5">S6/R6</f>
        <v>0.28612623847416391</v>
      </c>
      <c r="W6" s="1">
        <f t="shared" ref="W6:W38" si="6">T6/R6</f>
        <v>7.6568503756666489E-2</v>
      </c>
      <c r="Z6" s="1" t="s">
        <v>34</v>
      </c>
      <c r="AA6" s="1" t="s">
        <v>34</v>
      </c>
    </row>
    <row r="7" spans="2:28" x14ac:dyDescent="0.35">
      <c r="B7" s="1" t="s">
        <v>43</v>
      </c>
      <c r="C7" s="2">
        <v>33527</v>
      </c>
      <c r="D7" s="2">
        <v>34043</v>
      </c>
      <c r="F7" s="1">
        <v>1006</v>
      </c>
      <c r="G7" s="1">
        <v>515</v>
      </c>
      <c r="H7" s="1">
        <v>1095</v>
      </c>
      <c r="I7" s="1">
        <v>80</v>
      </c>
      <c r="J7" s="1">
        <v>18.637499999999999</v>
      </c>
      <c r="K7" s="1">
        <v>32</v>
      </c>
      <c r="L7" s="1">
        <v>9.21875</v>
      </c>
      <c r="M7" s="1">
        <v>315</v>
      </c>
      <c r="N7" s="7">
        <v>6.5396830000000001</v>
      </c>
      <c r="O7" s="1">
        <f t="shared" si="1"/>
        <v>1491</v>
      </c>
      <c r="P7" s="1">
        <f t="shared" si="2"/>
        <v>295</v>
      </c>
      <c r="Q7" s="1">
        <f t="shared" si="3"/>
        <v>2060.000145</v>
      </c>
      <c r="R7" s="1">
        <f t="shared" si="4"/>
        <v>1.4821073558648112</v>
      </c>
      <c r="S7" s="1">
        <f t="shared" si="0"/>
        <v>0.57281553398058249</v>
      </c>
      <c r="T7" s="1">
        <f t="shared" si="0"/>
        <v>1.8812786712328766</v>
      </c>
      <c r="V7" s="1">
        <f t="shared" si="5"/>
        <v>0.38648720803787118</v>
      </c>
      <c r="W7" s="1">
        <f t="shared" si="6"/>
        <v>1.2693268566467295</v>
      </c>
      <c r="Z7" s="1" t="s">
        <v>34</v>
      </c>
    </row>
    <row r="8" spans="2:28" x14ac:dyDescent="0.35">
      <c r="B8" s="1" t="s">
        <v>44</v>
      </c>
      <c r="C8" s="2">
        <v>35881</v>
      </c>
      <c r="D8" s="2">
        <v>36571</v>
      </c>
      <c r="F8" s="1">
        <v>1095</v>
      </c>
      <c r="G8" s="1">
        <v>684</v>
      </c>
      <c r="H8" s="1">
        <v>1095</v>
      </c>
      <c r="I8" s="1">
        <v>0</v>
      </c>
      <c r="J8" s="1">
        <v>0</v>
      </c>
      <c r="K8" s="1">
        <v>2</v>
      </c>
      <c r="L8" s="1">
        <v>5.5</v>
      </c>
      <c r="M8" s="1">
        <v>38</v>
      </c>
      <c r="N8" s="1">
        <v>9.8157890000000005</v>
      </c>
      <c r="O8" s="1">
        <f t="shared" si="1"/>
        <v>0</v>
      </c>
      <c r="P8" s="1">
        <f t="shared" si="2"/>
        <v>11</v>
      </c>
      <c r="Q8" s="1">
        <f t="shared" si="3"/>
        <v>372.99998200000005</v>
      </c>
      <c r="R8" s="1">
        <f t="shared" si="4"/>
        <v>0</v>
      </c>
      <c r="S8" s="1">
        <f t="shared" si="0"/>
        <v>1.6081871345029239E-2</v>
      </c>
      <c r="T8" s="1">
        <f t="shared" si="0"/>
        <v>0.3406392529680366</v>
      </c>
      <c r="V8" s="1" t="s">
        <v>32</v>
      </c>
      <c r="W8" s="1" t="s">
        <v>32</v>
      </c>
      <c r="AB8" s="1" t="s">
        <v>85</v>
      </c>
    </row>
    <row r="9" spans="2:28" x14ac:dyDescent="0.35">
      <c r="B9" s="1" t="s">
        <v>44</v>
      </c>
      <c r="C9" s="2">
        <v>39350</v>
      </c>
      <c r="D9" s="2">
        <v>40543</v>
      </c>
      <c r="F9" s="1">
        <v>1095</v>
      </c>
      <c r="G9" s="1">
        <v>1191</v>
      </c>
      <c r="H9" s="1">
        <v>1095</v>
      </c>
      <c r="I9" s="1">
        <v>71</v>
      </c>
      <c r="J9" s="1">
        <v>4.8028170000000001</v>
      </c>
      <c r="K9" s="1">
        <v>109</v>
      </c>
      <c r="L9" s="1">
        <v>3.6697250000000001</v>
      </c>
      <c r="M9" s="1">
        <v>54</v>
      </c>
      <c r="N9" s="1">
        <v>6.0555560000000002</v>
      </c>
      <c r="O9" s="1">
        <f t="shared" si="1"/>
        <v>341.00000699999998</v>
      </c>
      <c r="P9" s="1">
        <f t="shared" si="2"/>
        <v>400.00002499999999</v>
      </c>
      <c r="Q9" s="1">
        <f t="shared" si="3"/>
        <v>327.000024</v>
      </c>
      <c r="R9" s="1">
        <f t="shared" si="4"/>
        <v>0.31141553150684931</v>
      </c>
      <c r="S9" s="1">
        <f t="shared" si="0"/>
        <v>0.33585224601175484</v>
      </c>
      <c r="T9" s="1">
        <f t="shared" si="0"/>
        <v>0.2986301589041096</v>
      </c>
      <c r="V9" s="1">
        <f t="shared" si="5"/>
        <v>1.0784698000984838</v>
      </c>
      <c r="W9" s="1">
        <f t="shared" si="6"/>
        <v>0.95894433222108411</v>
      </c>
      <c r="AA9" s="1" t="s">
        <v>34</v>
      </c>
    </row>
    <row r="10" spans="2:28" x14ac:dyDescent="0.35">
      <c r="B10" s="1" t="s">
        <v>44</v>
      </c>
      <c r="C10" s="2">
        <v>41897</v>
      </c>
      <c r="F10" s="1">
        <v>1095</v>
      </c>
      <c r="G10" s="1">
        <v>2296</v>
      </c>
      <c r="I10" s="1">
        <v>466</v>
      </c>
      <c r="J10" s="1">
        <v>12.416309999999999</v>
      </c>
      <c r="K10" s="1">
        <v>706</v>
      </c>
      <c r="L10" s="1">
        <v>7.1742210000000002</v>
      </c>
      <c r="O10" s="1">
        <f t="shared" si="1"/>
        <v>5786.0004599999993</v>
      </c>
      <c r="P10" s="1">
        <f t="shared" si="2"/>
        <v>5065.0000259999997</v>
      </c>
      <c r="Q10" s="1">
        <f t="shared" si="3"/>
        <v>0</v>
      </c>
      <c r="R10" s="1">
        <f t="shared" si="4"/>
        <v>5.2840186849315058</v>
      </c>
      <c r="S10" s="1">
        <f t="shared" si="0"/>
        <v>2.2060104642857143</v>
      </c>
      <c r="V10" s="1">
        <f t="shared" si="5"/>
        <v>0.41748725654143098</v>
      </c>
      <c r="W10" s="1" t="s">
        <v>103</v>
      </c>
      <c r="Z10" s="1" t="s">
        <v>34</v>
      </c>
      <c r="AA10" s="1" t="s">
        <v>84</v>
      </c>
      <c r="AB10" s="1" t="s">
        <v>91</v>
      </c>
    </row>
    <row r="11" spans="2:28" x14ac:dyDescent="0.35">
      <c r="B11" s="1" t="s">
        <v>45</v>
      </c>
      <c r="C11" s="2">
        <v>37754</v>
      </c>
      <c r="D11" s="2">
        <v>42916</v>
      </c>
      <c r="F11" s="1">
        <v>1095</v>
      </c>
      <c r="G11" s="1">
        <v>5157</v>
      </c>
      <c r="H11" s="1">
        <v>1095</v>
      </c>
      <c r="I11" s="1">
        <v>183</v>
      </c>
      <c r="J11" s="1">
        <v>7.4207650000000003</v>
      </c>
      <c r="K11" s="1">
        <v>2</v>
      </c>
      <c r="L11" s="1">
        <v>24.5</v>
      </c>
      <c r="M11" s="1">
        <v>0</v>
      </c>
      <c r="N11" s="1">
        <v>0</v>
      </c>
      <c r="O11" s="1">
        <f t="shared" si="1"/>
        <v>1357.9999950000001</v>
      </c>
      <c r="P11" s="1">
        <f t="shared" si="2"/>
        <v>49</v>
      </c>
      <c r="Q11" s="1">
        <f t="shared" si="3"/>
        <v>0</v>
      </c>
      <c r="R11" s="1">
        <f t="shared" si="4"/>
        <v>1.2401826438356165</v>
      </c>
      <c r="S11" s="1">
        <f t="shared" si="0"/>
        <v>9.5016482451037425E-3</v>
      </c>
      <c r="T11" s="1">
        <f t="shared" si="0"/>
        <v>0</v>
      </c>
      <c r="V11" s="1">
        <f t="shared" si="5"/>
        <v>7.6614910653137356E-3</v>
      </c>
      <c r="W11" s="1">
        <f t="shared" si="6"/>
        <v>0</v>
      </c>
      <c r="Z11" s="1" t="s">
        <v>34</v>
      </c>
      <c r="AA11" s="1" t="s">
        <v>34</v>
      </c>
    </row>
    <row r="12" spans="2:28" x14ac:dyDescent="0.35">
      <c r="B12" s="1" t="s">
        <v>46</v>
      </c>
      <c r="C12" s="2">
        <v>34789</v>
      </c>
      <c r="D12" s="2">
        <v>37605</v>
      </c>
      <c r="F12" s="1">
        <v>1095</v>
      </c>
      <c r="G12" s="1">
        <v>2780</v>
      </c>
      <c r="H12" s="1">
        <v>1095</v>
      </c>
      <c r="I12" s="1">
        <v>89</v>
      </c>
      <c r="J12" s="1">
        <v>5.7977530000000002</v>
      </c>
      <c r="K12" s="1">
        <v>68</v>
      </c>
      <c r="L12" s="1">
        <v>14.14706</v>
      </c>
      <c r="M12" s="1">
        <v>0</v>
      </c>
      <c r="N12" s="1">
        <v>0</v>
      </c>
      <c r="O12" s="1">
        <f t="shared" si="1"/>
        <v>516.00001700000007</v>
      </c>
      <c r="P12" s="1">
        <f t="shared" si="2"/>
        <v>962.00008000000003</v>
      </c>
      <c r="Q12" s="1">
        <f t="shared" si="3"/>
        <v>0</v>
      </c>
      <c r="R12" s="1">
        <f t="shared" si="4"/>
        <v>0.47123289223744297</v>
      </c>
      <c r="S12" s="1">
        <f t="shared" si="0"/>
        <v>0.34604319424460434</v>
      </c>
      <c r="T12" s="1">
        <f t="shared" si="0"/>
        <v>0</v>
      </c>
      <c r="V12" s="1">
        <f t="shared" si="5"/>
        <v>0.7343358240583967</v>
      </c>
      <c r="W12" s="1">
        <f t="shared" si="6"/>
        <v>0</v>
      </c>
      <c r="Z12" s="1" t="s">
        <v>34</v>
      </c>
      <c r="AA12" s="1" t="s">
        <v>34</v>
      </c>
    </row>
    <row r="13" spans="2:28" x14ac:dyDescent="0.35">
      <c r="B13" s="1" t="s">
        <v>47</v>
      </c>
      <c r="C13" s="2">
        <v>36494</v>
      </c>
      <c r="F13" s="1">
        <v>1095</v>
      </c>
      <c r="G13" s="1">
        <v>7695</v>
      </c>
      <c r="I13" s="1">
        <v>442</v>
      </c>
      <c r="J13" s="1">
        <v>84.934389999999993</v>
      </c>
      <c r="K13" s="1">
        <v>4447</v>
      </c>
      <c r="L13" s="1">
        <v>11.46931</v>
      </c>
      <c r="O13" s="1">
        <f t="shared" si="1"/>
        <v>37541.000379999998</v>
      </c>
      <c r="P13" s="1">
        <f t="shared" si="2"/>
        <v>51004.021569999997</v>
      </c>
      <c r="Q13" s="1">
        <f t="shared" si="3"/>
        <v>0</v>
      </c>
      <c r="R13" s="1">
        <f t="shared" si="4"/>
        <v>34.284018611872142</v>
      </c>
      <c r="S13" s="1">
        <f t="shared" si="0"/>
        <v>6.6282029330734238</v>
      </c>
      <c r="V13" s="1">
        <f t="shared" si="5"/>
        <v>0.19333214720569999</v>
      </c>
      <c r="W13" s="1">
        <f t="shared" si="6"/>
        <v>0</v>
      </c>
      <c r="Z13" s="1" t="s">
        <v>34</v>
      </c>
      <c r="AA13" s="1" t="s">
        <v>84</v>
      </c>
    </row>
    <row r="14" spans="2:28" x14ac:dyDescent="0.35">
      <c r="B14" s="1" t="s">
        <v>48</v>
      </c>
      <c r="C14" s="2">
        <v>36458</v>
      </c>
      <c r="D14" s="2">
        <v>41274</v>
      </c>
      <c r="F14" s="1">
        <v>1095</v>
      </c>
      <c r="G14" s="1">
        <v>4811</v>
      </c>
      <c r="H14" s="1">
        <v>1095</v>
      </c>
      <c r="I14" s="1">
        <v>0</v>
      </c>
      <c r="J14" s="1">
        <v>0</v>
      </c>
      <c r="K14" s="1">
        <v>0</v>
      </c>
      <c r="L14" s="1">
        <v>0</v>
      </c>
      <c r="M14" s="1">
        <v>0</v>
      </c>
      <c r="N14" s="1">
        <v>0</v>
      </c>
      <c r="O14" s="1">
        <f t="shared" si="1"/>
        <v>0</v>
      </c>
      <c r="P14" s="1">
        <f t="shared" si="2"/>
        <v>0</v>
      </c>
      <c r="Q14" s="1">
        <f t="shared" si="3"/>
        <v>0</v>
      </c>
      <c r="R14" s="1">
        <f t="shared" si="4"/>
        <v>0</v>
      </c>
      <c r="S14" s="1">
        <f t="shared" si="0"/>
        <v>0</v>
      </c>
      <c r="T14" s="1">
        <f t="shared" si="0"/>
        <v>0</v>
      </c>
      <c r="V14" s="1">
        <v>0</v>
      </c>
      <c r="W14" s="1">
        <v>0</v>
      </c>
      <c r="Z14" s="1" t="s">
        <v>34</v>
      </c>
      <c r="AA14" s="1" t="s">
        <v>34</v>
      </c>
    </row>
    <row r="15" spans="2:28" x14ac:dyDescent="0.35">
      <c r="B15" s="1" t="s">
        <v>49</v>
      </c>
      <c r="C15" s="8">
        <v>44378</v>
      </c>
      <c r="D15" s="2">
        <v>39660</v>
      </c>
      <c r="F15" s="1">
        <v>1095</v>
      </c>
      <c r="G15" s="1">
        <v>2950</v>
      </c>
      <c r="H15" s="1">
        <v>1095</v>
      </c>
      <c r="I15" s="1">
        <v>93</v>
      </c>
      <c r="J15" s="1">
        <v>862.33299999999997</v>
      </c>
      <c r="K15" s="1">
        <v>828</v>
      </c>
      <c r="L15" s="1">
        <v>5.5277779999999996</v>
      </c>
      <c r="M15" s="1">
        <v>225</v>
      </c>
      <c r="N15" s="1">
        <v>3.5333299999999999</v>
      </c>
      <c r="O15" s="1">
        <f t="shared" si="1"/>
        <v>80196.968999999997</v>
      </c>
      <c r="P15" s="1">
        <f t="shared" si="2"/>
        <v>4577.0001839999995</v>
      </c>
      <c r="Q15" s="1">
        <f t="shared" si="3"/>
        <v>794.99924999999996</v>
      </c>
      <c r="R15" s="1">
        <f t="shared" si="4"/>
        <v>73.239241095890407</v>
      </c>
      <c r="S15" s="1">
        <f t="shared" si="0"/>
        <v>1.5515254861016947</v>
      </c>
      <c r="T15" s="1">
        <f t="shared" si="0"/>
        <v>0.72602671232876703</v>
      </c>
      <c r="V15" s="1">
        <f t="shared" si="5"/>
        <v>2.1184346845843461E-2</v>
      </c>
      <c r="W15" s="1">
        <f t="shared" si="6"/>
        <v>9.9130834982055233E-3</v>
      </c>
      <c r="Z15" s="1" t="s">
        <v>34</v>
      </c>
      <c r="AA15" s="1" t="s">
        <v>34</v>
      </c>
    </row>
    <row r="16" spans="2:28" x14ac:dyDescent="0.35">
      <c r="B16" s="1" t="s">
        <v>50</v>
      </c>
      <c r="C16" s="2">
        <v>34205</v>
      </c>
      <c r="D16" s="2">
        <v>40025</v>
      </c>
      <c r="F16" s="1">
        <v>1095</v>
      </c>
      <c r="G16" s="1">
        <v>6178</v>
      </c>
      <c r="H16" s="1">
        <v>1095</v>
      </c>
      <c r="I16" s="1">
        <v>176</v>
      </c>
      <c r="J16" s="1">
        <v>11.653409999999999</v>
      </c>
      <c r="K16" s="1">
        <v>77</v>
      </c>
      <c r="L16" s="1">
        <v>17.883120000000002</v>
      </c>
      <c r="M16" s="1">
        <v>5</v>
      </c>
      <c r="N16" s="1">
        <v>0.6</v>
      </c>
      <c r="O16" s="1">
        <f t="shared" si="1"/>
        <v>2051.0001600000001</v>
      </c>
      <c r="P16" s="1">
        <f t="shared" si="2"/>
        <v>1377.0002400000001</v>
      </c>
      <c r="Q16" s="1">
        <f t="shared" si="3"/>
        <v>3</v>
      </c>
      <c r="R16" s="1">
        <f t="shared" si="4"/>
        <v>1.8730595068493152</v>
      </c>
      <c r="S16" s="1">
        <f t="shared" si="0"/>
        <v>0.22288770475882164</v>
      </c>
      <c r="T16" s="1">
        <f t="shared" si="0"/>
        <v>2.7397260273972603E-3</v>
      </c>
      <c r="V16" s="1">
        <f t="shared" si="5"/>
        <v>0.11899659564673543</v>
      </c>
      <c r="W16" s="1">
        <f t="shared" si="6"/>
        <v>1.4627010072978247E-3</v>
      </c>
      <c r="Z16" s="1" t="s">
        <v>34</v>
      </c>
      <c r="AA16" s="1" t="s">
        <v>34</v>
      </c>
    </row>
    <row r="17" spans="2:28" x14ac:dyDescent="0.35">
      <c r="B17" s="1" t="s">
        <v>51</v>
      </c>
      <c r="C17" s="2">
        <v>32819</v>
      </c>
      <c r="D17" s="2">
        <v>33620</v>
      </c>
      <c r="F17" s="1">
        <v>307</v>
      </c>
      <c r="G17" s="1">
        <v>800</v>
      </c>
      <c r="H17" s="1">
        <v>1095</v>
      </c>
      <c r="I17" s="1">
        <v>69</v>
      </c>
      <c r="J17" s="1">
        <v>6.9855070000000001</v>
      </c>
      <c r="K17" s="1">
        <v>209</v>
      </c>
      <c r="L17" s="1">
        <v>6.7511960000000002</v>
      </c>
      <c r="M17" s="1">
        <v>142</v>
      </c>
      <c r="N17" s="1">
        <v>4.7957749999999999</v>
      </c>
      <c r="O17" s="1">
        <f t="shared" si="1"/>
        <v>481.99998299999999</v>
      </c>
      <c r="P17" s="1">
        <f t="shared" si="2"/>
        <v>1410.9999640000001</v>
      </c>
      <c r="Q17" s="1">
        <f t="shared" si="3"/>
        <v>681.00004999999999</v>
      </c>
      <c r="R17" s="1">
        <f t="shared" si="4"/>
        <v>1.5700325179153094</v>
      </c>
      <c r="S17" s="1">
        <f t="shared" si="0"/>
        <v>1.7637499550000002</v>
      </c>
      <c r="T17" s="1">
        <f t="shared" si="0"/>
        <v>0.62191785388127852</v>
      </c>
      <c r="V17" s="1">
        <f t="shared" si="5"/>
        <v>1.1233843470591991</v>
      </c>
      <c r="W17" s="1">
        <f t="shared" si="6"/>
        <v>0.39611781716920208</v>
      </c>
      <c r="AA17" s="1" t="s">
        <v>34</v>
      </c>
    </row>
    <row r="18" spans="2:28" x14ac:dyDescent="0.35">
      <c r="B18" s="1" t="s">
        <v>52</v>
      </c>
      <c r="C18" s="2">
        <v>35434</v>
      </c>
      <c r="D18" s="2">
        <v>35572</v>
      </c>
      <c r="F18" s="1">
        <f>365+11*30+15+4</f>
        <v>714</v>
      </c>
      <c r="G18" s="1">
        <v>138</v>
      </c>
      <c r="H18" s="1">
        <v>1095</v>
      </c>
      <c r="I18" s="1">
        <v>11</v>
      </c>
      <c r="J18" s="1">
        <v>1.818182</v>
      </c>
      <c r="K18" s="1">
        <v>1</v>
      </c>
      <c r="L18" s="1">
        <v>2</v>
      </c>
      <c r="M18" s="1">
        <v>1</v>
      </c>
      <c r="N18" s="1">
        <v>1</v>
      </c>
      <c r="O18" s="1">
        <f t="shared" si="1"/>
        <v>20.000001999999999</v>
      </c>
      <c r="P18" s="1">
        <f t="shared" si="2"/>
        <v>2</v>
      </c>
      <c r="Q18" s="1">
        <f t="shared" si="3"/>
        <v>1</v>
      </c>
      <c r="R18" s="1">
        <f t="shared" si="4"/>
        <v>2.8011207282913165E-2</v>
      </c>
      <c r="S18" s="1">
        <f t="shared" si="0"/>
        <v>1.4492753623188406E-2</v>
      </c>
      <c r="T18" s="1">
        <f t="shared" si="0"/>
        <v>9.1324200913242006E-4</v>
      </c>
      <c r="V18" s="1">
        <f t="shared" si="5"/>
        <v>0.51739125260870089</v>
      </c>
      <c r="W18" s="1">
        <f t="shared" si="6"/>
        <v>3.2602736465753748E-2</v>
      </c>
      <c r="Z18" s="1" t="s">
        <v>34</v>
      </c>
      <c r="AA18" s="1" t="s">
        <v>34</v>
      </c>
    </row>
    <row r="19" spans="2:28" x14ac:dyDescent="0.35">
      <c r="B19" s="1" t="s">
        <v>53</v>
      </c>
      <c r="C19" s="2">
        <v>34235</v>
      </c>
      <c r="D19" s="2">
        <v>36600</v>
      </c>
      <c r="F19" s="1">
        <v>1095</v>
      </c>
      <c r="G19" s="1">
        <v>2360</v>
      </c>
      <c r="H19" s="1">
        <v>1095</v>
      </c>
      <c r="I19" s="1">
        <v>11</v>
      </c>
      <c r="J19" s="1">
        <v>24.63636</v>
      </c>
      <c r="K19" s="1">
        <v>8</v>
      </c>
      <c r="L19" s="1">
        <v>11.5</v>
      </c>
      <c r="M19" s="1">
        <v>0</v>
      </c>
      <c r="N19" s="1">
        <v>0</v>
      </c>
      <c r="O19" s="1">
        <f t="shared" si="1"/>
        <v>270.99995999999999</v>
      </c>
      <c r="P19" s="1">
        <f t="shared" si="2"/>
        <v>92</v>
      </c>
      <c r="Q19" s="1">
        <f t="shared" si="3"/>
        <v>0</v>
      </c>
      <c r="R19" s="1">
        <f t="shared" si="4"/>
        <v>0.24748854794520547</v>
      </c>
      <c r="S19" s="1">
        <f t="shared" si="4"/>
        <v>3.898305084745763E-2</v>
      </c>
      <c r="T19" s="1">
        <f t="shared" si="4"/>
        <v>0</v>
      </c>
      <c r="V19" s="1">
        <f t="shared" si="5"/>
        <v>0.15751456449648962</v>
      </c>
      <c r="W19" s="1">
        <f t="shared" si="6"/>
        <v>0</v>
      </c>
      <c r="Z19" s="1" t="s">
        <v>34</v>
      </c>
      <c r="AA19" s="1" t="s">
        <v>34</v>
      </c>
    </row>
    <row r="20" spans="2:28" x14ac:dyDescent="0.35">
      <c r="B20" s="1" t="s">
        <v>53</v>
      </c>
      <c r="C20" s="2">
        <v>38139</v>
      </c>
      <c r="D20" s="2">
        <v>43753</v>
      </c>
      <c r="F20" s="1">
        <v>1095</v>
      </c>
      <c r="G20" s="1">
        <v>5610</v>
      </c>
      <c r="H20" s="1">
        <f>365+9*30+15</f>
        <v>650</v>
      </c>
      <c r="I20" s="1">
        <v>16</v>
      </c>
      <c r="J20" s="1">
        <v>10.625</v>
      </c>
      <c r="K20" s="1">
        <v>14</v>
      </c>
      <c r="L20" s="1">
        <v>12.28571</v>
      </c>
      <c r="M20" s="1">
        <v>37</v>
      </c>
      <c r="N20" s="1">
        <v>3.864865</v>
      </c>
      <c r="O20" s="1">
        <f t="shared" si="1"/>
        <v>170</v>
      </c>
      <c r="P20" s="1">
        <f t="shared" si="2"/>
        <v>171.99994000000001</v>
      </c>
      <c r="Q20" s="1">
        <f t="shared" si="3"/>
        <v>143.00000499999999</v>
      </c>
      <c r="R20" s="1">
        <f t="shared" si="4"/>
        <v>0.15525114155251141</v>
      </c>
      <c r="S20" s="1">
        <f t="shared" si="4"/>
        <v>3.0659525846702319E-2</v>
      </c>
      <c r="T20" s="1">
        <f t="shared" si="4"/>
        <v>0.22000000769230768</v>
      </c>
      <c r="V20" s="1">
        <f t="shared" si="5"/>
        <v>0.19748341648317083</v>
      </c>
      <c r="W20" s="1">
        <f t="shared" si="6"/>
        <v>1.4170588730769231</v>
      </c>
    </row>
    <row r="21" spans="2:28" x14ac:dyDescent="0.35">
      <c r="B21" s="1" t="s">
        <v>54</v>
      </c>
      <c r="C21" s="2">
        <v>32364</v>
      </c>
      <c r="D21" s="2">
        <v>33297</v>
      </c>
      <c r="F21" s="1">
        <v>1095</v>
      </c>
      <c r="G21" s="1">
        <v>929</v>
      </c>
      <c r="H21" s="1">
        <v>1095</v>
      </c>
      <c r="I21" s="1">
        <v>1</v>
      </c>
      <c r="J21" s="1">
        <v>32400</v>
      </c>
      <c r="K21" s="1">
        <v>15</v>
      </c>
      <c r="L21" s="1">
        <v>2.0666669999999998</v>
      </c>
      <c r="M21" s="1">
        <v>21</v>
      </c>
      <c r="N21" s="1">
        <v>9.5714290000000002</v>
      </c>
      <c r="O21" s="1">
        <f t="shared" si="1"/>
        <v>32400</v>
      </c>
      <c r="P21" s="1">
        <f>K21*L21</f>
        <v>31.000004999999998</v>
      </c>
      <c r="Q21" s="1">
        <f>M21*N21</f>
        <v>201.00000900000001</v>
      </c>
      <c r="R21" s="1">
        <f t="shared" si="4"/>
        <v>29.589041095890412</v>
      </c>
      <c r="S21" s="1">
        <f t="shared" si="4"/>
        <v>3.3369219590958017E-2</v>
      </c>
      <c r="T21" s="1">
        <f t="shared" si="4"/>
        <v>0.18356165205479452</v>
      </c>
      <c r="V21" s="1">
        <f t="shared" si="5"/>
        <v>1.1277560324721922E-3</v>
      </c>
      <c r="W21" s="1">
        <f t="shared" si="6"/>
        <v>6.2037039814814817E-3</v>
      </c>
      <c r="Z21" s="1" t="s">
        <v>34</v>
      </c>
      <c r="AA21" s="1" t="s">
        <v>34</v>
      </c>
      <c r="AB21" s="1" t="s">
        <v>86</v>
      </c>
    </row>
    <row r="22" spans="2:28" x14ac:dyDescent="0.35">
      <c r="B22" s="1" t="s">
        <v>55</v>
      </c>
      <c r="C22" s="2">
        <v>33337</v>
      </c>
      <c r="D22" s="2">
        <v>37900</v>
      </c>
      <c r="F22" s="1">
        <f>2*365+3*30+8</f>
        <v>828</v>
      </c>
      <c r="G22" s="1">
        <f>11*365+8*30+2*30+22</f>
        <v>4337</v>
      </c>
      <c r="H22" s="1">
        <v>1095</v>
      </c>
      <c r="I22" s="1">
        <v>81</v>
      </c>
      <c r="J22" s="1">
        <v>297.39510000000001</v>
      </c>
      <c r="K22" s="1">
        <v>339</v>
      </c>
      <c r="L22" s="1">
        <v>23.584070000000001</v>
      </c>
      <c r="O22" s="1">
        <f>I22*J22+38*47.07895</f>
        <v>25878.003200000003</v>
      </c>
      <c r="P22" s="1">
        <f>K22*L22+1</f>
        <v>7995.9997300000005</v>
      </c>
      <c r="Q22" s="1">
        <f t="shared" si="3"/>
        <v>0</v>
      </c>
      <c r="R22" s="1">
        <f t="shared" si="4"/>
        <v>31.2536270531401</v>
      </c>
      <c r="S22" s="1">
        <f t="shared" si="4"/>
        <v>1.843670677887941</v>
      </c>
      <c r="T22" s="1">
        <f t="shared" si="4"/>
        <v>0</v>
      </c>
      <c r="V22" s="1">
        <f t="shared" si="5"/>
        <v>5.8990614905373183E-2</v>
      </c>
      <c r="W22" s="1">
        <f t="shared" si="6"/>
        <v>0</v>
      </c>
      <c r="Z22" s="1" t="s">
        <v>34</v>
      </c>
      <c r="AA22" s="1" t="s">
        <v>34</v>
      </c>
      <c r="AB22" s="1" t="s">
        <v>87</v>
      </c>
    </row>
    <row r="23" spans="2:28" x14ac:dyDescent="0.35">
      <c r="B23" s="1" t="s">
        <v>56</v>
      </c>
      <c r="C23" s="2">
        <v>36321</v>
      </c>
      <c r="F23" s="1">
        <v>1095</v>
      </c>
      <c r="G23" s="1">
        <v>7866</v>
      </c>
      <c r="I23" s="1">
        <v>492</v>
      </c>
      <c r="J23" s="1">
        <v>5.6158539999999997</v>
      </c>
      <c r="K23" s="1">
        <v>6</v>
      </c>
      <c r="L23" s="1">
        <v>0.83333299999999999</v>
      </c>
      <c r="O23" s="1">
        <f t="shared" si="1"/>
        <v>2763.000168</v>
      </c>
      <c r="P23" s="1">
        <f t="shared" si="2"/>
        <v>4.9999979999999997</v>
      </c>
      <c r="Q23" s="1">
        <f t="shared" si="3"/>
        <v>0</v>
      </c>
      <c r="R23" s="1">
        <f t="shared" si="4"/>
        <v>2.5232878246575341</v>
      </c>
      <c r="S23" s="1">
        <f t="shared" si="4"/>
        <v>6.3564683447749808E-4</v>
      </c>
      <c r="V23" s="1">
        <f t="shared" si="5"/>
        <v>2.519121394975103E-4</v>
      </c>
      <c r="W23" s="1">
        <f t="shared" si="6"/>
        <v>0</v>
      </c>
      <c r="Z23" s="1" t="s">
        <v>34</v>
      </c>
      <c r="AA23" s="1" t="s">
        <v>34</v>
      </c>
    </row>
    <row r="24" spans="2:28" x14ac:dyDescent="0.35">
      <c r="B24" s="1" t="s">
        <v>57</v>
      </c>
      <c r="C24" s="2">
        <v>34234</v>
      </c>
      <c r="D24" s="2">
        <v>35703</v>
      </c>
      <c r="F24" s="1">
        <v>1095</v>
      </c>
      <c r="G24" s="1">
        <v>1468</v>
      </c>
      <c r="H24" s="1">
        <v>1095</v>
      </c>
      <c r="I24" s="1">
        <v>97</v>
      </c>
      <c r="J24" s="1">
        <v>38.195880000000002</v>
      </c>
      <c r="K24" s="1">
        <v>179</v>
      </c>
      <c r="L24" s="1">
        <v>53.446930000000002</v>
      </c>
      <c r="M24" s="1">
        <v>11</v>
      </c>
      <c r="N24" s="1">
        <v>17.090910000000001</v>
      </c>
      <c r="O24" s="1">
        <f>I24*J24</f>
        <v>3705.0003600000005</v>
      </c>
      <c r="P24" s="1">
        <f t="shared" si="2"/>
        <v>9567.0004700000009</v>
      </c>
      <c r="Q24" s="1">
        <f t="shared" si="3"/>
        <v>188.00001</v>
      </c>
      <c r="R24" s="1">
        <f t="shared" si="4"/>
        <v>3.3835619726027399</v>
      </c>
      <c r="S24" s="1">
        <f t="shared" si="4"/>
        <v>6.5170302929155319</v>
      </c>
      <c r="T24" s="1">
        <f t="shared" si="4"/>
        <v>0.17168950684931508</v>
      </c>
      <c r="V24" s="1">
        <f t="shared" si="5"/>
        <v>1.9260856888938351</v>
      </c>
      <c r="W24" s="1">
        <f t="shared" si="6"/>
        <v>5.0742237984559874E-2</v>
      </c>
      <c r="AA24" s="1" t="s">
        <v>34</v>
      </c>
    </row>
    <row r="25" spans="2:28" x14ac:dyDescent="0.35">
      <c r="B25" s="1" t="s">
        <v>57</v>
      </c>
      <c r="C25" s="2">
        <v>37883</v>
      </c>
      <c r="D25" s="2">
        <v>43189</v>
      </c>
      <c r="F25" s="1">
        <v>1095</v>
      </c>
      <c r="G25" s="1">
        <v>5301</v>
      </c>
      <c r="H25" s="1">
        <v>635</v>
      </c>
      <c r="I25" s="1">
        <v>121</v>
      </c>
      <c r="J25" s="1">
        <v>49.429749999999999</v>
      </c>
      <c r="K25" s="1">
        <v>3</v>
      </c>
      <c r="L25" s="1">
        <v>13.33333</v>
      </c>
      <c r="M25" s="1">
        <v>4</v>
      </c>
      <c r="N25" s="1">
        <v>1</v>
      </c>
      <c r="O25" s="1">
        <f t="shared" si="1"/>
        <v>5980.9997499999999</v>
      </c>
      <c r="P25" s="1">
        <f t="shared" si="2"/>
        <v>39.999989999999997</v>
      </c>
      <c r="Q25" s="1">
        <f t="shared" si="3"/>
        <v>4</v>
      </c>
      <c r="R25" s="1">
        <f t="shared" si="4"/>
        <v>5.4621002283105025</v>
      </c>
      <c r="S25" s="1">
        <f t="shared" si="4"/>
        <v>7.5457441992076964E-3</v>
      </c>
      <c r="T25" s="1">
        <f t="shared" si="4"/>
        <v>6.2992125984251968E-3</v>
      </c>
      <c r="V25" s="1">
        <f t="shared" si="5"/>
        <v>1.3814730385388208E-3</v>
      </c>
      <c r="W25" s="1">
        <f t="shared" si="6"/>
        <v>1.1532583319829749E-3</v>
      </c>
      <c r="Z25" s="1" t="s">
        <v>34</v>
      </c>
      <c r="AA25" s="1" t="s">
        <v>34</v>
      </c>
    </row>
    <row r="26" spans="2:28" x14ac:dyDescent="0.35">
      <c r="B26" s="1" t="s">
        <v>58</v>
      </c>
      <c r="C26" s="2">
        <v>34458</v>
      </c>
      <c r="D26" s="2">
        <v>34498</v>
      </c>
      <c r="F26" s="1">
        <v>1095</v>
      </c>
      <c r="G26" s="1">
        <v>39</v>
      </c>
      <c r="H26" s="1">
        <v>1095</v>
      </c>
      <c r="I26" s="1">
        <v>0</v>
      </c>
      <c r="J26" s="1">
        <v>0</v>
      </c>
      <c r="K26" s="1">
        <v>0</v>
      </c>
      <c r="L26" s="1">
        <v>0</v>
      </c>
      <c r="M26" s="1">
        <v>0</v>
      </c>
      <c r="N26" s="1">
        <v>0</v>
      </c>
      <c r="O26" s="1">
        <f t="shared" si="1"/>
        <v>0</v>
      </c>
      <c r="P26" s="1">
        <f t="shared" si="2"/>
        <v>0</v>
      </c>
      <c r="Q26" s="1">
        <f t="shared" si="3"/>
        <v>0</v>
      </c>
      <c r="R26" s="1">
        <f t="shared" si="4"/>
        <v>0</v>
      </c>
      <c r="S26" s="1">
        <f t="shared" si="4"/>
        <v>0</v>
      </c>
      <c r="T26" s="1">
        <f t="shared" si="4"/>
        <v>0</v>
      </c>
      <c r="V26" s="1">
        <v>0</v>
      </c>
      <c r="W26" s="1">
        <v>0</v>
      </c>
      <c r="Z26" s="1" t="s">
        <v>34</v>
      </c>
      <c r="AA26" s="1" t="s">
        <v>34</v>
      </c>
    </row>
    <row r="27" spans="2:28" x14ac:dyDescent="0.35">
      <c r="B27" s="1" t="s">
        <v>59</v>
      </c>
      <c r="C27" s="2">
        <v>41389</v>
      </c>
      <c r="F27" s="1">
        <v>1095</v>
      </c>
      <c r="G27" s="1">
        <v>2801</v>
      </c>
      <c r="I27" s="1">
        <v>117</v>
      </c>
      <c r="J27" s="1">
        <v>10.461539999999999</v>
      </c>
      <c r="K27" s="1">
        <v>941</v>
      </c>
      <c r="L27" s="1">
        <v>5.7364509999999997</v>
      </c>
      <c r="O27" s="1">
        <f t="shared" si="1"/>
        <v>1224.00018</v>
      </c>
      <c r="P27" s="1">
        <f t="shared" si="2"/>
        <v>5398.0003909999996</v>
      </c>
      <c r="Q27" s="1">
        <f t="shared" si="3"/>
        <v>0</v>
      </c>
      <c r="R27" s="1">
        <f t="shared" si="4"/>
        <v>1.1178083835616439</v>
      </c>
      <c r="S27" s="1">
        <f t="shared" si="4"/>
        <v>1.9271690078543375</v>
      </c>
      <c r="V27" s="1">
        <f t="shared" si="5"/>
        <v>1.7240602559392593</v>
      </c>
    </row>
    <row r="28" spans="2:28" x14ac:dyDescent="0.35">
      <c r="B28" s="1" t="s">
        <v>60</v>
      </c>
      <c r="C28" s="2">
        <v>33954</v>
      </c>
      <c r="D28" s="2">
        <v>34677</v>
      </c>
      <c r="F28" s="1">
        <v>1095</v>
      </c>
      <c r="G28" s="1">
        <v>718</v>
      </c>
      <c r="H28" s="1">
        <v>1095</v>
      </c>
      <c r="I28" s="1">
        <v>131</v>
      </c>
      <c r="J28" s="1">
        <v>32.0458</v>
      </c>
      <c r="K28" s="1">
        <v>3</v>
      </c>
      <c r="L28" s="1">
        <v>1</v>
      </c>
      <c r="M28" s="1">
        <v>266</v>
      </c>
      <c r="N28" s="1">
        <v>21.6203</v>
      </c>
      <c r="O28" s="1">
        <f t="shared" si="1"/>
        <v>4197.9997999999996</v>
      </c>
      <c r="P28" s="1">
        <f t="shared" si="2"/>
        <v>3</v>
      </c>
      <c r="Q28" s="1">
        <f t="shared" si="3"/>
        <v>5750.9998000000005</v>
      </c>
      <c r="R28" s="1">
        <f t="shared" si="4"/>
        <v>3.8337897716894975</v>
      </c>
      <c r="S28" s="1">
        <f t="shared" si="4"/>
        <v>4.178272980501393E-3</v>
      </c>
      <c r="T28" s="1">
        <f t="shared" si="4"/>
        <v>5.2520546118721469</v>
      </c>
      <c r="V28" s="1">
        <f t="shared" si="5"/>
        <v>1.0898544858551507E-3</v>
      </c>
      <c r="W28" s="1">
        <f t="shared" si="6"/>
        <v>1.3699380833700852</v>
      </c>
      <c r="Z28" s="1" t="s">
        <v>34</v>
      </c>
    </row>
    <row r="29" spans="2:28" x14ac:dyDescent="0.35">
      <c r="B29" s="1" t="s">
        <v>61</v>
      </c>
      <c r="C29" s="2">
        <v>32555</v>
      </c>
      <c r="D29" s="2">
        <v>32953</v>
      </c>
      <c r="F29" s="1">
        <v>46</v>
      </c>
      <c r="G29" s="1">
        <v>400</v>
      </c>
      <c r="H29" s="1">
        <v>1095</v>
      </c>
      <c r="I29" s="1">
        <v>0</v>
      </c>
      <c r="J29" s="1">
        <v>0</v>
      </c>
      <c r="K29" s="1">
        <v>0</v>
      </c>
      <c r="L29" s="1">
        <v>0</v>
      </c>
      <c r="M29" s="1">
        <v>0</v>
      </c>
      <c r="N29" s="1">
        <v>0</v>
      </c>
      <c r="O29" s="1">
        <f t="shared" si="1"/>
        <v>0</v>
      </c>
      <c r="P29" s="1">
        <f t="shared" si="2"/>
        <v>0</v>
      </c>
      <c r="Q29" s="1">
        <f t="shared" si="3"/>
        <v>0</v>
      </c>
      <c r="R29" s="1">
        <f t="shared" si="4"/>
        <v>0</v>
      </c>
      <c r="S29" s="1">
        <f t="shared" si="4"/>
        <v>0</v>
      </c>
      <c r="T29" s="1">
        <f t="shared" si="4"/>
        <v>0</v>
      </c>
      <c r="V29" s="1">
        <v>0</v>
      </c>
      <c r="W29" s="1">
        <v>0</v>
      </c>
      <c r="Z29" s="1" t="s">
        <v>34</v>
      </c>
      <c r="AA29" s="1" t="s">
        <v>34</v>
      </c>
    </row>
    <row r="30" spans="2:28" x14ac:dyDescent="0.35">
      <c r="B30" s="1" t="s">
        <v>62</v>
      </c>
      <c r="C30" s="2">
        <v>34789</v>
      </c>
      <c r="D30" s="2">
        <v>36219</v>
      </c>
      <c r="F30" s="1">
        <v>1095</v>
      </c>
      <c r="G30" s="1">
        <v>1425</v>
      </c>
      <c r="H30" s="1">
        <v>1095</v>
      </c>
      <c r="I30" s="1">
        <v>0</v>
      </c>
      <c r="J30" s="1">
        <v>0</v>
      </c>
      <c r="K30" s="1">
        <v>0</v>
      </c>
      <c r="L30" s="1">
        <v>0</v>
      </c>
      <c r="M30" s="1">
        <v>55</v>
      </c>
      <c r="N30" s="1">
        <v>1.4727269999999999</v>
      </c>
      <c r="O30" s="1">
        <f t="shared" si="1"/>
        <v>0</v>
      </c>
      <c r="P30" s="1">
        <f t="shared" si="2"/>
        <v>0</v>
      </c>
      <c r="Q30" s="1">
        <f t="shared" si="3"/>
        <v>80.999984999999995</v>
      </c>
      <c r="R30" s="1">
        <f t="shared" si="4"/>
        <v>0</v>
      </c>
      <c r="S30" s="1">
        <f t="shared" si="4"/>
        <v>0</v>
      </c>
      <c r="T30" s="1">
        <f t="shared" si="4"/>
        <v>7.3972589041095882E-2</v>
      </c>
      <c r="V30" s="1">
        <v>0</v>
      </c>
      <c r="W30" s="1">
        <v>0</v>
      </c>
      <c r="Z30" s="1" t="s">
        <v>34</v>
      </c>
    </row>
    <row r="31" spans="2:28" x14ac:dyDescent="0.35">
      <c r="B31" s="1" t="s">
        <v>63</v>
      </c>
      <c r="C31" s="2">
        <v>34142</v>
      </c>
      <c r="D31" s="2">
        <v>35132</v>
      </c>
      <c r="F31" s="1">
        <v>1095</v>
      </c>
      <c r="G31" s="1">
        <v>984</v>
      </c>
      <c r="H31" s="1">
        <v>1095</v>
      </c>
      <c r="I31" s="1">
        <v>0</v>
      </c>
      <c r="J31" s="1">
        <v>0</v>
      </c>
      <c r="K31" s="1">
        <v>1752</v>
      </c>
      <c r="L31" s="1">
        <v>306.87209999999999</v>
      </c>
      <c r="M31" s="1">
        <v>171</v>
      </c>
      <c r="N31" s="1">
        <v>39.502920000000003</v>
      </c>
      <c r="O31" s="1">
        <f t="shared" si="1"/>
        <v>0</v>
      </c>
      <c r="P31" s="1">
        <f t="shared" si="2"/>
        <v>537639.9192</v>
      </c>
      <c r="Q31" s="1">
        <f t="shared" si="3"/>
        <v>6754.9993200000008</v>
      </c>
      <c r="R31" s="1">
        <f t="shared" si="4"/>
        <v>0</v>
      </c>
      <c r="S31" s="1">
        <f t="shared" si="4"/>
        <v>546.38203170731708</v>
      </c>
      <c r="T31" s="1">
        <f t="shared" si="4"/>
        <v>6.1689491506849325</v>
      </c>
      <c r="V31" s="1">
        <v>0</v>
      </c>
      <c r="W31" s="1" t="s">
        <v>32</v>
      </c>
    </row>
    <row r="32" spans="2:28" x14ac:dyDescent="0.35">
      <c r="B32" s="1" t="s">
        <v>64</v>
      </c>
      <c r="C32" s="2">
        <v>33378</v>
      </c>
      <c r="D32" s="2">
        <v>34819</v>
      </c>
      <c r="F32" s="1">
        <v>870</v>
      </c>
      <c r="G32" s="1">
        <v>1435</v>
      </c>
      <c r="H32" s="1">
        <v>1095</v>
      </c>
      <c r="I32" s="1">
        <v>110</v>
      </c>
      <c r="J32" s="1">
        <v>52.827272000000001</v>
      </c>
      <c r="K32" s="1">
        <v>5</v>
      </c>
      <c r="L32" s="1">
        <v>10.8</v>
      </c>
      <c r="M32" s="1">
        <v>0</v>
      </c>
      <c r="N32" s="1">
        <v>0</v>
      </c>
      <c r="O32" s="1">
        <f t="shared" si="1"/>
        <v>5810.9999200000002</v>
      </c>
      <c r="P32" s="1">
        <f t="shared" si="2"/>
        <v>54</v>
      </c>
      <c r="Q32" s="1">
        <f t="shared" si="3"/>
        <v>0</v>
      </c>
      <c r="R32" s="1">
        <f t="shared" si="4"/>
        <v>6.6793102528735631</v>
      </c>
      <c r="S32" s="1">
        <f t="shared" si="4"/>
        <v>3.7630662020905925E-2</v>
      </c>
      <c r="T32" s="1">
        <f t="shared" si="4"/>
        <v>0</v>
      </c>
      <c r="V32" s="1">
        <f t="shared" si="5"/>
        <v>5.6339143708314067E-3</v>
      </c>
      <c r="W32" s="1">
        <f t="shared" si="6"/>
        <v>0</v>
      </c>
      <c r="Z32" s="1" t="s">
        <v>34</v>
      </c>
      <c r="AA32" s="1" t="s">
        <v>34</v>
      </c>
    </row>
    <row r="33" spans="2:33" x14ac:dyDescent="0.35">
      <c r="B33" s="1" t="s">
        <v>65</v>
      </c>
      <c r="C33" s="2">
        <v>35989</v>
      </c>
      <c r="D33" s="2">
        <v>38717</v>
      </c>
      <c r="F33" s="1">
        <v>1095</v>
      </c>
      <c r="G33" s="1">
        <v>2723</v>
      </c>
      <c r="H33" s="1">
        <v>1095</v>
      </c>
      <c r="I33" s="1">
        <v>533</v>
      </c>
      <c r="J33" s="1">
        <v>11.37148</v>
      </c>
      <c r="K33" s="1">
        <v>398</v>
      </c>
      <c r="L33" s="1">
        <v>19.685929999999999</v>
      </c>
      <c r="M33" s="1">
        <v>0</v>
      </c>
      <c r="N33" s="1">
        <v>0</v>
      </c>
      <c r="O33" s="1">
        <f t="shared" si="1"/>
        <v>6060.9988400000002</v>
      </c>
      <c r="P33" s="1">
        <f t="shared" si="2"/>
        <v>7835.0001399999992</v>
      </c>
      <c r="Q33" s="1">
        <f t="shared" si="3"/>
        <v>0</v>
      </c>
      <c r="R33" s="1">
        <f t="shared" si="4"/>
        <v>5.5351587579908674</v>
      </c>
      <c r="S33" s="1">
        <f t="shared" si="4"/>
        <v>2.8773412192434811</v>
      </c>
      <c r="T33" s="1">
        <f t="shared" si="4"/>
        <v>0</v>
      </c>
      <c r="V33" s="1">
        <f t="shared" si="5"/>
        <v>0.51982993533646871</v>
      </c>
      <c r="W33" s="1">
        <f t="shared" si="6"/>
        <v>0</v>
      </c>
      <c r="Z33" s="1" t="s">
        <v>34</v>
      </c>
      <c r="AA33" s="1" t="s">
        <v>34</v>
      </c>
      <c r="AE33" s="1" t="s">
        <v>90</v>
      </c>
    </row>
    <row r="34" spans="2:33" x14ac:dyDescent="0.35">
      <c r="B34" s="1" t="s">
        <v>66</v>
      </c>
      <c r="C34" s="2">
        <v>33718</v>
      </c>
      <c r="D34" s="2">
        <v>34786</v>
      </c>
      <c r="F34" s="1">
        <v>1095</v>
      </c>
      <c r="G34" s="1">
        <v>1064</v>
      </c>
      <c r="H34" s="1">
        <v>1095</v>
      </c>
      <c r="I34" s="1">
        <v>110</v>
      </c>
      <c r="J34" s="1">
        <v>122.3182</v>
      </c>
      <c r="K34" s="1">
        <v>541</v>
      </c>
      <c r="L34" s="1">
        <v>16.846579999999999</v>
      </c>
      <c r="M34" s="1">
        <v>454</v>
      </c>
      <c r="N34" s="1">
        <v>7.3612330000000004</v>
      </c>
      <c r="O34" s="1">
        <f t="shared" si="1"/>
        <v>13455.002</v>
      </c>
      <c r="P34" s="1">
        <f t="shared" si="2"/>
        <v>9113.9997800000001</v>
      </c>
      <c r="Q34" s="1">
        <f t="shared" si="3"/>
        <v>3341.9997820000003</v>
      </c>
      <c r="R34" s="1">
        <f t="shared" si="4"/>
        <v>12.287673059360731</v>
      </c>
      <c r="S34" s="1">
        <f t="shared" si="4"/>
        <v>8.5657892669172941</v>
      </c>
      <c r="T34" s="1">
        <f t="shared" si="4"/>
        <v>3.0520545954337903</v>
      </c>
      <c r="V34" s="1">
        <f t="shared" si="5"/>
        <v>0.6971042625838656</v>
      </c>
      <c r="W34" s="1">
        <f t="shared" si="6"/>
        <v>0.2483834474346418</v>
      </c>
      <c r="Z34" s="1" t="s">
        <v>34</v>
      </c>
      <c r="AA34" s="1" t="s">
        <v>34</v>
      </c>
      <c r="AB34" s="1" t="s">
        <v>93</v>
      </c>
      <c r="AC34" s="1" t="s">
        <v>88</v>
      </c>
      <c r="AD34" s="1" t="s">
        <v>89</v>
      </c>
      <c r="AF34" s="1" t="s">
        <v>92</v>
      </c>
      <c r="AG34" s="1" t="s">
        <v>101</v>
      </c>
    </row>
    <row r="35" spans="2:33" x14ac:dyDescent="0.35">
      <c r="B35" s="1" t="s">
        <v>67</v>
      </c>
      <c r="C35" s="2">
        <v>38435</v>
      </c>
      <c r="F35" s="1">
        <v>1095</v>
      </c>
      <c r="G35" s="1">
        <v>5732</v>
      </c>
      <c r="I35" s="1">
        <v>267</v>
      </c>
      <c r="J35" s="1">
        <v>18.24719</v>
      </c>
      <c r="K35" s="1">
        <v>1829</v>
      </c>
      <c r="L35" s="1">
        <v>11.052490000000001</v>
      </c>
      <c r="O35" s="1">
        <f t="shared" si="1"/>
        <v>4871.9997299999995</v>
      </c>
      <c r="P35" s="1">
        <f t="shared" si="2"/>
        <v>20215.004210000003</v>
      </c>
      <c r="Q35" s="1">
        <f t="shared" si="3"/>
        <v>0</v>
      </c>
      <c r="R35" s="1">
        <f t="shared" si="4"/>
        <v>4.4493148219178078</v>
      </c>
      <c r="S35" s="1">
        <f t="shared" si="4"/>
        <v>3.5266929884856948</v>
      </c>
      <c r="V35" s="1">
        <f t="shared" si="5"/>
        <v>0.79263732274300358</v>
      </c>
      <c r="W35" s="1">
        <f t="shared" si="6"/>
        <v>0</v>
      </c>
      <c r="Z35" s="1" t="s">
        <v>34</v>
      </c>
      <c r="AA35" s="1" t="s">
        <v>84</v>
      </c>
      <c r="AB35" s="1">
        <v>36</v>
      </c>
      <c r="AC35" s="1">
        <v>28</v>
      </c>
      <c r="AD35" s="1">
        <v>27</v>
      </c>
      <c r="AE35" s="1">
        <v>5</v>
      </c>
      <c r="AF35" s="1">
        <v>7</v>
      </c>
      <c r="AG35" s="1">
        <v>24</v>
      </c>
    </row>
    <row r="36" spans="2:33" x14ac:dyDescent="0.35">
      <c r="B36" s="1" t="s">
        <v>68</v>
      </c>
      <c r="C36" s="2">
        <v>43174</v>
      </c>
      <c r="F36" s="1">
        <v>1095</v>
      </c>
      <c r="G36" s="1">
        <v>1016</v>
      </c>
      <c r="I36" s="1">
        <v>295</v>
      </c>
      <c r="J36" s="1">
        <v>12.186439999999999</v>
      </c>
      <c r="K36" s="1">
        <v>266</v>
      </c>
      <c r="L36" s="1">
        <v>8.8646619999999992</v>
      </c>
      <c r="O36" s="1">
        <f t="shared" si="1"/>
        <v>3594.9997999999996</v>
      </c>
      <c r="P36" s="1">
        <f t="shared" si="2"/>
        <v>2358.0000919999998</v>
      </c>
      <c r="Q36" s="1">
        <f t="shared" si="3"/>
        <v>0</v>
      </c>
      <c r="R36" s="1">
        <f t="shared" si="4"/>
        <v>3.2831048401826481</v>
      </c>
      <c r="S36" s="1">
        <f t="shared" si="4"/>
        <v>2.3208662322834646</v>
      </c>
      <c r="V36" s="1">
        <f t="shared" si="5"/>
        <v>0.70691200715794034</v>
      </c>
      <c r="W36" s="1">
        <f t="shared" si="6"/>
        <v>0</v>
      </c>
      <c r="Z36" s="1" t="s">
        <v>34</v>
      </c>
      <c r="AA36" s="1" t="s">
        <v>84</v>
      </c>
      <c r="AC36" s="4">
        <f>AC35/36</f>
        <v>0.77777777777777779</v>
      </c>
      <c r="AD36" s="4">
        <f t="shared" ref="AD36:AG36" si="7">AD35/36</f>
        <v>0.75</v>
      </c>
      <c r="AE36" s="4">
        <f t="shared" si="7"/>
        <v>0.1388888888888889</v>
      </c>
      <c r="AF36" s="4">
        <f t="shared" si="7"/>
        <v>0.19444444444444445</v>
      </c>
      <c r="AG36" s="4">
        <f t="shared" si="7"/>
        <v>0.66666666666666663</v>
      </c>
    </row>
    <row r="37" spans="2:33" x14ac:dyDescent="0.35">
      <c r="B37" s="1" t="s">
        <v>69</v>
      </c>
      <c r="C37" s="2">
        <v>41020</v>
      </c>
      <c r="D37" s="2">
        <v>41140</v>
      </c>
      <c r="F37" s="1">
        <v>1095</v>
      </c>
      <c r="G37" s="1">
        <v>119</v>
      </c>
      <c r="H37" s="1">
        <v>1095</v>
      </c>
      <c r="I37" s="1">
        <v>2225</v>
      </c>
      <c r="J37" s="1">
        <v>8.3226969999999998</v>
      </c>
      <c r="K37" s="1">
        <v>3764</v>
      </c>
      <c r="L37" s="1">
        <v>3.8270460000000002</v>
      </c>
      <c r="M37" s="1">
        <v>47210</v>
      </c>
      <c r="N37" s="1">
        <v>4.6951710000000002</v>
      </c>
      <c r="O37" s="1">
        <f t="shared" si="1"/>
        <v>18518.000824999999</v>
      </c>
      <c r="P37" s="1">
        <f t="shared" si="2"/>
        <v>14405.001144</v>
      </c>
      <c r="Q37" s="1">
        <f t="shared" si="3"/>
        <v>221659.02291</v>
      </c>
      <c r="R37" s="1">
        <f t="shared" si="4"/>
        <v>16.911416278538812</v>
      </c>
      <c r="S37" s="1">
        <f t="shared" si="4"/>
        <v>121.05042978151261</v>
      </c>
      <c r="T37" s="1">
        <f t="shared" si="4"/>
        <v>202.42833142465753</v>
      </c>
      <c r="V37" s="1">
        <f t="shared" si="5"/>
        <v>7.1579120156322977</v>
      </c>
      <c r="W37" s="1">
        <f t="shared" si="6"/>
        <v>11.969921861692109</v>
      </c>
    </row>
    <row r="38" spans="2:33" x14ac:dyDescent="0.35">
      <c r="B38" s="1" t="s">
        <v>70</v>
      </c>
      <c r="C38" s="2">
        <v>34684</v>
      </c>
      <c r="D38" s="2">
        <v>36661</v>
      </c>
      <c r="F38" s="1">
        <v>1095</v>
      </c>
      <c r="G38" s="1">
        <v>1974</v>
      </c>
      <c r="H38" s="1">
        <v>1095</v>
      </c>
      <c r="I38" s="1">
        <v>102</v>
      </c>
      <c r="J38" s="1">
        <v>51.578429999999997</v>
      </c>
      <c r="K38" s="1">
        <v>145</v>
      </c>
      <c r="L38" s="1">
        <v>26.724139999999998</v>
      </c>
      <c r="M38" s="1">
        <v>2</v>
      </c>
      <c r="N38" s="1">
        <v>23</v>
      </c>
      <c r="O38" s="1">
        <f t="shared" si="1"/>
        <v>5260.9998599999999</v>
      </c>
      <c r="P38" s="1">
        <f t="shared" si="2"/>
        <v>3875.0002999999997</v>
      </c>
      <c r="Q38" s="1">
        <f t="shared" si="3"/>
        <v>46</v>
      </c>
      <c r="R38" s="1">
        <f t="shared" si="4"/>
        <v>4.8045660821917808</v>
      </c>
      <c r="S38" s="1">
        <f t="shared" si="4"/>
        <v>1.9630194022289766</v>
      </c>
      <c r="T38" s="1">
        <f t="shared" si="4"/>
        <v>4.2009132420091327E-2</v>
      </c>
      <c r="V38" s="1">
        <f t="shared" si="5"/>
        <v>0.40857371272401621</v>
      </c>
      <c r="W38" s="1">
        <f t="shared" si="6"/>
        <v>8.7435851024713785E-3</v>
      </c>
      <c r="Z38" s="1" t="s">
        <v>34</v>
      </c>
      <c r="AA38" s="1" t="s">
        <v>34</v>
      </c>
      <c r="AC38" s="5">
        <f>23/36</f>
        <v>0.63888888888888884</v>
      </c>
    </row>
    <row r="39" spans="2:33" x14ac:dyDescent="0.35">
      <c r="B39" s="1" t="s">
        <v>71</v>
      </c>
      <c r="C39" s="2">
        <v>33357</v>
      </c>
      <c r="F39" s="1">
        <v>849</v>
      </c>
      <c r="G39" s="1">
        <v>7177</v>
      </c>
      <c r="I39" s="1">
        <v>0</v>
      </c>
      <c r="J39" s="1">
        <v>0</v>
      </c>
      <c r="K39" s="1">
        <v>0</v>
      </c>
      <c r="L39" s="1">
        <v>0</v>
      </c>
      <c r="M39" s="1">
        <v>0</v>
      </c>
      <c r="N39" s="1">
        <v>0</v>
      </c>
      <c r="O39" s="1">
        <f t="shared" si="1"/>
        <v>0</v>
      </c>
      <c r="P39" s="1">
        <f t="shared" si="2"/>
        <v>0</v>
      </c>
      <c r="Q39" s="1">
        <f t="shared" si="3"/>
        <v>0</v>
      </c>
      <c r="R39" s="1">
        <f t="shared" si="4"/>
        <v>0</v>
      </c>
      <c r="S39" s="1">
        <f t="shared" si="4"/>
        <v>0</v>
      </c>
      <c r="T39" s="1">
        <v>0</v>
      </c>
      <c r="V39" s="1">
        <v>0</v>
      </c>
      <c r="W39" s="1">
        <v>0</v>
      </c>
      <c r="Z39" s="1" t="s">
        <v>34</v>
      </c>
      <c r="AA39" s="1" t="s">
        <v>84</v>
      </c>
    </row>
    <row r="40" spans="2:33" x14ac:dyDescent="0.35">
      <c r="B40" s="1" t="s">
        <v>72</v>
      </c>
      <c r="U40" s="1" t="s">
        <v>100</v>
      </c>
      <c r="V40" s="1">
        <f>AVERAGE(V4:V39)</f>
        <v>0.565924859253081</v>
      </c>
      <c r="W40" s="1">
        <f>AVERAGE(W4:W39)</f>
        <v>0.5567837838043499</v>
      </c>
    </row>
    <row r="43" spans="2:33" x14ac:dyDescent="0.35">
      <c r="B43" s="1" t="s">
        <v>73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Unilateral</vt:lpstr>
      <vt:lpstr>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Kivimaki</dc:creator>
  <cp:lastModifiedBy>Timo Kivimaki</cp:lastModifiedBy>
  <dcterms:created xsi:type="dcterms:W3CDTF">2021-08-27T09:19:03Z</dcterms:created>
  <dcterms:modified xsi:type="dcterms:W3CDTF">2023-06-22T11:40:15Z</dcterms:modified>
</cp:coreProperties>
</file>