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mc-my.sharepoint.com/personal/far14_osumc_edu/Documents/RRP/"/>
    </mc:Choice>
  </mc:AlternateContent>
  <xr:revisionPtr revIDLastSave="381" documentId="8_{185E9CDD-CDB9-4D0A-8C27-D75C68311D7E}" xr6:coauthVersionLast="47" xr6:coauthVersionMax="47" xr10:uidLastSave="{C835D41C-9F9F-467C-B287-7F554EA0F048}"/>
  <bookViews>
    <workbookView xWindow="-120" yWindow="-120" windowWidth="29040" windowHeight="15840" firstSheet="1" activeTab="1" xr2:uid="{A748DE77-B361-44BB-A437-EF88036828ED}"/>
  </bookViews>
  <sheets>
    <sheet name="Injury Details" sheetId="1" r:id="rId1"/>
    <sheet name="Body Composition" sheetId="2" r:id="rId2"/>
    <sheet name="RMR" sheetId="3" r:id="rId3"/>
    <sheet name="VO2peak" sheetId="4" r:id="rId4"/>
    <sheet name="Diet" sheetId="7" r:id="rId5"/>
    <sheet name="Physical Activity" sheetId="8" r:id="rId6"/>
    <sheet name="Session RPE's" sheetId="12" r:id="rId7"/>
    <sheet name="Psychological " sheetId="11" r:id="rId8"/>
    <sheet name="Fasting Blood" sheetId="15" r:id="rId9"/>
    <sheet name="OGTT - Glucose (mmolL)" sheetId="17" r:id="rId10"/>
    <sheet name="OGTT - Insulin (pmolL)" sheetId="16" r:id="rId11"/>
  </sheets>
  <definedNames>
    <definedName name="_xlnm._FilterDatabase" localSheetId="0" hidden="1">'Injury Details'!$B$1:$B$31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2" l="1"/>
  <c r="G24" i="2"/>
  <c r="H24" i="2"/>
  <c r="I24" i="2"/>
  <c r="J24" i="2"/>
  <c r="L24" i="2"/>
  <c r="M24" i="2"/>
  <c r="N24" i="2"/>
  <c r="U24" i="2"/>
  <c r="X24" i="2"/>
  <c r="Y24" i="2"/>
  <c r="AA24" i="2"/>
  <c r="AB24" i="2"/>
  <c r="AC24" i="2"/>
  <c r="AD24" i="2"/>
  <c r="AE24" i="2"/>
  <c r="Y29" i="2"/>
  <c r="AA29" i="2"/>
  <c r="AE29" i="2"/>
  <c r="AC29" i="2"/>
  <c r="AB29" i="2"/>
  <c r="AF29" i="2"/>
  <c r="H29" i="2"/>
  <c r="L29" i="2"/>
  <c r="K29" i="2"/>
  <c r="J29" i="2"/>
  <c r="I29" i="2"/>
  <c r="N29" i="2"/>
  <c r="M29" i="2"/>
  <c r="AB28" i="2"/>
  <c r="AA28" i="2"/>
  <c r="Z28" i="2"/>
  <c r="Y28" i="2"/>
  <c r="AC28" i="2"/>
  <c r="AD28" i="2"/>
  <c r="AE28" i="2"/>
  <c r="L28" i="2"/>
  <c r="M28" i="2"/>
  <c r="N28" i="2"/>
  <c r="K28" i="2"/>
  <c r="J28" i="2"/>
  <c r="I28" i="2"/>
  <c r="H28" i="2"/>
  <c r="L29" i="11"/>
  <c r="X29" i="2" l="1"/>
  <c r="U29" i="2"/>
  <c r="L28" i="11"/>
  <c r="X28" i="2"/>
  <c r="U28" i="2"/>
  <c r="AF27" i="2"/>
  <c r="AE27" i="2"/>
  <c r="AD27" i="2"/>
  <c r="AC27" i="2"/>
  <c r="AB27" i="2"/>
  <c r="AA27" i="2"/>
  <c r="Z27" i="2"/>
  <c r="Y27" i="2"/>
  <c r="AF26" i="2"/>
  <c r="AE26" i="2"/>
  <c r="AD26" i="2"/>
  <c r="AC26" i="2"/>
  <c r="AA26" i="2"/>
  <c r="Z26" i="2"/>
  <c r="Y26" i="2"/>
  <c r="AE25" i="2"/>
  <c r="AC25" i="2"/>
  <c r="Y25" i="2"/>
  <c r="AA25" i="2"/>
  <c r="N27" i="2"/>
  <c r="M27" i="2"/>
  <c r="L27" i="2"/>
  <c r="K27" i="2"/>
  <c r="J27" i="2"/>
  <c r="I27" i="2"/>
  <c r="H27" i="2"/>
  <c r="J26" i="2"/>
  <c r="I26" i="2"/>
  <c r="H26" i="2"/>
  <c r="L26" i="2"/>
  <c r="M26" i="2"/>
  <c r="N26" i="2"/>
  <c r="J25" i="2"/>
  <c r="I25" i="2"/>
  <c r="H25" i="2"/>
  <c r="N25" i="2"/>
  <c r="M25" i="2"/>
  <c r="L25" i="2"/>
  <c r="L27" i="11"/>
  <c r="E29" i="11"/>
  <c r="E28" i="11"/>
  <c r="G28" i="2"/>
  <c r="D28" i="2"/>
  <c r="G29" i="2" l="1"/>
  <c r="D29" i="2"/>
  <c r="X27" i="2"/>
  <c r="U27" i="2"/>
  <c r="E27" i="11"/>
  <c r="G27" i="2"/>
  <c r="D27" i="2"/>
  <c r="L26" i="11"/>
  <c r="X26" i="2"/>
  <c r="U26" i="2"/>
  <c r="X25" i="2"/>
  <c r="U25" i="2"/>
  <c r="L25" i="11"/>
  <c r="E26" i="11"/>
  <c r="G26" i="2"/>
  <c r="D26" i="2"/>
  <c r="E25" i="11"/>
  <c r="G25" i="2"/>
  <c r="D25" i="2"/>
  <c r="L24" i="11"/>
  <c r="L23" i="11"/>
  <c r="X23" i="2"/>
  <c r="S23" i="2"/>
  <c r="U23" i="2" s="1"/>
  <c r="E24" i="11"/>
  <c r="L22" i="11"/>
  <c r="U22" i="2"/>
  <c r="X22" i="2"/>
  <c r="L20" i="11"/>
  <c r="X20" i="2"/>
  <c r="U20" i="2"/>
  <c r="E23" i="11"/>
  <c r="G23" i="2"/>
  <c r="D23" i="2"/>
  <c r="L21" i="11"/>
  <c r="X21" i="2"/>
  <c r="S21" i="2"/>
  <c r="L11" i="11"/>
  <c r="X11" i="2"/>
  <c r="S11" i="2"/>
  <c r="L15" i="11"/>
  <c r="X15" i="2"/>
  <c r="U15" i="2"/>
  <c r="U12" i="2"/>
  <c r="E22" i="11"/>
  <c r="G22" i="2"/>
  <c r="D22" i="2"/>
  <c r="L14" i="11"/>
  <c r="X14" i="2"/>
  <c r="U14" i="2"/>
  <c r="L16" i="11"/>
  <c r="X16" i="2"/>
  <c r="U16" i="2"/>
  <c r="L19" i="11"/>
  <c r="X19" i="2"/>
  <c r="U19" i="2"/>
  <c r="E11" i="11"/>
  <c r="G11" i="2"/>
  <c r="D11" i="2"/>
  <c r="E20" i="11"/>
  <c r="G20" i="2"/>
  <c r="D20" i="2"/>
  <c r="L18" i="11"/>
  <c r="U18" i="2"/>
  <c r="X18" i="2"/>
  <c r="E21" i="11"/>
  <c r="G21" i="2"/>
  <c r="D21" i="2"/>
  <c r="L17" i="11"/>
  <c r="X17" i="2"/>
  <c r="U17" i="2"/>
  <c r="L12" i="11"/>
  <c r="X12" i="2"/>
  <c r="E15" i="11"/>
  <c r="G15" i="2"/>
  <c r="D15" i="2"/>
  <c r="L13" i="11"/>
  <c r="X13" i="2"/>
  <c r="U13" i="2"/>
  <c r="L10" i="11"/>
  <c r="X10" i="2"/>
  <c r="U10" i="2"/>
  <c r="L9" i="11"/>
  <c r="X9" i="2"/>
  <c r="U9" i="2"/>
  <c r="E14" i="11"/>
  <c r="G14" i="2"/>
  <c r="D14" i="2"/>
  <c r="E16" i="11"/>
  <c r="G16" i="2"/>
  <c r="D16" i="2"/>
  <c r="E19" i="11"/>
  <c r="D19" i="2"/>
  <c r="G19" i="2"/>
  <c r="L7" i="11"/>
  <c r="U7" i="2"/>
  <c r="X7" i="2"/>
  <c r="E18" i="11"/>
  <c r="D18" i="2"/>
  <c r="G18" i="2"/>
  <c r="L8" i="11"/>
  <c r="X8" i="2"/>
  <c r="U8" i="2"/>
  <c r="D17" i="11"/>
  <c r="E17" i="11"/>
  <c r="G17" i="2"/>
  <c r="D17" i="2"/>
  <c r="E13" i="11"/>
  <c r="G13" i="2"/>
  <c r="D13" i="2"/>
  <c r="E12" i="11"/>
  <c r="G12" i="2"/>
  <c r="D12" i="2"/>
  <c r="E10" i="11"/>
  <c r="D10" i="11"/>
  <c r="D10" i="2"/>
  <c r="G10" i="2"/>
  <c r="L6" i="11"/>
  <c r="X6" i="2"/>
  <c r="U6" i="2"/>
  <c r="E9" i="11"/>
  <c r="B9" i="11"/>
  <c r="D9" i="2"/>
  <c r="G9" i="2"/>
  <c r="U5" i="2"/>
  <c r="X5" i="2"/>
  <c r="L5" i="11"/>
  <c r="L4" i="11"/>
  <c r="U4" i="2"/>
  <c r="X4" i="2"/>
  <c r="L3" i="11"/>
  <c r="X3" i="2"/>
  <c r="U3" i="2"/>
  <c r="E7" i="11"/>
  <c r="G7" i="2"/>
  <c r="D7" i="2"/>
  <c r="E4" i="11"/>
  <c r="E5" i="11"/>
  <c r="E8" i="11"/>
  <c r="E3" i="11"/>
  <c r="E6" i="11"/>
  <c r="F4" i="2"/>
  <c r="E4" i="2"/>
  <c r="G5" i="2"/>
  <c r="G6" i="2"/>
  <c r="G8" i="2"/>
  <c r="D5" i="2"/>
  <c r="D6" i="2"/>
  <c r="D8" i="2"/>
  <c r="B4" i="2"/>
  <c r="F3" i="2"/>
  <c r="E3" i="2"/>
  <c r="B3" i="2"/>
  <c r="U11" i="2" l="1"/>
  <c r="D3" i="2"/>
  <c r="D4" i="2"/>
  <c r="G3" i="2"/>
  <c r="U21" i="2"/>
  <c r="G4" i="2"/>
</calcChain>
</file>

<file path=xl/sharedStrings.xml><?xml version="1.0" encoding="utf-8"?>
<sst xmlns="http://schemas.openxmlformats.org/spreadsheetml/2006/main" count="578" uniqueCount="143">
  <si>
    <t>Code</t>
  </si>
  <si>
    <t>Sex</t>
  </si>
  <si>
    <t>Age</t>
  </si>
  <si>
    <t>LOI</t>
  </si>
  <si>
    <t>TSI (yrs)</t>
  </si>
  <si>
    <t xml:space="preserve">ASIA </t>
  </si>
  <si>
    <t>HOMEX-HIIT-01</t>
  </si>
  <si>
    <t>HOMEX-HIIT-02</t>
  </si>
  <si>
    <t>HOMEX-HIIT-03</t>
  </si>
  <si>
    <t>HOMEX-HIIT-04</t>
  </si>
  <si>
    <t>HOMEX-HIIT-05</t>
  </si>
  <si>
    <t>HOMEX-HIIT-06</t>
  </si>
  <si>
    <t>M</t>
  </si>
  <si>
    <t>F</t>
  </si>
  <si>
    <t>T4</t>
  </si>
  <si>
    <t>A</t>
  </si>
  <si>
    <t>Length (m)</t>
  </si>
  <si>
    <t>Waist (cm)</t>
  </si>
  <si>
    <t>Hip (cm)</t>
  </si>
  <si>
    <t>RMR (kcal/day)</t>
  </si>
  <si>
    <t>Resting HR (bpm)</t>
  </si>
  <si>
    <t>SBP (mmHg)</t>
  </si>
  <si>
    <t>DBP (mmHg)</t>
  </si>
  <si>
    <t>Group</t>
  </si>
  <si>
    <t>CON</t>
  </si>
  <si>
    <t>B</t>
  </si>
  <si>
    <t>PPO (W)</t>
  </si>
  <si>
    <t>VO2peak (ml/kg/min)</t>
  </si>
  <si>
    <t>VO2peak (L/min)</t>
  </si>
  <si>
    <t>T12</t>
  </si>
  <si>
    <t>Medications</t>
  </si>
  <si>
    <t>BMI</t>
  </si>
  <si>
    <t>Waist: Hip</t>
  </si>
  <si>
    <t>Baclofen, Oxybutinyn, Citalopram</t>
  </si>
  <si>
    <t>Body Mass (kg)</t>
  </si>
  <si>
    <t>Post</t>
  </si>
  <si>
    <t>Oxybutinyn, Tridethoprim, Vit D, B12, Tumeric, Sage</t>
  </si>
  <si>
    <t>Peak HR (bpm)</t>
  </si>
  <si>
    <t>HIIT</t>
  </si>
  <si>
    <t>T11/12</t>
  </si>
  <si>
    <t>Fluoexetine</t>
  </si>
  <si>
    <t>EI (kcal/day)</t>
  </si>
  <si>
    <t>Protein (g/day)</t>
  </si>
  <si>
    <t>CHO (g/day)</t>
  </si>
  <si>
    <t>Fat (g/day)</t>
  </si>
  <si>
    <t>Alcohol (g/day)</t>
  </si>
  <si>
    <t>Sedentary (min/day)</t>
  </si>
  <si>
    <t>Light (min/day)</t>
  </si>
  <si>
    <t>Moderate (min/day)</t>
  </si>
  <si>
    <t>Vigorous (min/day)</t>
  </si>
  <si>
    <t>Diazipan</t>
  </si>
  <si>
    <t>T10</t>
  </si>
  <si>
    <t>CBD Oil, Oxybutinyn, Presabalin, Magnesium Glycinate, Amilophyline</t>
  </si>
  <si>
    <t>ESES</t>
  </si>
  <si>
    <t xml:space="preserve">SCIM-III </t>
  </si>
  <si>
    <t>WUSPI</t>
  </si>
  <si>
    <t>FSS</t>
  </si>
  <si>
    <t>Gobal Fatigue</t>
  </si>
  <si>
    <t>PCS (Raw)</t>
  </si>
  <si>
    <t>MCS (Raw)</t>
  </si>
  <si>
    <t>SCIM-III</t>
  </si>
  <si>
    <t>None</t>
  </si>
  <si>
    <t>T5</t>
  </si>
  <si>
    <t>HOMEX-HIIT-07</t>
  </si>
  <si>
    <t>HOMEX-HIIT-08</t>
  </si>
  <si>
    <t>Missed</t>
  </si>
  <si>
    <t>T10-T12</t>
  </si>
  <si>
    <t>Gabapentin, Co-codamal, Trospium, Sofifenacin, Ceretta</t>
  </si>
  <si>
    <t>T6/7</t>
  </si>
  <si>
    <t>Multivitamins</t>
  </si>
  <si>
    <t>HOMEX-HIIT-10</t>
  </si>
  <si>
    <t>HOMEX-HIIT-11</t>
  </si>
  <si>
    <t>Sertraline, Oxybutinyn</t>
  </si>
  <si>
    <t>HOMEX-HIIT-12</t>
  </si>
  <si>
    <t>L2</t>
  </si>
  <si>
    <t>Oxybutinyn</t>
  </si>
  <si>
    <t>HOMEX-HIIT-13</t>
  </si>
  <si>
    <t>HOMEX-HIIT-14</t>
  </si>
  <si>
    <t>HOMEX-HIIT-15</t>
  </si>
  <si>
    <t>HOMEX-HIIT-16</t>
  </si>
  <si>
    <t>T4/5</t>
  </si>
  <si>
    <t>HOMEX-HIIT-17</t>
  </si>
  <si>
    <t>T8</t>
  </si>
  <si>
    <t>Oxybutinin, Mirabegron</t>
  </si>
  <si>
    <t>HOMEX-HIIT-18</t>
  </si>
  <si>
    <t>HOMEX-HIIT-19</t>
  </si>
  <si>
    <t>T3</t>
  </si>
  <si>
    <t>Oxybutnin</t>
  </si>
  <si>
    <t>Oxybutiyn, Glucosameno, Vit D</t>
  </si>
  <si>
    <t>Oxybutiyn</t>
  </si>
  <si>
    <t>HOMEX-HIIT-21</t>
  </si>
  <si>
    <t>T6</t>
  </si>
  <si>
    <t>Vit C, Hiprex, Mirabegron, Touiaz, Probiotics</t>
  </si>
  <si>
    <t>Duloxtine, Vit C, Zinc, Hiparex</t>
  </si>
  <si>
    <t>Gentamyocin</t>
  </si>
  <si>
    <t>HOMEX-HIIT-22</t>
  </si>
  <si>
    <t>L1/2</t>
  </si>
  <si>
    <t>Sulifcacine</t>
  </si>
  <si>
    <t>HOMEX-HIIT-25</t>
  </si>
  <si>
    <t xml:space="preserve">L1  </t>
  </si>
  <si>
    <t>Oxybutyin, Ramybill, Amytrypteline, Senna</t>
  </si>
  <si>
    <t>HOMEX-HIIT-27</t>
  </si>
  <si>
    <t>T7</t>
  </si>
  <si>
    <t>Vit C, D-Mannose</t>
  </si>
  <si>
    <t>C</t>
  </si>
  <si>
    <t>HOMEX-HIIT-28</t>
  </si>
  <si>
    <t>Candesartan, HRT, Vit D and Vit C</t>
  </si>
  <si>
    <t>HOMEX-HIIT-29</t>
  </si>
  <si>
    <t>T9</t>
  </si>
  <si>
    <t>HRT (Estrodril), Vit C, D, B6</t>
  </si>
  <si>
    <t>HOMEX-HIIT-30</t>
  </si>
  <si>
    <t>HOMEX-HIIT-31</t>
  </si>
  <si>
    <t>HOMEX-HIIT-32</t>
  </si>
  <si>
    <t xml:space="preserve">T11 </t>
  </si>
  <si>
    <t>Baclofen, Diazapan, Apixabhan, Solfencin, Amytripalin</t>
  </si>
  <si>
    <t>Lean Mass (ARM) (kg)</t>
  </si>
  <si>
    <t>Lean Mass (TRUNK) (kg)</t>
  </si>
  <si>
    <t>Lean Mass (LEGS) (kg)</t>
  </si>
  <si>
    <t>Lean Mass (TOTAL) (kg)</t>
  </si>
  <si>
    <t>Fat Mass (ARM) (kg)</t>
  </si>
  <si>
    <t>Fat Mass (TRUNK) (kg)</t>
  </si>
  <si>
    <t>Fat Mass (LEGS) (kg)</t>
  </si>
  <si>
    <t>Fat Mass (TOTAL) (kg)</t>
  </si>
  <si>
    <t>BF%</t>
  </si>
  <si>
    <t>Android FM (kg)</t>
  </si>
  <si>
    <t>Gynoid FM (kg)</t>
  </si>
  <si>
    <t>PAEE</t>
  </si>
  <si>
    <t>Baseline</t>
  </si>
  <si>
    <t>Follow-Up</t>
  </si>
  <si>
    <t>TC:HDL</t>
  </si>
  <si>
    <t>HOMA2-IR</t>
  </si>
  <si>
    <t>Glucose (mmol/L)</t>
  </si>
  <si>
    <t>TG (mmol/L)</t>
  </si>
  <si>
    <t>TC (mmol/L)</t>
  </si>
  <si>
    <t>HDL-C (mmol/L)</t>
  </si>
  <si>
    <t>LDL-C (mmol/L)</t>
  </si>
  <si>
    <t>NEFA (mmol/L)</t>
  </si>
  <si>
    <t>CRP (mmol/L)</t>
  </si>
  <si>
    <t>Leptin (µg/L)</t>
  </si>
  <si>
    <t>Adiponectin (µg/L)</t>
  </si>
  <si>
    <t>Lymphocytes (n^10/L)</t>
  </si>
  <si>
    <t>Neutrophils (n^10/L)</t>
  </si>
  <si>
    <t>Insulin (pmol/L)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</si>
</sst>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/>
    <xf numFmtId="1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0" borderId="0" xfId="0" applyNumberFormat="1"/>
    <xf numFmtId="1" fontId="5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6">
    <cellStyle name="Normal" xfId="0" builtinId="0"/>
    <cellStyle name="Normal 2" xfId="2" xr:uid="{3436832F-0F7A-49BA-A6E1-F35AAD2B561D}"/>
    <cellStyle name="Normal 3" xfId="3" xr:uid="{FF423FEE-FCE0-4B2A-A145-6ACE6E42816C}"/>
    <cellStyle name="Normal 4" xfId="1" xr:uid="{7190F522-6BC4-4385-A6F5-3F9E987B88B7}"/>
    <cellStyle name="Percent 2" xfId="5" xr:uid="{76C2F51B-6EE2-4BED-B927-C2226CD8F4E4}"/>
    <cellStyle name="Percent 3" xfId="4" xr:uid="{CC9D1F71-4B6F-4337-8FB9-367E4F5F5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1C92-C020-4F00-ABBE-31E18DA178A0}">
  <dimension ref="A1:H28"/>
  <sheetViews>
    <sheetView zoomScaleNormal="100" workbookViewId="0">
      <selection activeCell="K21" sqref="K21"/>
    </sheetView>
  </sheetViews>
  <sheetFormatPr defaultRowHeight="15" x14ac:dyDescent="0.25"/>
  <cols>
    <col min="1" max="1" width="14.5703125" bestFit="1" customWidth="1"/>
    <col min="2" max="2" width="14.5703125" customWidth="1"/>
    <col min="8" max="8" width="64" bestFit="1" customWidth="1"/>
  </cols>
  <sheetData>
    <row r="1" spans="1:8" x14ac:dyDescent="0.25">
      <c r="A1" s="1" t="s">
        <v>0</v>
      </c>
      <c r="B1" s="1" t="s">
        <v>23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30</v>
      </c>
    </row>
    <row r="2" spans="1:8" x14ac:dyDescent="0.25">
      <c r="A2" s="15" t="s">
        <v>6</v>
      </c>
      <c r="B2" s="15" t="s">
        <v>38</v>
      </c>
      <c r="C2" s="15" t="s">
        <v>12</v>
      </c>
      <c r="D2" s="15">
        <v>49</v>
      </c>
      <c r="E2" s="15" t="s">
        <v>14</v>
      </c>
      <c r="F2" s="15">
        <v>23</v>
      </c>
      <c r="G2" s="15" t="s">
        <v>15</v>
      </c>
      <c r="H2" s="15" t="s">
        <v>33</v>
      </c>
    </row>
    <row r="3" spans="1:8" x14ac:dyDescent="0.25">
      <c r="A3" s="15" t="s">
        <v>7</v>
      </c>
      <c r="B3" s="15" t="s">
        <v>24</v>
      </c>
      <c r="C3" s="15" t="s">
        <v>13</v>
      </c>
      <c r="D3" s="15">
        <v>54</v>
      </c>
      <c r="E3" s="15" t="s">
        <v>29</v>
      </c>
      <c r="F3" s="15">
        <v>4</v>
      </c>
      <c r="G3" s="15" t="s">
        <v>25</v>
      </c>
      <c r="H3" s="15" t="s">
        <v>36</v>
      </c>
    </row>
    <row r="4" spans="1:8" x14ac:dyDescent="0.25">
      <c r="A4" s="15" t="s">
        <v>8</v>
      </c>
      <c r="B4" s="15" t="s">
        <v>38</v>
      </c>
      <c r="C4" s="15" t="s">
        <v>13</v>
      </c>
      <c r="D4" s="15">
        <v>35</v>
      </c>
      <c r="E4" s="15" t="s">
        <v>39</v>
      </c>
      <c r="F4" s="15">
        <v>10</v>
      </c>
      <c r="G4" s="15" t="s">
        <v>25</v>
      </c>
      <c r="H4" s="15" t="s">
        <v>40</v>
      </c>
    </row>
    <row r="5" spans="1:8" x14ac:dyDescent="0.25">
      <c r="A5" s="15" t="s">
        <v>9</v>
      </c>
      <c r="B5" s="15" t="s">
        <v>38</v>
      </c>
      <c r="C5" s="15" t="s">
        <v>12</v>
      </c>
      <c r="D5" s="15">
        <v>58</v>
      </c>
      <c r="E5" s="15" t="s">
        <v>14</v>
      </c>
      <c r="F5" s="15">
        <v>39</v>
      </c>
      <c r="G5" s="15" t="s">
        <v>15</v>
      </c>
      <c r="H5" s="15" t="s">
        <v>50</v>
      </c>
    </row>
    <row r="6" spans="1:8" x14ac:dyDescent="0.25">
      <c r="A6" s="15" t="s">
        <v>10</v>
      </c>
      <c r="B6" s="15" t="s">
        <v>38</v>
      </c>
      <c r="C6" s="15" t="s">
        <v>13</v>
      </c>
      <c r="D6" s="15">
        <v>26</v>
      </c>
      <c r="E6" s="15" t="s">
        <v>29</v>
      </c>
      <c r="F6" s="15">
        <v>10</v>
      </c>
      <c r="G6" s="15" t="s">
        <v>15</v>
      </c>
      <c r="H6" s="15" t="s">
        <v>61</v>
      </c>
    </row>
    <row r="7" spans="1:8" x14ac:dyDescent="0.25">
      <c r="A7" s="15" t="s">
        <v>11</v>
      </c>
      <c r="B7" s="15" t="s">
        <v>38</v>
      </c>
      <c r="C7" s="15" t="s">
        <v>13</v>
      </c>
      <c r="D7" s="15">
        <v>42</v>
      </c>
      <c r="E7" s="15" t="s">
        <v>51</v>
      </c>
      <c r="F7" s="15">
        <v>10</v>
      </c>
      <c r="G7" s="15" t="s">
        <v>15</v>
      </c>
      <c r="H7" s="15" t="s">
        <v>52</v>
      </c>
    </row>
    <row r="8" spans="1:8" x14ac:dyDescent="0.25">
      <c r="A8" s="15" t="s">
        <v>63</v>
      </c>
      <c r="B8" s="16" t="s">
        <v>24</v>
      </c>
      <c r="C8" s="15" t="s">
        <v>13</v>
      </c>
      <c r="D8" s="15">
        <v>36</v>
      </c>
      <c r="E8" s="15" t="s">
        <v>66</v>
      </c>
      <c r="F8" s="15">
        <v>4</v>
      </c>
      <c r="G8" s="15" t="s">
        <v>15</v>
      </c>
      <c r="H8" s="15" t="s">
        <v>67</v>
      </c>
    </row>
    <row r="9" spans="1:8" x14ac:dyDescent="0.25">
      <c r="A9" s="15" t="s">
        <v>64</v>
      </c>
      <c r="B9" s="15" t="s">
        <v>24</v>
      </c>
      <c r="C9" s="15" t="s">
        <v>13</v>
      </c>
      <c r="D9" s="15">
        <v>39</v>
      </c>
      <c r="E9" s="15" t="s">
        <v>68</v>
      </c>
      <c r="F9" s="15">
        <v>28</v>
      </c>
      <c r="G9" s="15" t="s">
        <v>25</v>
      </c>
      <c r="H9" s="15" t="s">
        <v>69</v>
      </c>
    </row>
    <row r="10" spans="1:8" x14ac:dyDescent="0.25">
      <c r="A10" s="15" t="s">
        <v>70</v>
      </c>
      <c r="B10" s="15" t="s">
        <v>38</v>
      </c>
      <c r="C10" s="15" t="s">
        <v>12</v>
      </c>
      <c r="D10" s="15">
        <v>42</v>
      </c>
      <c r="E10" s="15" t="s">
        <v>91</v>
      </c>
      <c r="F10" s="15">
        <v>10</v>
      </c>
      <c r="G10" s="15" t="s">
        <v>15</v>
      </c>
      <c r="H10" s="15" t="s">
        <v>94</v>
      </c>
    </row>
    <row r="11" spans="1:8" x14ac:dyDescent="0.25">
      <c r="A11" s="15" t="s">
        <v>71</v>
      </c>
      <c r="B11" s="15" t="s">
        <v>24</v>
      </c>
      <c r="C11" s="15" t="s">
        <v>12</v>
      </c>
      <c r="D11" s="15">
        <v>41</v>
      </c>
      <c r="E11" s="15" t="s">
        <v>51</v>
      </c>
      <c r="F11" s="15">
        <v>2</v>
      </c>
      <c r="G11" s="15" t="s">
        <v>15</v>
      </c>
      <c r="H11" s="15" t="s">
        <v>72</v>
      </c>
    </row>
    <row r="12" spans="1:8" x14ac:dyDescent="0.25">
      <c r="A12" s="15" t="s">
        <v>73</v>
      </c>
      <c r="B12" s="15" t="s">
        <v>38</v>
      </c>
      <c r="C12" s="15" t="s">
        <v>12</v>
      </c>
      <c r="D12" s="15">
        <v>33</v>
      </c>
      <c r="E12" s="15" t="s">
        <v>74</v>
      </c>
      <c r="F12" s="15">
        <v>5</v>
      </c>
      <c r="G12" s="15" t="s">
        <v>25</v>
      </c>
      <c r="H12" s="15" t="s">
        <v>75</v>
      </c>
    </row>
    <row r="13" spans="1:8" x14ac:dyDescent="0.25">
      <c r="A13" s="15" t="s">
        <v>76</v>
      </c>
      <c r="B13" s="15" t="s">
        <v>38</v>
      </c>
      <c r="C13" s="15" t="s">
        <v>13</v>
      </c>
      <c r="D13" s="15">
        <v>44</v>
      </c>
      <c r="E13" s="15" t="s">
        <v>39</v>
      </c>
      <c r="F13" s="15">
        <v>12</v>
      </c>
      <c r="G13" s="15" t="s">
        <v>15</v>
      </c>
      <c r="H13" s="15" t="s">
        <v>88</v>
      </c>
    </row>
    <row r="14" spans="1:8" x14ac:dyDescent="0.25">
      <c r="A14" s="15" t="s">
        <v>77</v>
      </c>
      <c r="B14" s="15" t="s">
        <v>38</v>
      </c>
      <c r="C14" s="15" t="s">
        <v>12</v>
      </c>
      <c r="D14" s="15">
        <v>49</v>
      </c>
      <c r="E14" s="15" t="s">
        <v>68</v>
      </c>
      <c r="F14" s="15">
        <v>10</v>
      </c>
      <c r="G14" s="15" t="s">
        <v>15</v>
      </c>
      <c r="H14" s="15" t="s">
        <v>89</v>
      </c>
    </row>
    <row r="15" spans="1:8" x14ac:dyDescent="0.25">
      <c r="A15" s="15" t="s">
        <v>78</v>
      </c>
      <c r="B15" s="15" t="s">
        <v>38</v>
      </c>
      <c r="C15" s="15" t="s">
        <v>13</v>
      </c>
      <c r="D15" s="15">
        <v>39</v>
      </c>
      <c r="E15" s="15" t="s">
        <v>86</v>
      </c>
      <c r="F15" s="15">
        <v>8</v>
      </c>
      <c r="G15" s="15" t="s">
        <v>15</v>
      </c>
      <c r="H15" s="15" t="s">
        <v>61</v>
      </c>
    </row>
    <row r="16" spans="1:8" x14ac:dyDescent="0.25">
      <c r="A16" s="15" t="s">
        <v>79</v>
      </c>
      <c r="B16" s="15" t="s">
        <v>24</v>
      </c>
      <c r="C16" s="15" t="s">
        <v>12</v>
      </c>
      <c r="D16" s="15">
        <v>57</v>
      </c>
      <c r="E16" s="15" t="s">
        <v>80</v>
      </c>
      <c r="F16" s="15">
        <v>28</v>
      </c>
      <c r="G16" s="15" t="s">
        <v>15</v>
      </c>
      <c r="H16" s="15" t="s">
        <v>61</v>
      </c>
    </row>
    <row r="17" spans="1:8" x14ac:dyDescent="0.25">
      <c r="A17" s="15" t="s">
        <v>81</v>
      </c>
      <c r="B17" s="15" t="s">
        <v>38</v>
      </c>
      <c r="C17" s="15" t="s">
        <v>13</v>
      </c>
      <c r="D17" s="15">
        <v>38</v>
      </c>
      <c r="E17" s="15" t="s">
        <v>82</v>
      </c>
      <c r="F17" s="15">
        <v>10</v>
      </c>
      <c r="G17" s="15" t="s">
        <v>15</v>
      </c>
      <c r="H17" s="15" t="s">
        <v>83</v>
      </c>
    </row>
    <row r="18" spans="1:8" x14ac:dyDescent="0.25">
      <c r="A18" s="15" t="s">
        <v>84</v>
      </c>
      <c r="B18" s="15" t="s">
        <v>38</v>
      </c>
      <c r="C18" s="15" t="s">
        <v>12</v>
      </c>
      <c r="D18" s="15">
        <v>55</v>
      </c>
      <c r="E18" s="15" t="s">
        <v>86</v>
      </c>
      <c r="F18" s="15">
        <v>25</v>
      </c>
      <c r="G18" s="15" t="s">
        <v>15</v>
      </c>
      <c r="H18" s="15" t="s">
        <v>87</v>
      </c>
    </row>
    <row r="19" spans="1:8" x14ac:dyDescent="0.25">
      <c r="A19" s="15" t="s">
        <v>85</v>
      </c>
      <c r="B19" s="15" t="s">
        <v>24</v>
      </c>
      <c r="C19" s="15" t="s">
        <v>12</v>
      </c>
      <c r="D19" s="15">
        <v>45</v>
      </c>
      <c r="E19" s="15" t="s">
        <v>29</v>
      </c>
      <c r="F19" s="15">
        <v>5</v>
      </c>
      <c r="G19" s="15" t="s">
        <v>15</v>
      </c>
      <c r="H19" s="15" t="s">
        <v>93</v>
      </c>
    </row>
    <row r="20" spans="1:8" x14ac:dyDescent="0.25">
      <c r="A20" s="15" t="s">
        <v>90</v>
      </c>
      <c r="B20" s="15" t="s">
        <v>24</v>
      </c>
      <c r="C20" s="15" t="s">
        <v>13</v>
      </c>
      <c r="D20" s="15">
        <v>42</v>
      </c>
      <c r="E20" s="15" t="s">
        <v>91</v>
      </c>
      <c r="F20" s="15">
        <v>6</v>
      </c>
      <c r="G20" s="15" t="s">
        <v>15</v>
      </c>
      <c r="H20" s="15" t="s">
        <v>92</v>
      </c>
    </row>
    <row r="21" spans="1:8" x14ac:dyDescent="0.25">
      <c r="A21" s="15" t="s">
        <v>95</v>
      </c>
      <c r="B21" s="15" t="s">
        <v>38</v>
      </c>
      <c r="C21" s="15" t="s">
        <v>13</v>
      </c>
      <c r="D21" s="15">
        <v>49</v>
      </c>
      <c r="E21" s="15" t="s">
        <v>96</v>
      </c>
      <c r="F21" s="15">
        <v>33</v>
      </c>
      <c r="G21" s="15" t="s">
        <v>25</v>
      </c>
      <c r="H21" s="15" t="s">
        <v>97</v>
      </c>
    </row>
    <row r="22" spans="1:8" x14ac:dyDescent="0.25">
      <c r="A22" s="15" t="s">
        <v>98</v>
      </c>
      <c r="B22" s="15" t="s">
        <v>38</v>
      </c>
      <c r="C22" s="15" t="s">
        <v>12</v>
      </c>
      <c r="D22" s="15">
        <v>58</v>
      </c>
      <c r="E22" s="15" t="s">
        <v>99</v>
      </c>
      <c r="F22" s="15">
        <v>15</v>
      </c>
      <c r="G22" s="15" t="s">
        <v>15</v>
      </c>
      <c r="H22" s="15" t="s">
        <v>100</v>
      </c>
    </row>
    <row r="23" spans="1:8" x14ac:dyDescent="0.25">
      <c r="A23" s="15" t="s">
        <v>101</v>
      </c>
      <c r="B23" s="15" t="s">
        <v>24</v>
      </c>
      <c r="C23" s="15" t="s">
        <v>12</v>
      </c>
      <c r="D23" s="15">
        <v>42</v>
      </c>
      <c r="E23" s="15" t="s">
        <v>102</v>
      </c>
      <c r="F23" s="15">
        <v>2</v>
      </c>
      <c r="G23" s="15" t="s">
        <v>15</v>
      </c>
      <c r="H23" s="15" t="s">
        <v>103</v>
      </c>
    </row>
    <row r="24" spans="1:8" x14ac:dyDescent="0.25">
      <c r="A24" s="15" t="s">
        <v>105</v>
      </c>
      <c r="B24" s="15" t="s">
        <v>24</v>
      </c>
      <c r="C24" s="15" t="s">
        <v>13</v>
      </c>
      <c r="D24" s="15">
        <v>53</v>
      </c>
      <c r="E24" s="15" t="s">
        <v>29</v>
      </c>
      <c r="F24" s="15">
        <v>26</v>
      </c>
      <c r="G24" s="15" t="s">
        <v>15</v>
      </c>
      <c r="H24" s="15" t="s">
        <v>106</v>
      </c>
    </row>
    <row r="25" spans="1:8" x14ac:dyDescent="0.25">
      <c r="A25" s="15" t="s">
        <v>107</v>
      </c>
      <c r="B25" s="15" t="s">
        <v>38</v>
      </c>
      <c r="C25" s="15" t="s">
        <v>13</v>
      </c>
      <c r="D25" s="15">
        <v>57</v>
      </c>
      <c r="E25" s="15" t="s">
        <v>108</v>
      </c>
      <c r="F25" s="15">
        <v>17</v>
      </c>
      <c r="G25" s="15" t="s">
        <v>15</v>
      </c>
      <c r="H25" s="15" t="s">
        <v>109</v>
      </c>
    </row>
    <row r="26" spans="1:8" x14ac:dyDescent="0.25">
      <c r="A26" s="15" t="s">
        <v>110</v>
      </c>
      <c r="B26" s="15" t="s">
        <v>38</v>
      </c>
      <c r="C26" s="15" t="s">
        <v>12</v>
      </c>
      <c r="D26" s="15">
        <v>52</v>
      </c>
      <c r="E26" s="15" t="s">
        <v>62</v>
      </c>
      <c r="F26" s="15">
        <v>22</v>
      </c>
      <c r="G26" s="15" t="s">
        <v>15</v>
      </c>
      <c r="H26" s="15" t="s">
        <v>61</v>
      </c>
    </row>
    <row r="27" spans="1:8" x14ac:dyDescent="0.25">
      <c r="A27" s="15" t="s">
        <v>111</v>
      </c>
      <c r="B27" s="15" t="s">
        <v>38</v>
      </c>
      <c r="C27" s="15" t="s">
        <v>13</v>
      </c>
      <c r="D27" s="15">
        <v>54</v>
      </c>
      <c r="E27" s="15" t="s">
        <v>62</v>
      </c>
      <c r="F27" s="15">
        <v>38</v>
      </c>
      <c r="G27" s="15" t="s">
        <v>15</v>
      </c>
      <c r="H27" s="15" t="s">
        <v>61</v>
      </c>
    </row>
    <row r="28" spans="1:8" x14ac:dyDescent="0.25">
      <c r="A28" s="15" t="s">
        <v>112</v>
      </c>
      <c r="B28" s="15" t="s">
        <v>38</v>
      </c>
      <c r="C28" s="15" t="s">
        <v>12</v>
      </c>
      <c r="D28" s="15">
        <v>52</v>
      </c>
      <c r="E28" s="15" t="s">
        <v>113</v>
      </c>
      <c r="F28" s="15">
        <v>1</v>
      </c>
      <c r="G28" s="15" t="s">
        <v>104</v>
      </c>
      <c r="H28" s="15" t="s">
        <v>114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9A11-E1C4-4B16-8F7D-134E383ED31E}">
  <dimension ref="A1:S29"/>
  <sheetViews>
    <sheetView workbookViewId="0">
      <selection activeCell="X25" sqref="X25"/>
    </sheetView>
  </sheetViews>
  <sheetFormatPr defaultRowHeight="15" x14ac:dyDescent="0.25"/>
  <cols>
    <col min="1" max="1" width="15.7109375" bestFit="1" customWidth="1"/>
    <col min="11" max="11" width="9.140625" style="22"/>
  </cols>
  <sheetData>
    <row r="1" spans="1:19" x14ac:dyDescent="0.25">
      <c r="B1" s="40" t="s">
        <v>127</v>
      </c>
      <c r="C1" s="40"/>
      <c r="D1" s="40"/>
      <c r="E1" s="40"/>
      <c r="F1" s="40"/>
      <c r="G1" s="40"/>
      <c r="H1" s="40"/>
      <c r="I1" s="40"/>
      <c r="J1" s="40"/>
      <c r="K1" s="41" t="s">
        <v>128</v>
      </c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3" t="s">
        <v>0</v>
      </c>
      <c r="B2" s="3">
        <v>0</v>
      </c>
      <c r="C2" s="3">
        <v>15</v>
      </c>
      <c r="D2" s="3">
        <v>30</v>
      </c>
      <c r="E2" s="3">
        <v>45</v>
      </c>
      <c r="F2" s="3">
        <v>60</v>
      </c>
      <c r="G2" s="3">
        <v>75</v>
      </c>
      <c r="H2" s="3">
        <v>90</v>
      </c>
      <c r="I2" s="3">
        <v>105</v>
      </c>
      <c r="J2" s="3">
        <v>120</v>
      </c>
      <c r="K2" s="19">
        <v>0</v>
      </c>
      <c r="L2" s="3">
        <v>15</v>
      </c>
      <c r="M2" s="3">
        <v>30</v>
      </c>
      <c r="N2" s="3">
        <v>45</v>
      </c>
      <c r="O2" s="3">
        <v>60</v>
      </c>
      <c r="P2" s="3">
        <v>75</v>
      </c>
      <c r="Q2" s="3">
        <v>90</v>
      </c>
      <c r="R2" s="3">
        <v>105</v>
      </c>
      <c r="S2" s="3">
        <v>120</v>
      </c>
    </row>
    <row r="3" spans="1:19" x14ac:dyDescent="0.25">
      <c r="A3" s="34" t="s">
        <v>6</v>
      </c>
      <c r="B3" s="6">
        <v>6.11</v>
      </c>
      <c r="C3" s="6">
        <v>9.49</v>
      </c>
      <c r="D3" s="6">
        <v>11.04</v>
      </c>
      <c r="E3" s="6">
        <v>13.1</v>
      </c>
      <c r="F3" s="6">
        <v>11.92</v>
      </c>
      <c r="G3" s="6">
        <v>10.71</v>
      </c>
      <c r="H3" s="6">
        <v>10.52</v>
      </c>
      <c r="I3" s="6">
        <v>10.51</v>
      </c>
      <c r="J3" s="6">
        <v>11.03</v>
      </c>
      <c r="K3" s="21">
        <v>7.52</v>
      </c>
      <c r="L3" s="2">
        <v>11.02</v>
      </c>
      <c r="M3" s="2">
        <v>16.03</v>
      </c>
      <c r="N3" s="2">
        <v>16.41</v>
      </c>
      <c r="O3" s="2">
        <v>6.04</v>
      </c>
      <c r="P3" s="2">
        <v>15.77</v>
      </c>
      <c r="Q3" s="2">
        <v>15.43</v>
      </c>
      <c r="R3" s="2">
        <v>15.47</v>
      </c>
      <c r="S3" s="2">
        <v>15.27</v>
      </c>
    </row>
    <row r="4" spans="1:19" x14ac:dyDescent="0.25">
      <c r="A4" s="34" t="s">
        <v>7</v>
      </c>
      <c r="B4" s="43">
        <v>2.81</v>
      </c>
      <c r="C4" s="6">
        <v>6.07</v>
      </c>
      <c r="D4" s="6">
        <v>6.54</v>
      </c>
      <c r="E4" s="6">
        <v>5.9</v>
      </c>
      <c r="F4" s="6">
        <v>8.15</v>
      </c>
      <c r="G4" s="6">
        <v>9.58</v>
      </c>
      <c r="H4" s="6">
        <v>7.59</v>
      </c>
      <c r="I4" s="6">
        <v>10.09</v>
      </c>
      <c r="J4" s="6">
        <v>9.9499999999999993</v>
      </c>
      <c r="K4" s="45">
        <v>5.18</v>
      </c>
      <c r="L4" s="36">
        <v>9.07</v>
      </c>
      <c r="M4" s="36">
        <v>8.48</v>
      </c>
      <c r="N4" s="36">
        <v>6.84</v>
      </c>
      <c r="O4" s="36">
        <v>4.2</v>
      </c>
      <c r="P4" s="36">
        <v>7.54</v>
      </c>
      <c r="Q4" s="36">
        <v>8.93</v>
      </c>
      <c r="R4" s="36">
        <v>10.96</v>
      </c>
      <c r="S4" s="36">
        <v>10.050000000000001</v>
      </c>
    </row>
    <row r="5" spans="1:19" x14ac:dyDescent="0.25">
      <c r="A5" s="34" t="s">
        <v>8</v>
      </c>
      <c r="B5" s="6">
        <v>5.1100000000000003</v>
      </c>
      <c r="C5" s="6">
        <v>7.65</v>
      </c>
      <c r="D5" s="6">
        <v>8.1199999999999992</v>
      </c>
      <c r="E5" s="6">
        <v>5.95</v>
      </c>
      <c r="F5" s="6">
        <v>6.42</v>
      </c>
      <c r="G5" s="6">
        <v>5.59</v>
      </c>
      <c r="H5" s="6">
        <v>6.37</v>
      </c>
      <c r="I5" s="6">
        <v>3.82</v>
      </c>
      <c r="J5" s="6">
        <v>5.34</v>
      </c>
      <c r="K5" s="21">
        <v>5.28</v>
      </c>
      <c r="L5" s="2">
        <v>7.22</v>
      </c>
      <c r="M5" s="2">
        <v>8.59</v>
      </c>
      <c r="N5" s="2">
        <v>9.23</v>
      </c>
      <c r="O5" s="2">
        <v>9.33</v>
      </c>
      <c r="P5" s="2">
        <v>7.54</v>
      </c>
      <c r="Q5" s="2">
        <v>6.75</v>
      </c>
      <c r="R5" s="2"/>
      <c r="S5" s="2">
        <v>5.81</v>
      </c>
    </row>
    <row r="6" spans="1:19" x14ac:dyDescent="0.25">
      <c r="A6" s="34" t="s">
        <v>9</v>
      </c>
      <c r="B6" s="6">
        <v>5.07</v>
      </c>
      <c r="C6" s="6">
        <v>6.84</v>
      </c>
      <c r="D6" s="6">
        <v>9.6199999999999992</v>
      </c>
      <c r="E6" s="6">
        <v>12.23</v>
      </c>
      <c r="F6" s="6">
        <v>13.86</v>
      </c>
      <c r="G6" s="6">
        <v>15.83</v>
      </c>
      <c r="H6" s="6">
        <v>15.02</v>
      </c>
      <c r="I6" s="6">
        <v>14.85</v>
      </c>
      <c r="J6" s="6">
        <v>13.96</v>
      </c>
      <c r="K6" s="21">
        <v>5.52</v>
      </c>
      <c r="L6" s="2">
        <v>8.89</v>
      </c>
      <c r="M6" s="2">
        <v>12.19</v>
      </c>
      <c r="N6" s="2">
        <v>14.64</v>
      </c>
      <c r="O6" s="2">
        <v>16.02</v>
      </c>
      <c r="P6" s="2">
        <v>17.23</v>
      </c>
      <c r="Q6" s="2">
        <v>18.28</v>
      </c>
      <c r="R6" s="2">
        <v>17.600000000000001</v>
      </c>
      <c r="S6" s="2">
        <v>15.72</v>
      </c>
    </row>
    <row r="7" spans="1:19" x14ac:dyDescent="0.25">
      <c r="A7" s="34" t="s">
        <v>10</v>
      </c>
      <c r="B7" s="6"/>
      <c r="C7" s="6"/>
      <c r="D7" s="6"/>
      <c r="E7" s="6"/>
      <c r="F7" s="6"/>
      <c r="G7" s="6"/>
      <c r="H7" s="6"/>
      <c r="I7" s="6"/>
      <c r="J7" s="6"/>
      <c r="K7" s="21"/>
      <c r="L7" s="2"/>
      <c r="M7" s="2"/>
      <c r="N7" s="2"/>
      <c r="O7" s="2"/>
      <c r="P7" s="2"/>
      <c r="Q7" s="2"/>
      <c r="R7" s="2"/>
      <c r="S7" s="2"/>
    </row>
    <row r="8" spans="1:19" x14ac:dyDescent="0.25">
      <c r="A8" s="34" t="s">
        <v>11</v>
      </c>
      <c r="B8" s="6">
        <v>4.8899999999999997</v>
      </c>
      <c r="C8" s="6">
        <v>6.77</v>
      </c>
      <c r="D8" s="6">
        <v>7.9</v>
      </c>
      <c r="E8" s="6">
        <v>7.63</v>
      </c>
      <c r="F8" s="6">
        <v>5.85</v>
      </c>
      <c r="G8" s="6">
        <v>5.1100000000000003</v>
      </c>
      <c r="H8" s="6">
        <v>3.54</v>
      </c>
      <c r="I8" s="6"/>
      <c r="J8" s="6">
        <v>3.62</v>
      </c>
      <c r="K8" s="21">
        <v>5.1100000000000003</v>
      </c>
      <c r="L8" s="2">
        <v>8.4700000000000006</v>
      </c>
      <c r="M8" s="2">
        <v>9.01</v>
      </c>
      <c r="N8" s="2">
        <v>8.84</v>
      </c>
      <c r="O8" s="2">
        <v>8.24</v>
      </c>
      <c r="P8" s="2">
        <v>4.96</v>
      </c>
      <c r="Q8" s="2">
        <v>4.5599999999999996</v>
      </c>
      <c r="R8" s="2">
        <v>5.27</v>
      </c>
      <c r="S8" s="2">
        <v>6.81</v>
      </c>
    </row>
    <row r="9" spans="1:19" x14ac:dyDescent="0.25">
      <c r="A9" s="34" t="s">
        <v>63</v>
      </c>
      <c r="B9" s="6"/>
      <c r="C9" s="6"/>
      <c r="D9" s="6"/>
      <c r="E9" s="6"/>
      <c r="F9" s="6"/>
      <c r="G9" s="6"/>
      <c r="H9" s="6"/>
      <c r="I9" s="6"/>
      <c r="J9" s="6"/>
      <c r="K9" s="21"/>
      <c r="L9" s="2"/>
      <c r="M9" s="2"/>
      <c r="N9" s="2"/>
      <c r="O9" s="2"/>
      <c r="P9" s="2"/>
      <c r="Q9" s="2"/>
      <c r="R9" s="2"/>
      <c r="S9" s="2"/>
    </row>
    <row r="10" spans="1:19" x14ac:dyDescent="0.25">
      <c r="A10" s="34" t="s">
        <v>64</v>
      </c>
      <c r="B10" s="6"/>
      <c r="C10" s="6"/>
      <c r="D10" s="6"/>
      <c r="E10" s="6"/>
      <c r="F10" s="6"/>
      <c r="G10" s="6"/>
      <c r="H10" s="6"/>
      <c r="I10" s="6"/>
      <c r="J10" s="6"/>
      <c r="K10" s="21"/>
      <c r="L10" s="2"/>
      <c r="M10" s="2"/>
      <c r="N10" s="2"/>
      <c r="O10" s="2"/>
      <c r="P10" s="2"/>
      <c r="Q10" s="2"/>
      <c r="R10" s="2"/>
      <c r="S10" s="2"/>
    </row>
    <row r="11" spans="1:19" x14ac:dyDescent="0.25">
      <c r="A11" s="34" t="s">
        <v>70</v>
      </c>
      <c r="B11" s="43">
        <v>4.25</v>
      </c>
      <c r="C11" s="43">
        <v>5.47</v>
      </c>
      <c r="D11" s="43">
        <v>7.5</v>
      </c>
      <c r="E11" s="43">
        <v>8.3800000000000008</v>
      </c>
      <c r="F11" s="43">
        <v>7.92</v>
      </c>
      <c r="G11" s="43">
        <v>6.78</v>
      </c>
      <c r="H11" s="43">
        <v>7.36</v>
      </c>
      <c r="I11" s="43">
        <v>8.08</v>
      </c>
      <c r="J11" s="43">
        <v>7.45</v>
      </c>
      <c r="K11" s="45">
        <v>4.1500000000000004</v>
      </c>
      <c r="L11" s="36">
        <v>5.21</v>
      </c>
      <c r="M11" s="36">
        <v>6.47</v>
      </c>
      <c r="N11" s="36">
        <v>7.4</v>
      </c>
      <c r="O11" s="36">
        <v>7.7</v>
      </c>
      <c r="P11" s="36">
        <v>6.64</v>
      </c>
      <c r="Q11" s="36">
        <v>7.04</v>
      </c>
      <c r="R11" s="36">
        <v>7.17</v>
      </c>
      <c r="S11" s="36">
        <v>6.4</v>
      </c>
    </row>
    <row r="12" spans="1:19" x14ac:dyDescent="0.25">
      <c r="A12" s="34" t="s">
        <v>71</v>
      </c>
      <c r="B12" s="6">
        <v>5.81</v>
      </c>
      <c r="C12" s="6">
        <v>8.49</v>
      </c>
      <c r="D12" s="6">
        <v>8.4600000000000009</v>
      </c>
      <c r="E12" s="6">
        <v>12.87</v>
      </c>
      <c r="F12" s="6">
        <v>10.14</v>
      </c>
      <c r="G12" s="6">
        <v>9.56</v>
      </c>
      <c r="H12" s="6">
        <v>8.52</v>
      </c>
      <c r="I12" s="6">
        <v>8.94</v>
      </c>
      <c r="J12" s="6">
        <v>9.2200000000000006</v>
      </c>
      <c r="K12" s="21">
        <v>5.55</v>
      </c>
      <c r="L12" s="2">
        <v>9.36</v>
      </c>
      <c r="M12" s="2">
        <v>12.86</v>
      </c>
      <c r="N12" s="2">
        <v>14.35</v>
      </c>
      <c r="O12" s="2">
        <v>13.69</v>
      </c>
      <c r="P12" s="2">
        <v>12.3</v>
      </c>
      <c r="Q12" s="2">
        <v>10.199999999999999</v>
      </c>
      <c r="R12" s="2">
        <v>8.08</v>
      </c>
      <c r="S12" s="2">
        <v>8.14</v>
      </c>
    </row>
    <row r="13" spans="1:19" x14ac:dyDescent="0.25">
      <c r="A13" s="34" t="s">
        <v>73</v>
      </c>
      <c r="B13" s="6">
        <v>4.49</v>
      </c>
      <c r="C13" s="6">
        <v>7.44</v>
      </c>
      <c r="D13" s="6">
        <v>9.9600000000000009</v>
      </c>
      <c r="E13" s="6">
        <v>8.39</v>
      </c>
      <c r="F13" s="6">
        <v>8.61</v>
      </c>
      <c r="G13" s="6">
        <v>8.7200000000000006</v>
      </c>
      <c r="H13" s="6">
        <v>8.09</v>
      </c>
      <c r="I13" s="6">
        <v>6.64</v>
      </c>
      <c r="J13" s="6">
        <v>6.04</v>
      </c>
      <c r="K13" s="21">
        <v>4.72</v>
      </c>
      <c r="L13" s="2">
        <v>6.03</v>
      </c>
      <c r="M13" s="2">
        <v>9.1999999999999993</v>
      </c>
      <c r="N13" s="2">
        <v>10.84</v>
      </c>
      <c r="O13" s="2">
        <v>10.33</v>
      </c>
      <c r="P13" s="2">
        <v>10.63</v>
      </c>
      <c r="Q13" s="2">
        <v>7.62</v>
      </c>
      <c r="R13" s="2">
        <v>6.86</v>
      </c>
      <c r="S13" s="2">
        <v>6.11</v>
      </c>
    </row>
    <row r="14" spans="1:19" x14ac:dyDescent="0.25">
      <c r="A14" s="34" t="s">
        <v>76</v>
      </c>
      <c r="B14" s="6">
        <v>5.04</v>
      </c>
      <c r="C14" s="6">
        <v>6.85</v>
      </c>
      <c r="D14" s="6">
        <v>9.08</v>
      </c>
      <c r="E14" s="6">
        <v>9.85</v>
      </c>
      <c r="F14" s="6">
        <v>9.35</v>
      </c>
      <c r="G14" s="6">
        <v>7.44</v>
      </c>
      <c r="H14" s="6">
        <v>6.79</v>
      </c>
      <c r="I14" s="6">
        <v>6.65</v>
      </c>
      <c r="J14" s="6">
        <v>6.53</v>
      </c>
      <c r="K14" s="21">
        <v>5.33</v>
      </c>
      <c r="L14" s="2">
        <v>7.24</v>
      </c>
      <c r="M14" s="2">
        <v>10.69</v>
      </c>
      <c r="N14" s="2">
        <v>9.52</v>
      </c>
      <c r="O14" s="2">
        <v>7.51</v>
      </c>
      <c r="P14" s="2">
        <v>7.71</v>
      </c>
      <c r="Q14" s="2">
        <v>8.94</v>
      </c>
      <c r="R14" s="2">
        <v>8.51</v>
      </c>
      <c r="S14" s="2">
        <v>7.71</v>
      </c>
    </row>
    <row r="15" spans="1:19" x14ac:dyDescent="0.25">
      <c r="A15" s="34" t="s">
        <v>77</v>
      </c>
      <c r="B15" s="6">
        <v>5.3</v>
      </c>
      <c r="C15" s="6">
        <v>7.15</v>
      </c>
      <c r="D15" s="6">
        <v>8</v>
      </c>
      <c r="E15" s="6">
        <v>7.47</v>
      </c>
      <c r="F15" s="6">
        <v>7.86</v>
      </c>
      <c r="G15" s="6">
        <v>9.44</v>
      </c>
      <c r="H15" s="6">
        <v>9.59</v>
      </c>
      <c r="I15" s="6">
        <v>7.92</v>
      </c>
      <c r="J15" s="6">
        <v>6.99</v>
      </c>
      <c r="K15" s="21">
        <v>4.96</v>
      </c>
      <c r="L15" s="2">
        <v>6.73</v>
      </c>
      <c r="M15" s="2">
        <v>7.46</v>
      </c>
      <c r="N15" s="2">
        <v>7.77</v>
      </c>
      <c r="O15" s="2">
        <v>7.99</v>
      </c>
      <c r="P15" s="2">
        <v>7.06</v>
      </c>
      <c r="Q15" s="2">
        <v>5.26</v>
      </c>
      <c r="R15" s="2">
        <v>5.47</v>
      </c>
      <c r="S15" s="2">
        <v>4.67</v>
      </c>
    </row>
    <row r="16" spans="1:19" x14ac:dyDescent="0.25">
      <c r="A16" s="34" t="s">
        <v>78</v>
      </c>
      <c r="B16" s="6">
        <v>4.28</v>
      </c>
      <c r="C16" s="6">
        <v>7.15</v>
      </c>
      <c r="D16" s="6">
        <v>8.93</v>
      </c>
      <c r="E16" s="6">
        <v>10.28</v>
      </c>
      <c r="F16" s="6">
        <v>10.78</v>
      </c>
      <c r="G16" s="6">
        <v>10.67</v>
      </c>
      <c r="H16" s="6">
        <v>9.8000000000000007</v>
      </c>
      <c r="I16" s="6">
        <v>8.39</v>
      </c>
      <c r="J16" s="6">
        <v>6.37</v>
      </c>
      <c r="K16" s="21">
        <v>4.93</v>
      </c>
      <c r="L16" s="2">
        <v>7.21</v>
      </c>
      <c r="M16" s="2">
        <v>9.6199999999999992</v>
      </c>
      <c r="N16" s="2">
        <v>10.26</v>
      </c>
      <c r="O16" s="2">
        <v>9.8699999999999992</v>
      </c>
      <c r="P16" s="2">
        <v>8.23</v>
      </c>
      <c r="Q16" s="2">
        <v>6.42</v>
      </c>
      <c r="R16" s="2">
        <v>5.6</v>
      </c>
      <c r="S16" s="2">
        <v>4.5199999999999996</v>
      </c>
    </row>
    <row r="17" spans="1:19" x14ac:dyDescent="0.25">
      <c r="A17" s="34" t="s">
        <v>79</v>
      </c>
      <c r="B17" s="6">
        <v>5.03</v>
      </c>
      <c r="C17" s="6">
        <v>7.31</v>
      </c>
      <c r="D17" s="6">
        <v>7.53</v>
      </c>
      <c r="E17" s="6">
        <v>7.28</v>
      </c>
      <c r="F17" s="6">
        <v>8.56</v>
      </c>
      <c r="G17" s="6">
        <v>7.38</v>
      </c>
      <c r="H17" s="6">
        <v>6.96</v>
      </c>
      <c r="I17" s="6">
        <v>6.81</v>
      </c>
      <c r="J17" s="6">
        <v>6.71</v>
      </c>
      <c r="K17" s="21">
        <v>5.39</v>
      </c>
      <c r="L17" s="2">
        <v>7.97</v>
      </c>
      <c r="M17" s="2">
        <v>8.75</v>
      </c>
      <c r="N17" s="2">
        <v>6.79</v>
      </c>
      <c r="O17" s="2">
        <v>6.33</v>
      </c>
      <c r="P17" s="2">
        <v>7.22</v>
      </c>
      <c r="Q17" s="2">
        <v>7.18</v>
      </c>
      <c r="R17" s="2">
        <v>8.1300000000000008</v>
      </c>
      <c r="S17" s="2">
        <v>7.73</v>
      </c>
    </row>
    <row r="18" spans="1:19" x14ac:dyDescent="0.25">
      <c r="A18" s="34" t="s">
        <v>81</v>
      </c>
      <c r="B18" s="6">
        <v>4.9000000000000004</v>
      </c>
      <c r="C18" s="6">
        <v>7.66</v>
      </c>
      <c r="D18" s="6">
        <v>9.39</v>
      </c>
      <c r="E18" s="6">
        <v>9.82</v>
      </c>
      <c r="F18" s="6">
        <v>10.050000000000001</v>
      </c>
      <c r="G18" s="6">
        <v>9.61</v>
      </c>
      <c r="H18" s="6">
        <v>9.16</v>
      </c>
      <c r="I18" s="6">
        <v>9.07</v>
      </c>
      <c r="J18" s="6">
        <v>9.1199999999999992</v>
      </c>
      <c r="K18" s="21">
        <v>4.47</v>
      </c>
      <c r="L18" s="2">
        <v>7.84</v>
      </c>
      <c r="M18" s="2">
        <v>8.57</v>
      </c>
      <c r="N18" s="2">
        <v>10.23</v>
      </c>
      <c r="O18" s="2">
        <v>10.98</v>
      </c>
      <c r="P18" s="2">
        <v>11.09</v>
      </c>
      <c r="Q18" s="2">
        <v>10.029999999999999</v>
      </c>
      <c r="R18" s="2">
        <v>9.7100000000000009</v>
      </c>
      <c r="S18" s="2">
        <v>9.0500000000000007</v>
      </c>
    </row>
    <row r="19" spans="1:19" x14ac:dyDescent="0.25">
      <c r="A19" s="34" t="s">
        <v>84</v>
      </c>
      <c r="B19" s="6">
        <v>14.37</v>
      </c>
      <c r="C19" s="6">
        <v>15.69</v>
      </c>
      <c r="D19" s="6">
        <v>20.53</v>
      </c>
      <c r="E19" s="6">
        <v>22.73</v>
      </c>
      <c r="F19" s="6">
        <v>24.95</v>
      </c>
      <c r="G19" s="6">
        <v>24.27</v>
      </c>
      <c r="H19" s="6">
        <v>24.81</v>
      </c>
      <c r="I19" s="6">
        <v>13.72</v>
      </c>
      <c r="J19" s="6">
        <v>16.420000000000002</v>
      </c>
      <c r="K19" s="21">
        <v>20.04</v>
      </c>
      <c r="L19" s="2">
        <v>22.62</v>
      </c>
      <c r="M19" s="2">
        <v>23.02</v>
      </c>
      <c r="N19" s="2">
        <v>22.81</v>
      </c>
      <c r="O19" s="2">
        <v>23.84</v>
      </c>
      <c r="P19" s="2">
        <v>24.4</v>
      </c>
      <c r="Q19" s="2"/>
      <c r="R19" s="2"/>
      <c r="S19" s="2">
        <v>24.51</v>
      </c>
    </row>
    <row r="20" spans="1:19" x14ac:dyDescent="0.25">
      <c r="A20" s="34" t="s">
        <v>85</v>
      </c>
      <c r="B20" s="43">
        <v>4.1399999999999997</v>
      </c>
      <c r="C20" s="43">
        <v>6.35</v>
      </c>
      <c r="D20" s="43">
        <v>10.31</v>
      </c>
      <c r="E20" s="43">
        <v>9.89</v>
      </c>
      <c r="F20" s="43">
        <v>8.74</v>
      </c>
      <c r="G20" s="43">
        <v>8.48</v>
      </c>
      <c r="H20" s="43">
        <v>7.55</v>
      </c>
      <c r="I20" s="43">
        <v>5.69</v>
      </c>
      <c r="J20" s="43">
        <v>7.72</v>
      </c>
      <c r="K20" s="45">
        <v>4.84</v>
      </c>
      <c r="L20" s="36">
        <v>6.96</v>
      </c>
      <c r="M20" s="36">
        <v>10.54</v>
      </c>
      <c r="N20" s="36">
        <v>12.21</v>
      </c>
      <c r="O20" s="36">
        <v>11.4</v>
      </c>
      <c r="P20" s="36">
        <v>10.57</v>
      </c>
      <c r="Q20" s="36">
        <v>9.42</v>
      </c>
      <c r="R20" s="36">
        <v>8.69</v>
      </c>
      <c r="S20" s="36">
        <v>9.39</v>
      </c>
    </row>
    <row r="21" spans="1:19" x14ac:dyDescent="0.25">
      <c r="A21" s="34" t="s">
        <v>90</v>
      </c>
      <c r="B21" s="6">
        <v>5.03</v>
      </c>
      <c r="C21" s="6">
        <v>5.64</v>
      </c>
      <c r="D21" s="6">
        <v>6.62</v>
      </c>
      <c r="E21" s="6">
        <v>7.45</v>
      </c>
      <c r="F21" s="6">
        <v>8.14</v>
      </c>
      <c r="G21" s="6">
        <v>7.98</v>
      </c>
      <c r="H21" s="6">
        <v>6.21</v>
      </c>
      <c r="I21" s="6">
        <v>6.69</v>
      </c>
      <c r="J21" s="6">
        <v>6.08</v>
      </c>
      <c r="K21" s="21">
        <v>4.8899999999999997</v>
      </c>
      <c r="L21" s="2">
        <v>6.32</v>
      </c>
      <c r="M21" s="2">
        <v>6.75</v>
      </c>
      <c r="N21" s="2">
        <v>6.1</v>
      </c>
      <c r="O21" s="2">
        <v>7.07</v>
      </c>
      <c r="P21" s="2">
        <v>6.41</v>
      </c>
      <c r="Q21" s="2">
        <v>6.76</v>
      </c>
      <c r="R21" s="2">
        <v>5.6</v>
      </c>
      <c r="S21" s="2">
        <v>3.43</v>
      </c>
    </row>
    <row r="22" spans="1:19" x14ac:dyDescent="0.25">
      <c r="A22" s="34" t="s">
        <v>95</v>
      </c>
      <c r="B22" s="6"/>
      <c r="C22" s="6"/>
      <c r="D22" s="6"/>
      <c r="E22" s="6"/>
      <c r="F22" s="6"/>
      <c r="G22" s="6"/>
      <c r="H22" s="6"/>
      <c r="I22" s="6"/>
      <c r="J22" s="6"/>
      <c r="K22" s="21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34" t="s">
        <v>98</v>
      </c>
      <c r="B23" s="43">
        <v>5.62</v>
      </c>
      <c r="C23" s="43">
        <v>7.33</v>
      </c>
      <c r="D23" s="43">
        <v>10.5</v>
      </c>
      <c r="E23" s="43">
        <v>13.01</v>
      </c>
      <c r="F23" s="43">
        <v>13.19</v>
      </c>
      <c r="G23" s="43">
        <v>11.5</v>
      </c>
      <c r="H23" s="43">
        <v>11.41</v>
      </c>
      <c r="I23" s="43">
        <v>11.35</v>
      </c>
      <c r="J23" s="43">
        <v>11.29</v>
      </c>
      <c r="K23" s="21">
        <v>5.73</v>
      </c>
      <c r="L23" s="2">
        <v>7.56</v>
      </c>
      <c r="M23" s="2">
        <v>10.66</v>
      </c>
      <c r="N23" s="2">
        <v>9.57</v>
      </c>
      <c r="O23" s="2">
        <v>9.73</v>
      </c>
      <c r="P23" s="2">
        <v>10.039999999999999</v>
      </c>
      <c r="Q23" s="2">
        <v>11.05</v>
      </c>
      <c r="R23" s="2">
        <v>12.08</v>
      </c>
      <c r="S23" s="2">
        <v>11.81</v>
      </c>
    </row>
    <row r="24" spans="1:19" x14ac:dyDescent="0.25">
      <c r="A24" s="34" t="s">
        <v>101</v>
      </c>
      <c r="B24" s="44">
        <v>5.07</v>
      </c>
      <c r="C24" s="44">
        <v>6.32</v>
      </c>
      <c r="D24" s="44">
        <v>7.96</v>
      </c>
      <c r="E24" s="44">
        <v>7.91</v>
      </c>
      <c r="F24" s="44">
        <v>7.24</v>
      </c>
      <c r="G24" s="44">
        <v>6.79</v>
      </c>
      <c r="H24" s="44">
        <v>5.88</v>
      </c>
      <c r="I24" s="44">
        <v>5.6</v>
      </c>
      <c r="J24" s="44">
        <v>6.5</v>
      </c>
      <c r="K24" s="21">
        <v>5.09</v>
      </c>
      <c r="L24" s="2">
        <v>6.29</v>
      </c>
      <c r="M24" s="2">
        <v>7.88</v>
      </c>
      <c r="N24" s="2">
        <v>8.0500000000000007</v>
      </c>
      <c r="O24" s="2">
        <v>8.31</v>
      </c>
      <c r="P24" s="2">
        <v>6.99</v>
      </c>
      <c r="Q24" s="2">
        <v>7.11</v>
      </c>
      <c r="R24" s="2">
        <v>6.64</v>
      </c>
      <c r="S24" s="2">
        <v>5.23</v>
      </c>
    </row>
    <row r="25" spans="1:19" x14ac:dyDescent="0.25">
      <c r="A25" s="34" t="s">
        <v>105</v>
      </c>
      <c r="B25" s="6"/>
      <c r="C25" s="6"/>
      <c r="D25" s="6"/>
      <c r="E25" s="6"/>
      <c r="F25" s="6"/>
      <c r="G25" s="6"/>
      <c r="H25" s="6"/>
      <c r="I25" s="6"/>
      <c r="J25" s="6"/>
      <c r="K25" s="21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34" t="s">
        <v>107</v>
      </c>
      <c r="B26" s="6">
        <v>4.1399999999999997</v>
      </c>
      <c r="C26" s="6">
        <v>5.0999999999999996</v>
      </c>
      <c r="D26" s="6">
        <v>6.85</v>
      </c>
      <c r="E26" s="6">
        <v>7.48</v>
      </c>
      <c r="F26" s="6">
        <v>7.64</v>
      </c>
      <c r="G26" s="6">
        <v>8.6199999999999992</v>
      </c>
      <c r="H26" s="6">
        <v>9.27</v>
      </c>
      <c r="I26" s="6">
        <v>7.95</v>
      </c>
      <c r="J26" s="6">
        <v>6.14</v>
      </c>
      <c r="K26" s="21">
        <v>3.87</v>
      </c>
      <c r="L26" s="2">
        <v>5.77</v>
      </c>
      <c r="M26" s="2">
        <v>8.5299999999999994</v>
      </c>
      <c r="N26" s="2">
        <v>9.57</v>
      </c>
      <c r="O26" s="2">
        <v>9.6199999999999992</v>
      </c>
      <c r="P26" s="2">
        <v>8.8000000000000007</v>
      </c>
      <c r="Q26" s="2">
        <v>7.68</v>
      </c>
      <c r="R26" s="2">
        <v>5.26</v>
      </c>
      <c r="S26" s="2">
        <v>5.81</v>
      </c>
    </row>
    <row r="27" spans="1:19" x14ac:dyDescent="0.25">
      <c r="A27" s="34" t="s">
        <v>110</v>
      </c>
      <c r="B27" s="6"/>
      <c r="C27" s="6"/>
      <c r="D27" s="6"/>
      <c r="E27" s="6"/>
      <c r="F27" s="6"/>
      <c r="G27" s="6"/>
      <c r="H27" s="6"/>
      <c r="I27" s="6"/>
      <c r="J27" s="6"/>
      <c r="K27" s="21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34" t="s">
        <v>111</v>
      </c>
      <c r="B28" s="6">
        <v>5.2</v>
      </c>
      <c r="C28" s="6">
        <v>7.32</v>
      </c>
      <c r="D28" s="6">
        <v>9.94</v>
      </c>
      <c r="E28" s="6">
        <v>9.89</v>
      </c>
      <c r="F28" s="6">
        <v>10.210000000000001</v>
      </c>
      <c r="G28" s="6">
        <v>9.4499999999999993</v>
      </c>
      <c r="H28" s="6">
        <v>9.0299999999999994</v>
      </c>
      <c r="I28" s="6">
        <v>7.36</v>
      </c>
      <c r="J28" s="6">
        <v>6.12</v>
      </c>
      <c r="K28" s="21">
        <v>5.18</v>
      </c>
      <c r="L28" s="2">
        <v>5.7</v>
      </c>
      <c r="M28" s="2">
        <v>7.66</v>
      </c>
      <c r="N28" s="2">
        <v>9.01</v>
      </c>
      <c r="O28" s="2">
        <v>9.19</v>
      </c>
      <c r="P28" s="2">
        <v>7.47</v>
      </c>
      <c r="Q28" s="2">
        <v>6.18</v>
      </c>
      <c r="R28" s="2">
        <v>5.95</v>
      </c>
      <c r="S28" s="2">
        <v>6.49</v>
      </c>
    </row>
    <row r="29" spans="1:19" x14ac:dyDescent="0.25">
      <c r="A29" s="34" t="s">
        <v>112</v>
      </c>
      <c r="B29" s="6">
        <v>4.67</v>
      </c>
      <c r="C29" s="6">
        <v>5.53</v>
      </c>
      <c r="D29" s="6">
        <v>7.13</v>
      </c>
      <c r="E29" s="6">
        <v>8.0399999999999991</v>
      </c>
      <c r="F29" s="6">
        <v>8.7100000000000009</v>
      </c>
      <c r="G29" s="6">
        <v>7.15</v>
      </c>
      <c r="H29" s="6">
        <v>5.93</v>
      </c>
      <c r="I29" s="6">
        <v>6.17</v>
      </c>
      <c r="J29" s="6">
        <v>5.99</v>
      </c>
      <c r="K29" s="21">
        <v>4.82</v>
      </c>
      <c r="L29" s="2">
        <v>6.72</v>
      </c>
      <c r="M29" s="2">
        <v>9.06</v>
      </c>
      <c r="N29" s="2">
        <v>10.050000000000001</v>
      </c>
      <c r="O29" s="2">
        <v>10.23</v>
      </c>
      <c r="P29" s="2">
        <v>9.2200000000000006</v>
      </c>
      <c r="Q29" s="2">
        <v>7.82</v>
      </c>
      <c r="R29" s="2">
        <v>7.15</v>
      </c>
      <c r="S29" s="2">
        <v>6.67</v>
      </c>
    </row>
  </sheetData>
  <mergeCells count="2">
    <mergeCell ref="B1:J1"/>
    <mergeCell ref="K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5050-7D45-459F-AB6F-B795333D5E39}">
  <dimension ref="A1:S29"/>
  <sheetViews>
    <sheetView zoomScale="90" zoomScaleNormal="90" workbookViewId="0">
      <selection activeCell="S20" sqref="S20"/>
    </sheetView>
  </sheetViews>
  <sheetFormatPr defaultRowHeight="15" x14ac:dyDescent="0.25"/>
  <cols>
    <col min="1" max="1" width="15.7109375" bestFit="1" customWidth="1"/>
    <col min="11" max="11" width="9.28515625" style="22" bestFit="1" customWidth="1"/>
    <col min="12" max="12" width="9.28515625" bestFit="1" customWidth="1"/>
    <col min="13" max="19" width="9.5703125" bestFit="1" customWidth="1"/>
  </cols>
  <sheetData>
    <row r="1" spans="1:19" x14ac:dyDescent="0.25">
      <c r="B1" s="40" t="s">
        <v>127</v>
      </c>
      <c r="C1" s="40"/>
      <c r="D1" s="40"/>
      <c r="E1" s="40"/>
      <c r="F1" s="40"/>
      <c r="G1" s="40"/>
      <c r="H1" s="40"/>
      <c r="I1" s="40"/>
      <c r="J1" s="40"/>
      <c r="K1" s="41" t="s">
        <v>128</v>
      </c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3" t="s">
        <v>0</v>
      </c>
      <c r="B2" s="3">
        <v>0</v>
      </c>
      <c r="C2" s="3">
        <v>15</v>
      </c>
      <c r="D2" s="3">
        <v>30</v>
      </c>
      <c r="E2" s="3">
        <v>45</v>
      </c>
      <c r="F2" s="3">
        <v>60</v>
      </c>
      <c r="G2" s="3">
        <v>75</v>
      </c>
      <c r="H2" s="3">
        <v>90</v>
      </c>
      <c r="I2" s="3">
        <v>105</v>
      </c>
      <c r="J2" s="3">
        <v>120</v>
      </c>
      <c r="K2" s="19">
        <v>0</v>
      </c>
      <c r="L2" s="3">
        <v>15</v>
      </c>
      <c r="M2" s="3">
        <v>30</v>
      </c>
      <c r="N2" s="3">
        <v>45</v>
      </c>
      <c r="O2" s="3">
        <v>60</v>
      </c>
      <c r="P2" s="3">
        <v>75</v>
      </c>
      <c r="Q2" s="3">
        <v>90</v>
      </c>
      <c r="R2" s="3">
        <v>105</v>
      </c>
      <c r="S2" s="3">
        <v>120</v>
      </c>
    </row>
    <row r="3" spans="1:19" x14ac:dyDescent="0.25">
      <c r="A3" s="34" t="s">
        <v>6</v>
      </c>
      <c r="B3" s="4">
        <v>75.908699879745342</v>
      </c>
      <c r="C3" s="4">
        <v>242.18557870751999</v>
      </c>
      <c r="D3" s="4">
        <v>749.30398110507303</v>
      </c>
      <c r="E3" s="4">
        <v>346.68007237785298</v>
      </c>
      <c r="F3" s="4">
        <v>225.177539251121</v>
      </c>
      <c r="G3" s="4">
        <v>173.01105792546201</v>
      </c>
      <c r="H3" s="4">
        <v>173.01105792546201</v>
      </c>
      <c r="I3" s="4">
        <v>313.63080270740102</v>
      </c>
      <c r="J3" s="4">
        <v>321.88181912998698</v>
      </c>
      <c r="K3" s="25">
        <v>67.4592791378047</v>
      </c>
      <c r="L3" s="4">
        <v>493.990833698534</v>
      </c>
      <c r="M3" s="4">
        <v>330.0110243666835</v>
      </c>
      <c r="N3" s="4">
        <v>572.02570159426296</v>
      </c>
      <c r="O3" s="4">
        <v>342.86037523403598</v>
      </c>
      <c r="P3" s="4">
        <v>350.501495744566</v>
      </c>
      <c r="Q3" s="4">
        <v>547.63237274141397</v>
      </c>
      <c r="R3" s="4">
        <v>607.85967839490604</v>
      </c>
      <c r="S3" s="4">
        <v>1017.03831596535</v>
      </c>
    </row>
    <row r="4" spans="1:19" x14ac:dyDescent="0.25">
      <c r="A4" s="34" t="s">
        <v>7</v>
      </c>
      <c r="B4" s="8">
        <v>47.750868996033802</v>
      </c>
      <c r="C4" s="4">
        <v>170.50083225613301</v>
      </c>
      <c r="D4" s="4">
        <v>304.14134987985199</v>
      </c>
      <c r="E4" s="4">
        <v>96.559329757657196</v>
      </c>
      <c r="F4" s="4">
        <v>488.136005023248</v>
      </c>
      <c r="G4" s="4">
        <v>830.20813498782297</v>
      </c>
      <c r="H4" s="4">
        <v>159.208485249646</v>
      </c>
      <c r="I4" s="4">
        <v>516.81930692093397</v>
      </c>
      <c r="J4" s="4">
        <v>609.85899289630697</v>
      </c>
      <c r="K4" s="25">
        <v>55.258976579205651</v>
      </c>
      <c r="L4" s="4">
        <v>846.58531152678199</v>
      </c>
      <c r="M4" s="4">
        <v>1348.6386443247152</v>
      </c>
      <c r="N4" s="4">
        <v>506.371451643954</v>
      </c>
      <c r="O4" s="4">
        <v>179.915795615691</v>
      </c>
      <c r="P4" s="4">
        <v>270.58245556426402</v>
      </c>
      <c r="Q4" s="4">
        <v>346.68007237785298</v>
      </c>
      <c r="R4" s="4">
        <v>696.77170191272603</v>
      </c>
      <c r="S4" s="4">
        <v>485.53581709967699</v>
      </c>
    </row>
    <row r="5" spans="1:19" x14ac:dyDescent="0.25">
      <c r="A5" s="34" t="s">
        <v>8</v>
      </c>
      <c r="B5" s="4">
        <v>41.807241893279155</v>
      </c>
      <c r="C5" s="4">
        <v>541.06061822060201</v>
      </c>
      <c r="D5" s="4">
        <v>997.24205112657</v>
      </c>
      <c r="E5" s="4">
        <v>449.25451267768398</v>
      </c>
      <c r="F5" s="4">
        <v>315.53424161783499</v>
      </c>
      <c r="G5" s="4">
        <v>189.335360238893</v>
      </c>
      <c r="H5" s="4">
        <v>492.038542210976</v>
      </c>
      <c r="I5" s="4">
        <v>57.135614138764304</v>
      </c>
      <c r="J5" s="4">
        <v>109.079998531876</v>
      </c>
      <c r="K5" s="25">
        <v>56.197170625053303</v>
      </c>
      <c r="L5" s="4">
        <v>376.66268659191002</v>
      </c>
      <c r="M5" s="4">
        <v>649.37351202450202</v>
      </c>
      <c r="N5" s="4">
        <v>621.87454567672705</v>
      </c>
      <c r="O5" s="4">
        <v>853.01951716659005</v>
      </c>
      <c r="P5" s="4">
        <v>343.49687257799701</v>
      </c>
      <c r="Q5" s="4">
        <v>294.61682454282601</v>
      </c>
      <c r="R5" s="4"/>
      <c r="S5" s="4">
        <v>157.954135009835</v>
      </c>
    </row>
    <row r="6" spans="1:19" x14ac:dyDescent="0.25">
      <c r="A6" s="34" t="s">
        <v>9</v>
      </c>
      <c r="B6" s="4">
        <v>65.116607587262394</v>
      </c>
      <c r="C6" s="4">
        <v>333.45788627734601</v>
      </c>
      <c r="D6" s="4">
        <v>669.57812055587306</v>
      </c>
      <c r="E6" s="4">
        <v>1021.500884092743</v>
      </c>
      <c r="F6" s="4">
        <v>1174.3140490813021</v>
      </c>
      <c r="G6" s="4">
        <v>1447.063443745358</v>
      </c>
      <c r="H6" s="4">
        <v>2080.5304146605199</v>
      </c>
      <c r="I6" s="4">
        <v>1685.4996079300979</v>
      </c>
      <c r="J6" s="4">
        <v>1382.2268186066299</v>
      </c>
      <c r="K6" s="25">
        <v>44.166268029689306</v>
      </c>
      <c r="L6" s="4">
        <v>416.27392269079797</v>
      </c>
      <c r="M6" s="4">
        <v>799.24854711103603</v>
      </c>
      <c r="N6" s="4">
        <v>902.95999497923606</v>
      </c>
      <c r="O6" s="4">
        <v>1338.2453718838001</v>
      </c>
      <c r="P6" s="4">
        <v>1413.1545807330581</v>
      </c>
      <c r="Q6" s="4">
        <v>1853.0130646096741</v>
      </c>
      <c r="R6" s="4">
        <v>1528.66833073269</v>
      </c>
      <c r="S6" s="4">
        <v>1022.897164815215</v>
      </c>
    </row>
    <row r="7" spans="1:19" x14ac:dyDescent="0.25">
      <c r="A7" s="34" t="s">
        <v>10</v>
      </c>
      <c r="B7" s="4"/>
      <c r="C7" s="4"/>
      <c r="D7" s="4"/>
      <c r="E7" s="4"/>
      <c r="F7" s="4"/>
      <c r="G7" s="4"/>
      <c r="H7" s="4"/>
      <c r="I7" s="4"/>
      <c r="J7" s="4"/>
      <c r="K7" s="25"/>
      <c r="L7" s="4"/>
      <c r="M7" s="4"/>
      <c r="N7" s="4"/>
      <c r="O7" s="4"/>
      <c r="P7" s="4"/>
      <c r="Q7" s="4"/>
      <c r="R7" s="4"/>
      <c r="S7" s="4"/>
    </row>
    <row r="8" spans="1:19" x14ac:dyDescent="0.25">
      <c r="A8" s="34" t="s">
        <v>11</v>
      </c>
      <c r="B8" s="4">
        <v>53.666597688268553</v>
      </c>
      <c r="C8" s="4">
        <v>269.281034773062</v>
      </c>
      <c r="D8" s="4">
        <v>543.58521096161098</v>
      </c>
      <c r="E8" s="4">
        <v>587.13332379567896</v>
      </c>
      <c r="F8" s="4">
        <v>419.98481582013699</v>
      </c>
      <c r="G8" s="4">
        <v>309.34291857992201</v>
      </c>
      <c r="H8" s="4">
        <v>220.595611601239</v>
      </c>
      <c r="I8" s="4">
        <v>180.61102312008299</v>
      </c>
      <c r="J8" s="4">
        <v>197.15794470076801</v>
      </c>
      <c r="K8" s="25">
        <v>39.817464713556248</v>
      </c>
      <c r="L8" s="4">
        <v>339.84624849533498</v>
      </c>
      <c r="M8" s="4">
        <v>585.51164366925752</v>
      </c>
      <c r="N8" s="4">
        <v>645.06084065681705</v>
      </c>
      <c r="O8" s="4">
        <v>566.56304016676495</v>
      </c>
      <c r="P8" s="4">
        <v>204.42722248952501</v>
      </c>
      <c r="Q8" s="4">
        <v>190.295439176597</v>
      </c>
      <c r="R8" s="4">
        <v>258.70365827705098</v>
      </c>
      <c r="S8" s="4">
        <v>399.19618154878498</v>
      </c>
    </row>
    <row r="9" spans="1:19" x14ac:dyDescent="0.25">
      <c r="A9" s="34" t="s">
        <v>63</v>
      </c>
      <c r="B9" s="4"/>
      <c r="C9" s="4"/>
      <c r="D9" s="4"/>
      <c r="E9" s="4"/>
      <c r="F9" s="4"/>
      <c r="G9" s="4"/>
      <c r="H9" s="4"/>
      <c r="I9" s="4"/>
      <c r="J9" s="4"/>
      <c r="K9" s="25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34" t="s">
        <v>64</v>
      </c>
      <c r="B10" s="4"/>
      <c r="C10" s="4"/>
      <c r="D10" s="4"/>
      <c r="E10" s="4"/>
      <c r="F10" s="4"/>
      <c r="G10" s="4"/>
      <c r="H10" s="4"/>
      <c r="I10" s="4"/>
      <c r="J10" s="4"/>
      <c r="K10" s="25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34" t="s">
        <v>70</v>
      </c>
      <c r="B11" s="8">
        <v>23.475491455451902</v>
      </c>
      <c r="C11" s="8">
        <v>76.005445922611997</v>
      </c>
      <c r="D11" s="8">
        <v>208.46753457838201</v>
      </c>
      <c r="E11" s="8">
        <v>237.19467543807301</v>
      </c>
      <c r="F11" s="8">
        <v>235.16872158952901</v>
      </c>
      <c r="G11" s="8">
        <v>194.73558718939</v>
      </c>
      <c r="H11" s="8">
        <v>187.873958148969</v>
      </c>
      <c r="I11" s="8">
        <v>259.11014143201299</v>
      </c>
      <c r="J11" s="8">
        <v>279.8780437218</v>
      </c>
      <c r="K11" s="25">
        <v>19.997986509023949</v>
      </c>
      <c r="L11" s="4">
        <v>71.949434175626706</v>
      </c>
      <c r="M11" s="4">
        <v>215.338423542491</v>
      </c>
      <c r="N11" s="4">
        <v>334.88253732420299</v>
      </c>
      <c r="O11" s="4">
        <v>253.827865442952</v>
      </c>
      <c r="P11" s="4">
        <v>216.95574773526999</v>
      </c>
      <c r="Q11" s="4">
        <v>257.89077019641002</v>
      </c>
      <c r="R11" s="4">
        <v>208.06324169549799</v>
      </c>
      <c r="S11" s="4">
        <v>240.84267997389301</v>
      </c>
    </row>
    <row r="12" spans="1:19" x14ac:dyDescent="0.25">
      <c r="A12" s="34" t="s">
        <v>71</v>
      </c>
      <c r="B12" s="4">
        <v>41.245336197950152</v>
      </c>
      <c r="C12" s="4">
        <v>172.94652349263899</v>
      </c>
      <c r="D12" s="4">
        <v>450.01633512810798</v>
      </c>
      <c r="E12" s="4">
        <v>684.44532290685402</v>
      </c>
      <c r="F12" s="4">
        <v>456.07441467529998</v>
      </c>
      <c r="G12" s="4">
        <v>326.21269566368198</v>
      </c>
      <c r="H12" s="4">
        <v>293.768647683636</v>
      </c>
      <c r="I12" s="4">
        <v>326.21269566368198</v>
      </c>
      <c r="J12" s="4">
        <v>374.80711695429301</v>
      </c>
      <c r="K12" s="25">
        <v>42.860037989895851</v>
      </c>
      <c r="L12" s="4">
        <v>162.460205138574</v>
      </c>
      <c r="M12" s="4">
        <v>328.68768324618998</v>
      </c>
      <c r="N12" s="4">
        <v>495.92807269517198</v>
      </c>
      <c r="O12" s="4">
        <v>353.53429932929998</v>
      </c>
      <c r="P12" s="4">
        <v>263.99001682744</v>
      </c>
      <c r="Q12" s="4">
        <v>208.06324169549799</v>
      </c>
      <c r="R12" s="4">
        <v>195.54300191850299</v>
      </c>
      <c r="S12" s="4">
        <v>264.80371012683202</v>
      </c>
    </row>
    <row r="13" spans="1:19" x14ac:dyDescent="0.25">
      <c r="A13" s="34" t="s">
        <v>73</v>
      </c>
      <c r="B13" s="4">
        <v>21.431193108044301</v>
      </c>
      <c r="C13" s="4">
        <v>88.970708195705498</v>
      </c>
      <c r="D13" s="4">
        <v>189.48824786127099</v>
      </c>
      <c r="E13" s="4">
        <v>114.849004203378</v>
      </c>
      <c r="F13" s="4">
        <v>188.681087795873</v>
      </c>
      <c r="G13" s="4">
        <v>190.295439176597</v>
      </c>
      <c r="H13" s="4">
        <v>150.361230358781</v>
      </c>
      <c r="I13" s="4">
        <v>98.682274426731695</v>
      </c>
      <c r="J13" s="4">
        <v>65.4550514333758</v>
      </c>
      <c r="K13" s="25">
        <v>17.744876919100349</v>
      </c>
      <c r="L13" s="4">
        <v>48.376348885325697</v>
      </c>
      <c r="M13" s="4">
        <v>142.69769055310999</v>
      </c>
      <c r="N13" s="4">
        <v>185.04923193381899</v>
      </c>
      <c r="O13" s="4">
        <v>219.78664441251101</v>
      </c>
      <c r="P13" s="4">
        <v>280.694068903583</v>
      </c>
      <c r="Q13" s="4">
        <v>212.91287068730301</v>
      </c>
      <c r="R13" s="4">
        <v>155.60420089577499</v>
      </c>
      <c r="S13" s="4">
        <v>86.541242325579702</v>
      </c>
    </row>
    <row r="14" spans="1:19" x14ac:dyDescent="0.25">
      <c r="A14" s="34" t="s">
        <v>76</v>
      </c>
      <c r="B14" s="4">
        <v>50.1194249802504</v>
      </c>
      <c r="C14" s="4">
        <v>396.40297615029601</v>
      </c>
      <c r="D14" s="4">
        <v>563.08177383236148</v>
      </c>
      <c r="E14" s="4">
        <v>699.50933190443902</v>
      </c>
      <c r="F14" s="4">
        <v>741.38156126035403</v>
      </c>
      <c r="G14" s="4">
        <v>460.57617086130699</v>
      </c>
      <c r="H14" s="4">
        <v>360.32384557411802</v>
      </c>
      <c r="I14" s="4">
        <v>371.04441702089099</v>
      </c>
      <c r="J14" s="4">
        <v>279.120045290831</v>
      </c>
      <c r="K14" s="25">
        <v>22.3024150700946</v>
      </c>
      <c r="L14" s="4">
        <v>164.44103920750399</v>
      </c>
      <c r="M14" s="4">
        <v>418.41885064064149</v>
      </c>
      <c r="N14" s="4">
        <v>250.15536271155599</v>
      </c>
      <c r="O14" s="4">
        <v>146.99338817952801</v>
      </c>
      <c r="P14" s="4">
        <v>216.893364337751</v>
      </c>
      <c r="Q14" s="4">
        <v>313.11036403424902</v>
      </c>
      <c r="R14" s="4">
        <v>292.667635566645</v>
      </c>
      <c r="S14" s="4">
        <v>303.13273335032699</v>
      </c>
    </row>
    <row r="15" spans="1:19" x14ac:dyDescent="0.25">
      <c r="A15" s="34" t="s">
        <v>77</v>
      </c>
      <c r="B15" s="4">
        <v>56.147074763339901</v>
      </c>
      <c r="C15" s="4">
        <v>486.23451334290303</v>
      </c>
      <c r="D15" s="4">
        <v>1067.5147663912098</v>
      </c>
      <c r="E15" s="4">
        <v>619.66811181103105</v>
      </c>
      <c r="F15" s="4">
        <v>590.31170719872</v>
      </c>
      <c r="G15" s="4">
        <v>879.68827797306199</v>
      </c>
      <c r="H15" s="4">
        <v>1189.1910999436</v>
      </c>
      <c r="I15" s="4">
        <v>1012.57128174774</v>
      </c>
      <c r="J15" s="4">
        <v>784.65167379497802</v>
      </c>
      <c r="K15" s="25">
        <v>74.787931781794853</v>
      </c>
      <c r="L15" s="4">
        <v>402.91526190000002</v>
      </c>
      <c r="M15" s="4">
        <v>811.39577599999996</v>
      </c>
      <c r="N15" s="4">
        <v>1035.9291069999999</v>
      </c>
      <c r="O15" s="4">
        <v>1257.5758249999999</v>
      </c>
      <c r="P15" s="4">
        <v>863.89133730000003</v>
      </c>
      <c r="Q15" s="4">
        <v>692.80489060000002</v>
      </c>
      <c r="R15" s="4">
        <v>751.34339499999999</v>
      </c>
      <c r="S15" s="4">
        <v>583.89930890000005</v>
      </c>
    </row>
    <row r="16" spans="1:19" x14ac:dyDescent="0.25">
      <c r="A16" s="34" t="s">
        <v>78</v>
      </c>
      <c r="B16" s="4">
        <v>18.246482758922902</v>
      </c>
      <c r="C16" s="4">
        <v>211.809420277897</v>
      </c>
      <c r="D16" s="4">
        <v>337.41357831341799</v>
      </c>
      <c r="E16" s="4">
        <v>518.38022479179301</v>
      </c>
      <c r="F16" s="4">
        <v>654.16404713815598</v>
      </c>
      <c r="G16" s="4">
        <v>968.02165151581403</v>
      </c>
      <c r="H16" s="4">
        <v>1084.21261905095</v>
      </c>
      <c r="I16" s="4">
        <v>871.77553594403901</v>
      </c>
      <c r="J16" s="4">
        <v>406.72128701358798</v>
      </c>
      <c r="K16" s="25">
        <v>18.246696975815652</v>
      </c>
      <c r="L16" s="4">
        <v>184.00265200156201</v>
      </c>
      <c r="M16" s="4">
        <v>304.70582005241801</v>
      </c>
      <c r="N16" s="4">
        <v>539.46182095479901</v>
      </c>
      <c r="O16" s="4">
        <v>866.51625190241998</v>
      </c>
      <c r="P16" s="4">
        <v>772.02583549518704</v>
      </c>
      <c r="Q16" s="4">
        <v>597.32579897853998</v>
      </c>
      <c r="R16" s="4">
        <v>290.57921373410699</v>
      </c>
      <c r="S16" s="4">
        <v>140.53837093672601</v>
      </c>
    </row>
    <row r="17" spans="1:19" x14ac:dyDescent="0.25">
      <c r="A17" s="34" t="s">
        <v>79</v>
      </c>
      <c r="B17" s="4">
        <v>14.1952632284172</v>
      </c>
      <c r="C17" s="4">
        <v>183.49947230126801</v>
      </c>
      <c r="D17" s="4">
        <v>190.55172226988299</v>
      </c>
      <c r="E17" s="4">
        <v>219.438628206403</v>
      </c>
      <c r="F17" s="4">
        <v>341.130376280316</v>
      </c>
      <c r="G17" s="4">
        <v>223.51563441049399</v>
      </c>
      <c r="H17" s="4">
        <v>167.44222927409001</v>
      </c>
      <c r="I17" s="4">
        <v>173.453617964919</v>
      </c>
      <c r="J17" s="4">
        <v>109.939613949115</v>
      </c>
      <c r="K17" s="25">
        <v>10.625201959458099</v>
      </c>
      <c r="L17" s="4">
        <v>328.93648306119798</v>
      </c>
      <c r="M17" s="4">
        <v>879.02778468098302</v>
      </c>
      <c r="N17" s="4">
        <v>701.95199275152595</v>
      </c>
      <c r="O17" s="4">
        <v>245.01342631229099</v>
      </c>
      <c r="P17" s="4">
        <v>294.75758520841498</v>
      </c>
      <c r="Q17" s="4">
        <v>319.95746122362499</v>
      </c>
      <c r="R17" s="4">
        <v>284.84390252758197</v>
      </c>
      <c r="S17" s="4">
        <v>193.07443313137901</v>
      </c>
    </row>
    <row r="18" spans="1:19" x14ac:dyDescent="0.25">
      <c r="A18" s="34" t="s">
        <v>81</v>
      </c>
      <c r="B18" s="4">
        <v>92.557868663338752</v>
      </c>
      <c r="C18" s="4">
        <v>471.59221405700902</v>
      </c>
      <c r="D18" s="4">
        <v>814.21353129431145</v>
      </c>
      <c r="E18" s="4">
        <v>555.04376989325795</v>
      </c>
      <c r="F18" s="4">
        <v>415.72176798958299</v>
      </c>
      <c r="G18" s="4">
        <v>422.01972466176699</v>
      </c>
      <c r="H18" s="4">
        <v>545.16247808260596</v>
      </c>
      <c r="I18" s="4">
        <v>574.06886985686299</v>
      </c>
      <c r="J18" s="4">
        <v>717.18869169956497</v>
      </c>
      <c r="K18" s="25">
        <v>82.863736132723943</v>
      </c>
      <c r="L18" s="4">
        <v>537.89672475904695</v>
      </c>
      <c r="M18" s="4">
        <v>479.20064602870053</v>
      </c>
      <c r="N18" s="4">
        <v>538.55795841903296</v>
      </c>
      <c r="O18" s="4">
        <v>613.16309224507904</v>
      </c>
      <c r="P18" s="4">
        <v>707.50681543997496</v>
      </c>
      <c r="Q18" s="4">
        <v>548.45955176940004</v>
      </c>
      <c r="R18" s="4">
        <v>616.40787555767702</v>
      </c>
      <c r="S18" s="4">
        <v>519.32060320823905</v>
      </c>
    </row>
    <row r="19" spans="1:19" x14ac:dyDescent="0.25">
      <c r="A19" s="34" t="s">
        <v>84</v>
      </c>
      <c r="B19" s="4">
        <v>180.7527724159722</v>
      </c>
      <c r="C19" s="4">
        <v>268.68576958706598</v>
      </c>
      <c r="D19" s="4">
        <v>361.01108361540997</v>
      </c>
      <c r="E19" s="4">
        <v>252.08344894206999</v>
      </c>
      <c r="F19" s="4">
        <v>246.16337050156</v>
      </c>
      <c r="G19" s="4">
        <v>252.036579165842</v>
      </c>
      <c r="H19" s="4"/>
      <c r="I19" s="4"/>
      <c r="J19" s="4">
        <v>238.88309092063972</v>
      </c>
      <c r="K19" s="25">
        <v>83.140534250620107</v>
      </c>
      <c r="L19" s="4">
        <v>129.9312780826626</v>
      </c>
      <c r="M19" s="4">
        <v>146.5122738856418</v>
      </c>
      <c r="N19" s="4">
        <v>352.697418115174</v>
      </c>
      <c r="O19" s="4">
        <v>326.57697075135599</v>
      </c>
      <c r="P19" s="4">
        <v>305.95083566228999</v>
      </c>
      <c r="Q19" s="4">
        <v>186.52951578878159</v>
      </c>
      <c r="R19" s="4">
        <v>133.83216911477959</v>
      </c>
      <c r="S19" s="4">
        <v>202.6475185789831</v>
      </c>
    </row>
    <row r="20" spans="1:19" x14ac:dyDescent="0.25">
      <c r="A20" s="34" t="s">
        <v>85</v>
      </c>
      <c r="B20" s="8">
        <v>68.331808902900008</v>
      </c>
      <c r="C20" s="8">
        <v>816.33656864486397</v>
      </c>
      <c r="D20" s="8">
        <v>3116.3684788155642</v>
      </c>
      <c r="E20" s="8">
        <v>2220.0568183748701</v>
      </c>
      <c r="F20" s="8">
        <v>2245.4809591280882</v>
      </c>
      <c r="G20" s="8">
        <v>2554.3336220859082</v>
      </c>
      <c r="H20" s="8">
        <v>1586.8967276410699</v>
      </c>
      <c r="I20" s="8">
        <v>1036.101658390118</v>
      </c>
      <c r="J20" s="8">
        <v>2215.3546750656524</v>
      </c>
      <c r="K20" s="25">
        <v>78.184790612501402</v>
      </c>
      <c r="L20" s="4">
        <v>644.87730375455203</v>
      </c>
      <c r="M20" s="4">
        <v>2376.4342546001981</v>
      </c>
      <c r="N20" s="4">
        <v>2904.5742951132142</v>
      </c>
      <c r="O20" s="4">
        <v>2325.1107973749699</v>
      </c>
      <c r="P20" s="4">
        <v>1385.189814072216</v>
      </c>
      <c r="Q20" s="4">
        <v>1157.352359635878</v>
      </c>
      <c r="R20" s="4">
        <v>1594.1928332320219</v>
      </c>
      <c r="S20" s="4">
        <v>2568.1336903069459</v>
      </c>
    </row>
    <row r="21" spans="1:19" x14ac:dyDescent="0.25">
      <c r="A21" s="34" t="s">
        <v>90</v>
      </c>
      <c r="B21" s="4">
        <v>44.291938103899895</v>
      </c>
      <c r="C21" s="4">
        <v>440.07963628251099</v>
      </c>
      <c r="D21" s="4">
        <v>706.21621345723702</v>
      </c>
      <c r="E21" s="4">
        <v>748.86516611694799</v>
      </c>
      <c r="F21" s="4">
        <v>630.01882170499903</v>
      </c>
      <c r="G21" s="4">
        <v>889.02135950266802</v>
      </c>
      <c r="H21" s="4">
        <v>642.95964259491302</v>
      </c>
      <c r="I21" s="4">
        <v>328.18936174297698</v>
      </c>
      <c r="J21" s="4">
        <v>230.60496305648101</v>
      </c>
      <c r="K21" s="25">
        <v>88.359382088953552</v>
      </c>
      <c r="L21" s="4">
        <v>478.37620458494303</v>
      </c>
      <c r="M21" s="4">
        <v>691.377412815046</v>
      </c>
      <c r="N21" s="4">
        <v>435.92899812925702</v>
      </c>
      <c r="O21" s="4">
        <v>722.35450486758498</v>
      </c>
      <c r="P21" s="4">
        <v>593.00393121120101</v>
      </c>
      <c r="Q21" s="4">
        <v>175.349483875337</v>
      </c>
      <c r="R21" s="4">
        <v>617.70532253639794</v>
      </c>
      <c r="S21" s="4">
        <v>531.27629117246295</v>
      </c>
    </row>
    <row r="22" spans="1:19" x14ac:dyDescent="0.25">
      <c r="A22" s="34" t="s">
        <v>95</v>
      </c>
      <c r="B22" s="4"/>
      <c r="C22" s="4"/>
      <c r="D22" s="4"/>
      <c r="E22" s="4"/>
      <c r="F22" s="4"/>
      <c r="G22" s="4"/>
      <c r="H22" s="4"/>
      <c r="I22" s="4"/>
      <c r="J22" s="4"/>
      <c r="K22" s="25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34" t="s">
        <v>98</v>
      </c>
      <c r="B23" s="8">
        <v>78.683089417822657</v>
      </c>
      <c r="C23" s="8">
        <v>337.890806883746</v>
      </c>
      <c r="D23" s="8">
        <v>366.52723880397298</v>
      </c>
      <c r="E23" s="8">
        <v>420.62231904431201</v>
      </c>
      <c r="F23" s="8">
        <v>499.94351252133202</v>
      </c>
      <c r="G23" s="8">
        <v>457.27108429167498</v>
      </c>
      <c r="H23" s="8">
        <v>464.78560577878397</v>
      </c>
      <c r="I23" s="8">
        <v>541.20145736069401</v>
      </c>
      <c r="J23" s="8">
        <v>518.65486227259396</v>
      </c>
      <c r="K23" s="25">
        <v>55.167725904253146</v>
      </c>
      <c r="L23" s="4">
        <v>231.436557420772</v>
      </c>
      <c r="M23" s="4">
        <v>549.77744139001197</v>
      </c>
      <c r="N23" s="4">
        <v>288.48453533837198</v>
      </c>
      <c r="O23" s="4">
        <v>290.81781587589001</v>
      </c>
      <c r="P23" s="4">
        <v>284.58317045765</v>
      </c>
      <c r="Q23" s="4">
        <v>325.93865243431401</v>
      </c>
      <c r="R23" s="4">
        <v>354.12700510938402</v>
      </c>
      <c r="S23" s="4">
        <v>451.78732983194402</v>
      </c>
    </row>
    <row r="24" spans="1:19" x14ac:dyDescent="0.25">
      <c r="A24" s="34" t="s">
        <v>101</v>
      </c>
      <c r="B24" s="4">
        <v>55.188000000000002</v>
      </c>
      <c r="C24" s="4">
        <v>292.24799999999999</v>
      </c>
      <c r="D24" s="4">
        <v>602.51400000000001</v>
      </c>
      <c r="E24" s="4">
        <v>629.40599999999995</v>
      </c>
      <c r="F24" s="4">
        <v>559.92599999999993</v>
      </c>
      <c r="G24" s="4">
        <v>459.49199999999996</v>
      </c>
      <c r="H24" s="4">
        <v>339.73199999999997</v>
      </c>
      <c r="I24" s="4">
        <v>216.822</v>
      </c>
      <c r="J24" s="4">
        <v>410.40599999999995</v>
      </c>
      <c r="K24" s="25">
        <v>35.436</v>
      </c>
      <c r="L24" s="4">
        <v>226.53000000000003</v>
      </c>
      <c r="M24" s="4">
        <v>552.64200000000005</v>
      </c>
      <c r="N24" s="4">
        <v>511.40999999999997</v>
      </c>
      <c r="O24" s="4">
        <v>606.66</v>
      </c>
      <c r="P24" s="4">
        <v>447.29999999999995</v>
      </c>
      <c r="Q24" s="4">
        <v>463.60199999999998</v>
      </c>
      <c r="R24" s="4">
        <v>411.96600000000001</v>
      </c>
      <c r="S24" s="4">
        <v>209.322</v>
      </c>
    </row>
    <row r="25" spans="1:19" x14ac:dyDescent="0.25">
      <c r="A25" s="34" t="s">
        <v>105</v>
      </c>
      <c r="B25" s="4"/>
      <c r="C25" s="4"/>
      <c r="D25" s="4"/>
      <c r="E25" s="4"/>
      <c r="F25" s="4"/>
      <c r="G25" s="4"/>
      <c r="H25" s="4"/>
      <c r="I25" s="4"/>
      <c r="J25" s="4"/>
      <c r="K25" s="25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34" t="s">
        <v>107</v>
      </c>
      <c r="B26" s="4">
        <v>17.700000000000003</v>
      </c>
      <c r="C26" s="4">
        <v>107.616</v>
      </c>
      <c r="D26" s="4">
        <v>199.84200000000001</v>
      </c>
      <c r="E26" s="4">
        <v>239.64600000000002</v>
      </c>
      <c r="F26" s="4">
        <v>222.63</v>
      </c>
      <c r="G26" s="4">
        <v>374.96999999999997</v>
      </c>
      <c r="H26" s="4">
        <v>428.88599999999997</v>
      </c>
      <c r="I26" s="4">
        <v>342.774</v>
      </c>
      <c r="J26" s="4">
        <v>201.28199999999998</v>
      </c>
      <c r="K26" s="25">
        <v>17.700000000000003</v>
      </c>
      <c r="L26" s="4">
        <v>65.891999999999996</v>
      </c>
      <c r="M26" s="4">
        <v>124.044</v>
      </c>
      <c r="N26" s="4">
        <v>227.928</v>
      </c>
      <c r="O26" s="4">
        <v>282.096</v>
      </c>
      <c r="P26" s="4">
        <v>363.92400000000004</v>
      </c>
      <c r="Q26" s="4">
        <v>213.726</v>
      </c>
      <c r="R26" s="4">
        <v>166.36199999999999</v>
      </c>
      <c r="S26" s="4">
        <v>125.73599999999999</v>
      </c>
    </row>
    <row r="27" spans="1:19" x14ac:dyDescent="0.25">
      <c r="A27" s="34" t="s">
        <v>110</v>
      </c>
      <c r="B27" s="4"/>
      <c r="C27" s="4"/>
      <c r="D27" s="4"/>
      <c r="E27" s="4"/>
      <c r="F27" s="4"/>
      <c r="G27" s="4"/>
      <c r="H27" s="4"/>
      <c r="I27" s="4"/>
      <c r="J27" s="4"/>
      <c r="K27" s="25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34" t="s">
        <v>111</v>
      </c>
      <c r="B28" s="4">
        <v>24.923999999999999</v>
      </c>
      <c r="C28" s="4">
        <v>168.94800000000001</v>
      </c>
      <c r="D28" s="4">
        <v>578.61599999999999</v>
      </c>
      <c r="E28" s="4">
        <v>459.62400000000002</v>
      </c>
      <c r="F28" s="4">
        <v>496.88399999999996</v>
      </c>
      <c r="G28" s="4">
        <v>484.75800000000004</v>
      </c>
      <c r="H28" s="4">
        <v>454.392</v>
      </c>
      <c r="I28" s="4">
        <v>365.46600000000001</v>
      </c>
      <c r="J28" s="4">
        <v>155.69400000000002</v>
      </c>
      <c r="K28" s="25">
        <v>31.362000000000002</v>
      </c>
      <c r="L28" s="4">
        <v>48.047999999999995</v>
      </c>
      <c r="M28" s="4">
        <v>292.67400000000004</v>
      </c>
      <c r="N28" s="4">
        <v>405.59400000000005</v>
      </c>
      <c r="O28" s="4">
        <v>563.93999999999994</v>
      </c>
      <c r="P28" s="4">
        <v>336.65999999999997</v>
      </c>
      <c r="Q28" s="4">
        <v>146.982</v>
      </c>
      <c r="R28" s="4">
        <v>170.58600000000001</v>
      </c>
      <c r="S28" s="4">
        <v>206.28000000000003</v>
      </c>
    </row>
    <row r="29" spans="1:19" x14ac:dyDescent="0.25">
      <c r="A29" s="34" t="s">
        <v>112</v>
      </c>
      <c r="B29" s="4">
        <v>34.209000000000003</v>
      </c>
      <c r="C29" s="4">
        <v>86.820000000000007</v>
      </c>
      <c r="D29" s="4">
        <v>229.31400000000002</v>
      </c>
      <c r="E29" s="4">
        <v>329.65800000000002</v>
      </c>
      <c r="F29" s="4">
        <v>378.666</v>
      </c>
      <c r="G29" s="4">
        <v>272.69399999999996</v>
      </c>
      <c r="H29" s="4">
        <v>115.71000000000001</v>
      </c>
      <c r="I29" s="4">
        <v>88.62</v>
      </c>
      <c r="J29" s="4">
        <v>84.713999999999999</v>
      </c>
      <c r="K29" s="25">
        <v>26.357999999999997</v>
      </c>
      <c r="L29" s="4">
        <v>238.82999999999998</v>
      </c>
      <c r="M29" s="4">
        <v>369.07799999999997</v>
      </c>
      <c r="N29" s="4">
        <v>428.43600000000004</v>
      </c>
      <c r="O29" s="4">
        <v>341.84399999999999</v>
      </c>
      <c r="P29" s="4">
        <v>220.14</v>
      </c>
      <c r="Q29" s="4">
        <v>204.13200000000001</v>
      </c>
      <c r="R29" s="4">
        <v>144.55199999999999</v>
      </c>
      <c r="S29" s="4">
        <v>179.71799999999999</v>
      </c>
    </row>
  </sheetData>
  <mergeCells count="2">
    <mergeCell ref="B1:J1"/>
    <mergeCell ref="K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35FF-11AD-4E04-9F66-27FE71B91FC2}">
  <dimension ref="A1:AJ29"/>
  <sheetViews>
    <sheetView tabSelected="1" zoomScale="80" zoomScaleNormal="80" workbookViewId="0">
      <selection activeCell="F39" sqref="F39"/>
    </sheetView>
  </sheetViews>
  <sheetFormatPr defaultRowHeight="15" x14ac:dyDescent="0.25"/>
  <cols>
    <col min="1" max="1" width="19.140625" customWidth="1"/>
    <col min="2" max="2" width="14.5703125" style="22" bestFit="1" customWidth="1"/>
    <col min="3" max="3" width="10.7109375" bestFit="1" customWidth="1"/>
    <col min="5" max="5" width="10.5703125" bestFit="1" customWidth="1"/>
    <col min="7" max="7" width="10.140625" bestFit="1" customWidth="1"/>
    <col min="8" max="8" width="21.28515625" bestFit="1" customWidth="1"/>
    <col min="9" max="9" width="23.5703125" bestFit="1" customWidth="1"/>
    <col min="10" max="10" width="28.5703125" bestFit="1" customWidth="1"/>
    <col min="11" max="11" width="30.28515625" bestFit="1" customWidth="1"/>
    <col min="12" max="12" width="19" bestFit="1" customWidth="1"/>
    <col min="13" max="13" width="20.85546875" bestFit="1" customWidth="1"/>
    <col min="14" max="14" width="19" bestFit="1" customWidth="1"/>
    <col min="15" max="15" width="20.28515625" bestFit="1" customWidth="1"/>
    <col min="16" max="16" width="12.5703125" customWidth="1"/>
    <col min="17" max="17" width="15.7109375" bestFit="1" customWidth="1"/>
    <col min="18" max="18" width="15.140625" bestFit="1" customWidth="1"/>
    <col min="19" max="19" width="14.28515625" style="22" bestFit="1" customWidth="1"/>
    <col min="20" max="20" width="10.5703125" bestFit="1" customWidth="1"/>
    <col min="22" max="22" width="10.42578125" bestFit="1" customWidth="1"/>
    <col min="23" max="23" width="8.42578125" bestFit="1" customWidth="1"/>
    <col min="24" max="24" width="10" bestFit="1" customWidth="1"/>
    <col min="25" max="25" width="21.85546875" bestFit="1" customWidth="1"/>
    <col min="26" max="26" width="24.140625" bestFit="1" customWidth="1"/>
    <col min="27" max="27" width="22" bestFit="1" customWidth="1"/>
    <col min="28" max="28" width="23.28515625" bestFit="1" customWidth="1"/>
    <col min="29" max="29" width="20.5703125" bestFit="1" customWidth="1"/>
    <col min="30" max="30" width="22.7109375" bestFit="1" customWidth="1"/>
    <col min="31" max="31" width="10.42578125" bestFit="1" customWidth="1"/>
    <col min="32" max="32" width="21.42578125" bestFit="1" customWidth="1"/>
    <col min="33" max="33" width="10.42578125" bestFit="1" customWidth="1"/>
    <col min="34" max="34" width="16.28515625" bestFit="1" customWidth="1"/>
    <col min="35" max="35" width="15.7109375" bestFit="1" customWidth="1"/>
  </cols>
  <sheetData>
    <row r="1" spans="1:36" x14ac:dyDescent="0.25">
      <c r="B1" s="23" t="s">
        <v>127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2"/>
      <c r="S1" s="23" t="s">
        <v>35</v>
      </c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x14ac:dyDescent="0.25">
      <c r="A2" s="1" t="s">
        <v>0</v>
      </c>
      <c r="B2" s="19" t="s">
        <v>34</v>
      </c>
      <c r="C2" s="3" t="s">
        <v>16</v>
      </c>
      <c r="D2" s="3" t="s">
        <v>31</v>
      </c>
      <c r="E2" s="3" t="s">
        <v>17</v>
      </c>
      <c r="F2" s="3" t="s">
        <v>18</v>
      </c>
      <c r="G2" s="3" t="s">
        <v>32</v>
      </c>
      <c r="H2" s="3" t="s">
        <v>115</v>
      </c>
      <c r="I2" s="3" t="s">
        <v>116</v>
      </c>
      <c r="J2" s="3" t="s">
        <v>117</v>
      </c>
      <c r="K2" s="3" t="s">
        <v>118</v>
      </c>
      <c r="L2" s="3" t="s">
        <v>119</v>
      </c>
      <c r="M2" s="3" t="s">
        <v>120</v>
      </c>
      <c r="N2" s="3" t="s">
        <v>121</v>
      </c>
      <c r="O2" s="3" t="s">
        <v>122</v>
      </c>
      <c r="P2" s="3" t="s">
        <v>123</v>
      </c>
      <c r="Q2" s="3" t="s">
        <v>124</v>
      </c>
      <c r="R2" s="3" t="s">
        <v>125</v>
      </c>
      <c r="S2" s="19" t="s">
        <v>34</v>
      </c>
      <c r="T2" s="3" t="s">
        <v>16</v>
      </c>
      <c r="U2" s="3" t="s">
        <v>31</v>
      </c>
      <c r="V2" s="3" t="s">
        <v>17</v>
      </c>
      <c r="W2" s="3" t="s">
        <v>18</v>
      </c>
      <c r="X2" s="3" t="s">
        <v>32</v>
      </c>
      <c r="Y2" s="7" t="s">
        <v>115</v>
      </c>
      <c r="Z2" s="9" t="s">
        <v>116</v>
      </c>
      <c r="AA2" s="10" t="s">
        <v>117</v>
      </c>
      <c r="AB2" s="3" t="s">
        <v>118</v>
      </c>
      <c r="AC2" s="3" t="s">
        <v>119</v>
      </c>
      <c r="AD2" s="3" t="s">
        <v>120</v>
      </c>
      <c r="AE2" s="3" t="s">
        <v>121</v>
      </c>
      <c r="AF2" s="3" t="s">
        <v>122</v>
      </c>
      <c r="AG2" s="3" t="s">
        <v>123</v>
      </c>
      <c r="AH2" s="3" t="s">
        <v>124</v>
      </c>
      <c r="AI2" s="3" t="s">
        <v>125</v>
      </c>
      <c r="AJ2" s="3"/>
    </row>
    <row r="3" spans="1:36" x14ac:dyDescent="0.25">
      <c r="A3" s="35" t="s">
        <v>6</v>
      </c>
      <c r="B3" s="21">
        <f>88.6-13.6</f>
        <v>75</v>
      </c>
      <c r="C3" s="2">
        <v>1.84</v>
      </c>
      <c r="D3" s="5">
        <f>B3/(C3*C3)</f>
        <v>22.152646502835537</v>
      </c>
      <c r="E3" s="5">
        <f>(92+91.2)/2</f>
        <v>91.6</v>
      </c>
      <c r="F3" s="5">
        <f>(104.5+104.5)/2</f>
        <v>104.5</v>
      </c>
      <c r="G3" s="6">
        <f>E3/F3</f>
        <v>0.87655502392344498</v>
      </c>
      <c r="H3" s="5">
        <v>9.5332000000000008</v>
      </c>
      <c r="I3" s="5">
        <v>27.752400000000002</v>
      </c>
      <c r="J3" s="5">
        <v>12.6912</v>
      </c>
      <c r="K3" s="5">
        <v>52.988199999999999</v>
      </c>
      <c r="L3" s="5">
        <v>1.607</v>
      </c>
      <c r="M3" s="5">
        <v>10.7095</v>
      </c>
      <c r="N3" s="5">
        <v>3.3581000000000003</v>
      </c>
      <c r="O3" s="5">
        <v>16.668099999999999</v>
      </c>
      <c r="P3" s="5">
        <v>23.1</v>
      </c>
      <c r="Q3" s="5">
        <v>2.2989999999999999</v>
      </c>
      <c r="R3" s="5">
        <v>2.11</v>
      </c>
      <c r="S3" s="20">
        <v>75.8</v>
      </c>
      <c r="T3" s="6">
        <v>1.84</v>
      </c>
      <c r="U3" s="6">
        <f>S3/(T3*T3)</f>
        <v>22.388941398865782</v>
      </c>
      <c r="V3" s="5">
        <v>87.5</v>
      </c>
      <c r="W3" s="5">
        <v>94.15</v>
      </c>
      <c r="X3" s="6">
        <f>V3/W3</f>
        <v>0.92936802973977695</v>
      </c>
      <c r="Y3" s="5">
        <v>8.9237000000000002</v>
      </c>
      <c r="Z3" s="5">
        <v>25.8613</v>
      </c>
      <c r="AA3" s="5">
        <v>12.6503</v>
      </c>
      <c r="AB3" s="5">
        <v>50.5871</v>
      </c>
      <c r="AC3" s="5">
        <v>1.9684999999999999</v>
      </c>
      <c r="AD3" s="5">
        <v>13.5336</v>
      </c>
      <c r="AE3" s="5">
        <v>4.4462000000000002</v>
      </c>
      <c r="AF3" s="5">
        <v>20.985799999999998</v>
      </c>
      <c r="AG3" s="5">
        <v>28.3</v>
      </c>
      <c r="AH3" s="5">
        <v>2.8340000000000001</v>
      </c>
      <c r="AI3" s="5">
        <v>2.5870000000000002</v>
      </c>
    </row>
    <row r="4" spans="1:36" x14ac:dyDescent="0.25">
      <c r="A4" s="35" t="s">
        <v>7</v>
      </c>
      <c r="B4" s="21">
        <f>89-16.2</f>
        <v>72.8</v>
      </c>
      <c r="C4" s="2">
        <v>1.641</v>
      </c>
      <c r="D4" s="5">
        <f t="shared" ref="D4:D10" si="0">B4/(C4*C4)</f>
        <v>27.034243251001438</v>
      </c>
      <c r="E4" s="5">
        <f>(92.2+92)/2</f>
        <v>92.1</v>
      </c>
      <c r="F4" s="5">
        <f>(108+109)/2</f>
        <v>108.5</v>
      </c>
      <c r="G4" s="6">
        <f t="shared" ref="G4:G29" si="1">E4/F4</f>
        <v>0.84884792626728101</v>
      </c>
      <c r="H4" s="5">
        <v>3.7129000000000003</v>
      </c>
      <c r="I4" s="5">
        <v>19.114699999999999</v>
      </c>
      <c r="J4" s="5">
        <v>9.187599999999998</v>
      </c>
      <c r="K4" s="5">
        <v>34.863500000000002</v>
      </c>
      <c r="L4" s="5">
        <v>3.9853999999999998</v>
      </c>
      <c r="M4" s="5">
        <v>17.636700000000001</v>
      </c>
      <c r="N4" s="5">
        <v>11.423999999999999</v>
      </c>
      <c r="O4" s="5">
        <v>33.995800000000003</v>
      </c>
      <c r="P4" s="5">
        <v>47.9</v>
      </c>
      <c r="Q4" s="5">
        <v>2.7389999999999999</v>
      </c>
      <c r="R4" s="5">
        <v>5.7110000000000003</v>
      </c>
      <c r="S4" s="21">
        <v>72.599999999999994</v>
      </c>
      <c r="T4" s="2">
        <v>1.641</v>
      </c>
      <c r="U4" s="6">
        <f>S4/(T4*T4)</f>
        <v>26.959973351960222</v>
      </c>
      <c r="V4" s="2">
        <v>94.5</v>
      </c>
      <c r="W4" s="2">
        <v>109.5</v>
      </c>
      <c r="X4" s="6">
        <f>V4/W4</f>
        <v>0.86301369863013699</v>
      </c>
      <c r="Y4" s="5">
        <v>3.7080000000000002</v>
      </c>
      <c r="Z4" s="5">
        <v>19.667099999999998</v>
      </c>
      <c r="AA4" s="5">
        <v>9.1609999999999996</v>
      </c>
      <c r="AB4" s="5">
        <v>35.501300000000001</v>
      </c>
      <c r="AC4" s="5">
        <v>3.9474999999999998</v>
      </c>
      <c r="AD4" s="5">
        <v>17.395199999999999</v>
      </c>
      <c r="AE4" s="5">
        <v>6.1203000000000003</v>
      </c>
      <c r="AF4" s="5">
        <v>33.462199999999996</v>
      </c>
      <c r="AG4" s="5">
        <v>47.1</v>
      </c>
      <c r="AH4" s="5">
        <v>2.5390000000000001</v>
      </c>
      <c r="AI4" s="5">
        <v>5.5960000000000001</v>
      </c>
    </row>
    <row r="5" spans="1:36" x14ac:dyDescent="0.25">
      <c r="A5" s="35" t="s">
        <v>8</v>
      </c>
      <c r="B5" s="21">
        <v>83.8</v>
      </c>
      <c r="C5" s="2">
        <v>1.55</v>
      </c>
      <c r="D5" s="5">
        <f t="shared" si="0"/>
        <v>34.880332986472418</v>
      </c>
      <c r="E5" s="5">
        <v>98.25</v>
      </c>
      <c r="F5" s="5">
        <v>112</v>
      </c>
      <c r="G5" s="6">
        <f t="shared" si="1"/>
        <v>0.8772321428571429</v>
      </c>
      <c r="H5" s="5">
        <v>4.7054999999999998</v>
      </c>
      <c r="I5" s="5">
        <v>21.5306</v>
      </c>
      <c r="J5" s="5">
        <v>8.7255000000000003</v>
      </c>
      <c r="K5" s="5">
        <v>37.842199999999998</v>
      </c>
      <c r="L5" s="5">
        <v>3.8395999999999999</v>
      </c>
      <c r="M5" s="5">
        <v>21.145499999999998</v>
      </c>
      <c r="N5" s="5">
        <v>15.104100000000001</v>
      </c>
      <c r="O5" s="5">
        <v>41.079300000000003</v>
      </c>
      <c r="P5" s="5">
        <v>50.4</v>
      </c>
      <c r="Q5" s="5">
        <v>3.7440000000000002</v>
      </c>
      <c r="R5" s="5">
        <v>7.6479999999999997</v>
      </c>
      <c r="S5" s="21">
        <v>86.2</v>
      </c>
      <c r="T5" s="2">
        <v>1.55</v>
      </c>
      <c r="U5" s="6">
        <f>S5/(T5*T5)</f>
        <v>35.879292403746092</v>
      </c>
      <c r="V5" s="2">
        <v>97.5</v>
      </c>
      <c r="W5" s="2">
        <v>114.75</v>
      </c>
      <c r="X5" s="6">
        <f>V5/W5</f>
        <v>0.84967320261437906</v>
      </c>
      <c r="Y5" s="5">
        <v>4.6432000000000002</v>
      </c>
      <c r="Z5" s="5">
        <v>21.348500000000001</v>
      </c>
      <c r="AA5" s="5">
        <v>8.7684999999999995</v>
      </c>
      <c r="AB5" s="5">
        <v>37.743000000000002</v>
      </c>
      <c r="AC5" s="5">
        <v>4.3864999999999998</v>
      </c>
      <c r="AD5" s="5">
        <v>22.5152</v>
      </c>
      <c r="AE5" s="5">
        <v>15.920599999999999</v>
      </c>
      <c r="AF5" s="5">
        <v>43.8354</v>
      </c>
      <c r="AG5" s="5">
        <v>52.1</v>
      </c>
      <c r="AH5" s="5">
        <v>4.093</v>
      </c>
      <c r="AI5" s="5">
        <v>8.14</v>
      </c>
    </row>
    <row r="6" spans="1:36" x14ac:dyDescent="0.25">
      <c r="A6" s="35" t="s">
        <v>9</v>
      </c>
      <c r="B6" s="21">
        <v>86.4</v>
      </c>
      <c r="C6" s="2">
        <v>1.77</v>
      </c>
      <c r="D6" s="5">
        <f t="shared" si="0"/>
        <v>27.57828210284401</v>
      </c>
      <c r="E6" s="5">
        <v>99.75</v>
      </c>
      <c r="F6" s="5">
        <v>107.5</v>
      </c>
      <c r="G6" s="6">
        <f t="shared" si="1"/>
        <v>0.9279069767441861</v>
      </c>
      <c r="H6" s="5">
        <v>8.6970999999999989</v>
      </c>
      <c r="I6" s="5">
        <v>28.730499999999999</v>
      </c>
      <c r="J6" s="5">
        <v>13.662000000000001</v>
      </c>
      <c r="K6" s="5">
        <v>54.786999999999999</v>
      </c>
      <c r="L6" s="5">
        <v>3.1561000000000003</v>
      </c>
      <c r="M6" s="5">
        <v>16.554500000000001</v>
      </c>
      <c r="N6" s="5">
        <v>6.3963000000000001</v>
      </c>
      <c r="O6" s="5">
        <v>27.331799999999998</v>
      </c>
      <c r="P6" s="5">
        <v>32.4</v>
      </c>
      <c r="Q6" s="5">
        <v>3.0750000000000002</v>
      </c>
      <c r="R6" s="5">
        <v>3.8069999999999999</v>
      </c>
      <c r="S6" s="21">
        <v>85.4</v>
      </c>
      <c r="T6" s="2">
        <v>1.77</v>
      </c>
      <c r="U6" s="6">
        <f>S6/(T6*T6)</f>
        <v>27.259089022949983</v>
      </c>
      <c r="V6" s="2">
        <v>97.3</v>
      </c>
      <c r="W6" s="2">
        <v>106</v>
      </c>
      <c r="X6" s="6">
        <f>V6/W6</f>
        <v>0.91792452830188676</v>
      </c>
      <c r="Y6" s="5">
        <v>7.8810000000000002</v>
      </c>
      <c r="Z6" s="5">
        <v>26.295999999999999</v>
      </c>
      <c r="AA6" s="5">
        <v>12.3813</v>
      </c>
      <c r="AB6" s="5">
        <v>50.133099999999999</v>
      </c>
      <c r="AC6" s="5">
        <v>3.5206999999999997</v>
      </c>
      <c r="AD6" s="5">
        <v>19.549199999999999</v>
      </c>
      <c r="AE6" s="5">
        <v>7.2336999999999998</v>
      </c>
      <c r="AF6" s="5">
        <v>31.480799999999999</v>
      </c>
      <c r="AG6" s="5">
        <v>37.6</v>
      </c>
      <c r="AH6" s="5">
        <v>3.605</v>
      </c>
      <c r="AI6" s="5">
        <v>4.1319999999999997</v>
      </c>
    </row>
    <row r="7" spans="1:36" x14ac:dyDescent="0.25">
      <c r="A7" s="35" t="s">
        <v>10</v>
      </c>
      <c r="B7" s="21">
        <v>101</v>
      </c>
      <c r="C7" s="2">
        <v>1.7210000000000001</v>
      </c>
      <c r="D7" s="5">
        <f t="shared" si="0"/>
        <v>34.100412547466256</v>
      </c>
      <c r="E7" s="2">
        <v>113.7</v>
      </c>
      <c r="F7" s="2">
        <v>118</v>
      </c>
      <c r="G7" s="6">
        <f t="shared" si="1"/>
        <v>0.96355932203389838</v>
      </c>
      <c r="H7" s="5">
        <v>7.0183999999999997</v>
      </c>
      <c r="I7" s="5">
        <v>20.67</v>
      </c>
      <c r="J7" s="5">
        <v>10.509599999999999</v>
      </c>
      <c r="K7" s="5">
        <v>41.130600000000001</v>
      </c>
      <c r="L7" s="5">
        <v>7.0747999999999998</v>
      </c>
      <c r="M7" s="5">
        <v>27.7468</v>
      </c>
      <c r="N7" s="5">
        <v>18.724199999999996</v>
      </c>
      <c r="O7" s="5">
        <v>54.512300000000003</v>
      </c>
      <c r="P7" s="5">
        <v>55.6</v>
      </c>
      <c r="Q7" s="5">
        <v>4.6449999999999996</v>
      </c>
      <c r="R7" s="5">
        <v>7.0110000000000001</v>
      </c>
      <c r="S7" s="21">
        <v>103</v>
      </c>
      <c r="T7" s="2">
        <v>1.7210000000000001</v>
      </c>
      <c r="U7" s="6">
        <f>S7/(T7*T7)</f>
        <v>34.775668241475486</v>
      </c>
      <c r="V7" s="5">
        <v>107.25</v>
      </c>
      <c r="W7" s="5">
        <v>111</v>
      </c>
      <c r="X7" s="6">
        <f>V7/W7</f>
        <v>0.96621621621621623</v>
      </c>
      <c r="Y7" s="5">
        <v>6.5287000000000006</v>
      </c>
      <c r="Z7" s="5">
        <v>21.269400000000001</v>
      </c>
      <c r="AA7" s="5">
        <v>11.660500000000001</v>
      </c>
      <c r="AB7" s="5">
        <v>42.844900000000003</v>
      </c>
      <c r="AC7" s="5">
        <v>6.3452999999999991</v>
      </c>
      <c r="AD7" s="5">
        <v>27.677400000000002</v>
      </c>
      <c r="AE7" s="5">
        <v>19.619400000000002</v>
      </c>
      <c r="AF7" s="5">
        <v>54.783099999999997</v>
      </c>
      <c r="AG7" s="5">
        <v>54.8</v>
      </c>
      <c r="AH7" s="5">
        <v>4.1840000000000002</v>
      </c>
      <c r="AI7" s="5">
        <v>7.1710000000000003</v>
      </c>
    </row>
    <row r="8" spans="1:36" x14ac:dyDescent="0.25">
      <c r="A8" s="35" t="s">
        <v>11</v>
      </c>
      <c r="B8" s="21">
        <v>64.599999999999994</v>
      </c>
      <c r="C8" s="2">
        <v>1.581</v>
      </c>
      <c r="D8" s="5">
        <f t="shared" si="0"/>
        <v>25.844538300925642</v>
      </c>
      <c r="E8" s="2">
        <v>79.650000000000006</v>
      </c>
      <c r="F8" s="2">
        <v>107.9</v>
      </c>
      <c r="G8" s="6">
        <f t="shared" si="1"/>
        <v>0.73818350324374427</v>
      </c>
      <c r="H8" s="5">
        <v>4.0343999999999998</v>
      </c>
      <c r="I8" s="5">
        <v>16.329499999999999</v>
      </c>
      <c r="J8" s="5">
        <v>8.2192999999999987</v>
      </c>
      <c r="K8" s="5">
        <v>31.089299999999998</v>
      </c>
      <c r="L8" s="5">
        <v>3.4493</v>
      </c>
      <c r="M8" s="5">
        <v>13.471299999999999</v>
      </c>
      <c r="N8" s="5">
        <v>12.5441</v>
      </c>
      <c r="O8" s="5">
        <v>30.302799999999998</v>
      </c>
      <c r="P8" s="5">
        <v>47.9</v>
      </c>
      <c r="Q8" s="5">
        <v>2.3980000000000001</v>
      </c>
      <c r="R8" s="5">
        <v>5.7610000000000001</v>
      </c>
      <c r="S8" s="21">
        <v>63.8</v>
      </c>
      <c r="T8" s="2">
        <v>1.581</v>
      </c>
      <c r="U8" s="6">
        <f t="shared" ref="U8:U29" si="2">S8/(T8*T8)</f>
        <v>25.524482099056595</v>
      </c>
      <c r="V8" s="2">
        <v>77</v>
      </c>
      <c r="W8" s="2">
        <v>101.75</v>
      </c>
      <c r="X8" s="6">
        <f t="shared" ref="X8:X29" si="3">V8/W8</f>
        <v>0.7567567567567568</v>
      </c>
      <c r="Y8" s="5">
        <v>4.1805000000000003</v>
      </c>
      <c r="Z8" s="5">
        <v>16.912500000000001</v>
      </c>
      <c r="AA8" s="5">
        <v>7.1548999999999996</v>
      </c>
      <c r="AB8" s="5">
        <v>29.874099999999999</v>
      </c>
      <c r="AC8" s="5">
        <v>3.3881999999999999</v>
      </c>
      <c r="AD8" s="5">
        <v>13.3043</v>
      </c>
      <c r="AE8" s="5">
        <v>12.367100000000001</v>
      </c>
      <c r="AF8" s="5">
        <v>29.874099999999999</v>
      </c>
      <c r="AG8" s="5">
        <v>47.9</v>
      </c>
      <c r="AH8" s="5">
        <v>2.327</v>
      </c>
      <c r="AI8" s="5">
        <v>5.6029999999999998</v>
      </c>
    </row>
    <row r="9" spans="1:36" x14ac:dyDescent="0.25">
      <c r="A9" s="35" t="s">
        <v>63</v>
      </c>
      <c r="B9" s="21">
        <v>61.8</v>
      </c>
      <c r="C9" s="2">
        <v>1.5840000000000001</v>
      </c>
      <c r="D9" s="5">
        <f t="shared" si="0"/>
        <v>24.63077747168656</v>
      </c>
      <c r="E9" s="2">
        <v>72.5</v>
      </c>
      <c r="F9" s="2">
        <v>91.5</v>
      </c>
      <c r="G9" s="6">
        <f t="shared" si="1"/>
        <v>0.79234972677595628</v>
      </c>
      <c r="H9" s="5">
        <v>4.4203999999999999</v>
      </c>
      <c r="I9" s="5">
        <v>18.694400000000002</v>
      </c>
      <c r="J9" s="5">
        <v>9.2636000000000003</v>
      </c>
      <c r="K9" s="5">
        <v>35.481000000000002</v>
      </c>
      <c r="L9" s="5">
        <v>2.0758000000000001</v>
      </c>
      <c r="M9" s="5">
        <v>9.9344999999999999</v>
      </c>
      <c r="N9" s="5">
        <v>8.9319000000000006</v>
      </c>
      <c r="O9" s="5">
        <v>21.9739</v>
      </c>
      <c r="P9" s="5">
        <v>36.5</v>
      </c>
      <c r="Q9" s="5">
        <v>1.51</v>
      </c>
      <c r="R9" s="5">
        <v>4.3659999999999997</v>
      </c>
      <c r="S9" s="21">
        <v>60.8</v>
      </c>
      <c r="T9" s="2">
        <v>1.5840000000000001</v>
      </c>
      <c r="U9" s="6">
        <f t="shared" si="2"/>
        <v>24.232221201918168</v>
      </c>
      <c r="V9" s="5">
        <v>72.55</v>
      </c>
      <c r="W9" s="2">
        <v>97</v>
      </c>
      <c r="X9" s="6">
        <f t="shared" si="3"/>
        <v>0.74793814432989691</v>
      </c>
      <c r="Y9" s="5">
        <v>4.2565</v>
      </c>
      <c r="Z9" s="5">
        <v>16.2364</v>
      </c>
      <c r="AA9" s="5">
        <v>8.0393000000000008</v>
      </c>
      <c r="AB9" s="5">
        <v>31.4543</v>
      </c>
      <c r="AC9" s="5">
        <v>2.4273999999999996</v>
      </c>
      <c r="AD9" s="5">
        <v>11.873100000000001</v>
      </c>
      <c r="AE9" s="5">
        <v>9.7597999999999985</v>
      </c>
      <c r="AF9" s="5">
        <v>25.035900000000002</v>
      </c>
      <c r="AG9" s="5">
        <v>42.2</v>
      </c>
      <c r="AH9" s="5">
        <v>1.835</v>
      </c>
      <c r="AI9" s="5">
        <v>4.7050000000000001</v>
      </c>
    </row>
    <row r="10" spans="1:36" x14ac:dyDescent="0.25">
      <c r="A10" s="35" t="s">
        <v>64</v>
      </c>
      <c r="B10" s="21">
        <v>49.2</v>
      </c>
      <c r="C10" s="2">
        <v>1.5309999999999999</v>
      </c>
      <c r="D10" s="5">
        <f t="shared" si="0"/>
        <v>20.990110330333998</v>
      </c>
      <c r="E10" s="2">
        <v>77.5</v>
      </c>
      <c r="F10" s="2">
        <v>86.75</v>
      </c>
      <c r="G10" s="6">
        <f t="shared" si="1"/>
        <v>0.89337175792507206</v>
      </c>
      <c r="H10" s="5">
        <v>4.5523999999999996</v>
      </c>
      <c r="I10" s="5">
        <v>16.2807</v>
      </c>
      <c r="J10" s="5">
        <v>6.5968</v>
      </c>
      <c r="K10" s="5">
        <v>30.1829</v>
      </c>
      <c r="L10" s="5">
        <v>2.1588000000000003</v>
      </c>
      <c r="M10" s="5">
        <v>8.7659000000000002</v>
      </c>
      <c r="N10" s="5">
        <v>5.5</v>
      </c>
      <c r="O10" s="5">
        <v>17.3201</v>
      </c>
      <c r="P10" s="5">
        <v>35.200000000000003</v>
      </c>
      <c r="Q10" s="5">
        <v>1.276</v>
      </c>
      <c r="R10" s="5">
        <v>2.7269999999999999</v>
      </c>
      <c r="S10" s="21">
        <v>48</v>
      </c>
      <c r="T10" s="2">
        <v>1.5309999999999999</v>
      </c>
      <c r="U10" s="6">
        <f t="shared" si="2"/>
        <v>20.478156419838047</v>
      </c>
      <c r="V10" s="2">
        <v>75</v>
      </c>
      <c r="W10" s="2">
        <v>88.25</v>
      </c>
      <c r="X10" s="6">
        <f t="shared" si="3"/>
        <v>0.84985835694050993</v>
      </c>
      <c r="Y10" s="5">
        <v>3.7183999999999999</v>
      </c>
      <c r="Z10" s="5">
        <v>9.3032000000000004</v>
      </c>
      <c r="AA10" s="5">
        <v>5.9876000000000005</v>
      </c>
      <c r="AB10" s="5">
        <v>28.670900000000003</v>
      </c>
      <c r="AC10" s="5">
        <v>1.8092000000000001</v>
      </c>
      <c r="AD10" s="5">
        <v>9.3032000000000004</v>
      </c>
      <c r="AE10" s="5">
        <v>4.7751000000000001</v>
      </c>
      <c r="AF10" s="5">
        <v>16.7333</v>
      </c>
      <c r="AG10" s="5">
        <v>35.6</v>
      </c>
      <c r="AH10" s="5">
        <v>1.3109999999999999</v>
      </c>
      <c r="AI10" s="5">
        <v>2.58</v>
      </c>
    </row>
    <row r="11" spans="1:36" x14ac:dyDescent="0.25">
      <c r="A11" s="35" t="s">
        <v>70</v>
      </c>
      <c r="B11" s="21">
        <v>57</v>
      </c>
      <c r="C11" s="2">
        <v>1.73</v>
      </c>
      <c r="D11" s="5">
        <f>B11/(C11*C11)</f>
        <v>19.045073340238563</v>
      </c>
      <c r="E11" s="2">
        <v>66.5</v>
      </c>
      <c r="F11" s="2">
        <v>82.75</v>
      </c>
      <c r="G11" s="6">
        <f t="shared" si="1"/>
        <v>0.8036253776435045</v>
      </c>
      <c r="H11" s="5">
        <v>6.0486000000000004</v>
      </c>
      <c r="I11" s="5">
        <v>20.342200000000002</v>
      </c>
      <c r="J11" s="5">
        <v>6.8287000000000004</v>
      </c>
      <c r="K11" s="5">
        <v>36.884</v>
      </c>
      <c r="L11" s="5">
        <v>1.4983</v>
      </c>
      <c r="M11" s="5">
        <v>7.9077000000000002</v>
      </c>
      <c r="N11" s="5">
        <v>5.9478</v>
      </c>
      <c r="O11" s="5">
        <v>16.555700000000002</v>
      </c>
      <c r="P11" s="5">
        <v>29.6</v>
      </c>
      <c r="Q11" s="5">
        <v>1.3959999999999999</v>
      </c>
      <c r="R11" s="5">
        <v>2.754</v>
      </c>
      <c r="S11" s="21">
        <f>71.8-14.2</f>
        <v>57.599999999999994</v>
      </c>
      <c r="T11" s="2">
        <v>1.73</v>
      </c>
      <c r="U11" s="6">
        <f t="shared" si="2"/>
        <v>19.2455477964516</v>
      </c>
      <c r="V11" s="2">
        <v>66</v>
      </c>
      <c r="W11" s="2">
        <v>81.5</v>
      </c>
      <c r="X11" s="6">
        <f t="shared" si="3"/>
        <v>0.80981595092024539</v>
      </c>
      <c r="Y11" s="5">
        <v>5.8479999999999999</v>
      </c>
      <c r="Z11" s="5">
        <v>20.127599999999997</v>
      </c>
      <c r="AA11" s="5">
        <v>6.7228999999999992</v>
      </c>
      <c r="AB11" s="5">
        <v>36.4056</v>
      </c>
      <c r="AC11" s="5">
        <v>1.7249000000000001</v>
      </c>
      <c r="AD11" s="5">
        <v>8.3971</v>
      </c>
      <c r="AE11" s="5">
        <v>6.1566999999999998</v>
      </c>
      <c r="AF11" s="5">
        <v>17.492599999999999</v>
      </c>
      <c r="AG11" s="5">
        <v>31.1</v>
      </c>
      <c r="AH11" s="5">
        <v>1.431</v>
      </c>
      <c r="AI11" s="5">
        <v>2.8479999999999999</v>
      </c>
    </row>
    <row r="12" spans="1:36" x14ac:dyDescent="0.25">
      <c r="A12" s="35" t="s">
        <v>71</v>
      </c>
      <c r="B12" s="21">
        <v>86.4</v>
      </c>
      <c r="C12" s="2">
        <v>1.85</v>
      </c>
      <c r="D12" s="5">
        <f t="shared" ref="D12:D29" si="4">B12/(C12*C12)</f>
        <v>25.244704163623084</v>
      </c>
      <c r="E12" s="2">
        <v>92</v>
      </c>
      <c r="F12" s="2">
        <v>99.75</v>
      </c>
      <c r="G12" s="6">
        <f t="shared" si="1"/>
        <v>0.92230576441102752</v>
      </c>
      <c r="H12" s="5">
        <v>7.9085000000000001</v>
      </c>
      <c r="I12" s="5">
        <v>27.651799999999998</v>
      </c>
      <c r="J12" s="5">
        <v>12.8286</v>
      </c>
      <c r="K12" s="5">
        <v>51.998400000000004</v>
      </c>
      <c r="L12" s="5">
        <v>2.5926000000000005</v>
      </c>
      <c r="M12" s="5">
        <v>16.5184</v>
      </c>
      <c r="N12" s="5">
        <v>8.6679999999999993</v>
      </c>
      <c r="O12" s="5">
        <v>28.968499999999999</v>
      </c>
      <c r="P12" s="5">
        <v>34.4</v>
      </c>
      <c r="Q12" s="5">
        <v>2.972</v>
      </c>
      <c r="R12" s="5">
        <v>4.1820000000000004</v>
      </c>
      <c r="S12" s="21">
        <v>84.4</v>
      </c>
      <c r="T12" s="2">
        <v>1.85</v>
      </c>
      <c r="U12" s="6">
        <f t="shared" si="2"/>
        <v>24.660336011687363</v>
      </c>
      <c r="V12" s="2">
        <v>90.5</v>
      </c>
      <c r="W12" s="2">
        <v>105</v>
      </c>
      <c r="X12" s="6">
        <f t="shared" si="3"/>
        <v>0.86190476190476195</v>
      </c>
      <c r="Y12" s="5">
        <v>8.1127000000000002</v>
      </c>
      <c r="Z12" s="5">
        <v>28.617900000000002</v>
      </c>
      <c r="AA12" s="5">
        <v>12.480499999999999</v>
      </c>
      <c r="AB12" s="5">
        <v>52.8994</v>
      </c>
      <c r="AC12" s="5">
        <v>2.3881000000000006</v>
      </c>
      <c r="AD12" s="5">
        <v>14.942200000000001</v>
      </c>
      <c r="AE12" s="5">
        <v>7.5607999999999995</v>
      </c>
      <c r="AF12" s="5">
        <v>26.069900000000001</v>
      </c>
      <c r="AG12" s="5">
        <v>31.7</v>
      </c>
      <c r="AH12" s="5">
        <v>2.6579999999999999</v>
      </c>
      <c r="AI12" s="5">
        <v>3.7029999999999998</v>
      </c>
    </row>
    <row r="13" spans="1:36" x14ac:dyDescent="0.25">
      <c r="A13" s="35" t="s">
        <v>73</v>
      </c>
      <c r="B13" s="21">
        <v>87.8</v>
      </c>
      <c r="C13" s="2">
        <v>1.8</v>
      </c>
      <c r="D13" s="5">
        <f t="shared" si="4"/>
        <v>27.098765432098762</v>
      </c>
      <c r="E13" s="2">
        <v>93</v>
      </c>
      <c r="F13" s="2">
        <v>108.5</v>
      </c>
      <c r="G13" s="6">
        <f t="shared" si="1"/>
        <v>0.8571428571428571</v>
      </c>
      <c r="H13" s="5">
        <v>7.4080000000000004</v>
      </c>
      <c r="I13" s="5">
        <v>28.704699999999999</v>
      </c>
      <c r="J13" s="5">
        <v>14.5144</v>
      </c>
      <c r="K13" s="5">
        <v>54.092500000000001</v>
      </c>
      <c r="L13" s="5">
        <v>2.5799000000000003</v>
      </c>
      <c r="M13" s="5">
        <v>15.2377</v>
      </c>
      <c r="N13" s="5">
        <v>10.3964</v>
      </c>
      <c r="O13" s="5">
        <v>29.3492</v>
      </c>
      <c r="P13" s="5">
        <v>34.200000000000003</v>
      </c>
      <c r="Q13" s="5">
        <v>2.69</v>
      </c>
      <c r="R13" s="5">
        <v>4.4809999999999999</v>
      </c>
      <c r="S13" s="20">
        <v>86.8</v>
      </c>
      <c r="T13" s="5">
        <v>1.8</v>
      </c>
      <c r="U13" s="6">
        <f t="shared" si="2"/>
        <v>26.79012345679012</v>
      </c>
      <c r="V13" s="2">
        <v>91.5</v>
      </c>
      <c r="W13" s="2">
        <v>104.5</v>
      </c>
      <c r="X13" s="6">
        <f t="shared" si="3"/>
        <v>0.87559808612440193</v>
      </c>
      <c r="Y13" s="5">
        <v>7.2047999999999996</v>
      </c>
      <c r="Z13" s="5">
        <v>28.153400000000001</v>
      </c>
      <c r="AA13" s="5">
        <v>14.077599999999999</v>
      </c>
      <c r="AB13" s="5">
        <v>52.818300000000001</v>
      </c>
      <c r="AC13" s="5">
        <v>2.4531999999999998</v>
      </c>
      <c r="AD13" s="5">
        <v>15.445799999999998</v>
      </c>
      <c r="AE13" s="5">
        <v>10.526599999999998</v>
      </c>
      <c r="AF13" s="5">
        <v>29.539099999999998</v>
      </c>
      <c r="AG13" s="5">
        <v>34.799999999999997</v>
      </c>
      <c r="AH13" s="5">
        <v>2.6789999999999998</v>
      </c>
      <c r="AI13" s="5">
        <v>4.5839999999999996</v>
      </c>
    </row>
    <row r="14" spans="1:36" x14ac:dyDescent="0.25">
      <c r="A14" s="35" t="s">
        <v>76</v>
      </c>
      <c r="B14" s="21">
        <v>68.8</v>
      </c>
      <c r="C14" s="2">
        <v>1.66</v>
      </c>
      <c r="D14" s="5">
        <f t="shared" si="4"/>
        <v>24.967339236463928</v>
      </c>
      <c r="E14" s="2">
        <v>80.099999999999994</v>
      </c>
      <c r="F14" s="2">
        <v>99.75</v>
      </c>
      <c r="G14" s="6">
        <f t="shared" si="1"/>
        <v>0.80300751879699239</v>
      </c>
      <c r="H14" s="5">
        <v>4.2762999999999991</v>
      </c>
      <c r="I14" s="5">
        <v>18.5168</v>
      </c>
      <c r="J14" s="5">
        <v>6.8040000000000003</v>
      </c>
      <c r="K14" s="5">
        <v>32.441400000000002</v>
      </c>
      <c r="L14" s="5">
        <v>2.9842</v>
      </c>
      <c r="M14" s="5">
        <v>16.188800000000001</v>
      </c>
      <c r="N14" s="5">
        <v>12.091200000000001</v>
      </c>
      <c r="O14" s="5">
        <v>32.2241</v>
      </c>
      <c r="P14" s="5">
        <v>47.9</v>
      </c>
      <c r="Q14" s="5">
        <v>2.4860000000000002</v>
      </c>
      <c r="R14" s="5">
        <v>5.1180000000000003</v>
      </c>
      <c r="S14" s="21">
        <v>68</v>
      </c>
      <c r="T14" s="2">
        <v>1.66</v>
      </c>
      <c r="U14" s="6">
        <f t="shared" si="2"/>
        <v>24.677021338365513</v>
      </c>
      <c r="V14" s="2">
        <v>80.099999999999994</v>
      </c>
      <c r="W14" s="5">
        <v>100.25</v>
      </c>
      <c r="X14" s="6">
        <f t="shared" si="3"/>
        <v>0.79900249376558596</v>
      </c>
      <c r="Y14" s="5">
        <v>4.2208000000000006</v>
      </c>
      <c r="Z14" s="5">
        <v>18.238400000000002</v>
      </c>
      <c r="AA14" s="5">
        <v>7.3873999999999995</v>
      </c>
      <c r="AB14" s="5">
        <v>32.601799999999997</v>
      </c>
      <c r="AC14" s="5">
        <v>2.8208000000000002</v>
      </c>
      <c r="AD14" s="5">
        <v>16.686599999999999</v>
      </c>
      <c r="AE14" s="5">
        <v>5.7401</v>
      </c>
      <c r="AF14" s="5">
        <v>32.275500000000001</v>
      </c>
      <c r="AG14" s="5">
        <v>47.8</v>
      </c>
      <c r="AH14" s="5">
        <v>2.4660000000000002</v>
      </c>
      <c r="AI14" s="5">
        <v>5.1420000000000003</v>
      </c>
    </row>
    <row r="15" spans="1:36" x14ac:dyDescent="0.25">
      <c r="A15" s="35" t="s">
        <v>77</v>
      </c>
      <c r="B15" s="21">
        <v>74.599999999999994</v>
      </c>
      <c r="C15" s="2">
        <v>1.798</v>
      </c>
      <c r="D15" s="5">
        <f t="shared" si="4"/>
        <v>23.075942741966415</v>
      </c>
      <c r="E15" s="2">
        <v>91</v>
      </c>
      <c r="F15" s="2">
        <v>97</v>
      </c>
      <c r="G15" s="6">
        <f t="shared" si="1"/>
        <v>0.93814432989690721</v>
      </c>
      <c r="H15" s="5">
        <v>6.499299999999999</v>
      </c>
      <c r="I15" s="5">
        <v>22.159500000000001</v>
      </c>
      <c r="J15" s="5">
        <v>8.367700000000001</v>
      </c>
      <c r="K15" s="5">
        <v>40.540399999999998</v>
      </c>
      <c r="L15" s="5">
        <v>2.0944000000000003</v>
      </c>
      <c r="M15" s="5">
        <v>29.545099999999998</v>
      </c>
      <c r="N15" s="5">
        <v>9.2222999999999988</v>
      </c>
      <c r="O15" s="5">
        <v>29.545099999999998</v>
      </c>
      <c r="P15" s="5">
        <v>40.5</v>
      </c>
      <c r="Q15" s="5">
        <v>3.431</v>
      </c>
      <c r="R15" s="5">
        <v>4.2830000000000004</v>
      </c>
      <c r="S15" s="21">
        <v>75.2</v>
      </c>
      <c r="T15" s="2">
        <v>1.798</v>
      </c>
      <c r="U15" s="6">
        <f>S15/(T15*T15)</f>
        <v>23.261540136673922</v>
      </c>
      <c r="V15" s="2">
        <v>89</v>
      </c>
      <c r="W15" s="2">
        <v>98</v>
      </c>
      <c r="X15" s="6">
        <f>V15/W15</f>
        <v>0.90816326530612246</v>
      </c>
      <c r="Y15" s="5">
        <v>6.6303000000000001</v>
      </c>
      <c r="Z15" s="5">
        <v>21.237200000000001</v>
      </c>
      <c r="AA15" s="5">
        <v>8.3267000000000007</v>
      </c>
      <c r="AB15" s="5">
        <v>39.731999999999999</v>
      </c>
      <c r="AC15" s="5">
        <v>3.5365000000000002</v>
      </c>
      <c r="AD15" s="5">
        <v>16.964500000000001</v>
      </c>
      <c r="AE15" s="5">
        <v>9.4154999999999998</v>
      </c>
      <c r="AF15" s="5">
        <v>31.0868</v>
      </c>
      <c r="AG15" s="5">
        <v>42.2</v>
      </c>
      <c r="AH15" s="5">
        <v>3.5649999999999999</v>
      </c>
      <c r="AI15" s="5">
        <v>4.4470000000000001</v>
      </c>
    </row>
    <row r="16" spans="1:36" x14ac:dyDescent="0.25">
      <c r="A16" s="35" t="s">
        <v>78</v>
      </c>
      <c r="B16" s="21">
        <v>45.2</v>
      </c>
      <c r="C16" s="2">
        <v>1.595</v>
      </c>
      <c r="D16" s="5">
        <f t="shared" si="4"/>
        <v>17.767120999204018</v>
      </c>
      <c r="E16" s="2">
        <v>59.25</v>
      </c>
      <c r="F16" s="2">
        <v>87.5</v>
      </c>
      <c r="G16" s="6">
        <f t="shared" si="1"/>
        <v>0.67714285714285716</v>
      </c>
      <c r="H16" s="5">
        <v>3.8673999999999995</v>
      </c>
      <c r="I16" s="5">
        <v>14.4315</v>
      </c>
      <c r="J16" s="5">
        <v>7.0851999999999995</v>
      </c>
      <c r="K16" s="5">
        <v>28.015000000000001</v>
      </c>
      <c r="L16" s="5">
        <v>1.5914999999999999</v>
      </c>
      <c r="M16" s="5">
        <v>5.0198999999999998</v>
      </c>
      <c r="N16" s="5">
        <v>6.7257000000000007</v>
      </c>
      <c r="O16" s="5">
        <v>14.2057</v>
      </c>
      <c r="P16" s="5">
        <v>32.200000000000003</v>
      </c>
      <c r="Q16" s="5">
        <v>0.75700000000000001</v>
      </c>
      <c r="R16" s="5">
        <v>2.7639999999999998</v>
      </c>
      <c r="S16" s="21">
        <v>46.2</v>
      </c>
      <c r="T16" s="2">
        <v>1.595</v>
      </c>
      <c r="U16" s="5">
        <f t="shared" si="2"/>
        <v>18.160198897416496</v>
      </c>
      <c r="V16" s="2">
        <v>61.1</v>
      </c>
      <c r="W16" s="2">
        <v>87</v>
      </c>
      <c r="X16" s="6">
        <f t="shared" si="3"/>
        <v>0.70229885057471264</v>
      </c>
      <c r="Y16" s="5">
        <v>3.7123999999999997</v>
      </c>
      <c r="Z16" s="5">
        <v>15.176</v>
      </c>
      <c r="AA16" s="5">
        <v>7.2527000000000008</v>
      </c>
      <c r="AB16" s="5">
        <v>28.892599999999998</v>
      </c>
      <c r="AC16" s="5">
        <v>1.4744999999999999</v>
      </c>
      <c r="AD16" s="5">
        <v>5.1509999999999998</v>
      </c>
      <c r="AE16" s="5">
        <v>6.6277999999999997</v>
      </c>
      <c r="AF16" s="5">
        <v>14.219299999999999</v>
      </c>
      <c r="AG16" s="5">
        <v>31.6</v>
      </c>
      <c r="AH16" s="5">
        <v>0.755</v>
      </c>
      <c r="AI16" s="5">
        <v>2.8330000000000002</v>
      </c>
    </row>
    <row r="17" spans="1:35" x14ac:dyDescent="0.25">
      <c r="A17" s="35" t="s">
        <v>79</v>
      </c>
      <c r="B17" s="21">
        <v>62.8</v>
      </c>
      <c r="C17" s="2">
        <v>1.87</v>
      </c>
      <c r="D17" s="5">
        <f t="shared" si="4"/>
        <v>17.958763476221794</v>
      </c>
      <c r="E17" s="2">
        <v>73</v>
      </c>
      <c r="F17" s="2">
        <v>85.25</v>
      </c>
      <c r="G17" s="6">
        <f t="shared" si="1"/>
        <v>0.85630498533724342</v>
      </c>
      <c r="H17" s="5">
        <v>7.1386000000000003</v>
      </c>
      <c r="I17" s="5">
        <v>24.1038</v>
      </c>
      <c r="J17" s="5">
        <v>12.1526</v>
      </c>
      <c r="K17" s="5">
        <v>46.829900000000002</v>
      </c>
      <c r="L17" s="5">
        <v>1.2489000000000001</v>
      </c>
      <c r="M17" s="5">
        <v>5.548</v>
      </c>
      <c r="N17" s="5">
        <v>4.0602999999999998</v>
      </c>
      <c r="O17" s="5">
        <v>11.979700000000001</v>
      </c>
      <c r="P17" s="5">
        <v>19.7</v>
      </c>
      <c r="Q17" s="5">
        <v>0.755</v>
      </c>
      <c r="R17" s="5">
        <v>1.885</v>
      </c>
      <c r="S17" s="21">
        <v>60.2</v>
      </c>
      <c r="T17" s="2">
        <v>1.87</v>
      </c>
      <c r="U17" s="5">
        <f t="shared" si="2"/>
        <v>17.215247790900509</v>
      </c>
      <c r="V17" s="2">
        <v>68.25</v>
      </c>
      <c r="W17" s="2">
        <v>88</v>
      </c>
      <c r="X17" s="6">
        <f t="shared" si="3"/>
        <v>0.77556818181818177</v>
      </c>
      <c r="Y17" s="5">
        <v>6.7897999999999996</v>
      </c>
      <c r="Z17" s="5">
        <v>23.803900000000002</v>
      </c>
      <c r="AA17" s="5">
        <v>11.716900000000001</v>
      </c>
      <c r="AB17" s="5">
        <v>45.331000000000003</v>
      </c>
      <c r="AC17" s="5">
        <v>1.1529</v>
      </c>
      <c r="AD17" s="5">
        <v>5.2976000000000001</v>
      </c>
      <c r="AE17" s="5">
        <v>3.6150000000000002</v>
      </c>
      <c r="AF17" s="5">
        <v>11.047700000000001</v>
      </c>
      <c r="AG17" s="5">
        <v>19</v>
      </c>
      <c r="AH17" s="5">
        <v>0.66</v>
      </c>
      <c r="AI17" s="5">
        <v>1.7490000000000001</v>
      </c>
    </row>
    <row r="18" spans="1:35" x14ac:dyDescent="0.25">
      <c r="A18" s="35" t="s">
        <v>81</v>
      </c>
      <c r="B18" s="21">
        <v>84.2</v>
      </c>
      <c r="C18" s="2">
        <v>1.71</v>
      </c>
      <c r="D18" s="5">
        <f t="shared" si="4"/>
        <v>28.795184843199621</v>
      </c>
      <c r="E18" s="2">
        <v>84</v>
      </c>
      <c r="F18" s="2">
        <v>107</v>
      </c>
      <c r="G18" s="6">
        <f t="shared" si="1"/>
        <v>0.78504672897196259</v>
      </c>
      <c r="H18" s="5">
        <v>5.1288999999999998</v>
      </c>
      <c r="I18" s="5">
        <v>21.824200000000001</v>
      </c>
      <c r="J18" s="5">
        <v>13.36</v>
      </c>
      <c r="K18" s="5">
        <v>43.606499999999997</v>
      </c>
      <c r="L18" s="5">
        <v>3.7039</v>
      </c>
      <c r="M18" s="5">
        <v>17.673099999999998</v>
      </c>
      <c r="N18" s="5">
        <v>14.107299999999999</v>
      </c>
      <c r="O18" s="5">
        <v>36.585300000000004</v>
      </c>
      <c r="P18" s="5">
        <v>44.2</v>
      </c>
      <c r="Q18" s="5">
        <v>2.823</v>
      </c>
      <c r="R18" s="5">
        <v>6.1669999999999998</v>
      </c>
      <c r="S18" s="21">
        <v>83.4</v>
      </c>
      <c r="T18" s="2">
        <v>1.71</v>
      </c>
      <c r="U18" s="5">
        <f t="shared" si="2"/>
        <v>28.521596388632403</v>
      </c>
      <c r="V18" s="5">
        <v>81.75</v>
      </c>
      <c r="W18" s="2">
        <v>106</v>
      </c>
      <c r="X18" s="6">
        <f t="shared" si="3"/>
        <v>0.77122641509433965</v>
      </c>
      <c r="Y18" s="5">
        <v>5.6552999999999995</v>
      </c>
      <c r="Z18" s="5">
        <v>22.074300000000001</v>
      </c>
      <c r="AA18" s="5">
        <v>13.3307</v>
      </c>
      <c r="AB18" s="5">
        <v>44.206199999999995</v>
      </c>
      <c r="AC18" s="5">
        <v>3.5369999999999999</v>
      </c>
      <c r="AD18" s="5">
        <v>16.653700000000001</v>
      </c>
      <c r="AE18" s="5">
        <v>13.528799999999999</v>
      </c>
      <c r="AF18" s="5">
        <v>34.778599999999997</v>
      </c>
      <c r="AG18" s="5">
        <v>42.6</v>
      </c>
      <c r="AH18" s="5">
        <v>2.6179999999999999</v>
      </c>
      <c r="AI18" s="5">
        <v>6.0389999999999997</v>
      </c>
    </row>
    <row r="19" spans="1:35" x14ac:dyDescent="0.25">
      <c r="A19" s="35" t="s">
        <v>84</v>
      </c>
      <c r="B19" s="21">
        <v>81.599999999999994</v>
      </c>
      <c r="C19" s="2">
        <v>1.752</v>
      </c>
      <c r="D19" s="5">
        <f t="shared" si="4"/>
        <v>26.584099580909488</v>
      </c>
      <c r="E19" s="2">
        <v>98.5</v>
      </c>
      <c r="F19" s="2">
        <v>103.85</v>
      </c>
      <c r="G19" s="6">
        <f t="shared" si="1"/>
        <v>0.9484833895040925</v>
      </c>
      <c r="H19" s="5">
        <v>6.0952999999999991</v>
      </c>
      <c r="I19" s="5">
        <v>25.677250000000001</v>
      </c>
      <c r="J19" s="5">
        <v>11.0587</v>
      </c>
      <c r="K19" s="5">
        <v>46.587800000000001</v>
      </c>
      <c r="L19" s="5">
        <v>3.3384</v>
      </c>
      <c r="M19" s="5">
        <v>17.9815</v>
      </c>
      <c r="N19" s="5">
        <v>8.1737000000000002</v>
      </c>
      <c r="O19" s="5">
        <v>30.724299999999999</v>
      </c>
      <c r="P19" s="5">
        <v>38.5</v>
      </c>
      <c r="Q19" s="5">
        <v>3.5369999999999999</v>
      </c>
      <c r="R19" s="5">
        <v>3.649</v>
      </c>
      <c r="S19" s="21">
        <v>81.8</v>
      </c>
      <c r="T19" s="2">
        <v>1.752</v>
      </c>
      <c r="U19" s="5">
        <f t="shared" si="2"/>
        <v>26.649256687725444</v>
      </c>
      <c r="V19" s="2">
        <v>92.25</v>
      </c>
      <c r="W19" s="2">
        <v>105</v>
      </c>
      <c r="X19" s="6">
        <f t="shared" si="3"/>
        <v>0.87857142857142856</v>
      </c>
      <c r="Y19" s="5">
        <v>6.0952999999999991</v>
      </c>
      <c r="Z19" s="5">
        <v>11.0587</v>
      </c>
      <c r="AA19" s="5">
        <v>25.772500000000001</v>
      </c>
      <c r="AB19" s="5">
        <v>46.587800000000001</v>
      </c>
      <c r="AC19" s="5">
        <v>3.3384</v>
      </c>
      <c r="AD19" s="5">
        <v>17.9815</v>
      </c>
      <c r="AE19" s="5">
        <v>8.1737000000000002</v>
      </c>
      <c r="AF19" s="5">
        <v>30.724299999999999</v>
      </c>
      <c r="AG19" s="5">
        <v>38.5</v>
      </c>
      <c r="AH19" s="5">
        <v>3.5369999999999999</v>
      </c>
      <c r="AI19" s="5">
        <v>3.649</v>
      </c>
    </row>
    <row r="20" spans="1:35" x14ac:dyDescent="0.25">
      <c r="A20" s="35" t="s">
        <v>85</v>
      </c>
      <c r="B20" s="21">
        <v>82</v>
      </c>
      <c r="C20" s="2">
        <v>1.66</v>
      </c>
      <c r="D20" s="5">
        <f t="shared" si="4"/>
        <v>29.757584555087824</v>
      </c>
      <c r="E20" s="2">
        <v>94.25</v>
      </c>
      <c r="F20" s="2">
        <v>99.5</v>
      </c>
      <c r="G20" s="6">
        <f t="shared" si="1"/>
        <v>0.94723618090452266</v>
      </c>
      <c r="H20" s="5">
        <v>8.4730000000000008</v>
      </c>
      <c r="I20" s="5">
        <v>26.997299999999999</v>
      </c>
      <c r="J20" s="5">
        <v>9.8262</v>
      </c>
      <c r="K20" s="5">
        <v>47.480899999999998</v>
      </c>
      <c r="L20" s="5">
        <v>2.7399</v>
      </c>
      <c r="M20" s="5">
        <v>17.193000000000001</v>
      </c>
      <c r="N20" s="5">
        <v>8.6707000000000001</v>
      </c>
      <c r="O20" s="5">
        <v>29.695</v>
      </c>
      <c r="P20" s="5">
        <v>37.9</v>
      </c>
      <c r="Q20" s="5">
        <v>3.2690000000000001</v>
      </c>
      <c r="R20" s="5">
        <v>4.0369999999999999</v>
      </c>
      <c r="S20" s="21">
        <v>83.6</v>
      </c>
      <c r="T20" s="2">
        <v>1.66</v>
      </c>
      <c r="U20" s="5">
        <f t="shared" si="2"/>
        <v>30.338220351284658</v>
      </c>
      <c r="V20" s="2">
        <v>96.5</v>
      </c>
      <c r="W20" s="2">
        <v>100</v>
      </c>
      <c r="X20" s="6">
        <f t="shared" si="3"/>
        <v>0.96499999999999997</v>
      </c>
      <c r="Y20" s="5">
        <v>8.1892999999999994</v>
      </c>
      <c r="Z20" s="5">
        <v>27.8767</v>
      </c>
      <c r="AA20" s="5">
        <v>8.8019999999999996</v>
      </c>
      <c r="AB20" s="5">
        <v>48.206000000000003</v>
      </c>
      <c r="AC20" s="5">
        <v>2.7725999999999997</v>
      </c>
      <c r="AD20" s="5">
        <v>18.408300000000001</v>
      </c>
      <c r="AE20" s="5">
        <v>8.0723000000000003</v>
      </c>
      <c r="AF20" s="5">
        <v>30.373099999999997</v>
      </c>
      <c r="AG20" s="5">
        <v>37.4</v>
      </c>
      <c r="AH20" s="5">
        <v>3.36</v>
      </c>
      <c r="AI20" s="5">
        <v>3.976</v>
      </c>
    </row>
    <row r="21" spans="1:35" x14ac:dyDescent="0.25">
      <c r="A21" s="35" t="s">
        <v>90</v>
      </c>
      <c r="B21" s="21">
        <v>71.400000000000006</v>
      </c>
      <c r="C21" s="2">
        <v>1.72</v>
      </c>
      <c r="D21" s="5">
        <f t="shared" si="4"/>
        <v>24.134667387777181</v>
      </c>
      <c r="E21" s="2">
        <v>83</v>
      </c>
      <c r="F21" s="2">
        <v>107</v>
      </c>
      <c r="G21" s="6">
        <f t="shared" si="1"/>
        <v>0.77570093457943923</v>
      </c>
      <c r="H21" s="5">
        <v>3.8264999999999998</v>
      </c>
      <c r="I21" s="5">
        <v>20.611799999999999</v>
      </c>
      <c r="J21" s="5">
        <v>9.3752999999999993</v>
      </c>
      <c r="K21" s="5">
        <v>36.630000000000003</v>
      </c>
      <c r="L21" s="5">
        <v>2.7949999999999999</v>
      </c>
      <c r="M21" s="5">
        <v>15.524299999999998</v>
      </c>
      <c r="N21" s="5">
        <v>11.4352</v>
      </c>
      <c r="O21" s="5">
        <v>30.701499999999999</v>
      </c>
      <c r="P21" s="5">
        <v>43.9</v>
      </c>
      <c r="Q21" s="5">
        <v>2.4540000000000002</v>
      </c>
      <c r="R21" s="5">
        <v>5.7549999999999999</v>
      </c>
      <c r="S21" s="21">
        <f>85-12.4</f>
        <v>72.599999999999994</v>
      </c>
      <c r="T21" s="2">
        <v>1.72</v>
      </c>
      <c r="U21" s="5">
        <f t="shared" si="2"/>
        <v>24.540292049756626</v>
      </c>
      <c r="V21" s="2">
        <v>85.25</v>
      </c>
      <c r="W21" s="2">
        <v>110.75</v>
      </c>
      <c r="X21" s="6">
        <f t="shared" si="3"/>
        <v>0.76975169300225732</v>
      </c>
      <c r="Y21" s="5">
        <v>3.7900999999999998</v>
      </c>
      <c r="Z21" s="5">
        <v>20.920300000000001</v>
      </c>
      <c r="AA21" s="5">
        <v>10.1592</v>
      </c>
      <c r="AB21" s="5">
        <v>37.697699999999998</v>
      </c>
      <c r="AC21" s="5">
        <v>2.8460999999999999</v>
      </c>
      <c r="AD21" s="5">
        <v>15.6997</v>
      </c>
      <c r="AE21" s="5">
        <v>11.2369</v>
      </c>
      <c r="AF21" s="5">
        <v>30.732700000000001</v>
      </c>
      <c r="AG21" s="5">
        <v>43.3</v>
      </c>
      <c r="AH21" s="5">
        <v>2.4940000000000002</v>
      </c>
      <c r="AI21" s="5">
        <v>5.7889999999999997</v>
      </c>
    </row>
    <row r="22" spans="1:35" x14ac:dyDescent="0.25">
      <c r="A22" s="35" t="s">
        <v>95</v>
      </c>
      <c r="B22" s="21">
        <v>80.8</v>
      </c>
      <c r="C22" s="2">
        <v>1.61</v>
      </c>
      <c r="D22" s="5">
        <f t="shared" si="4"/>
        <v>31.17163689672466</v>
      </c>
      <c r="E22" s="2">
        <v>100</v>
      </c>
      <c r="F22" s="2">
        <v>115.5</v>
      </c>
      <c r="G22" s="6">
        <f t="shared" si="1"/>
        <v>0.86580086580086579</v>
      </c>
      <c r="H22" s="5">
        <v>3.9236000000000004</v>
      </c>
      <c r="I22" s="5">
        <v>18.345299999999998</v>
      </c>
      <c r="J22" s="5">
        <v>3.9236000000000004</v>
      </c>
      <c r="K22" s="5">
        <v>33.800599999999996</v>
      </c>
      <c r="L22" s="5">
        <v>4.8038999999999996</v>
      </c>
      <c r="M22" s="5">
        <v>21.780099999999997</v>
      </c>
      <c r="N22" s="5">
        <v>15.709899999999999</v>
      </c>
      <c r="O22" s="5">
        <v>43.234900000000003</v>
      </c>
      <c r="P22" s="5">
        <v>54.6</v>
      </c>
      <c r="Q22" s="5">
        <v>3.415</v>
      </c>
      <c r="R22" s="5">
        <v>9.298</v>
      </c>
      <c r="S22" s="21">
        <v>83.4</v>
      </c>
      <c r="T22" s="2">
        <v>1.61</v>
      </c>
      <c r="U22" s="5">
        <f t="shared" si="2"/>
        <v>32.174684618648968</v>
      </c>
      <c r="V22" s="2">
        <v>104</v>
      </c>
      <c r="W22" s="2">
        <v>115</v>
      </c>
      <c r="X22" s="6">
        <f t="shared" si="3"/>
        <v>0.90434782608695652</v>
      </c>
      <c r="Y22" s="5">
        <v>3.9561999999999999</v>
      </c>
      <c r="Z22" s="5">
        <v>18.799499999999998</v>
      </c>
      <c r="AA22" s="5">
        <v>9.0760000000000005</v>
      </c>
      <c r="AB22" s="5">
        <v>34.540099999999995</v>
      </c>
      <c r="AC22" s="5">
        <v>4.6938000000000004</v>
      </c>
      <c r="AD22" s="5">
        <v>23.143999999999998</v>
      </c>
      <c r="AE22" s="5">
        <v>16.4009</v>
      </c>
      <c r="AF22" s="5">
        <v>45.149500000000003</v>
      </c>
      <c r="AG22" s="5">
        <v>55.2</v>
      </c>
      <c r="AH22" s="5">
        <v>3.5910000000000002</v>
      </c>
      <c r="AI22" s="5">
        <v>9.1890000000000001</v>
      </c>
    </row>
    <row r="23" spans="1:35" x14ac:dyDescent="0.25">
      <c r="A23" s="35" t="s">
        <v>98</v>
      </c>
      <c r="B23" s="21">
        <v>64.599999999999994</v>
      </c>
      <c r="C23" s="2">
        <v>1.73</v>
      </c>
      <c r="D23" s="5">
        <f t="shared" si="4"/>
        <v>21.584416452270371</v>
      </c>
      <c r="E23" s="2">
        <v>76</v>
      </c>
      <c r="F23" s="2">
        <v>86.5</v>
      </c>
      <c r="G23" s="6">
        <f t="shared" si="1"/>
        <v>0.87861271676300579</v>
      </c>
      <c r="H23" s="5">
        <v>6.0597000000000003</v>
      </c>
      <c r="I23" s="5">
        <v>25.8675</v>
      </c>
      <c r="J23" s="5">
        <v>8.0425000000000004</v>
      </c>
      <c r="K23" s="5">
        <v>43.411000000000001</v>
      </c>
      <c r="L23" s="5">
        <v>1.7081999999999999</v>
      </c>
      <c r="M23" s="5">
        <v>8.8369999999999997</v>
      </c>
      <c r="N23" s="5">
        <v>5.2218999999999998</v>
      </c>
      <c r="O23" s="5">
        <v>16.8917</v>
      </c>
      <c r="P23" s="5">
        <v>26.9</v>
      </c>
      <c r="Q23" s="5">
        <v>1.2869999999999999</v>
      </c>
      <c r="R23" s="5">
        <v>2.218</v>
      </c>
      <c r="S23" s="21">
        <f>78.6-12.8</f>
        <v>65.8</v>
      </c>
      <c r="T23" s="2">
        <v>1.73</v>
      </c>
      <c r="U23" s="5">
        <f t="shared" si="2"/>
        <v>21.985365364696445</v>
      </c>
      <c r="V23" s="2">
        <v>77.5</v>
      </c>
      <c r="W23" s="2">
        <v>89.75</v>
      </c>
      <c r="X23" s="6">
        <f t="shared" si="3"/>
        <v>0.86350974930362112</v>
      </c>
      <c r="Y23" s="5">
        <v>6.2211999999999996</v>
      </c>
      <c r="Z23" s="5">
        <v>27.3309</v>
      </c>
      <c r="AA23" s="5">
        <v>8.6144999999999996</v>
      </c>
      <c r="AB23" s="5">
        <v>45.5959</v>
      </c>
      <c r="AC23" s="5">
        <v>1.3254000000000001</v>
      </c>
      <c r="AD23" s="5">
        <v>8.4695</v>
      </c>
      <c r="AE23" s="5">
        <v>5.1715</v>
      </c>
      <c r="AF23" s="5">
        <v>16.0839</v>
      </c>
      <c r="AG23" s="5">
        <v>25</v>
      </c>
      <c r="AH23" s="5">
        <v>1.1870000000000001</v>
      </c>
      <c r="AI23" s="5">
        <v>2.2000000000000002</v>
      </c>
    </row>
    <row r="24" spans="1:35" x14ac:dyDescent="0.25">
      <c r="A24" s="35" t="s">
        <v>101</v>
      </c>
      <c r="B24" s="21">
        <v>92.6</v>
      </c>
      <c r="C24" s="2">
        <v>1.76</v>
      </c>
      <c r="D24" s="5">
        <f t="shared" si="4"/>
        <v>29.894111570247933</v>
      </c>
      <c r="E24" s="2">
        <v>96.25</v>
      </c>
      <c r="F24" s="2">
        <v>100.25</v>
      </c>
      <c r="G24" s="6">
        <f t="shared" si="1"/>
        <v>0.96009975062344144</v>
      </c>
      <c r="H24" s="5">
        <f>3.9984+4.4224</f>
        <v>8.4207999999999998</v>
      </c>
      <c r="I24" s="5">
        <f>32.5354</f>
        <v>32.535400000000003</v>
      </c>
      <c r="J24" s="5">
        <f>7.9932+8.2671</f>
        <v>16.260300000000001</v>
      </c>
      <c r="K24" s="5">
        <v>60.6267</v>
      </c>
      <c r="L24" s="5">
        <f>1.123+0.9703</f>
        <v>2.0933000000000002</v>
      </c>
      <c r="M24" s="5">
        <f>15.1821</f>
        <v>15.1821</v>
      </c>
      <c r="N24" s="5">
        <f>3.8398+3.8055</f>
        <v>7.6452999999999998</v>
      </c>
      <c r="O24" s="5">
        <v>26.0562</v>
      </c>
      <c r="P24" s="5">
        <v>28.9</v>
      </c>
      <c r="Q24" s="5">
        <v>2.8439999999999999</v>
      </c>
      <c r="R24" s="5">
        <v>3.8380000000000001</v>
      </c>
      <c r="S24" s="21">
        <v>91.8</v>
      </c>
      <c r="T24" s="2">
        <v>1.76</v>
      </c>
      <c r="U24" s="5">
        <f t="shared" si="2"/>
        <v>29.635847107438018</v>
      </c>
      <c r="V24" s="2">
        <v>92.5</v>
      </c>
      <c r="W24" s="2">
        <v>105.25</v>
      </c>
      <c r="X24" s="6">
        <f t="shared" si="3"/>
        <v>0.87885985748218531</v>
      </c>
      <c r="Y24" s="5">
        <f>4.1627+4.247</f>
        <v>8.4097000000000008</v>
      </c>
      <c r="Z24" s="5">
        <v>32.8125</v>
      </c>
      <c r="AA24" s="5">
        <f>8.0614+8.1992</f>
        <v>16.2606</v>
      </c>
      <c r="AB24" s="5">
        <f>61.0391</f>
        <v>61.039099999999998</v>
      </c>
      <c r="AC24" s="5">
        <f>1.2367+0.8541</f>
        <v>2.0907999999999998</v>
      </c>
      <c r="AD24" s="5">
        <f>15.8283</f>
        <v>15.8283</v>
      </c>
      <c r="AE24" s="5">
        <f>4.0262+4.035</f>
        <v>8.0611999999999995</v>
      </c>
      <c r="AF24" s="5">
        <v>27.166699999999999</v>
      </c>
      <c r="AG24" s="5">
        <v>29.7</v>
      </c>
      <c r="AH24" s="5">
        <v>2.903</v>
      </c>
      <c r="AI24" s="5">
        <v>4.2080000000000002</v>
      </c>
    </row>
    <row r="25" spans="1:35" x14ac:dyDescent="0.25">
      <c r="A25" s="35" t="s">
        <v>105</v>
      </c>
      <c r="B25" s="21">
        <v>56.8</v>
      </c>
      <c r="C25" s="2">
        <v>1.61</v>
      </c>
      <c r="D25" s="5">
        <f t="shared" si="4"/>
        <v>21.912734848192581</v>
      </c>
      <c r="E25" s="2">
        <v>74</v>
      </c>
      <c r="F25" s="2">
        <v>96</v>
      </c>
      <c r="G25" s="6">
        <f t="shared" si="1"/>
        <v>0.77083333333333337</v>
      </c>
      <c r="H25" s="5">
        <f>2.2675+2.3093</f>
        <v>4.5768000000000004</v>
      </c>
      <c r="I25" s="5">
        <f>17.5945</f>
        <v>17.5945</v>
      </c>
      <c r="J25" s="5">
        <f>2.9205*2</f>
        <v>5.8410000000000002</v>
      </c>
      <c r="K25" s="5">
        <v>30.729399999999998</v>
      </c>
      <c r="L25" s="5">
        <f>1.4011+1.2374</f>
        <v>2.6385000000000001</v>
      </c>
      <c r="M25" s="5">
        <f>11.9791</f>
        <v>11.979100000000001</v>
      </c>
      <c r="N25" s="5">
        <f>4.5411*2</f>
        <v>9.0822000000000003</v>
      </c>
      <c r="O25" s="5">
        <v>24.592099999999999</v>
      </c>
      <c r="P25" s="5">
        <v>43.1</v>
      </c>
      <c r="Q25" s="5">
        <v>1.7090000000000001</v>
      </c>
      <c r="R25" s="5">
        <v>4.242</v>
      </c>
      <c r="S25" s="21">
        <v>55.8</v>
      </c>
      <c r="T25" s="2">
        <v>1.61</v>
      </c>
      <c r="U25" s="5">
        <f t="shared" si="2"/>
        <v>21.52694726283708</v>
      </c>
      <c r="V25" s="2">
        <v>70</v>
      </c>
      <c r="W25" s="2">
        <v>93</v>
      </c>
      <c r="X25" s="6">
        <f t="shared" si="3"/>
        <v>0.75268817204301075</v>
      </c>
      <c r="Y25" s="5">
        <f>2.2675+2.3093</f>
        <v>4.5768000000000004</v>
      </c>
      <c r="Z25" s="5">
        <v>17.5945</v>
      </c>
      <c r="AA25" s="5">
        <f>2.9205*2</f>
        <v>5.8410000000000002</v>
      </c>
      <c r="AB25" s="5">
        <v>30.729399999999998</v>
      </c>
      <c r="AC25" s="5">
        <f>1.401+1.2374</f>
        <v>2.6383999999999999</v>
      </c>
      <c r="AD25" s="5">
        <v>11.979100000000001</v>
      </c>
      <c r="AE25" s="5">
        <f>4.5411*2</f>
        <v>9.0822000000000003</v>
      </c>
      <c r="AF25" s="5">
        <v>24.592099999999999</v>
      </c>
      <c r="AG25" s="5">
        <v>43.1</v>
      </c>
      <c r="AH25" s="5">
        <v>1.7090000000000001</v>
      </c>
      <c r="AI25" s="5">
        <v>4.242</v>
      </c>
    </row>
    <row r="26" spans="1:35" x14ac:dyDescent="0.25">
      <c r="A26" s="35" t="s">
        <v>107</v>
      </c>
      <c r="B26" s="21">
        <v>52.8</v>
      </c>
      <c r="C26" s="2">
        <v>1.53</v>
      </c>
      <c r="D26" s="5">
        <f t="shared" si="4"/>
        <v>22.555427399718056</v>
      </c>
      <c r="E26" s="2">
        <v>69.75</v>
      </c>
      <c r="F26" s="2">
        <v>94</v>
      </c>
      <c r="G26" s="6">
        <f t="shared" si="1"/>
        <v>0.74202127659574468</v>
      </c>
      <c r="H26" s="5">
        <f>1.7745+1.9702</f>
        <v>3.7446999999999999</v>
      </c>
      <c r="I26" s="5">
        <f>18.2119</f>
        <v>18.2119</v>
      </c>
      <c r="J26" s="5">
        <f>5.2801+5.4164</f>
        <v>10.6965</v>
      </c>
      <c r="K26" s="5">
        <v>35.550800000000002</v>
      </c>
      <c r="L26" s="5">
        <f>0.9489+0.9579</f>
        <v>1.9068000000000001</v>
      </c>
      <c r="M26" s="5">
        <f>6.5069</f>
        <v>6.5068999999999999</v>
      </c>
      <c r="N26" s="5">
        <f>2.9535+3.2591</f>
        <v>6.2126000000000001</v>
      </c>
      <c r="O26" s="5">
        <v>15.578200000000001</v>
      </c>
      <c r="P26" s="5">
        <v>29.5</v>
      </c>
      <c r="Q26" s="5">
        <v>0.91100000000000003</v>
      </c>
      <c r="R26" s="5">
        <v>2.9220000000000002</v>
      </c>
      <c r="S26" s="21">
        <v>53.2</v>
      </c>
      <c r="T26" s="2">
        <v>1.53</v>
      </c>
      <c r="U26" s="5">
        <f t="shared" si="2"/>
        <v>22.726301849715924</v>
      </c>
      <c r="V26" s="2">
        <v>70</v>
      </c>
      <c r="W26" s="2">
        <v>93</v>
      </c>
      <c r="X26" s="6">
        <f t="shared" si="3"/>
        <v>0.75268817204301075</v>
      </c>
      <c r="Y26" s="5">
        <f>1.7555+2.0183</f>
        <v>3.7738</v>
      </c>
      <c r="Z26" s="5">
        <f>18.1862</f>
        <v>18.186199999999999</v>
      </c>
      <c r="AA26" s="5">
        <f>5.1251+5.2671</f>
        <v>10.392199999999999</v>
      </c>
      <c r="AB26" s="5">
        <v>35.350099999999998</v>
      </c>
      <c r="AC26" s="5">
        <f>0.8941+0.8421</f>
        <v>1.7362</v>
      </c>
      <c r="AD26" s="5">
        <f>6.7868</f>
        <v>6.7868000000000004</v>
      </c>
      <c r="AE26" s="5">
        <f>3.0059+3.2801</f>
        <v>6.2859999999999996</v>
      </c>
      <c r="AF26" s="5">
        <f>15.7902</f>
        <v>15.7902</v>
      </c>
      <c r="AG26" s="5">
        <v>29.9</v>
      </c>
      <c r="AH26" s="5">
        <v>0.89200000000000002</v>
      </c>
      <c r="AI26" s="5">
        <v>2.8610000000000002</v>
      </c>
    </row>
    <row r="27" spans="1:35" x14ac:dyDescent="0.25">
      <c r="A27" s="35" t="s">
        <v>110</v>
      </c>
      <c r="B27" s="21">
        <v>111</v>
      </c>
      <c r="C27" s="2">
        <v>1.73</v>
      </c>
      <c r="D27" s="5">
        <f t="shared" si="4"/>
        <v>37.087774399411941</v>
      </c>
      <c r="E27" s="2">
        <v>116</v>
      </c>
      <c r="F27" s="2">
        <v>117.5</v>
      </c>
      <c r="G27" s="6">
        <f t="shared" si="1"/>
        <v>0.98723404255319147</v>
      </c>
      <c r="H27" s="5">
        <f>4.6538*2</f>
        <v>9.3076000000000008</v>
      </c>
      <c r="I27" s="5">
        <f>34.0596</f>
        <v>34.059600000000003</v>
      </c>
      <c r="J27" s="5">
        <f>7.6977+7.4003</f>
        <v>15.097999999999999</v>
      </c>
      <c r="K27" s="5">
        <f>62.1145</f>
        <v>62.1145</v>
      </c>
      <c r="L27" s="5">
        <f>2.172*2</f>
        <v>4.3440000000000003</v>
      </c>
      <c r="M27" s="5">
        <f>26.5471</f>
        <v>26.5471</v>
      </c>
      <c r="N27" s="5">
        <f>7.2926+6.4387</f>
        <v>13.731300000000001</v>
      </c>
      <c r="O27" s="5">
        <v>45.838999999999999</v>
      </c>
      <c r="P27" s="5">
        <v>41.3</v>
      </c>
      <c r="Q27" s="5">
        <v>4.9820000000000002</v>
      </c>
      <c r="R27" s="5">
        <v>6.4610000000000003</v>
      </c>
      <c r="S27" s="21">
        <v>106.4</v>
      </c>
      <c r="T27" s="2">
        <v>1.73</v>
      </c>
      <c r="U27" s="5">
        <f t="shared" si="2"/>
        <v>35.550803568445318</v>
      </c>
      <c r="V27" s="2">
        <v>108.5</v>
      </c>
      <c r="W27" s="2">
        <v>118</v>
      </c>
      <c r="X27" s="6">
        <f t="shared" si="3"/>
        <v>0.91949152542372881</v>
      </c>
      <c r="Y27" s="5">
        <f>4.3487+4.7318</f>
        <v>9.0805000000000007</v>
      </c>
      <c r="Z27" s="5">
        <f>30.8167</f>
        <v>30.816700000000001</v>
      </c>
      <c r="AA27" s="5">
        <f>7.3248+7.3462</f>
        <v>14.670999999999999</v>
      </c>
      <c r="AB27" s="5">
        <f>58.6379</f>
        <v>58.637900000000002</v>
      </c>
      <c r="AC27" s="5">
        <f>2.0288+1.7166</f>
        <v>3.7454000000000001</v>
      </c>
      <c r="AD27" s="5">
        <f>25.3916</f>
        <v>25.3916</v>
      </c>
      <c r="AE27" s="5">
        <f>7.1457+6.5226</f>
        <v>13.668299999999999</v>
      </c>
      <c r="AF27" s="5">
        <f>44.1567</f>
        <v>44.156700000000001</v>
      </c>
      <c r="AG27" s="5">
        <v>41.7</v>
      </c>
      <c r="AH27" s="5">
        <v>5.0679999999999996</v>
      </c>
      <c r="AI27" s="5">
        <v>6.3970000000000002</v>
      </c>
    </row>
    <row r="28" spans="1:35" x14ac:dyDescent="0.25">
      <c r="A28" s="35" t="s">
        <v>111</v>
      </c>
      <c r="B28" s="21">
        <v>57.6</v>
      </c>
      <c r="C28" s="2">
        <v>1.5549999999999999</v>
      </c>
      <c r="D28" s="5">
        <f t="shared" si="4"/>
        <v>23.821093661149082</v>
      </c>
      <c r="E28" s="2">
        <v>67</v>
      </c>
      <c r="F28" s="2">
        <v>88.5</v>
      </c>
      <c r="G28" s="6">
        <f t="shared" si="1"/>
        <v>0.75706214689265539</v>
      </c>
      <c r="H28" s="5">
        <f>1.8854+1.9247</f>
        <v>3.8101000000000003</v>
      </c>
      <c r="I28" s="5">
        <f>18.151</f>
        <v>18.151</v>
      </c>
      <c r="J28" s="5">
        <f>3.248+2.5614</f>
        <v>5.8094000000000001</v>
      </c>
      <c r="K28" s="5">
        <f>30.9193</f>
        <v>30.9193</v>
      </c>
      <c r="L28" s="5">
        <f>1.4209+1.5779</f>
        <v>2.9988000000000001</v>
      </c>
      <c r="M28" s="5">
        <f>13.3361</f>
        <v>13.3361</v>
      </c>
      <c r="N28" s="5">
        <f>3.762+4.0978</f>
        <v>7.8597999999999999</v>
      </c>
      <c r="O28" s="5">
        <v>25.236000000000001</v>
      </c>
      <c r="P28" s="5">
        <v>43.5</v>
      </c>
      <c r="Q28" s="5">
        <v>2.1259999999999999</v>
      </c>
      <c r="R28" s="5">
        <v>3.609</v>
      </c>
      <c r="S28" s="21">
        <v>58</v>
      </c>
      <c r="T28" s="2">
        <v>1.5549999999999999</v>
      </c>
      <c r="U28" s="5">
        <f t="shared" si="2"/>
        <v>23.98651792268484</v>
      </c>
      <c r="V28" s="2">
        <v>68.5</v>
      </c>
      <c r="W28" s="2">
        <v>99</v>
      </c>
      <c r="X28" s="6">
        <f t="shared" si="3"/>
        <v>0.69191919191919193</v>
      </c>
      <c r="Y28" s="6">
        <f>2.0204+1.8604</f>
        <v>3.8807999999999998</v>
      </c>
      <c r="Z28" s="6">
        <f>18.5477</f>
        <v>18.547699999999999</v>
      </c>
      <c r="AA28" s="6">
        <f>3.1393+2.6974</f>
        <v>5.8367000000000004</v>
      </c>
      <c r="AB28" s="6">
        <f>31.3254</f>
        <v>31.325399999999998</v>
      </c>
      <c r="AC28" s="6">
        <f>1.438+1.4276</f>
        <v>2.8655999999999997</v>
      </c>
      <c r="AD28" s="6">
        <f>13.8398</f>
        <v>13.8398</v>
      </c>
      <c r="AE28" s="6">
        <f>3.7196+4.1607</f>
        <v>7.8803000000000001</v>
      </c>
      <c r="AF28" s="6">
        <v>25.591200000000001</v>
      </c>
      <c r="AG28" s="6">
        <v>43.6</v>
      </c>
      <c r="AH28" s="6">
        <v>2.0449999999999999</v>
      </c>
      <c r="AI28" s="6">
        <v>3.7869999999999999</v>
      </c>
    </row>
    <row r="29" spans="1:35" x14ac:dyDescent="0.25">
      <c r="A29" s="35" t="s">
        <v>112</v>
      </c>
      <c r="B29" s="21">
        <v>99.5</v>
      </c>
      <c r="C29" s="2">
        <v>1.81</v>
      </c>
      <c r="D29" s="5">
        <f t="shared" si="4"/>
        <v>30.37147828210372</v>
      </c>
      <c r="E29" s="2">
        <v>95</v>
      </c>
      <c r="F29" s="2">
        <v>113.25</v>
      </c>
      <c r="G29" s="6">
        <f t="shared" si="1"/>
        <v>0.83885209713024278</v>
      </c>
      <c r="H29" s="5">
        <f>2.7669+2.989</f>
        <v>5.7559000000000005</v>
      </c>
      <c r="I29" s="5">
        <f>30.7348</f>
        <v>30.7348</v>
      </c>
      <c r="J29" s="5">
        <f>8.375+9.1675</f>
        <v>17.5425</v>
      </c>
      <c r="K29" s="5">
        <f>57.9413</f>
        <v>57.941299999999998</v>
      </c>
      <c r="L29" s="5">
        <f>1.6509+1.533</f>
        <v>3.1839</v>
      </c>
      <c r="M29" s="5">
        <f>19.1484</f>
        <v>19.148399999999999</v>
      </c>
      <c r="N29" s="5">
        <f>7.0739+7.7737</f>
        <v>14.8476</v>
      </c>
      <c r="O29" s="5">
        <v>38.446100000000001</v>
      </c>
      <c r="P29" s="5">
        <v>38.6</v>
      </c>
      <c r="Q29" s="5">
        <v>3.488</v>
      </c>
      <c r="R29" s="5">
        <v>6.2869999999999999</v>
      </c>
      <c r="S29" s="21">
        <v>101.6</v>
      </c>
      <c r="T29" s="2">
        <v>1.81</v>
      </c>
      <c r="U29" s="5">
        <f t="shared" si="2"/>
        <v>31.012484356399376</v>
      </c>
      <c r="V29" s="2">
        <v>95.5</v>
      </c>
      <c r="W29" s="2">
        <v>115</v>
      </c>
      <c r="X29" s="6">
        <f t="shared" si="3"/>
        <v>0.83043478260869563</v>
      </c>
      <c r="Y29" s="6">
        <f>2.711+2.8618</f>
        <v>5.5728</v>
      </c>
      <c r="Z29" s="6">
        <v>30.129000000000001</v>
      </c>
      <c r="AA29" s="6">
        <f>8.0734+8.7795</f>
        <v>16.852899999999998</v>
      </c>
      <c r="AB29" s="6">
        <f>56.4549</f>
        <v>56.454900000000002</v>
      </c>
      <c r="AC29" s="6">
        <f>1.8651+1.7667</f>
        <v>3.6318000000000001</v>
      </c>
      <c r="AD29" s="6">
        <v>21.724799999999998</v>
      </c>
      <c r="AE29" s="6">
        <f>7.2168+8.2723</f>
        <v>15.489100000000001</v>
      </c>
      <c r="AF29" s="6">
        <f>42.1252</f>
        <v>42.1252</v>
      </c>
      <c r="AG29" s="6">
        <v>41.5</v>
      </c>
      <c r="AH29" s="6">
        <v>3.746</v>
      </c>
      <c r="AI29" s="6">
        <v>6.7409999999999997</v>
      </c>
    </row>
  </sheetData>
  <mergeCells count="2">
    <mergeCell ref="S1:AI1"/>
    <mergeCell ref="B1:R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2D90-1B5D-4990-A068-CD43D99AF3F1}">
  <dimension ref="A1:I29"/>
  <sheetViews>
    <sheetView zoomScale="110" zoomScaleNormal="110" workbookViewId="0">
      <selection activeCell="N18" sqref="N18"/>
    </sheetView>
  </sheetViews>
  <sheetFormatPr defaultRowHeight="15" x14ac:dyDescent="0.25"/>
  <cols>
    <col min="1" max="1" width="20" bestFit="1" customWidth="1"/>
    <col min="2" max="2" width="14.5703125" style="22" bestFit="1" customWidth="1"/>
    <col min="3" max="3" width="16.42578125" bestFit="1" customWidth="1"/>
    <col min="4" max="4" width="11.85546875" bestFit="1" customWidth="1"/>
    <col min="5" max="5" width="12.140625" bestFit="1" customWidth="1"/>
    <col min="6" max="6" width="14.28515625" style="22" bestFit="1" customWidth="1"/>
    <col min="7" max="7" width="16.42578125" bestFit="1" customWidth="1"/>
    <col min="8" max="8" width="11.85546875" bestFit="1" customWidth="1"/>
    <col min="9" max="9" width="12.140625" bestFit="1" customWidth="1"/>
  </cols>
  <sheetData>
    <row r="1" spans="1:9" x14ac:dyDescent="0.25">
      <c r="B1" s="23" t="s">
        <v>127</v>
      </c>
      <c r="C1" s="24"/>
      <c r="D1" s="24"/>
      <c r="E1" s="32"/>
      <c r="F1" s="23" t="s">
        <v>128</v>
      </c>
      <c r="G1" s="24"/>
      <c r="H1" s="24"/>
      <c r="I1" s="24"/>
    </row>
    <row r="2" spans="1:9" x14ac:dyDescent="0.25">
      <c r="A2" s="3" t="s">
        <v>0</v>
      </c>
      <c r="B2" s="19" t="s">
        <v>19</v>
      </c>
      <c r="C2" s="3" t="s">
        <v>20</v>
      </c>
      <c r="D2" s="3" t="s">
        <v>21</v>
      </c>
      <c r="E2" s="3" t="s">
        <v>22</v>
      </c>
      <c r="F2" s="19" t="s">
        <v>19</v>
      </c>
      <c r="G2" s="3" t="s">
        <v>20</v>
      </c>
      <c r="H2" s="3" t="s">
        <v>21</v>
      </c>
      <c r="I2" s="3" t="s">
        <v>22</v>
      </c>
    </row>
    <row r="3" spans="1:9" x14ac:dyDescent="0.25">
      <c r="A3" s="34" t="s">
        <v>6</v>
      </c>
      <c r="B3" s="25">
        <v>1572.8970784455487</v>
      </c>
      <c r="C3" s="4">
        <v>54.5</v>
      </c>
      <c r="D3" s="4">
        <v>128.66666666666666</v>
      </c>
      <c r="E3" s="4">
        <v>81.666666666666671</v>
      </c>
      <c r="F3" s="25">
        <v>1540.1165900175718</v>
      </c>
      <c r="G3" s="2">
        <v>58</v>
      </c>
      <c r="H3" s="2">
        <v>104</v>
      </c>
      <c r="I3" s="2">
        <v>71</v>
      </c>
    </row>
    <row r="4" spans="1:9" x14ac:dyDescent="0.25">
      <c r="A4" s="34" t="s">
        <v>7</v>
      </c>
      <c r="B4" s="25">
        <v>1136.6416948950882</v>
      </c>
      <c r="C4" s="4">
        <v>71.36363636363636</v>
      </c>
      <c r="D4" s="4">
        <v>121.33333333333333</v>
      </c>
      <c r="E4" s="4">
        <v>82.333333333333329</v>
      </c>
      <c r="F4" s="25">
        <v>1152.2960235459921</v>
      </c>
      <c r="G4" s="2">
        <v>69</v>
      </c>
      <c r="H4" s="2">
        <v>111</v>
      </c>
      <c r="I4" s="2">
        <v>82</v>
      </c>
    </row>
    <row r="5" spans="1:9" x14ac:dyDescent="0.25">
      <c r="A5" s="34" t="s">
        <v>8</v>
      </c>
      <c r="B5" s="25">
        <v>1428.7118770251325</v>
      </c>
      <c r="C5" s="4">
        <v>61</v>
      </c>
      <c r="D5" s="4">
        <v>124</v>
      </c>
      <c r="E5" s="4">
        <v>90</v>
      </c>
      <c r="F5" s="25">
        <v>1429.0750284583094</v>
      </c>
      <c r="G5" s="2">
        <v>65</v>
      </c>
      <c r="H5" s="2">
        <v>122</v>
      </c>
      <c r="I5" s="2">
        <v>85</v>
      </c>
    </row>
    <row r="6" spans="1:9" x14ac:dyDescent="0.25">
      <c r="A6" s="34" t="s">
        <v>9</v>
      </c>
      <c r="B6" s="25">
        <v>1653.6169916853823</v>
      </c>
      <c r="C6" s="4">
        <v>67</v>
      </c>
      <c r="D6" s="4">
        <v>125</v>
      </c>
      <c r="E6" s="4">
        <v>79</v>
      </c>
      <c r="F6" s="25">
        <v>1632.460455074033</v>
      </c>
      <c r="G6" s="2">
        <v>59</v>
      </c>
      <c r="H6" s="2">
        <v>115</v>
      </c>
      <c r="I6" s="2">
        <v>68</v>
      </c>
    </row>
    <row r="7" spans="1:9" x14ac:dyDescent="0.25">
      <c r="A7" s="34" t="s">
        <v>10</v>
      </c>
      <c r="B7" s="25">
        <v>1475.95645705838</v>
      </c>
      <c r="C7" s="4">
        <v>58</v>
      </c>
      <c r="D7" s="4">
        <v>132</v>
      </c>
      <c r="E7" s="4">
        <v>86</v>
      </c>
      <c r="F7" s="25">
        <v>1426.4971200580928</v>
      </c>
      <c r="G7" s="2">
        <v>56</v>
      </c>
      <c r="H7" s="2">
        <v>132</v>
      </c>
      <c r="I7" s="2">
        <v>93</v>
      </c>
    </row>
    <row r="8" spans="1:9" x14ac:dyDescent="0.25">
      <c r="A8" s="34" t="s">
        <v>11</v>
      </c>
      <c r="B8" s="25">
        <v>1174.5565473658251</v>
      </c>
      <c r="C8" s="4">
        <v>71</v>
      </c>
      <c r="D8" s="4">
        <v>121</v>
      </c>
      <c r="E8" s="4">
        <v>79</v>
      </c>
      <c r="F8" s="25">
        <v>1051.5885532063201</v>
      </c>
      <c r="G8" s="2">
        <v>70</v>
      </c>
      <c r="H8" s="2">
        <v>111</v>
      </c>
      <c r="I8" s="2">
        <v>78</v>
      </c>
    </row>
    <row r="9" spans="1:9" x14ac:dyDescent="0.25">
      <c r="A9" s="34" t="s">
        <v>63</v>
      </c>
      <c r="B9" s="25">
        <v>1217.491159226078</v>
      </c>
      <c r="C9" s="4">
        <v>81</v>
      </c>
      <c r="D9" s="4">
        <v>100</v>
      </c>
      <c r="E9" s="4">
        <v>73</v>
      </c>
      <c r="F9" s="25">
        <v>1155.6500890151049</v>
      </c>
      <c r="G9" s="2">
        <v>78</v>
      </c>
      <c r="H9" s="2">
        <v>107</v>
      </c>
      <c r="I9" s="2">
        <v>76</v>
      </c>
    </row>
    <row r="10" spans="1:9" x14ac:dyDescent="0.25">
      <c r="A10" s="34" t="s">
        <v>64</v>
      </c>
      <c r="B10" s="25">
        <v>1110.3460776658817</v>
      </c>
      <c r="C10" s="4">
        <v>60</v>
      </c>
      <c r="D10" s="4">
        <v>105</v>
      </c>
      <c r="E10" s="4">
        <v>70</v>
      </c>
      <c r="F10" s="25">
        <v>1162.2963274813012</v>
      </c>
      <c r="G10" s="2">
        <v>60</v>
      </c>
      <c r="H10" s="2">
        <v>109</v>
      </c>
      <c r="I10" s="2">
        <v>70</v>
      </c>
    </row>
    <row r="11" spans="1:9" x14ac:dyDescent="0.25">
      <c r="A11" s="34" t="s">
        <v>70</v>
      </c>
      <c r="B11" s="25">
        <v>1252.8947059138698</v>
      </c>
      <c r="C11" s="4">
        <v>55</v>
      </c>
      <c r="D11" s="4">
        <v>116</v>
      </c>
      <c r="E11" s="4">
        <v>77</v>
      </c>
      <c r="F11" s="25">
        <v>1350.6775341449629</v>
      </c>
      <c r="G11" s="2">
        <v>57</v>
      </c>
      <c r="H11" s="2">
        <v>110</v>
      </c>
      <c r="I11" s="2">
        <v>72</v>
      </c>
    </row>
    <row r="12" spans="1:9" x14ac:dyDescent="0.25">
      <c r="A12" s="34" t="s">
        <v>71</v>
      </c>
      <c r="B12" s="25">
        <v>1769.3746402648383</v>
      </c>
      <c r="C12" s="4">
        <v>61</v>
      </c>
      <c r="D12" s="2">
        <v>113</v>
      </c>
      <c r="E12" s="2">
        <v>77</v>
      </c>
      <c r="F12" s="25">
        <v>1791.6632441595921</v>
      </c>
      <c r="G12" s="2">
        <v>58</v>
      </c>
      <c r="H12" s="2">
        <v>107</v>
      </c>
      <c r="I12" s="2">
        <v>73</v>
      </c>
    </row>
    <row r="13" spans="1:9" x14ac:dyDescent="0.25">
      <c r="A13" s="34" t="s">
        <v>73</v>
      </c>
      <c r="B13" s="25">
        <v>1697.6608671422669</v>
      </c>
      <c r="C13" s="4">
        <v>56</v>
      </c>
      <c r="D13" s="4">
        <v>126</v>
      </c>
      <c r="E13" s="4">
        <v>81</v>
      </c>
      <c r="F13" s="25">
        <v>1696.640562837202</v>
      </c>
      <c r="G13" s="4">
        <v>56</v>
      </c>
      <c r="H13" s="4">
        <v>121</v>
      </c>
      <c r="I13" s="4">
        <v>77</v>
      </c>
    </row>
    <row r="14" spans="1:9" x14ac:dyDescent="0.25">
      <c r="A14" s="34" t="s">
        <v>76</v>
      </c>
      <c r="B14" s="25">
        <v>1185.0578191363397</v>
      </c>
      <c r="C14" s="4">
        <v>69</v>
      </c>
      <c r="D14" s="4">
        <v>134</v>
      </c>
      <c r="E14" s="4">
        <v>89</v>
      </c>
      <c r="F14" s="25">
        <v>1288.3703098497137</v>
      </c>
      <c r="G14" s="4">
        <v>70</v>
      </c>
      <c r="H14" s="4">
        <v>125</v>
      </c>
      <c r="I14" s="4">
        <v>76</v>
      </c>
    </row>
    <row r="15" spans="1:9" x14ac:dyDescent="0.25">
      <c r="A15" s="34" t="s">
        <v>77</v>
      </c>
      <c r="B15" s="25">
        <v>1369.4749026487132</v>
      </c>
      <c r="C15" s="4">
        <v>56</v>
      </c>
      <c r="D15" s="2">
        <v>116</v>
      </c>
      <c r="E15" s="2">
        <v>74</v>
      </c>
      <c r="F15" s="25">
        <v>1420.812361949429</v>
      </c>
      <c r="G15" s="2">
        <v>56</v>
      </c>
      <c r="H15" s="2">
        <v>109</v>
      </c>
      <c r="I15" s="2">
        <v>70</v>
      </c>
    </row>
    <row r="16" spans="1:9" x14ac:dyDescent="0.25">
      <c r="A16" s="34" t="s">
        <v>78</v>
      </c>
      <c r="B16" s="25">
        <v>1057.8543081724858</v>
      </c>
      <c r="C16" s="2">
        <v>73</v>
      </c>
      <c r="D16" s="2">
        <v>125</v>
      </c>
      <c r="E16" s="2">
        <v>84</v>
      </c>
      <c r="F16" s="25">
        <v>1105.166806370414</v>
      </c>
      <c r="G16" s="2">
        <v>84</v>
      </c>
      <c r="H16" s="2">
        <v>128</v>
      </c>
      <c r="I16" s="2">
        <v>76</v>
      </c>
    </row>
    <row r="17" spans="1:9" x14ac:dyDescent="0.25">
      <c r="A17" s="34" t="s">
        <v>79</v>
      </c>
      <c r="B17" s="25">
        <v>1316.116958665546</v>
      </c>
      <c r="C17" s="2">
        <v>74</v>
      </c>
      <c r="D17" s="2">
        <v>93</v>
      </c>
      <c r="E17" s="2">
        <v>66</v>
      </c>
      <c r="F17" s="25">
        <v>1250.7822342192039</v>
      </c>
      <c r="G17" s="2">
        <v>66</v>
      </c>
      <c r="H17" s="2">
        <v>98</v>
      </c>
      <c r="I17" s="2">
        <v>66</v>
      </c>
    </row>
    <row r="18" spans="1:9" x14ac:dyDescent="0.25">
      <c r="A18" s="34" t="s">
        <v>81</v>
      </c>
      <c r="B18" s="25">
        <v>1608.6832908403658</v>
      </c>
      <c r="C18" s="4">
        <v>63</v>
      </c>
      <c r="D18" s="4">
        <v>113</v>
      </c>
      <c r="E18" s="4">
        <v>69</v>
      </c>
      <c r="F18" s="25">
        <v>1430.4751637848742</v>
      </c>
      <c r="G18" s="4">
        <v>64</v>
      </c>
      <c r="H18" s="4">
        <v>112</v>
      </c>
      <c r="I18" s="4">
        <v>69</v>
      </c>
    </row>
    <row r="19" spans="1:9" x14ac:dyDescent="0.25">
      <c r="A19" s="34" t="s">
        <v>84</v>
      </c>
      <c r="B19" s="25">
        <v>1714.8482334115517</v>
      </c>
      <c r="C19" s="2">
        <v>78</v>
      </c>
      <c r="D19" s="2">
        <v>122</v>
      </c>
      <c r="E19" s="2">
        <v>80</v>
      </c>
      <c r="F19" s="25">
        <v>1727.404750916623</v>
      </c>
      <c r="G19" s="2">
        <v>85</v>
      </c>
      <c r="H19" s="2">
        <v>130</v>
      </c>
      <c r="I19" s="2">
        <v>85</v>
      </c>
    </row>
    <row r="20" spans="1:9" x14ac:dyDescent="0.25">
      <c r="A20" s="34" t="s">
        <v>85</v>
      </c>
      <c r="B20" s="25">
        <v>1508.435480352646</v>
      </c>
      <c r="C20" s="2">
        <v>73</v>
      </c>
      <c r="D20" s="2">
        <v>130</v>
      </c>
      <c r="E20" s="2">
        <v>85</v>
      </c>
      <c r="F20" s="25">
        <v>1740.4713990735727</v>
      </c>
      <c r="G20" s="2">
        <v>78</v>
      </c>
      <c r="H20" s="2">
        <v>121</v>
      </c>
      <c r="I20" s="2">
        <v>84</v>
      </c>
    </row>
    <row r="21" spans="1:9" x14ac:dyDescent="0.25">
      <c r="A21" s="34" t="s">
        <v>90</v>
      </c>
      <c r="B21" s="25">
        <v>1145.7367290588647</v>
      </c>
      <c r="C21" s="2">
        <v>56</v>
      </c>
      <c r="D21" s="2">
        <v>114</v>
      </c>
      <c r="E21" s="2">
        <v>77</v>
      </c>
      <c r="F21" s="25">
        <v>1395.616330714633</v>
      </c>
      <c r="G21" s="2">
        <v>60</v>
      </c>
      <c r="H21" s="2">
        <v>112</v>
      </c>
      <c r="I21" s="2">
        <v>78</v>
      </c>
    </row>
    <row r="22" spans="1:9" x14ac:dyDescent="0.25">
      <c r="A22" s="34" t="s">
        <v>95</v>
      </c>
      <c r="B22" s="25">
        <v>1352.2188610746325</v>
      </c>
      <c r="C22" s="2">
        <v>59</v>
      </c>
      <c r="D22" s="2">
        <v>133</v>
      </c>
      <c r="E22" s="2">
        <v>84</v>
      </c>
      <c r="F22" s="25">
        <v>1480.9706823777403</v>
      </c>
      <c r="G22" s="2">
        <v>60</v>
      </c>
      <c r="H22" s="2">
        <v>133</v>
      </c>
      <c r="I22" s="2">
        <v>84</v>
      </c>
    </row>
    <row r="23" spans="1:9" x14ac:dyDescent="0.25">
      <c r="A23" s="34" t="s">
        <v>98</v>
      </c>
      <c r="B23" s="25">
        <v>1416.5893415181433</v>
      </c>
      <c r="C23" s="2">
        <v>61</v>
      </c>
      <c r="D23" s="2">
        <v>131</v>
      </c>
      <c r="E23" s="2">
        <v>84</v>
      </c>
      <c r="F23" s="25">
        <v>1462.8110418431268</v>
      </c>
      <c r="G23" s="2">
        <v>60</v>
      </c>
      <c r="H23" s="2">
        <v>138</v>
      </c>
      <c r="I23" s="2">
        <v>89</v>
      </c>
    </row>
    <row r="24" spans="1:9" x14ac:dyDescent="0.25">
      <c r="A24" s="34" t="s">
        <v>101</v>
      </c>
      <c r="B24" s="25">
        <v>1911.3800124990973</v>
      </c>
      <c r="C24" s="2">
        <v>61</v>
      </c>
      <c r="D24" s="2">
        <v>123</v>
      </c>
      <c r="E24" s="2">
        <v>81</v>
      </c>
      <c r="F24" s="25">
        <v>1885.5139605811773</v>
      </c>
      <c r="G24" s="2">
        <v>60</v>
      </c>
      <c r="H24" s="2">
        <v>108</v>
      </c>
      <c r="I24" s="2">
        <v>75</v>
      </c>
    </row>
    <row r="25" spans="1:9" x14ac:dyDescent="0.25">
      <c r="A25" s="34" t="s">
        <v>105</v>
      </c>
      <c r="B25" s="25">
        <v>1182.3361250976859</v>
      </c>
      <c r="C25" s="2">
        <v>53</v>
      </c>
      <c r="D25" s="2">
        <v>123</v>
      </c>
      <c r="E25" s="2">
        <v>84</v>
      </c>
      <c r="F25" s="25">
        <v>1100.2023932633881</v>
      </c>
      <c r="G25" s="2">
        <v>53</v>
      </c>
      <c r="H25" s="2">
        <v>131</v>
      </c>
      <c r="I25" s="2">
        <v>82</v>
      </c>
    </row>
    <row r="26" spans="1:9" x14ac:dyDescent="0.25">
      <c r="A26" s="34" t="s">
        <v>107</v>
      </c>
      <c r="B26" s="25">
        <v>1209</v>
      </c>
      <c r="C26" s="2">
        <v>53</v>
      </c>
      <c r="D26" s="2">
        <v>110</v>
      </c>
      <c r="E26" s="2">
        <v>74</v>
      </c>
      <c r="F26" s="25">
        <v>1147</v>
      </c>
      <c r="G26" s="2">
        <v>50</v>
      </c>
      <c r="H26" s="2">
        <v>113</v>
      </c>
      <c r="I26" s="2">
        <v>76</v>
      </c>
    </row>
    <row r="27" spans="1:9" x14ac:dyDescent="0.25">
      <c r="A27" s="34" t="s">
        <v>110</v>
      </c>
      <c r="B27" s="25">
        <v>1923.7488851552678</v>
      </c>
      <c r="C27" s="2">
        <v>61</v>
      </c>
      <c r="D27" s="2">
        <v>131</v>
      </c>
      <c r="E27" s="2">
        <v>84</v>
      </c>
      <c r="F27" s="25">
        <v>1961</v>
      </c>
      <c r="G27" s="2">
        <v>53</v>
      </c>
      <c r="H27" s="2">
        <v>136</v>
      </c>
      <c r="I27" s="2">
        <v>91</v>
      </c>
    </row>
    <row r="28" spans="1:9" x14ac:dyDescent="0.25">
      <c r="A28" s="34" t="s">
        <v>111</v>
      </c>
      <c r="B28" s="25">
        <v>1236</v>
      </c>
      <c r="C28" s="2">
        <v>74</v>
      </c>
      <c r="D28" s="2">
        <v>114</v>
      </c>
      <c r="E28" s="2">
        <v>76</v>
      </c>
      <c r="F28" s="25">
        <v>1118</v>
      </c>
      <c r="G28" s="2">
        <v>64</v>
      </c>
      <c r="H28" s="2">
        <v>119</v>
      </c>
      <c r="I28" s="2">
        <v>72</v>
      </c>
    </row>
    <row r="29" spans="1:9" x14ac:dyDescent="0.25">
      <c r="A29" s="34" t="s">
        <v>112</v>
      </c>
      <c r="B29" s="25">
        <v>2082.9782996590661</v>
      </c>
      <c r="C29" s="2">
        <v>98</v>
      </c>
      <c r="D29" s="2">
        <v>141</v>
      </c>
      <c r="E29" s="2">
        <v>91</v>
      </c>
      <c r="F29" s="25">
        <v>1950.7805252111978</v>
      </c>
      <c r="G29" s="2">
        <v>89</v>
      </c>
      <c r="H29" s="2">
        <v>126</v>
      </c>
      <c r="I29" s="2">
        <v>91</v>
      </c>
    </row>
  </sheetData>
  <mergeCells count="2">
    <mergeCell ref="B1:E1"/>
    <mergeCell ref="F1:I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98B6-B260-4AC6-9149-A25C5751E4B8}">
  <dimension ref="A1:M60"/>
  <sheetViews>
    <sheetView zoomScale="80" zoomScaleNormal="80" workbookViewId="0">
      <selection activeCell="A3" sqref="A3:A29"/>
    </sheetView>
  </sheetViews>
  <sheetFormatPr defaultRowHeight="15" x14ac:dyDescent="0.25"/>
  <cols>
    <col min="1" max="1" width="14.7109375" bestFit="1" customWidth="1"/>
    <col min="2" max="2" width="16.7109375" style="22" customWidth="1"/>
    <col min="3" max="3" width="21.140625" customWidth="1"/>
    <col min="4" max="5" width="16.140625" customWidth="1"/>
    <col min="6" max="6" width="16.28515625" style="22" customWidth="1"/>
    <col min="7" max="7" width="20.7109375" customWidth="1"/>
    <col min="8" max="8" width="12.85546875" bestFit="1" customWidth="1"/>
    <col min="9" max="9" width="14.28515625" bestFit="1" customWidth="1"/>
  </cols>
  <sheetData>
    <row r="1" spans="1:13" x14ac:dyDescent="0.25">
      <c r="B1" s="23" t="s">
        <v>127</v>
      </c>
      <c r="C1" s="24"/>
      <c r="D1" s="24"/>
      <c r="E1" s="32"/>
      <c r="F1" s="23" t="s">
        <v>128</v>
      </c>
      <c r="G1" s="24"/>
      <c r="H1" s="24"/>
      <c r="I1" s="24"/>
    </row>
    <row r="2" spans="1:13" x14ac:dyDescent="0.25">
      <c r="A2" s="3" t="s">
        <v>0</v>
      </c>
      <c r="B2" s="19" t="s">
        <v>28</v>
      </c>
      <c r="C2" s="3" t="s">
        <v>27</v>
      </c>
      <c r="D2" s="3" t="s">
        <v>26</v>
      </c>
      <c r="E2" s="3" t="s">
        <v>37</v>
      </c>
      <c r="F2" s="19" t="s">
        <v>28</v>
      </c>
      <c r="G2" s="3" t="s">
        <v>27</v>
      </c>
      <c r="H2" s="3" t="s">
        <v>26</v>
      </c>
      <c r="I2" s="3" t="s">
        <v>37</v>
      </c>
    </row>
    <row r="3" spans="1:13" x14ac:dyDescent="0.25">
      <c r="A3" s="34" t="s">
        <v>6</v>
      </c>
      <c r="B3" s="31">
        <v>1.555340576171875</v>
      </c>
      <c r="C3" s="6">
        <v>20.737874476114907</v>
      </c>
      <c r="D3" s="4">
        <v>103</v>
      </c>
      <c r="E3" s="4">
        <v>175</v>
      </c>
      <c r="F3" s="31">
        <v>1.7706315040588378</v>
      </c>
      <c r="G3" s="6">
        <v>23.359253819783529</v>
      </c>
      <c r="H3" s="2">
        <v>123</v>
      </c>
      <c r="I3" s="2">
        <v>163</v>
      </c>
    </row>
    <row r="4" spans="1:13" x14ac:dyDescent="0.25">
      <c r="A4" s="34" t="s">
        <v>7</v>
      </c>
      <c r="B4" s="31">
        <v>0.97054979006449382</v>
      </c>
      <c r="C4" s="5">
        <v>13.331727155049641</v>
      </c>
      <c r="D4" s="4">
        <v>66</v>
      </c>
      <c r="E4" s="4">
        <v>168</v>
      </c>
      <c r="F4" s="31">
        <v>1.0442999720573425</v>
      </c>
      <c r="G4" s="5">
        <v>14.384297339121501</v>
      </c>
      <c r="H4" s="2">
        <v>69</v>
      </c>
      <c r="I4" s="2">
        <v>170</v>
      </c>
      <c r="M4" s="12"/>
    </row>
    <row r="5" spans="1:13" x14ac:dyDescent="0.25">
      <c r="A5" s="34" t="s">
        <v>8</v>
      </c>
      <c r="B5" s="31">
        <v>1.1522884090741476</v>
      </c>
      <c r="C5" s="6">
        <v>13.750457827250163</v>
      </c>
      <c r="D5" s="4">
        <v>69</v>
      </c>
      <c r="E5" s="4">
        <v>170</v>
      </c>
      <c r="F5" s="31">
        <v>1.2200164357821146</v>
      </c>
      <c r="G5" s="5">
        <v>14.153323396046956</v>
      </c>
      <c r="H5" s="2">
        <v>89</v>
      </c>
      <c r="I5" s="2">
        <v>162</v>
      </c>
    </row>
    <row r="6" spans="1:13" x14ac:dyDescent="0.25">
      <c r="A6" s="34" t="s">
        <v>9</v>
      </c>
      <c r="B6" s="31">
        <v>1.4767950336138407</v>
      </c>
      <c r="C6" s="6">
        <v>17.092534573872886</v>
      </c>
      <c r="D6" s="4">
        <v>104</v>
      </c>
      <c r="E6" s="4">
        <v>158</v>
      </c>
      <c r="F6" s="31">
        <v>1.2192225694656371</v>
      </c>
      <c r="G6" s="6">
        <v>14.276610628763835</v>
      </c>
      <c r="H6" s="2">
        <v>117</v>
      </c>
      <c r="I6" s="2">
        <v>157</v>
      </c>
    </row>
    <row r="7" spans="1:13" x14ac:dyDescent="0.25">
      <c r="A7" s="34" t="s">
        <v>10</v>
      </c>
      <c r="B7" s="31">
        <v>1.5503991762797038</v>
      </c>
      <c r="C7" s="6">
        <v>15.350486882527669</v>
      </c>
      <c r="D7" s="4">
        <v>113</v>
      </c>
      <c r="E7" s="4">
        <v>163</v>
      </c>
      <c r="F7" s="31">
        <v>1.5691594044367472</v>
      </c>
      <c r="G7" s="6">
        <v>15.234557215372721</v>
      </c>
      <c r="H7" s="2">
        <v>113</v>
      </c>
      <c r="I7" s="2">
        <v>155</v>
      </c>
    </row>
    <row r="8" spans="1:13" x14ac:dyDescent="0.25">
      <c r="A8" s="34" t="s">
        <v>11</v>
      </c>
      <c r="B8" s="31">
        <v>0.98312243819236755</v>
      </c>
      <c r="C8" s="6">
        <v>15.21861391067505</v>
      </c>
      <c r="D8" s="4">
        <v>77</v>
      </c>
      <c r="E8" s="4">
        <v>176</v>
      </c>
      <c r="F8" s="31">
        <v>1.1858477155367533</v>
      </c>
      <c r="G8" s="6">
        <v>18.586955006917318</v>
      </c>
      <c r="H8" s="4">
        <v>91</v>
      </c>
      <c r="I8" s="4">
        <v>169</v>
      </c>
    </row>
    <row r="9" spans="1:13" x14ac:dyDescent="0.25">
      <c r="A9" s="34" t="s">
        <v>63</v>
      </c>
      <c r="B9" s="31">
        <v>1.2069628715515137</v>
      </c>
      <c r="C9" s="6">
        <v>19.530144119262694</v>
      </c>
      <c r="D9" s="4">
        <v>91</v>
      </c>
      <c r="E9" s="4">
        <v>154</v>
      </c>
      <c r="F9" s="31">
        <v>1.3315269390741984</v>
      </c>
      <c r="G9" s="6">
        <v>21.900114313761392</v>
      </c>
      <c r="H9" s="2">
        <v>92</v>
      </c>
      <c r="I9" s="2">
        <v>149</v>
      </c>
    </row>
    <row r="10" spans="1:13" x14ac:dyDescent="0.25">
      <c r="A10" s="34" t="s">
        <v>64</v>
      </c>
      <c r="B10" s="31">
        <v>0.70346577167510982</v>
      </c>
      <c r="C10" s="6">
        <v>14.298084576924643</v>
      </c>
      <c r="D10" s="4">
        <v>49</v>
      </c>
      <c r="E10" s="4">
        <v>158</v>
      </c>
      <c r="F10" s="31">
        <v>0.77284893989562986</v>
      </c>
      <c r="G10" s="6">
        <v>16.101019605000815</v>
      </c>
      <c r="H10" s="4">
        <v>52</v>
      </c>
      <c r="I10" s="4">
        <v>165</v>
      </c>
    </row>
    <row r="11" spans="1:13" x14ac:dyDescent="0.25">
      <c r="A11" s="34" t="s">
        <v>70</v>
      </c>
      <c r="B11" s="31">
        <v>1.1222395141919455</v>
      </c>
      <c r="C11" s="6">
        <v>19.688412475585938</v>
      </c>
      <c r="D11" s="4">
        <v>88</v>
      </c>
      <c r="E11" s="4">
        <v>162</v>
      </c>
      <c r="F11" s="31">
        <v>1.3742112318674724</v>
      </c>
      <c r="G11" s="6">
        <v>23.857834498087566</v>
      </c>
      <c r="H11" s="4">
        <v>97</v>
      </c>
      <c r="I11" s="4">
        <v>170</v>
      </c>
    </row>
    <row r="12" spans="1:13" x14ac:dyDescent="0.25">
      <c r="A12" s="34" t="s">
        <v>71</v>
      </c>
      <c r="B12" s="31">
        <v>2.0100232402483624</v>
      </c>
      <c r="C12" s="6">
        <v>23.264157422383626</v>
      </c>
      <c r="D12" s="4">
        <v>117</v>
      </c>
      <c r="E12" s="4">
        <v>191</v>
      </c>
      <c r="F12" s="31">
        <v>2.3343764384587606</v>
      </c>
      <c r="G12" s="5">
        <v>27.65848814646403</v>
      </c>
      <c r="H12" s="2">
        <v>129</v>
      </c>
      <c r="I12" s="2">
        <v>183</v>
      </c>
    </row>
    <row r="13" spans="1:13" x14ac:dyDescent="0.25">
      <c r="A13" s="34" t="s">
        <v>73</v>
      </c>
      <c r="B13" s="31">
        <v>1.9740938266118369</v>
      </c>
      <c r="C13" s="6">
        <v>22.483983548482261</v>
      </c>
      <c r="D13" s="4">
        <v>124</v>
      </c>
      <c r="E13" s="4">
        <v>160</v>
      </c>
      <c r="F13" s="31">
        <v>2.058487129211426</v>
      </c>
      <c r="G13" s="6">
        <v>23.715288480122883</v>
      </c>
      <c r="H13" s="2">
        <v>153</v>
      </c>
      <c r="I13" s="2">
        <v>160</v>
      </c>
    </row>
    <row r="14" spans="1:13" x14ac:dyDescent="0.25">
      <c r="A14" s="34" t="s">
        <v>76</v>
      </c>
      <c r="B14" s="31">
        <v>1.1978435198465982</v>
      </c>
      <c r="C14" s="6">
        <v>17.41051565806071</v>
      </c>
      <c r="D14" s="4">
        <v>100</v>
      </c>
      <c r="E14" s="4">
        <v>179</v>
      </c>
      <c r="F14" s="31">
        <v>1.3414373795191448</v>
      </c>
      <c r="G14" s="6">
        <v>20.324808756510418</v>
      </c>
      <c r="H14" s="4">
        <v>109</v>
      </c>
      <c r="I14" s="4">
        <v>174</v>
      </c>
    </row>
    <row r="15" spans="1:13" x14ac:dyDescent="0.25">
      <c r="A15" s="34" t="s">
        <v>77</v>
      </c>
      <c r="B15" s="31">
        <v>1.2445144812266031</v>
      </c>
      <c r="C15" s="6">
        <v>16.68250020345052</v>
      </c>
      <c r="D15" s="4">
        <v>88</v>
      </c>
      <c r="E15" s="4">
        <v>172</v>
      </c>
      <c r="F15" s="31">
        <v>1.2925251166025797</v>
      </c>
      <c r="G15" s="6">
        <v>17.187834676106771</v>
      </c>
      <c r="H15" s="4">
        <v>99</v>
      </c>
      <c r="I15" s="4">
        <v>168</v>
      </c>
    </row>
    <row r="16" spans="1:13" x14ac:dyDescent="0.25">
      <c r="A16" s="34" t="s">
        <v>78</v>
      </c>
      <c r="B16" s="31">
        <v>0.62657562891642249</v>
      </c>
      <c r="C16" s="6">
        <v>13.862292544047039</v>
      </c>
      <c r="D16" s="2">
        <v>54</v>
      </c>
      <c r="E16" s="2">
        <v>167</v>
      </c>
      <c r="F16" s="31">
        <v>0.67393221060434982</v>
      </c>
      <c r="G16" s="6">
        <v>14.587277030944824</v>
      </c>
      <c r="H16" s="2">
        <v>61</v>
      </c>
      <c r="I16" s="2">
        <v>172</v>
      </c>
    </row>
    <row r="17" spans="1:9" x14ac:dyDescent="0.25">
      <c r="A17" s="34" t="s">
        <v>79</v>
      </c>
      <c r="B17" s="31">
        <v>1.3034440080324809</v>
      </c>
      <c r="C17" s="6">
        <v>20.755477905273438</v>
      </c>
      <c r="D17" s="2">
        <v>91</v>
      </c>
      <c r="E17" s="2">
        <v>150</v>
      </c>
      <c r="F17" s="31">
        <v>1.2256011168162029</v>
      </c>
      <c r="G17" s="6">
        <v>20.35882225036621</v>
      </c>
      <c r="H17" s="2">
        <v>85</v>
      </c>
      <c r="I17" s="2">
        <v>137</v>
      </c>
    </row>
    <row r="18" spans="1:9" x14ac:dyDescent="0.25">
      <c r="A18" s="34" t="s">
        <v>81</v>
      </c>
      <c r="B18" s="31">
        <v>1.5709161758422852</v>
      </c>
      <c r="C18" s="6">
        <v>18.656962394714355</v>
      </c>
      <c r="D18" s="4">
        <v>112</v>
      </c>
      <c r="E18" s="4">
        <v>185</v>
      </c>
      <c r="F18" s="31">
        <v>1.606607977549235</v>
      </c>
      <c r="G18" s="6">
        <v>19.263884544372559</v>
      </c>
      <c r="H18" s="2">
        <v>109</v>
      </c>
      <c r="I18" s="2">
        <v>182</v>
      </c>
    </row>
    <row r="19" spans="1:9" x14ac:dyDescent="0.25">
      <c r="A19" s="34" t="s">
        <v>84</v>
      </c>
      <c r="B19" s="31">
        <v>1.0538644611835479</v>
      </c>
      <c r="C19" s="6">
        <v>12.915005874633788</v>
      </c>
      <c r="D19" s="2">
        <v>84</v>
      </c>
      <c r="E19" s="2">
        <v>174</v>
      </c>
      <c r="F19" s="31">
        <v>1.3953589836756388</v>
      </c>
      <c r="G19" s="6">
        <v>17.058177566528322</v>
      </c>
      <c r="H19" s="2">
        <v>97</v>
      </c>
      <c r="I19" s="2">
        <v>172</v>
      </c>
    </row>
    <row r="20" spans="1:9" x14ac:dyDescent="0.25">
      <c r="A20" s="34" t="s">
        <v>85</v>
      </c>
      <c r="B20" s="31">
        <v>1.806924041112264</v>
      </c>
      <c r="C20" s="6">
        <v>22.035658772786459</v>
      </c>
      <c r="D20" s="2">
        <v>136</v>
      </c>
      <c r="E20" s="2">
        <v>188</v>
      </c>
      <c r="F20" s="31">
        <v>1.4513417720794677</v>
      </c>
      <c r="G20" s="6">
        <v>17.360547955830892</v>
      </c>
      <c r="H20" s="2">
        <v>121</v>
      </c>
      <c r="I20" s="2">
        <v>172</v>
      </c>
    </row>
    <row r="21" spans="1:9" x14ac:dyDescent="0.25">
      <c r="A21" s="34" t="s">
        <v>90</v>
      </c>
      <c r="B21" s="31">
        <v>0.66</v>
      </c>
      <c r="C21" s="6">
        <v>9.2799999999999994</v>
      </c>
      <c r="D21" s="2">
        <v>51</v>
      </c>
      <c r="E21" s="2">
        <v>137</v>
      </c>
      <c r="F21" s="31">
        <v>0.64</v>
      </c>
      <c r="G21" s="6">
        <v>8.83</v>
      </c>
      <c r="H21" s="2">
        <v>49</v>
      </c>
      <c r="I21" s="2">
        <v>140</v>
      </c>
    </row>
    <row r="22" spans="1:9" x14ac:dyDescent="0.25">
      <c r="A22" s="34" t="s">
        <v>95</v>
      </c>
      <c r="B22" s="31">
        <v>1.1089491883913676</v>
      </c>
      <c r="C22" s="6">
        <v>13.72461814880371</v>
      </c>
      <c r="D22" s="2">
        <v>68</v>
      </c>
      <c r="E22" s="2">
        <v>134</v>
      </c>
      <c r="F22" s="31">
        <v>1.1543643077214558</v>
      </c>
      <c r="G22" s="5">
        <v>13.775229899088542</v>
      </c>
      <c r="H22" s="2">
        <v>74</v>
      </c>
      <c r="I22" s="2">
        <v>144</v>
      </c>
    </row>
    <row r="23" spans="1:9" x14ac:dyDescent="0.25">
      <c r="A23" s="34" t="s">
        <v>98</v>
      </c>
      <c r="B23" s="31">
        <v>1.8504436890284219</v>
      </c>
      <c r="C23" s="6">
        <v>28.449168562889099</v>
      </c>
      <c r="D23" s="4">
        <v>126</v>
      </c>
      <c r="E23" s="4">
        <v>171</v>
      </c>
      <c r="F23" s="31">
        <v>2.1914110978444419</v>
      </c>
      <c r="G23" s="6">
        <v>33.304117965698239</v>
      </c>
      <c r="H23" s="4">
        <v>147</v>
      </c>
      <c r="I23" s="4">
        <v>175</v>
      </c>
    </row>
    <row r="24" spans="1:9" x14ac:dyDescent="0.25">
      <c r="A24" s="34" t="s">
        <v>101</v>
      </c>
      <c r="B24" s="31">
        <v>0.9434858123461406</v>
      </c>
      <c r="C24" s="6">
        <v>10.188831742604574</v>
      </c>
      <c r="D24" s="4">
        <v>93</v>
      </c>
      <c r="E24" s="4">
        <v>147</v>
      </c>
      <c r="F24" s="31">
        <v>1.25</v>
      </c>
      <c r="G24" s="6">
        <v>13.64</v>
      </c>
      <c r="H24" s="2">
        <v>90</v>
      </c>
      <c r="I24" s="2">
        <v>144</v>
      </c>
    </row>
    <row r="25" spans="1:9" x14ac:dyDescent="0.25">
      <c r="A25" s="34" t="s">
        <v>105</v>
      </c>
      <c r="B25" s="31">
        <v>1.2830808162689209</v>
      </c>
      <c r="C25" s="6">
        <v>22.589450963338216</v>
      </c>
      <c r="D25" s="4">
        <v>83</v>
      </c>
      <c r="E25" s="4">
        <v>168</v>
      </c>
      <c r="F25" s="31">
        <v>1.345711350440979</v>
      </c>
      <c r="G25" s="6">
        <v>24.203442382812501</v>
      </c>
      <c r="H25" s="4">
        <v>91</v>
      </c>
      <c r="I25" s="4">
        <v>169</v>
      </c>
    </row>
    <row r="26" spans="1:9" x14ac:dyDescent="0.25">
      <c r="A26" s="34" t="s">
        <v>107</v>
      </c>
      <c r="B26" s="31">
        <v>1.4674333969751994</v>
      </c>
      <c r="C26" s="6">
        <v>27.792300033569337</v>
      </c>
      <c r="D26" s="4">
        <v>107</v>
      </c>
      <c r="E26" s="4">
        <v>151</v>
      </c>
      <c r="F26" s="31">
        <v>1.5735436360041299</v>
      </c>
      <c r="G26" s="6">
        <v>29.577887471516927</v>
      </c>
      <c r="H26" s="2">
        <v>116</v>
      </c>
      <c r="I26" s="2">
        <v>148</v>
      </c>
    </row>
    <row r="27" spans="1:9" x14ac:dyDescent="0.25">
      <c r="A27" s="34" t="s">
        <v>110</v>
      </c>
      <c r="B27" s="31">
        <v>1.6643649021784463</v>
      </c>
      <c r="C27" s="6">
        <v>14.994278271993002</v>
      </c>
      <c r="D27" s="4">
        <v>96</v>
      </c>
      <c r="E27" s="4">
        <v>151</v>
      </c>
      <c r="F27" s="31">
        <v>1.3548320213953653</v>
      </c>
      <c r="G27" s="6">
        <v>12.733383560180664</v>
      </c>
      <c r="H27" s="4">
        <v>89</v>
      </c>
      <c r="I27" s="4">
        <v>153</v>
      </c>
    </row>
    <row r="28" spans="1:9" x14ac:dyDescent="0.25">
      <c r="A28" s="34" t="s">
        <v>111</v>
      </c>
      <c r="B28" s="31">
        <v>0.80968085527420042</v>
      </c>
      <c r="C28" s="6">
        <v>14.056959724426269</v>
      </c>
      <c r="D28" s="4">
        <v>50</v>
      </c>
      <c r="E28" s="4">
        <v>178</v>
      </c>
      <c r="F28" s="31">
        <v>0.90152620077133183</v>
      </c>
      <c r="G28" s="6">
        <v>15.54355525970459</v>
      </c>
      <c r="H28" s="4">
        <v>60</v>
      </c>
      <c r="I28" s="2">
        <v>179</v>
      </c>
    </row>
    <row r="29" spans="1:9" x14ac:dyDescent="0.25">
      <c r="A29" s="34" t="s">
        <v>112</v>
      </c>
      <c r="B29" s="31">
        <v>1.36</v>
      </c>
      <c r="C29" s="6">
        <v>14.01</v>
      </c>
      <c r="D29" s="4">
        <v>96</v>
      </c>
      <c r="E29" s="4">
        <v>186</v>
      </c>
      <c r="F29" s="31">
        <v>1.7852123498916626</v>
      </c>
      <c r="G29" s="6">
        <v>17.570988019307453</v>
      </c>
      <c r="H29" s="4">
        <v>112</v>
      </c>
      <c r="I29" s="2">
        <v>177</v>
      </c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</sheetData>
  <mergeCells count="2">
    <mergeCell ref="B1:E1"/>
    <mergeCell ref="F1:I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4315-B01C-41FA-9662-7A056DE3BC05}">
  <dimension ref="A1:K29"/>
  <sheetViews>
    <sheetView zoomScale="90" zoomScaleNormal="90" workbookViewId="0">
      <selection activeCell="M23" sqref="M23"/>
    </sheetView>
  </sheetViews>
  <sheetFormatPr defaultRowHeight="15" x14ac:dyDescent="0.25"/>
  <cols>
    <col min="1" max="1" width="20" bestFit="1" customWidth="1"/>
    <col min="2" max="2" width="14.7109375" style="22" bestFit="1" customWidth="1"/>
    <col min="3" max="3" width="17.42578125" bestFit="1" customWidth="1"/>
    <col min="4" max="4" width="15.140625" bestFit="1" customWidth="1"/>
    <col min="5" max="5" width="13.85546875" bestFit="1" customWidth="1"/>
    <col min="6" max="6" width="17.5703125" bestFit="1" customWidth="1"/>
    <col min="7" max="7" width="14.7109375" style="22" bestFit="1" customWidth="1"/>
    <col min="8" max="8" width="17.42578125" bestFit="1" customWidth="1"/>
    <col min="9" max="9" width="15.140625" bestFit="1" customWidth="1"/>
    <col min="10" max="10" width="13.85546875" bestFit="1" customWidth="1"/>
    <col min="11" max="11" width="17.5703125" bestFit="1" customWidth="1"/>
  </cols>
  <sheetData>
    <row r="1" spans="1:11" x14ac:dyDescent="0.25">
      <c r="B1" s="23" t="s">
        <v>127</v>
      </c>
      <c r="C1" s="24"/>
      <c r="D1" s="24"/>
      <c r="E1" s="24"/>
      <c r="F1" s="32"/>
      <c r="G1" s="23" t="s">
        <v>128</v>
      </c>
      <c r="H1" s="24"/>
      <c r="I1" s="24"/>
      <c r="J1" s="24"/>
      <c r="K1" s="24"/>
    </row>
    <row r="2" spans="1:11" x14ac:dyDescent="0.25">
      <c r="A2" s="3" t="s">
        <v>0</v>
      </c>
      <c r="B2" s="19" t="s">
        <v>41</v>
      </c>
      <c r="C2" s="3" t="s">
        <v>42</v>
      </c>
      <c r="D2" s="3" t="s">
        <v>43</v>
      </c>
      <c r="E2" s="3" t="s">
        <v>44</v>
      </c>
      <c r="F2" s="3" t="s">
        <v>45</v>
      </c>
      <c r="G2" s="19" t="s">
        <v>41</v>
      </c>
      <c r="H2" s="3" t="s">
        <v>42</v>
      </c>
      <c r="I2" s="3" t="s">
        <v>43</v>
      </c>
      <c r="J2" s="3" t="s">
        <v>44</v>
      </c>
      <c r="K2" s="3" t="s">
        <v>45</v>
      </c>
    </row>
    <row r="3" spans="1:11" x14ac:dyDescent="0.25">
      <c r="A3" s="3" t="s">
        <v>6</v>
      </c>
      <c r="B3" s="25">
        <v>1719.803314</v>
      </c>
      <c r="C3" s="4">
        <v>71.929578570000004</v>
      </c>
      <c r="D3" s="4">
        <v>209.54230000000001</v>
      </c>
      <c r="E3" s="4">
        <v>62.260371429999999</v>
      </c>
      <c r="F3" s="4">
        <v>3.4446994289999999</v>
      </c>
      <c r="G3" s="25">
        <v>1926.8384857143001</v>
      </c>
      <c r="H3" s="4">
        <v>94.495971428570996</v>
      </c>
      <c r="I3" s="4">
        <v>205.38358571429001</v>
      </c>
      <c r="J3" s="4">
        <v>80.379828571429002</v>
      </c>
      <c r="K3" s="4">
        <v>0</v>
      </c>
    </row>
    <row r="4" spans="1:11" x14ac:dyDescent="0.25">
      <c r="A4" s="3" t="s">
        <v>7</v>
      </c>
      <c r="B4" s="25">
        <v>1599.8084622624001</v>
      </c>
      <c r="C4" s="4">
        <v>57.346415440000001</v>
      </c>
      <c r="D4" s="4">
        <v>184.90882139999999</v>
      </c>
      <c r="E4" s="4">
        <v>57.281133570000001</v>
      </c>
      <c r="F4" s="4">
        <v>15.96753382</v>
      </c>
      <c r="G4" s="25">
        <v>1510.2582910978001</v>
      </c>
      <c r="H4" s="4">
        <v>59.846767625939997</v>
      </c>
      <c r="I4" s="4">
        <v>172.92695357143</v>
      </c>
      <c r="J4" s="4">
        <v>54.029544642856997</v>
      </c>
      <c r="K4" s="4">
        <v>13.215015860371</v>
      </c>
    </row>
    <row r="5" spans="1:11" x14ac:dyDescent="0.25">
      <c r="A5" s="3" t="s">
        <v>8</v>
      </c>
      <c r="B5" s="25">
        <v>1647.3358242857</v>
      </c>
      <c r="C5" s="4">
        <v>49.174711357143003</v>
      </c>
      <c r="D5" s="4">
        <v>49.174711357143003</v>
      </c>
      <c r="E5" s="4">
        <v>71.871130021428996</v>
      </c>
      <c r="F5" s="4">
        <v>15.285714285714</v>
      </c>
      <c r="G5" s="25">
        <v>1654.4719737143</v>
      </c>
      <c r="H5" s="4">
        <v>59.927060485714001</v>
      </c>
      <c r="I5" s="4">
        <v>173.35342857142999</v>
      </c>
      <c r="J5" s="4">
        <v>76.580148885713996</v>
      </c>
      <c r="K5" s="4">
        <v>4.1314285714286001</v>
      </c>
    </row>
    <row r="6" spans="1:11" x14ac:dyDescent="0.25">
      <c r="A6" s="3" t="s">
        <v>9</v>
      </c>
      <c r="B6" s="25">
        <v>1647.1399515713999</v>
      </c>
      <c r="C6" s="4">
        <v>90.078093871429004</v>
      </c>
      <c r="D6" s="4">
        <v>187.441248</v>
      </c>
      <c r="E6" s="4">
        <v>59.652021699999999</v>
      </c>
      <c r="F6" s="4">
        <v>0</v>
      </c>
      <c r="G6" s="25">
        <v>1768.7028518571001</v>
      </c>
      <c r="H6" s="4">
        <v>76.866406799999993</v>
      </c>
      <c r="I6" s="4">
        <v>204.38073128571</v>
      </c>
      <c r="J6" s="4">
        <v>70.432067357142998</v>
      </c>
      <c r="K6" s="4">
        <v>0</v>
      </c>
    </row>
    <row r="7" spans="1:11" x14ac:dyDescent="0.25">
      <c r="A7" s="3" t="s">
        <v>10</v>
      </c>
      <c r="B7" s="25">
        <v>1684.2777971429</v>
      </c>
      <c r="C7" s="4">
        <v>89.193214285714006</v>
      </c>
      <c r="D7" s="4">
        <v>161.15108571428999</v>
      </c>
      <c r="E7" s="4">
        <v>75.261785714286006</v>
      </c>
      <c r="F7" s="4">
        <v>0.74414057142857004</v>
      </c>
      <c r="G7" s="25">
        <v>1729.1807814286001</v>
      </c>
      <c r="H7" s="4">
        <v>97.842280414285995</v>
      </c>
      <c r="I7" s="4">
        <v>163.37487171429001</v>
      </c>
      <c r="J7" s="4">
        <v>74.141182657143005</v>
      </c>
      <c r="K7" s="4">
        <v>2.3623325714285999</v>
      </c>
    </row>
    <row r="8" spans="1:11" x14ac:dyDescent="0.25">
      <c r="A8" s="3" t="s">
        <v>11</v>
      </c>
      <c r="B8" s="25">
        <v>1168.0485196856</v>
      </c>
      <c r="C8" s="4">
        <v>38.867628969999998</v>
      </c>
      <c r="D8" s="4">
        <v>106.41519244167</v>
      </c>
      <c r="E8" s="4">
        <v>56.552266547850003</v>
      </c>
      <c r="F8" s="4">
        <v>11.321369625000001</v>
      </c>
      <c r="G8" s="25">
        <v>1164.0258200000001</v>
      </c>
      <c r="H8" s="4">
        <v>42.019657142857</v>
      </c>
      <c r="I8" s="4">
        <v>96.598828571428996</v>
      </c>
      <c r="J8" s="4">
        <v>65.967208571428998</v>
      </c>
      <c r="K8" s="4">
        <v>2.3439999999999999</v>
      </c>
    </row>
    <row r="9" spans="1:11" x14ac:dyDescent="0.25">
      <c r="A9" s="3" t="s">
        <v>63</v>
      </c>
      <c r="B9" s="25">
        <v>896.57637999999997</v>
      </c>
      <c r="C9" s="4">
        <v>54.635121428570997</v>
      </c>
      <c r="D9" s="4">
        <v>95.672642857143003</v>
      </c>
      <c r="E9" s="4">
        <v>32.805162857143003</v>
      </c>
      <c r="F9" s="4">
        <v>0</v>
      </c>
      <c r="G9" s="25">
        <v>1388.5851428571</v>
      </c>
      <c r="H9" s="4">
        <v>78.773285714286004</v>
      </c>
      <c r="I9" s="4">
        <v>169.16542857143</v>
      </c>
      <c r="J9" s="4">
        <v>43.858571428570997</v>
      </c>
      <c r="K9" s="4">
        <v>0</v>
      </c>
    </row>
    <row r="10" spans="1:11" x14ac:dyDescent="0.25">
      <c r="A10" s="3" t="s">
        <v>64</v>
      </c>
      <c r="B10" s="25">
        <v>1575.1683738571001</v>
      </c>
      <c r="C10" s="4">
        <v>69.637615395571004</v>
      </c>
      <c r="D10" s="4">
        <v>159.27170000000001</v>
      </c>
      <c r="E10" s="4">
        <v>65.231317857142997</v>
      </c>
      <c r="F10" s="4">
        <v>10.192714285714001</v>
      </c>
      <c r="G10" s="25">
        <v>1368.7350803571001</v>
      </c>
      <c r="H10" s="4">
        <v>58.253623053570998</v>
      </c>
      <c r="I10" s="4">
        <v>159.49302589286</v>
      </c>
      <c r="J10" s="4">
        <v>53.497114446429002</v>
      </c>
      <c r="K10" s="4">
        <v>2.2928571428571001</v>
      </c>
    </row>
    <row r="11" spans="1:11" x14ac:dyDescent="0.25">
      <c r="A11" s="3" t="s">
        <v>70</v>
      </c>
      <c r="B11" s="25">
        <v>1352.0988484285999</v>
      </c>
      <c r="C11" s="4">
        <v>44.246050928571002</v>
      </c>
      <c r="D11" s="4">
        <v>175.67330999999999</v>
      </c>
      <c r="E11" s="4">
        <v>49.606442814285998</v>
      </c>
      <c r="F11" s="4">
        <v>2.9428571428571</v>
      </c>
      <c r="G11" s="25">
        <v>1524.8404142857</v>
      </c>
      <c r="H11" s="4">
        <v>45.233392857143002</v>
      </c>
      <c r="I11" s="4">
        <v>191.11850000000001</v>
      </c>
      <c r="J11" s="4">
        <v>55.617585714286001</v>
      </c>
      <c r="K11" s="4">
        <v>11.298571428571</v>
      </c>
    </row>
    <row r="12" spans="1:11" x14ac:dyDescent="0.25">
      <c r="A12" s="3" t="s">
        <v>71</v>
      </c>
      <c r="B12" s="25">
        <v>1729.5850857143</v>
      </c>
      <c r="C12" s="4">
        <v>82.696349999999995</v>
      </c>
      <c r="D12" s="4">
        <v>208.39177142857</v>
      </c>
      <c r="E12" s="4">
        <v>62.813085714285997</v>
      </c>
      <c r="F12" s="4">
        <v>0</v>
      </c>
      <c r="G12" s="25">
        <v>1422.6748973410999</v>
      </c>
      <c r="H12" s="4">
        <v>65.286723016357996</v>
      </c>
      <c r="I12" s="4">
        <v>146.63305507721</v>
      </c>
      <c r="J12" s="4">
        <v>62.995324789599998</v>
      </c>
      <c r="K12" s="4">
        <v>0.42857136573531002</v>
      </c>
    </row>
    <row r="13" spans="1:11" x14ac:dyDescent="0.25">
      <c r="A13" s="3" t="s">
        <v>73</v>
      </c>
      <c r="B13" s="25">
        <v>1797.2264571429</v>
      </c>
      <c r="C13" s="4">
        <v>115.60088828571</v>
      </c>
      <c r="D13" s="4">
        <v>154.71864285714</v>
      </c>
      <c r="E13" s="4">
        <v>72.368400857143001</v>
      </c>
      <c r="F13" s="4">
        <v>9.1742857142857002</v>
      </c>
      <c r="G13" s="30">
        <v>1885.5240542857</v>
      </c>
      <c r="H13" s="8">
        <v>95.124952857143001</v>
      </c>
      <c r="I13" s="8">
        <v>193.00285714285999</v>
      </c>
      <c r="J13" s="8">
        <v>77.935248571429</v>
      </c>
      <c r="K13" s="8">
        <v>3.7728571428571001</v>
      </c>
    </row>
    <row r="14" spans="1:11" x14ac:dyDescent="0.25">
      <c r="A14" s="3" t="s">
        <v>76</v>
      </c>
      <c r="B14" s="25">
        <v>942.56095314285994</v>
      </c>
      <c r="C14" s="4">
        <v>62.877941</v>
      </c>
      <c r="D14" s="4">
        <v>89.610285714285993</v>
      </c>
      <c r="E14" s="4">
        <v>36.911480428570997</v>
      </c>
      <c r="F14" s="4">
        <v>0</v>
      </c>
      <c r="G14" s="25">
        <v>1322.1567214285999</v>
      </c>
      <c r="H14" s="4">
        <v>70.303814285713997</v>
      </c>
      <c r="I14" s="4">
        <v>162.97757142857</v>
      </c>
      <c r="J14" s="4">
        <v>43.316035714286002</v>
      </c>
      <c r="K14" s="4">
        <v>0</v>
      </c>
    </row>
    <row r="15" spans="1:11" x14ac:dyDescent="0.25">
      <c r="A15" s="3" t="s">
        <v>77</v>
      </c>
      <c r="B15" s="25">
        <v>1490.24927</v>
      </c>
      <c r="C15" s="4">
        <v>66.689271399999996</v>
      </c>
      <c r="D15" s="4">
        <v>187.26657142856999</v>
      </c>
      <c r="E15" s="4">
        <v>52.077633314285997</v>
      </c>
      <c r="F15" s="4">
        <v>1.1321428571429</v>
      </c>
      <c r="G15" s="25">
        <v>1635.2658628571</v>
      </c>
      <c r="H15" s="4">
        <v>58.135400065714002</v>
      </c>
      <c r="I15" s="4">
        <v>206.03597400000001</v>
      </c>
      <c r="J15" s="4">
        <v>62.27757124</v>
      </c>
      <c r="K15" s="4">
        <v>2.6749999999999998</v>
      </c>
    </row>
    <row r="16" spans="1:11" x14ac:dyDescent="0.25">
      <c r="A16" s="3" t="s">
        <v>78</v>
      </c>
      <c r="B16" s="25">
        <v>1766.1259112826001</v>
      </c>
      <c r="C16" s="4">
        <v>75.789803996174001</v>
      </c>
      <c r="D16" s="4">
        <v>206.68303435751</v>
      </c>
      <c r="E16" s="4">
        <v>75.789803996174001</v>
      </c>
      <c r="F16" s="4">
        <v>4.5542857142857001</v>
      </c>
      <c r="G16" s="25">
        <v>1156.6768028571</v>
      </c>
      <c r="H16" s="4">
        <v>58.065339428571001</v>
      </c>
      <c r="I16" s="4">
        <v>144.85640000000001</v>
      </c>
      <c r="J16" s="4">
        <v>32.063257142856997</v>
      </c>
      <c r="K16" s="4">
        <v>7.8402857142856996</v>
      </c>
    </row>
    <row r="17" spans="1:11" x14ac:dyDescent="0.25">
      <c r="A17" s="3" t="s">
        <v>79</v>
      </c>
      <c r="B17" s="25">
        <v>1865.562195539</v>
      </c>
      <c r="C17" s="4">
        <v>72.828053380857</v>
      </c>
      <c r="D17" s="4">
        <v>188.59688790886</v>
      </c>
      <c r="E17" s="4">
        <v>63.307249281316999</v>
      </c>
      <c r="F17" s="4">
        <v>35.565523619143001</v>
      </c>
      <c r="G17" s="25">
        <v>2101.5070673803998</v>
      </c>
      <c r="H17" s="4">
        <v>70.097662122968998</v>
      </c>
      <c r="I17" s="4">
        <v>214.52327450543001</v>
      </c>
      <c r="J17" s="4">
        <v>70.866657742857001</v>
      </c>
      <c r="K17" s="4">
        <v>46.525424646285998</v>
      </c>
    </row>
    <row r="18" spans="1:11" x14ac:dyDescent="0.25">
      <c r="A18" s="3" t="s">
        <v>81</v>
      </c>
      <c r="B18" s="25">
        <v>1564.1949768571001</v>
      </c>
      <c r="C18" s="4">
        <v>74.921231700000007</v>
      </c>
      <c r="D18" s="4">
        <v>139.50352849999999</v>
      </c>
      <c r="E18" s="4">
        <v>71.678628214285993</v>
      </c>
      <c r="F18" s="4">
        <v>8.7852057142857003</v>
      </c>
      <c r="G18" s="25">
        <v>1501.3062190000001</v>
      </c>
      <c r="H18" s="4">
        <v>80.323498783332994</v>
      </c>
      <c r="I18" s="4">
        <v>138.55569224999999</v>
      </c>
      <c r="J18" s="4">
        <v>62.951957916666998</v>
      </c>
      <c r="K18" s="4">
        <v>68.400720000000007</v>
      </c>
    </row>
    <row r="19" spans="1:11" x14ac:dyDescent="0.25">
      <c r="A19" s="3" t="s">
        <v>84</v>
      </c>
      <c r="B19" s="25">
        <v>1867.4360999999999</v>
      </c>
      <c r="C19" s="4">
        <v>67.619134285713997</v>
      </c>
      <c r="D19" s="4">
        <v>227.93040285714</v>
      </c>
      <c r="E19" s="4">
        <v>76.016477142856999</v>
      </c>
      <c r="F19" s="4">
        <v>0</v>
      </c>
      <c r="G19" s="25">
        <v>1863.2144000000001</v>
      </c>
      <c r="H19" s="4">
        <v>63.902430000000003</v>
      </c>
      <c r="I19" s="4">
        <v>247.71279999999999</v>
      </c>
      <c r="J19" s="4">
        <v>68.400720000000007</v>
      </c>
      <c r="K19" s="4">
        <v>0</v>
      </c>
    </row>
    <row r="20" spans="1:11" x14ac:dyDescent="0.25">
      <c r="A20" s="3" t="s">
        <v>85</v>
      </c>
      <c r="B20" s="25">
        <v>1886.7125457142999</v>
      </c>
      <c r="C20" s="4">
        <v>83.730686714285994</v>
      </c>
      <c r="D20" s="4">
        <v>144.87328571429001</v>
      </c>
      <c r="E20" s="4">
        <v>88.716903228570999</v>
      </c>
      <c r="F20" s="4">
        <v>24.846</v>
      </c>
      <c r="G20" s="25">
        <v>1912.6357426667</v>
      </c>
      <c r="H20" s="4">
        <v>83.329744433333005</v>
      </c>
      <c r="I20" s="4">
        <v>166.60216666667</v>
      </c>
      <c r="J20" s="4">
        <v>79.933897999999999</v>
      </c>
      <c r="K20" s="4">
        <v>27.616666666667001</v>
      </c>
    </row>
    <row r="21" spans="1:11" x14ac:dyDescent="0.25">
      <c r="A21" s="3" t="s">
        <v>90</v>
      </c>
      <c r="B21" s="25">
        <v>1042.4104142857</v>
      </c>
      <c r="C21" s="4">
        <v>56.078340316571001</v>
      </c>
      <c r="D21" s="4">
        <v>104.76146802856999</v>
      </c>
      <c r="E21" s="4">
        <v>43.005561910856997</v>
      </c>
      <c r="F21" s="4">
        <v>1.5285714285714</v>
      </c>
      <c r="G21" s="25">
        <v>963.78048000000001</v>
      </c>
      <c r="H21" s="4">
        <v>51.167617</v>
      </c>
      <c r="I21" s="4">
        <v>71.811959999999999</v>
      </c>
      <c r="J21" s="4">
        <v>48.491865599999997</v>
      </c>
      <c r="K21" s="4">
        <v>4.2933333333333001</v>
      </c>
    </row>
    <row r="22" spans="1:11" x14ac:dyDescent="0.25">
      <c r="A22" s="3" t="s">
        <v>95</v>
      </c>
      <c r="B22" s="25">
        <v>1654.7807069999999</v>
      </c>
      <c r="C22" s="4">
        <v>64.306569289999999</v>
      </c>
      <c r="D22" s="4">
        <v>206.96450709999999</v>
      </c>
      <c r="E22" s="4">
        <v>63.43727071</v>
      </c>
      <c r="F22" s="4">
        <v>0.16300000000000001</v>
      </c>
      <c r="G22" s="25">
        <v>1418.0433294285999</v>
      </c>
      <c r="H22" s="4">
        <v>58.510943771428998</v>
      </c>
      <c r="I22" s="4">
        <v>143.05457021429001</v>
      </c>
      <c r="J22" s="4">
        <v>67.894876728571006</v>
      </c>
      <c r="K22" s="4">
        <v>0</v>
      </c>
    </row>
    <row r="23" spans="1:11" x14ac:dyDescent="0.25">
      <c r="A23" s="3" t="s">
        <v>98</v>
      </c>
      <c r="B23" s="25">
        <v>1688.3689028571</v>
      </c>
      <c r="C23" s="4">
        <v>76.945551028286005</v>
      </c>
      <c r="D23" s="4">
        <v>152.94857142857001</v>
      </c>
      <c r="E23" s="4">
        <v>65.369823657713994</v>
      </c>
      <c r="F23" s="4">
        <v>25.818857142856999</v>
      </c>
      <c r="G23" s="25">
        <v>1681.5163928571001</v>
      </c>
      <c r="H23" s="4">
        <v>71.277867142857005</v>
      </c>
      <c r="I23" s="4">
        <v>199.827</v>
      </c>
      <c r="J23" s="4">
        <v>60.955284285714001</v>
      </c>
      <c r="K23" s="4">
        <v>7.5248571428571003</v>
      </c>
    </row>
    <row r="24" spans="1:11" x14ac:dyDescent="0.25">
      <c r="A24" s="3" t="s">
        <v>101</v>
      </c>
      <c r="B24" s="25">
        <v>1429.0805571429</v>
      </c>
      <c r="C24" s="4">
        <v>66.622430942856994</v>
      </c>
      <c r="D24" s="4">
        <v>154.53821014286001</v>
      </c>
      <c r="E24" s="4">
        <v>57.316129142857001</v>
      </c>
      <c r="F24" s="4">
        <v>4.0757142857142998</v>
      </c>
      <c r="G24" s="25">
        <v>1145.5160000000001</v>
      </c>
      <c r="H24" s="4">
        <v>59.031750000000002</v>
      </c>
      <c r="I24" s="4">
        <v>136.33224999999999</v>
      </c>
      <c r="J24" s="4">
        <v>38.346833330000003</v>
      </c>
      <c r="K24" s="4">
        <v>2.641666667</v>
      </c>
    </row>
    <row r="25" spans="1:11" x14ac:dyDescent="0.25">
      <c r="A25" s="3" t="s">
        <v>105</v>
      </c>
      <c r="B25" s="25">
        <v>1164.78755</v>
      </c>
      <c r="C25" s="4">
        <v>54.273821414285997</v>
      </c>
      <c r="D25" s="4">
        <v>98.765943699999994</v>
      </c>
      <c r="E25" s="4">
        <v>48.815722142856998</v>
      </c>
      <c r="F25" s="4">
        <v>16.25</v>
      </c>
      <c r="G25" s="25">
        <v>1368.1763293818001</v>
      </c>
      <c r="H25" s="4">
        <v>55.383004250460999</v>
      </c>
      <c r="I25" s="4">
        <v>124.27302738716</v>
      </c>
      <c r="J25" s="4">
        <v>52.194142594749998</v>
      </c>
      <c r="K25" s="4">
        <v>25.098571428570999</v>
      </c>
    </row>
    <row r="26" spans="1:11" x14ac:dyDescent="0.25">
      <c r="A26" s="3" t="s">
        <v>107</v>
      </c>
      <c r="B26" s="25">
        <v>1794.0436994285712</v>
      </c>
      <c r="C26" s="4">
        <v>83.993114471428569</v>
      </c>
      <c r="D26" s="4">
        <v>121.18768785714285</v>
      </c>
      <c r="E26" s="4">
        <v>97.089320714285705</v>
      </c>
      <c r="F26" s="4">
        <v>13.834571428571431</v>
      </c>
      <c r="G26" s="25">
        <v>1467.9334342857144</v>
      </c>
      <c r="H26" s="4">
        <v>73.159491464285708</v>
      </c>
      <c r="I26" s="4">
        <v>109.99406</v>
      </c>
      <c r="J26" s="4">
        <v>77.01353994285715</v>
      </c>
      <c r="K26" s="4">
        <v>5.750177142857142</v>
      </c>
    </row>
    <row r="27" spans="1:11" x14ac:dyDescent="0.25">
      <c r="A27" s="3" t="s">
        <v>110</v>
      </c>
      <c r="B27" s="25">
        <v>1269.8212571429001</v>
      </c>
      <c r="C27" s="4">
        <v>84.388729999999995</v>
      </c>
      <c r="D27" s="4">
        <v>129.85854714286</v>
      </c>
      <c r="E27" s="4">
        <v>43.813638571429003</v>
      </c>
      <c r="F27" s="4">
        <v>2.73</v>
      </c>
      <c r="G27" s="25">
        <v>1318.33178</v>
      </c>
      <c r="H27" s="4">
        <v>85.089991999999995</v>
      </c>
      <c r="I27" s="4">
        <v>137.98564285713999</v>
      </c>
      <c r="J27" s="4">
        <v>47.455606857143003</v>
      </c>
      <c r="K27" s="4">
        <v>0</v>
      </c>
    </row>
    <row r="28" spans="1:11" x14ac:dyDescent="0.25">
      <c r="A28" s="3" t="s">
        <v>111</v>
      </c>
      <c r="B28" s="25">
        <v>1268.7138757143</v>
      </c>
      <c r="C28" s="4">
        <v>69.311333371429001</v>
      </c>
      <c r="D28" s="4">
        <v>75.187712171428998</v>
      </c>
      <c r="E28" s="4">
        <v>76.583505571429001</v>
      </c>
      <c r="F28" s="4">
        <v>0</v>
      </c>
      <c r="G28" s="25">
        <v>1487</v>
      </c>
      <c r="H28" s="4">
        <v>61.7</v>
      </c>
      <c r="I28" s="4">
        <v>88.3</v>
      </c>
      <c r="J28" s="4">
        <v>98.9</v>
      </c>
      <c r="K28" s="4">
        <v>0</v>
      </c>
    </row>
    <row r="29" spans="1:11" x14ac:dyDescent="0.25">
      <c r="A29" s="3" t="s">
        <v>112</v>
      </c>
      <c r="B29" s="25">
        <v>1735.577</v>
      </c>
      <c r="C29" s="4">
        <v>89.225571428571001</v>
      </c>
      <c r="D29" s="4">
        <v>166.77788571428999</v>
      </c>
      <c r="E29" s="4">
        <v>79.076857142856994</v>
      </c>
      <c r="F29" s="4">
        <v>0</v>
      </c>
      <c r="G29" s="25">
        <v>1490.5774285714001</v>
      </c>
      <c r="H29" s="4">
        <v>77.878857142857001</v>
      </c>
      <c r="I29" s="4">
        <v>152.05885714286001</v>
      </c>
      <c r="J29" s="4">
        <v>63.404857142856997</v>
      </c>
      <c r="K29" s="4">
        <v>0</v>
      </c>
    </row>
  </sheetData>
  <mergeCells count="2">
    <mergeCell ref="B1:F1"/>
    <mergeCell ref="G1:K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46CD-B24E-44D2-A35D-3A2E3020AE61}">
  <dimension ref="A1:K29"/>
  <sheetViews>
    <sheetView zoomScale="90" zoomScaleNormal="90" workbookViewId="0">
      <selection activeCell="K8" sqref="B8:K8"/>
    </sheetView>
  </sheetViews>
  <sheetFormatPr defaultRowHeight="15" x14ac:dyDescent="0.25"/>
  <cols>
    <col min="1" max="1" width="18.7109375" customWidth="1"/>
    <col min="2" max="2" width="20.140625" style="22" bestFit="1" customWidth="1"/>
    <col min="3" max="3" width="20.140625" bestFit="1" customWidth="1"/>
    <col min="4" max="4" width="19.85546875" bestFit="1" customWidth="1"/>
    <col min="5" max="5" width="19" bestFit="1" customWidth="1"/>
    <col min="6" max="6" width="17.42578125" bestFit="1" customWidth="1"/>
    <col min="7" max="7" width="19.5703125" style="22" bestFit="1" customWidth="1"/>
    <col min="8" max="8" width="17.28515625" style="28" bestFit="1" customWidth="1"/>
    <col min="9" max="9" width="19.42578125" style="28" bestFit="1" customWidth="1"/>
    <col min="10" max="10" width="18.42578125" style="28" bestFit="1" customWidth="1"/>
    <col min="11" max="11" width="17.42578125" style="28" bestFit="1" customWidth="1"/>
  </cols>
  <sheetData>
    <row r="1" spans="1:11" x14ac:dyDescent="0.25">
      <c r="B1" s="23" t="s">
        <v>127</v>
      </c>
      <c r="C1" s="24"/>
      <c r="D1" s="24"/>
      <c r="E1" s="24"/>
      <c r="F1" s="32"/>
      <c r="G1" s="23" t="s">
        <v>128</v>
      </c>
      <c r="H1" s="24"/>
      <c r="I1" s="24"/>
      <c r="J1" s="24"/>
      <c r="K1" s="24"/>
    </row>
    <row r="2" spans="1:11" x14ac:dyDescent="0.25">
      <c r="A2" s="3" t="s">
        <v>0</v>
      </c>
      <c r="B2" s="19" t="s">
        <v>46</v>
      </c>
      <c r="C2" s="3" t="s">
        <v>47</v>
      </c>
      <c r="D2" s="3" t="s">
        <v>48</v>
      </c>
      <c r="E2" s="3" t="s">
        <v>49</v>
      </c>
      <c r="F2" s="3" t="s">
        <v>126</v>
      </c>
      <c r="G2" s="19" t="s">
        <v>46</v>
      </c>
      <c r="H2" s="26" t="s">
        <v>47</v>
      </c>
      <c r="I2" s="26" t="s">
        <v>48</v>
      </c>
      <c r="J2" s="26" t="s">
        <v>49</v>
      </c>
      <c r="K2" s="26" t="s">
        <v>126</v>
      </c>
    </row>
    <row r="3" spans="1:11" x14ac:dyDescent="0.25">
      <c r="A3" s="3" t="s">
        <v>6</v>
      </c>
      <c r="B3" s="25">
        <v>641</v>
      </c>
      <c r="C3" s="4">
        <v>249</v>
      </c>
      <c r="D3" s="4">
        <v>50</v>
      </c>
      <c r="E3" s="4">
        <v>0</v>
      </c>
      <c r="F3" s="2">
        <v>512</v>
      </c>
      <c r="G3" s="21">
        <v>323</v>
      </c>
      <c r="H3" s="29">
        <v>537</v>
      </c>
      <c r="I3" s="29">
        <v>100</v>
      </c>
      <c r="J3" s="29">
        <v>0</v>
      </c>
      <c r="K3" s="29">
        <v>984</v>
      </c>
    </row>
    <row r="4" spans="1:11" x14ac:dyDescent="0.25">
      <c r="A4" s="3" t="s">
        <v>7</v>
      </c>
      <c r="B4" s="25">
        <v>643</v>
      </c>
      <c r="C4" s="4">
        <v>312</v>
      </c>
      <c r="D4" s="4">
        <v>5</v>
      </c>
      <c r="E4" s="4">
        <v>0</v>
      </c>
      <c r="F4" s="2">
        <v>380</v>
      </c>
      <c r="G4" s="25">
        <v>631</v>
      </c>
      <c r="H4" s="27">
        <v>319</v>
      </c>
      <c r="I4" s="27">
        <v>9</v>
      </c>
      <c r="J4" s="27">
        <v>0</v>
      </c>
      <c r="K4" s="29">
        <v>363</v>
      </c>
    </row>
    <row r="5" spans="1:11" x14ac:dyDescent="0.25">
      <c r="A5" s="3" t="s">
        <v>8</v>
      </c>
      <c r="B5" s="21">
        <v>736</v>
      </c>
      <c r="C5" s="2">
        <v>223</v>
      </c>
      <c r="D5" s="2">
        <v>0</v>
      </c>
      <c r="E5" s="2">
        <v>0</v>
      </c>
      <c r="F5" s="2">
        <v>288</v>
      </c>
      <c r="G5" s="25">
        <v>838</v>
      </c>
      <c r="H5" s="27">
        <v>111</v>
      </c>
      <c r="I5" s="27">
        <v>11</v>
      </c>
      <c r="J5" s="27">
        <v>0</v>
      </c>
      <c r="K5" s="29">
        <v>233</v>
      </c>
    </row>
    <row r="6" spans="1:11" x14ac:dyDescent="0.25">
      <c r="A6" s="3" t="s">
        <v>9</v>
      </c>
      <c r="B6" s="25">
        <v>585</v>
      </c>
      <c r="C6" s="4">
        <v>353</v>
      </c>
      <c r="D6" s="4">
        <v>22</v>
      </c>
      <c r="E6" s="4">
        <v>0</v>
      </c>
      <c r="F6" s="2">
        <v>507</v>
      </c>
      <c r="G6" s="25">
        <v>752</v>
      </c>
      <c r="H6" s="29">
        <v>190</v>
      </c>
      <c r="I6" s="29">
        <v>17</v>
      </c>
      <c r="J6" s="29">
        <v>0</v>
      </c>
      <c r="K6" s="29">
        <v>368</v>
      </c>
    </row>
    <row r="7" spans="1:11" x14ac:dyDescent="0.25">
      <c r="A7" s="3" t="s">
        <v>10</v>
      </c>
      <c r="B7" s="21">
        <v>491</v>
      </c>
      <c r="C7" s="2">
        <v>446</v>
      </c>
      <c r="D7" s="2">
        <v>22</v>
      </c>
      <c r="E7" s="2">
        <v>0</v>
      </c>
      <c r="F7" s="2">
        <v>772</v>
      </c>
      <c r="G7" s="25">
        <v>712</v>
      </c>
      <c r="H7" s="29">
        <v>224</v>
      </c>
      <c r="I7" s="29">
        <v>24</v>
      </c>
      <c r="J7" s="29">
        <v>0</v>
      </c>
      <c r="K7" s="29">
        <v>446</v>
      </c>
    </row>
    <row r="8" spans="1:11" x14ac:dyDescent="0.25">
      <c r="A8" s="3" t="s">
        <v>11</v>
      </c>
      <c r="B8" s="25"/>
      <c r="C8" s="4"/>
      <c r="D8" s="4"/>
      <c r="E8" s="4"/>
      <c r="F8" s="2"/>
      <c r="G8" s="25"/>
      <c r="H8" s="27"/>
      <c r="I8" s="27"/>
      <c r="J8" s="27"/>
      <c r="K8" s="27"/>
    </row>
    <row r="9" spans="1:11" x14ac:dyDescent="0.25">
      <c r="A9" s="3" t="s">
        <v>63</v>
      </c>
      <c r="B9" s="25">
        <v>712</v>
      </c>
      <c r="C9" s="4">
        <v>226</v>
      </c>
      <c r="D9" s="4">
        <v>21</v>
      </c>
      <c r="E9" s="4">
        <v>2</v>
      </c>
      <c r="F9" s="2">
        <v>323</v>
      </c>
      <c r="G9" s="21">
        <v>776</v>
      </c>
      <c r="H9" s="29">
        <v>150</v>
      </c>
      <c r="I9" s="29">
        <v>33</v>
      </c>
      <c r="J9" s="29">
        <v>0</v>
      </c>
      <c r="K9" s="29">
        <v>380</v>
      </c>
    </row>
    <row r="10" spans="1:11" x14ac:dyDescent="0.25">
      <c r="A10" s="3" t="s">
        <v>64</v>
      </c>
      <c r="B10" s="21">
        <v>516</v>
      </c>
      <c r="C10" s="2">
        <v>440</v>
      </c>
      <c r="D10" s="2">
        <v>4</v>
      </c>
      <c r="E10" s="2">
        <v>0</v>
      </c>
      <c r="F10" s="2">
        <v>375</v>
      </c>
      <c r="G10" s="21">
        <v>556</v>
      </c>
      <c r="H10" s="29">
        <v>392</v>
      </c>
      <c r="I10" s="29">
        <v>0</v>
      </c>
      <c r="J10" s="29">
        <v>0</v>
      </c>
      <c r="K10" s="29">
        <v>279</v>
      </c>
    </row>
    <row r="11" spans="1:11" x14ac:dyDescent="0.25">
      <c r="A11" s="3" t="s">
        <v>70</v>
      </c>
      <c r="B11" s="21"/>
      <c r="C11" s="2"/>
      <c r="D11" s="2"/>
      <c r="E11" s="2"/>
      <c r="F11" s="2"/>
      <c r="G11" s="21"/>
      <c r="H11" s="29"/>
      <c r="I11" s="29"/>
      <c r="J11" s="29"/>
      <c r="K11" s="29"/>
    </row>
    <row r="12" spans="1:11" x14ac:dyDescent="0.25">
      <c r="A12" s="3" t="s">
        <v>71</v>
      </c>
      <c r="B12" s="21">
        <v>588</v>
      </c>
      <c r="C12" s="2">
        <v>345</v>
      </c>
      <c r="D12" s="2">
        <v>26</v>
      </c>
      <c r="E12" s="2">
        <v>0</v>
      </c>
      <c r="F12" s="2">
        <v>562</v>
      </c>
      <c r="G12" s="21">
        <v>493</v>
      </c>
      <c r="H12" s="29">
        <v>459</v>
      </c>
      <c r="I12" s="29">
        <v>9</v>
      </c>
      <c r="J12" s="29">
        <v>0</v>
      </c>
      <c r="K12" s="29">
        <v>675</v>
      </c>
    </row>
    <row r="13" spans="1:11" x14ac:dyDescent="0.25">
      <c r="A13" s="3" t="s">
        <v>73</v>
      </c>
      <c r="B13" s="21"/>
      <c r="C13" s="2"/>
      <c r="D13" s="2"/>
      <c r="E13" s="2"/>
      <c r="F13" s="2"/>
      <c r="G13" s="21"/>
      <c r="H13" s="29"/>
      <c r="I13" s="29"/>
      <c r="J13" s="29"/>
      <c r="K13" s="29"/>
    </row>
    <row r="14" spans="1:11" x14ac:dyDescent="0.25">
      <c r="A14" s="3" t="s">
        <v>76</v>
      </c>
      <c r="B14" s="21">
        <v>544</v>
      </c>
      <c r="C14" s="2">
        <v>407</v>
      </c>
      <c r="D14" s="2">
        <v>9</v>
      </c>
      <c r="E14" s="2">
        <v>0</v>
      </c>
      <c r="F14" s="2">
        <v>340</v>
      </c>
      <c r="G14" s="21">
        <v>630</v>
      </c>
      <c r="H14" s="29">
        <v>321</v>
      </c>
      <c r="I14" s="29">
        <v>10</v>
      </c>
      <c r="J14" s="29">
        <v>0</v>
      </c>
      <c r="K14" s="29">
        <v>325</v>
      </c>
    </row>
    <row r="15" spans="1:11" x14ac:dyDescent="0.25">
      <c r="A15" s="3" t="s">
        <v>77</v>
      </c>
      <c r="B15" s="21">
        <v>723</v>
      </c>
      <c r="C15" s="2">
        <v>210</v>
      </c>
      <c r="D15" s="2">
        <v>27</v>
      </c>
      <c r="E15" s="2">
        <v>0</v>
      </c>
      <c r="F15" s="2">
        <v>365</v>
      </c>
      <c r="G15" s="21">
        <v>725</v>
      </c>
      <c r="H15" s="29">
        <v>201</v>
      </c>
      <c r="I15" s="29">
        <v>34</v>
      </c>
      <c r="J15" s="29">
        <v>0</v>
      </c>
      <c r="K15" s="29">
        <v>425</v>
      </c>
    </row>
    <row r="16" spans="1:11" x14ac:dyDescent="0.25">
      <c r="A16" s="3" t="s">
        <v>78</v>
      </c>
      <c r="B16" s="21">
        <v>480</v>
      </c>
      <c r="C16" s="2">
        <v>457</v>
      </c>
      <c r="D16" s="2">
        <v>22</v>
      </c>
      <c r="E16" s="2">
        <v>0</v>
      </c>
      <c r="F16" s="2">
        <v>463</v>
      </c>
      <c r="G16" s="21">
        <v>732</v>
      </c>
      <c r="H16" s="29">
        <v>216</v>
      </c>
      <c r="I16" s="29">
        <v>12</v>
      </c>
      <c r="J16" s="29">
        <v>0</v>
      </c>
      <c r="K16" s="29">
        <v>337</v>
      </c>
    </row>
    <row r="17" spans="1:11" x14ac:dyDescent="0.25">
      <c r="A17" s="3" t="s">
        <v>79</v>
      </c>
      <c r="B17" s="21">
        <v>715</v>
      </c>
      <c r="C17" s="2">
        <v>237</v>
      </c>
      <c r="D17" s="2">
        <v>7</v>
      </c>
      <c r="E17" s="2">
        <v>0</v>
      </c>
      <c r="F17" s="2">
        <v>422</v>
      </c>
      <c r="G17" s="21">
        <v>233</v>
      </c>
      <c r="H17" s="29">
        <v>680</v>
      </c>
      <c r="I17" s="29">
        <v>47</v>
      </c>
      <c r="J17" s="29">
        <v>0</v>
      </c>
      <c r="K17" s="27">
        <v>864</v>
      </c>
    </row>
    <row r="18" spans="1:11" x14ac:dyDescent="0.25">
      <c r="A18" s="3" t="s">
        <v>81</v>
      </c>
      <c r="B18" s="21">
        <v>706</v>
      </c>
      <c r="C18" s="2">
        <v>251</v>
      </c>
      <c r="D18" s="2">
        <v>2</v>
      </c>
      <c r="E18" s="2">
        <v>0</v>
      </c>
      <c r="F18" s="2">
        <v>327</v>
      </c>
      <c r="G18" s="21">
        <v>735</v>
      </c>
      <c r="H18" s="29">
        <v>216</v>
      </c>
      <c r="I18" s="29">
        <v>9</v>
      </c>
      <c r="J18" s="29">
        <v>0</v>
      </c>
      <c r="K18" s="29">
        <v>296</v>
      </c>
    </row>
    <row r="19" spans="1:11" x14ac:dyDescent="0.25">
      <c r="A19" s="3" t="s">
        <v>84</v>
      </c>
      <c r="B19" s="21"/>
      <c r="C19" s="2"/>
      <c r="D19" s="2"/>
      <c r="E19" s="2"/>
      <c r="F19" s="2"/>
      <c r="G19" s="21"/>
      <c r="H19" s="29"/>
      <c r="I19" s="29"/>
      <c r="J19" s="29"/>
      <c r="K19" s="29"/>
    </row>
    <row r="20" spans="1:11" x14ac:dyDescent="0.25">
      <c r="A20" s="3" t="s">
        <v>85</v>
      </c>
      <c r="B20" s="21">
        <v>881</v>
      </c>
      <c r="C20" s="2">
        <v>69</v>
      </c>
      <c r="D20" s="2">
        <v>10</v>
      </c>
      <c r="E20" s="2">
        <v>0</v>
      </c>
      <c r="F20" s="2">
        <v>165</v>
      </c>
      <c r="G20" s="21">
        <v>617</v>
      </c>
      <c r="H20" s="29">
        <v>318</v>
      </c>
      <c r="I20" s="29">
        <v>24</v>
      </c>
      <c r="J20" s="29">
        <v>0</v>
      </c>
      <c r="K20" s="29">
        <v>582</v>
      </c>
    </row>
    <row r="21" spans="1:11" x14ac:dyDescent="0.25">
      <c r="A21" s="3" t="s">
        <v>90</v>
      </c>
      <c r="B21" s="21"/>
      <c r="C21" s="2"/>
      <c r="D21" s="2"/>
      <c r="E21" s="2"/>
      <c r="F21" s="2"/>
      <c r="G21" s="21"/>
      <c r="H21" s="29"/>
      <c r="I21" s="29"/>
      <c r="J21" s="29"/>
      <c r="K21" s="29"/>
    </row>
    <row r="22" spans="1:11" x14ac:dyDescent="0.25">
      <c r="A22" s="3" t="s">
        <v>95</v>
      </c>
      <c r="B22" s="21">
        <v>631</v>
      </c>
      <c r="C22" s="2">
        <v>318</v>
      </c>
      <c r="D22" s="2">
        <v>11</v>
      </c>
      <c r="E22" s="2">
        <v>0</v>
      </c>
      <c r="F22" s="2">
        <v>429</v>
      </c>
      <c r="G22" s="21">
        <v>585</v>
      </c>
      <c r="H22" s="29">
        <v>366</v>
      </c>
      <c r="I22" s="29">
        <v>8</v>
      </c>
      <c r="J22" s="29">
        <v>0</v>
      </c>
      <c r="K22" s="29">
        <v>449</v>
      </c>
    </row>
    <row r="23" spans="1:11" x14ac:dyDescent="0.25">
      <c r="A23" s="3" t="s">
        <v>98</v>
      </c>
      <c r="B23" s="21">
        <v>674</v>
      </c>
      <c r="C23" s="2">
        <v>245</v>
      </c>
      <c r="D23" s="2">
        <v>39</v>
      </c>
      <c r="E23" s="2">
        <v>1</v>
      </c>
      <c r="F23" s="2">
        <v>468</v>
      </c>
      <c r="G23" s="21">
        <v>848</v>
      </c>
      <c r="H23" s="29">
        <v>98</v>
      </c>
      <c r="I23" s="29">
        <v>12</v>
      </c>
      <c r="J23" s="29">
        <v>2</v>
      </c>
      <c r="K23" s="29">
        <v>258</v>
      </c>
    </row>
    <row r="24" spans="1:11" x14ac:dyDescent="0.25">
      <c r="A24" s="3" t="s">
        <v>101</v>
      </c>
      <c r="B24" s="21">
        <v>784</v>
      </c>
      <c r="C24" s="2">
        <v>173</v>
      </c>
      <c r="D24" s="2">
        <v>0</v>
      </c>
      <c r="E24" s="2">
        <v>0</v>
      </c>
      <c r="F24" s="2">
        <v>332</v>
      </c>
      <c r="G24" s="21">
        <v>722</v>
      </c>
      <c r="H24" s="29">
        <v>235</v>
      </c>
      <c r="I24" s="29">
        <v>3</v>
      </c>
      <c r="J24" s="29">
        <v>0</v>
      </c>
      <c r="K24" s="29">
        <v>437</v>
      </c>
    </row>
    <row r="25" spans="1:11" x14ac:dyDescent="0.25">
      <c r="A25" s="3" t="s">
        <v>105</v>
      </c>
      <c r="B25" s="21">
        <v>836</v>
      </c>
      <c r="C25" s="2">
        <v>112</v>
      </c>
      <c r="D25" s="2">
        <v>11</v>
      </c>
      <c r="E25" s="2">
        <v>0</v>
      </c>
      <c r="F25" s="2">
        <v>163</v>
      </c>
      <c r="G25" s="21">
        <v>489</v>
      </c>
      <c r="H25" s="29">
        <v>444</v>
      </c>
      <c r="I25" s="29">
        <v>18</v>
      </c>
      <c r="J25" s="29">
        <v>8</v>
      </c>
      <c r="K25" s="29">
        <v>553</v>
      </c>
    </row>
    <row r="26" spans="1:11" x14ac:dyDescent="0.25">
      <c r="A26" s="3" t="s">
        <v>107</v>
      </c>
      <c r="B26" s="21">
        <v>699</v>
      </c>
      <c r="C26" s="2">
        <v>257</v>
      </c>
      <c r="D26" s="2">
        <v>4</v>
      </c>
      <c r="E26" s="2">
        <v>0</v>
      </c>
      <c r="F26" s="2">
        <v>290</v>
      </c>
      <c r="G26" s="21">
        <v>698</v>
      </c>
      <c r="H26" s="29">
        <v>225</v>
      </c>
      <c r="I26" s="29">
        <v>37</v>
      </c>
      <c r="J26" s="29">
        <v>0</v>
      </c>
      <c r="K26" s="29">
        <v>410</v>
      </c>
    </row>
    <row r="27" spans="1:11" x14ac:dyDescent="0.25">
      <c r="A27" s="3" t="s">
        <v>110</v>
      </c>
      <c r="B27" s="33">
        <v>603</v>
      </c>
      <c r="C27" s="13">
        <v>319</v>
      </c>
      <c r="D27" s="13">
        <v>37</v>
      </c>
      <c r="E27" s="13">
        <v>0</v>
      </c>
      <c r="F27" s="13">
        <v>1088</v>
      </c>
      <c r="G27" s="21">
        <v>445</v>
      </c>
      <c r="H27" s="29">
        <v>481</v>
      </c>
      <c r="I27" s="29">
        <v>33</v>
      </c>
      <c r="J27" s="29">
        <v>0</v>
      </c>
      <c r="K27" s="29">
        <v>938</v>
      </c>
    </row>
    <row r="28" spans="1:11" x14ac:dyDescent="0.25">
      <c r="A28" s="3" t="s">
        <v>111</v>
      </c>
      <c r="B28" s="21">
        <v>703</v>
      </c>
      <c r="C28" s="2">
        <v>257</v>
      </c>
      <c r="D28" s="2">
        <v>0</v>
      </c>
      <c r="E28" s="2">
        <v>0</v>
      </c>
      <c r="F28" s="2">
        <v>230</v>
      </c>
      <c r="G28" s="21">
        <v>628</v>
      </c>
      <c r="H28" s="29">
        <v>349</v>
      </c>
      <c r="I28" s="29">
        <v>10</v>
      </c>
      <c r="J28" s="29">
        <v>0</v>
      </c>
      <c r="K28" s="29">
        <v>260</v>
      </c>
    </row>
    <row r="29" spans="1:11" x14ac:dyDescent="0.25">
      <c r="A29" s="3" t="s">
        <v>112</v>
      </c>
      <c r="B29" s="21"/>
      <c r="C29" s="2"/>
      <c r="D29" s="2"/>
      <c r="E29" s="2"/>
      <c r="F29" s="2"/>
      <c r="G29" s="21"/>
      <c r="H29" s="29"/>
      <c r="I29" s="29"/>
      <c r="J29" s="29"/>
      <c r="K29" s="29"/>
    </row>
  </sheetData>
  <mergeCells count="2">
    <mergeCell ref="B1:F1"/>
    <mergeCell ref="G1:K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5761-076E-4E0B-A068-83527A596ED3}">
  <dimension ref="A1:Y19"/>
  <sheetViews>
    <sheetView zoomScale="90" zoomScaleNormal="90" zoomScaleSheetLayoutView="90" workbookViewId="0">
      <selection activeCell="T30" sqref="T30"/>
    </sheetView>
  </sheetViews>
  <sheetFormatPr defaultRowHeight="15" x14ac:dyDescent="0.25"/>
  <cols>
    <col min="1" max="1" width="14.7109375" bestFit="1" customWidth="1"/>
    <col min="2" max="7" width="3" bestFit="1" customWidth="1"/>
    <col min="8" max="8" width="6.85546875" bestFit="1" customWidth="1"/>
    <col min="9" max="9" width="8.42578125" bestFit="1" customWidth="1"/>
    <col min="10" max="12" width="3" bestFit="1" customWidth="1"/>
    <col min="13" max="13" width="7.28515625" bestFit="1" customWidth="1"/>
    <col min="14" max="16" width="3" bestFit="1" customWidth="1"/>
    <col min="17" max="17" width="6.85546875" bestFit="1" customWidth="1"/>
    <col min="18" max="18" width="3" bestFit="1" customWidth="1"/>
    <col min="19" max="19" width="6.85546875" bestFit="1" customWidth="1"/>
    <col min="20" max="20" width="7.28515625" bestFit="1" customWidth="1"/>
    <col min="21" max="21" width="6.85546875" bestFit="1" customWidth="1"/>
    <col min="22" max="22" width="3.28515625" bestFit="1" customWidth="1"/>
    <col min="23" max="25" width="3" bestFit="1" customWidth="1"/>
  </cols>
  <sheetData>
    <row r="1" spans="1:25" x14ac:dyDescent="0.25">
      <c r="A1" s="3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</row>
    <row r="2" spans="1:25" x14ac:dyDescent="0.25">
      <c r="A2" s="34" t="s">
        <v>6</v>
      </c>
      <c r="B2" s="2">
        <v>18</v>
      </c>
      <c r="C2" s="2">
        <v>18</v>
      </c>
      <c r="D2" s="2">
        <v>18</v>
      </c>
      <c r="E2" s="2">
        <v>19</v>
      </c>
      <c r="F2" s="2">
        <v>18</v>
      </c>
      <c r="G2" s="2">
        <v>18</v>
      </c>
      <c r="H2" s="2">
        <v>17</v>
      </c>
      <c r="I2" s="2">
        <v>18</v>
      </c>
      <c r="J2" s="2">
        <v>18</v>
      </c>
      <c r="K2" s="2">
        <v>19</v>
      </c>
      <c r="L2" s="2">
        <v>18</v>
      </c>
      <c r="M2" s="2">
        <v>19</v>
      </c>
      <c r="N2" s="2">
        <v>18</v>
      </c>
      <c r="O2" s="2">
        <v>18</v>
      </c>
      <c r="P2" s="2">
        <v>19</v>
      </c>
      <c r="Q2" s="2">
        <v>19</v>
      </c>
      <c r="R2" s="2">
        <v>19</v>
      </c>
      <c r="S2" s="2">
        <v>19</v>
      </c>
      <c r="T2" s="2">
        <v>19</v>
      </c>
      <c r="U2" s="2">
        <v>20</v>
      </c>
      <c r="V2" s="2">
        <v>19</v>
      </c>
      <c r="W2" s="2">
        <v>19</v>
      </c>
      <c r="X2" s="2">
        <v>18</v>
      </c>
      <c r="Y2" s="2">
        <v>19</v>
      </c>
    </row>
    <row r="3" spans="1:25" x14ac:dyDescent="0.25">
      <c r="A3" s="34" t="s">
        <v>8</v>
      </c>
      <c r="B3" s="2">
        <v>16</v>
      </c>
      <c r="C3" s="2">
        <v>16</v>
      </c>
      <c r="D3" s="2">
        <v>14</v>
      </c>
      <c r="E3" s="2">
        <v>14</v>
      </c>
      <c r="F3" s="2">
        <v>15</v>
      </c>
      <c r="G3" s="2">
        <v>14</v>
      </c>
      <c r="H3" s="2">
        <v>15</v>
      </c>
      <c r="I3" s="2">
        <v>15</v>
      </c>
      <c r="J3" s="2">
        <v>16</v>
      </c>
      <c r="K3" s="2">
        <v>16</v>
      </c>
      <c r="L3" s="2">
        <v>16</v>
      </c>
      <c r="M3" s="2">
        <v>16</v>
      </c>
      <c r="N3" s="2">
        <v>16</v>
      </c>
      <c r="O3" s="2">
        <v>16</v>
      </c>
      <c r="P3" s="2">
        <v>16</v>
      </c>
      <c r="Q3" s="2">
        <v>16</v>
      </c>
      <c r="R3" s="2">
        <v>18</v>
      </c>
      <c r="S3" s="2">
        <v>18</v>
      </c>
      <c r="T3" s="2" t="s">
        <v>65</v>
      </c>
      <c r="U3" s="2">
        <v>18</v>
      </c>
      <c r="V3" s="2">
        <v>18</v>
      </c>
      <c r="W3" s="2">
        <v>19</v>
      </c>
      <c r="X3" s="2">
        <v>19</v>
      </c>
      <c r="Y3" s="2">
        <v>19</v>
      </c>
    </row>
    <row r="4" spans="1:25" x14ac:dyDescent="0.25">
      <c r="A4" s="34" t="s">
        <v>9</v>
      </c>
      <c r="B4" s="2">
        <v>13</v>
      </c>
      <c r="C4" s="2">
        <v>13</v>
      </c>
      <c r="D4" s="2">
        <v>13</v>
      </c>
      <c r="E4" s="2">
        <v>13</v>
      </c>
      <c r="F4" s="2">
        <v>15</v>
      </c>
      <c r="G4" s="2">
        <v>16</v>
      </c>
      <c r="H4" s="2">
        <v>15</v>
      </c>
      <c r="I4" s="2">
        <v>14</v>
      </c>
      <c r="J4" s="2">
        <v>15</v>
      </c>
      <c r="K4" s="2">
        <v>14</v>
      </c>
      <c r="L4" s="2">
        <v>15</v>
      </c>
      <c r="M4" s="2">
        <v>14</v>
      </c>
      <c r="N4" s="2">
        <v>14</v>
      </c>
      <c r="O4" s="2">
        <v>14</v>
      </c>
      <c r="P4" s="2">
        <v>14</v>
      </c>
      <c r="Q4" s="2">
        <v>14</v>
      </c>
      <c r="R4" s="2">
        <v>15</v>
      </c>
      <c r="S4" s="2">
        <v>15</v>
      </c>
      <c r="T4" s="2">
        <v>14</v>
      </c>
      <c r="U4" s="2">
        <v>14</v>
      </c>
      <c r="V4" s="2">
        <v>15</v>
      </c>
      <c r="W4" s="2">
        <v>14</v>
      </c>
      <c r="X4" s="2">
        <v>15</v>
      </c>
      <c r="Y4" s="2">
        <v>15</v>
      </c>
    </row>
    <row r="5" spans="1:25" x14ac:dyDescent="0.25">
      <c r="A5" s="34" t="s">
        <v>10</v>
      </c>
      <c r="B5" s="2">
        <v>17</v>
      </c>
      <c r="C5" s="2">
        <v>16</v>
      </c>
      <c r="D5" s="2">
        <v>16</v>
      </c>
      <c r="E5" s="2">
        <v>16</v>
      </c>
      <c r="F5" s="2">
        <v>16</v>
      </c>
      <c r="G5" s="2">
        <v>15</v>
      </c>
      <c r="H5" s="2">
        <v>15</v>
      </c>
      <c r="I5" s="2">
        <v>14</v>
      </c>
      <c r="J5" s="2">
        <v>16</v>
      </c>
      <c r="K5" s="2">
        <v>15</v>
      </c>
      <c r="L5" s="2">
        <v>14</v>
      </c>
      <c r="M5" s="2">
        <v>14</v>
      </c>
      <c r="N5" s="2">
        <v>15</v>
      </c>
      <c r="O5" s="2">
        <v>15</v>
      </c>
      <c r="P5" s="2">
        <v>15</v>
      </c>
      <c r="Q5" s="2">
        <v>15</v>
      </c>
      <c r="R5" s="2">
        <v>17</v>
      </c>
      <c r="S5" s="2">
        <v>16</v>
      </c>
      <c r="T5" s="2">
        <v>16</v>
      </c>
      <c r="U5" s="2">
        <v>16</v>
      </c>
      <c r="V5" s="2">
        <v>17</v>
      </c>
      <c r="W5" s="2">
        <v>17</v>
      </c>
      <c r="X5" s="2">
        <v>17</v>
      </c>
      <c r="Y5" s="2">
        <v>17</v>
      </c>
    </row>
    <row r="6" spans="1:25" x14ac:dyDescent="0.25">
      <c r="A6" s="34" t="s">
        <v>11</v>
      </c>
      <c r="B6" s="2">
        <v>14</v>
      </c>
      <c r="C6" s="2">
        <v>13</v>
      </c>
      <c r="D6" s="2">
        <v>15</v>
      </c>
      <c r="E6" s="2">
        <v>14</v>
      </c>
      <c r="F6" s="2">
        <v>15</v>
      </c>
      <c r="G6" s="2">
        <v>16</v>
      </c>
      <c r="H6" s="2">
        <v>17</v>
      </c>
      <c r="I6" s="2">
        <v>18</v>
      </c>
      <c r="J6" s="2">
        <v>19</v>
      </c>
      <c r="K6" s="2">
        <v>19</v>
      </c>
      <c r="L6" s="2">
        <v>16</v>
      </c>
      <c r="M6" s="2" t="s">
        <v>65</v>
      </c>
      <c r="N6" s="2">
        <v>16</v>
      </c>
      <c r="O6" s="2">
        <v>16</v>
      </c>
      <c r="P6" s="2">
        <v>17</v>
      </c>
      <c r="Q6" s="2">
        <v>17</v>
      </c>
      <c r="R6" s="2">
        <v>17</v>
      </c>
      <c r="S6" s="2">
        <v>17</v>
      </c>
      <c r="T6" s="2">
        <v>18</v>
      </c>
      <c r="U6" s="2">
        <v>18</v>
      </c>
      <c r="V6" s="2">
        <v>17</v>
      </c>
      <c r="W6" s="2">
        <v>18</v>
      </c>
      <c r="X6" s="2">
        <v>18</v>
      </c>
      <c r="Y6" s="2">
        <v>17</v>
      </c>
    </row>
    <row r="7" spans="1:25" x14ac:dyDescent="0.25">
      <c r="A7" s="34" t="s">
        <v>70</v>
      </c>
      <c r="B7" s="2">
        <v>17</v>
      </c>
      <c r="C7" s="2">
        <v>18</v>
      </c>
      <c r="D7" s="2">
        <v>17</v>
      </c>
      <c r="E7" s="2">
        <v>19</v>
      </c>
      <c r="F7" s="2">
        <v>18</v>
      </c>
      <c r="G7" s="2">
        <v>19</v>
      </c>
      <c r="H7" s="2">
        <v>19</v>
      </c>
      <c r="I7" s="2">
        <v>18</v>
      </c>
      <c r="J7" s="2">
        <v>19</v>
      </c>
      <c r="K7" s="2">
        <v>18</v>
      </c>
      <c r="L7" s="2">
        <v>18</v>
      </c>
      <c r="M7" s="2">
        <v>17</v>
      </c>
      <c r="N7" s="2">
        <v>18</v>
      </c>
      <c r="O7" s="2">
        <v>19</v>
      </c>
      <c r="P7" s="2">
        <v>19</v>
      </c>
      <c r="Q7" s="2">
        <v>17</v>
      </c>
      <c r="R7" s="2">
        <v>19</v>
      </c>
      <c r="S7" s="2">
        <v>19</v>
      </c>
      <c r="T7" s="2">
        <v>19</v>
      </c>
      <c r="U7" s="2">
        <v>19</v>
      </c>
      <c r="V7" s="2">
        <v>19</v>
      </c>
      <c r="W7" s="2">
        <v>18</v>
      </c>
      <c r="X7" s="2">
        <v>18</v>
      </c>
      <c r="Y7" s="2">
        <v>17</v>
      </c>
    </row>
    <row r="8" spans="1:25" x14ac:dyDescent="0.25">
      <c r="A8" s="34" t="s">
        <v>73</v>
      </c>
      <c r="B8" s="2">
        <v>17</v>
      </c>
      <c r="C8" s="2">
        <v>17</v>
      </c>
      <c r="D8" s="2">
        <v>17</v>
      </c>
      <c r="E8" s="2">
        <v>16</v>
      </c>
      <c r="F8" s="2">
        <v>16</v>
      </c>
      <c r="G8" s="2">
        <v>16</v>
      </c>
      <c r="H8" s="2">
        <v>16</v>
      </c>
      <c r="I8" s="2">
        <v>16</v>
      </c>
      <c r="J8" s="2">
        <v>16</v>
      </c>
      <c r="K8" s="2">
        <v>15</v>
      </c>
      <c r="L8" s="2">
        <v>15</v>
      </c>
      <c r="M8" s="2">
        <v>15</v>
      </c>
      <c r="N8" s="2">
        <v>16</v>
      </c>
      <c r="O8" s="2">
        <v>15</v>
      </c>
      <c r="P8" s="2">
        <v>15</v>
      </c>
      <c r="Q8" s="2">
        <v>15</v>
      </c>
      <c r="R8" s="2">
        <v>17</v>
      </c>
      <c r="S8" s="2">
        <v>17</v>
      </c>
      <c r="T8" s="2">
        <v>16</v>
      </c>
      <c r="U8" s="2">
        <v>17</v>
      </c>
      <c r="V8" s="2">
        <v>16</v>
      </c>
      <c r="W8" s="2">
        <v>16</v>
      </c>
      <c r="X8" s="2">
        <v>16</v>
      </c>
      <c r="Y8" s="2">
        <v>16</v>
      </c>
    </row>
    <row r="9" spans="1:25" x14ac:dyDescent="0.25">
      <c r="A9" s="34" t="s">
        <v>76</v>
      </c>
      <c r="B9" s="2">
        <v>14</v>
      </c>
      <c r="C9" s="2">
        <v>15</v>
      </c>
      <c r="D9" s="2">
        <v>14</v>
      </c>
      <c r="E9" s="2">
        <v>15</v>
      </c>
      <c r="F9" s="2">
        <v>13</v>
      </c>
      <c r="G9" s="2">
        <v>14</v>
      </c>
      <c r="H9" s="2">
        <v>15</v>
      </c>
      <c r="I9" s="2">
        <v>16</v>
      </c>
      <c r="J9" s="2">
        <v>16</v>
      </c>
      <c r="K9" s="2">
        <v>17</v>
      </c>
      <c r="L9" s="2">
        <v>17</v>
      </c>
      <c r="M9" s="2">
        <v>16</v>
      </c>
      <c r="N9" s="2">
        <v>17</v>
      </c>
      <c r="O9" s="2">
        <v>17</v>
      </c>
      <c r="P9" s="2">
        <v>17</v>
      </c>
      <c r="Q9" s="2">
        <v>17</v>
      </c>
      <c r="R9" s="2">
        <v>19</v>
      </c>
      <c r="S9" s="2">
        <v>19</v>
      </c>
      <c r="T9" s="2">
        <v>19</v>
      </c>
      <c r="U9" s="2">
        <v>19</v>
      </c>
      <c r="V9" s="2">
        <v>18</v>
      </c>
      <c r="W9" s="2">
        <v>17</v>
      </c>
      <c r="X9" s="2">
        <v>18</v>
      </c>
      <c r="Y9" s="2">
        <v>18</v>
      </c>
    </row>
    <row r="10" spans="1:25" x14ac:dyDescent="0.25">
      <c r="A10" s="34" t="s">
        <v>77</v>
      </c>
      <c r="B10" s="2">
        <v>15</v>
      </c>
      <c r="C10" s="2">
        <v>14</v>
      </c>
      <c r="D10" s="2">
        <v>16</v>
      </c>
      <c r="E10" s="2">
        <v>16</v>
      </c>
      <c r="F10" s="2">
        <v>17</v>
      </c>
      <c r="G10" s="2">
        <v>17</v>
      </c>
      <c r="H10" s="2">
        <v>16</v>
      </c>
      <c r="I10" s="2">
        <v>16</v>
      </c>
      <c r="J10" s="2">
        <v>17</v>
      </c>
      <c r="K10" s="2">
        <v>17</v>
      </c>
      <c r="L10" s="2">
        <v>17</v>
      </c>
      <c r="M10" s="2">
        <v>18</v>
      </c>
      <c r="N10" s="2">
        <v>18</v>
      </c>
      <c r="O10" s="2">
        <v>19</v>
      </c>
      <c r="P10" s="2">
        <v>19</v>
      </c>
      <c r="Q10" s="2">
        <v>19</v>
      </c>
      <c r="R10" s="2">
        <v>16</v>
      </c>
      <c r="S10" s="2">
        <v>16</v>
      </c>
      <c r="T10" s="2">
        <v>16</v>
      </c>
      <c r="U10" s="2">
        <v>20</v>
      </c>
      <c r="V10" s="2">
        <v>15</v>
      </c>
      <c r="W10" s="2">
        <v>15</v>
      </c>
      <c r="X10" s="2">
        <v>19</v>
      </c>
      <c r="Y10" s="2">
        <v>19</v>
      </c>
    </row>
    <row r="11" spans="1:25" x14ac:dyDescent="0.25">
      <c r="A11" s="34" t="s">
        <v>78</v>
      </c>
      <c r="B11" s="2">
        <v>14</v>
      </c>
      <c r="C11" s="2">
        <v>16</v>
      </c>
      <c r="D11" s="2">
        <v>16</v>
      </c>
      <c r="E11" s="2">
        <v>15</v>
      </c>
      <c r="F11" s="2">
        <v>15</v>
      </c>
      <c r="G11" s="2">
        <v>13</v>
      </c>
      <c r="H11" s="2">
        <v>14</v>
      </c>
      <c r="I11" s="2">
        <v>14</v>
      </c>
      <c r="J11" s="2">
        <v>14</v>
      </c>
      <c r="K11" s="2">
        <v>15</v>
      </c>
      <c r="L11" s="2">
        <v>15</v>
      </c>
      <c r="M11" s="2">
        <v>16</v>
      </c>
      <c r="N11" s="2">
        <v>14</v>
      </c>
      <c r="O11" s="2">
        <v>15</v>
      </c>
      <c r="P11" s="2">
        <v>13</v>
      </c>
      <c r="Q11" s="2">
        <v>14</v>
      </c>
      <c r="R11" s="2">
        <v>15</v>
      </c>
      <c r="S11" s="2">
        <v>16</v>
      </c>
      <c r="T11" s="2">
        <v>15</v>
      </c>
      <c r="U11" s="2">
        <v>16</v>
      </c>
      <c r="V11" s="2">
        <v>16</v>
      </c>
      <c r="W11" s="2">
        <v>17</v>
      </c>
      <c r="X11" s="2">
        <v>17</v>
      </c>
      <c r="Y11" s="2">
        <v>16</v>
      </c>
    </row>
    <row r="12" spans="1:25" x14ac:dyDescent="0.25">
      <c r="A12" s="34" t="s">
        <v>81</v>
      </c>
      <c r="B12" s="2">
        <v>14</v>
      </c>
      <c r="C12" s="2">
        <v>16</v>
      </c>
      <c r="D12" s="2">
        <v>16</v>
      </c>
      <c r="E12" s="2">
        <v>16</v>
      </c>
      <c r="F12" s="2">
        <v>17</v>
      </c>
      <c r="G12" s="2">
        <v>16</v>
      </c>
      <c r="H12" s="2">
        <v>18</v>
      </c>
      <c r="I12" s="2">
        <v>16</v>
      </c>
      <c r="J12" s="2">
        <v>17</v>
      </c>
      <c r="K12" s="2">
        <v>17</v>
      </c>
      <c r="L12" s="2">
        <v>17</v>
      </c>
      <c r="M12" s="2">
        <v>18</v>
      </c>
      <c r="N12" s="2">
        <v>17</v>
      </c>
      <c r="O12" s="2">
        <v>18</v>
      </c>
      <c r="P12" s="2">
        <v>18</v>
      </c>
      <c r="Q12" s="2">
        <v>18</v>
      </c>
      <c r="R12" s="2">
        <v>19</v>
      </c>
      <c r="S12" s="2">
        <v>18</v>
      </c>
      <c r="T12" s="2">
        <v>18</v>
      </c>
      <c r="U12" s="2">
        <v>18</v>
      </c>
      <c r="V12" s="2">
        <v>18</v>
      </c>
      <c r="W12" s="2">
        <v>18</v>
      </c>
      <c r="X12" s="2">
        <v>18</v>
      </c>
      <c r="Y12" s="2">
        <v>18</v>
      </c>
    </row>
    <row r="13" spans="1:25" x14ac:dyDescent="0.25">
      <c r="A13" s="34" t="s">
        <v>84</v>
      </c>
      <c r="B13" s="2">
        <v>14</v>
      </c>
      <c r="C13" s="2">
        <v>13</v>
      </c>
      <c r="D13" s="2">
        <v>15</v>
      </c>
      <c r="E13" s="2">
        <v>15</v>
      </c>
      <c r="F13" s="2">
        <v>15</v>
      </c>
      <c r="G13" s="2">
        <v>14</v>
      </c>
      <c r="H13" s="2">
        <v>14</v>
      </c>
      <c r="I13" s="2">
        <v>15</v>
      </c>
      <c r="J13" s="2">
        <v>15</v>
      </c>
      <c r="K13" s="2">
        <v>16</v>
      </c>
      <c r="L13" s="2">
        <v>14</v>
      </c>
      <c r="M13" s="2">
        <v>16</v>
      </c>
      <c r="N13" s="2">
        <v>15</v>
      </c>
      <c r="O13" s="2">
        <v>17</v>
      </c>
      <c r="P13" s="2">
        <v>16</v>
      </c>
      <c r="Q13" s="2">
        <v>17</v>
      </c>
      <c r="R13" s="2">
        <v>17</v>
      </c>
      <c r="S13" s="2">
        <v>17</v>
      </c>
      <c r="T13" s="2">
        <v>18</v>
      </c>
      <c r="U13" s="2">
        <v>16</v>
      </c>
      <c r="V13" s="2">
        <v>16</v>
      </c>
      <c r="W13" s="2">
        <v>18</v>
      </c>
      <c r="X13" s="2">
        <v>18</v>
      </c>
      <c r="Y13" s="2">
        <v>19</v>
      </c>
    </row>
    <row r="14" spans="1:25" x14ac:dyDescent="0.25">
      <c r="A14" s="34" t="s">
        <v>95</v>
      </c>
      <c r="B14" s="2">
        <v>13</v>
      </c>
      <c r="C14" s="2">
        <v>12</v>
      </c>
      <c r="D14" s="2">
        <v>14</v>
      </c>
      <c r="E14" s="2">
        <v>14</v>
      </c>
      <c r="F14" s="2">
        <v>14</v>
      </c>
      <c r="G14" s="2">
        <v>12</v>
      </c>
      <c r="H14" s="2">
        <v>13</v>
      </c>
      <c r="I14" s="2" t="s">
        <v>65</v>
      </c>
      <c r="J14" s="2">
        <v>15</v>
      </c>
      <c r="K14" s="2">
        <v>15</v>
      </c>
      <c r="L14" s="2">
        <v>14</v>
      </c>
      <c r="M14" s="2">
        <v>13</v>
      </c>
      <c r="N14" s="2">
        <v>13</v>
      </c>
      <c r="O14" s="2">
        <v>13</v>
      </c>
      <c r="P14" s="2">
        <v>12</v>
      </c>
      <c r="Q14" s="2">
        <v>13</v>
      </c>
      <c r="R14" s="2">
        <v>13</v>
      </c>
      <c r="S14" s="2">
        <v>13</v>
      </c>
      <c r="T14" s="2">
        <v>12</v>
      </c>
      <c r="U14" s="2">
        <v>13</v>
      </c>
      <c r="V14" s="2">
        <v>13</v>
      </c>
      <c r="W14" s="2">
        <v>14</v>
      </c>
      <c r="X14" s="2">
        <v>12</v>
      </c>
      <c r="Y14" s="2">
        <v>13</v>
      </c>
    </row>
    <row r="15" spans="1:25" x14ac:dyDescent="0.25">
      <c r="A15" s="34" t="s">
        <v>98</v>
      </c>
      <c r="B15" s="2">
        <v>15</v>
      </c>
      <c r="C15" s="2">
        <v>14</v>
      </c>
      <c r="D15" s="2">
        <v>14</v>
      </c>
      <c r="E15" s="2">
        <v>14</v>
      </c>
      <c r="F15" s="2">
        <v>13</v>
      </c>
      <c r="G15" s="2">
        <v>13</v>
      </c>
      <c r="H15" s="2">
        <v>13</v>
      </c>
      <c r="I15" s="2">
        <v>13</v>
      </c>
      <c r="J15" s="2">
        <v>13</v>
      </c>
      <c r="K15" s="2">
        <v>15</v>
      </c>
      <c r="L15" s="2">
        <v>15</v>
      </c>
      <c r="M15" s="2">
        <v>14</v>
      </c>
      <c r="N15" s="2">
        <v>15</v>
      </c>
      <c r="O15" s="2">
        <v>15</v>
      </c>
      <c r="P15" s="2">
        <v>15</v>
      </c>
      <c r="Q15" s="2">
        <v>16</v>
      </c>
      <c r="R15" s="2">
        <v>17</v>
      </c>
      <c r="S15" s="2">
        <v>17</v>
      </c>
      <c r="T15" s="2">
        <v>16</v>
      </c>
      <c r="U15" s="2">
        <v>16</v>
      </c>
      <c r="V15" s="2">
        <v>17</v>
      </c>
      <c r="W15" s="2">
        <v>16</v>
      </c>
      <c r="X15" s="2">
        <v>16</v>
      </c>
      <c r="Y15" s="2">
        <v>16</v>
      </c>
    </row>
    <row r="16" spans="1:25" x14ac:dyDescent="0.25">
      <c r="A16" s="34" t="s">
        <v>107</v>
      </c>
      <c r="B16" s="2">
        <v>17</v>
      </c>
      <c r="C16" s="2">
        <v>16</v>
      </c>
      <c r="D16" s="2">
        <v>16</v>
      </c>
      <c r="E16" s="2">
        <v>16</v>
      </c>
      <c r="F16" s="2">
        <v>16</v>
      </c>
      <c r="G16" s="2">
        <v>16</v>
      </c>
      <c r="H16" s="2" t="s">
        <v>65</v>
      </c>
      <c r="I16" s="2">
        <v>16</v>
      </c>
      <c r="J16" s="2">
        <v>17</v>
      </c>
      <c r="K16" s="2">
        <v>17</v>
      </c>
      <c r="L16" s="2">
        <v>17</v>
      </c>
      <c r="M16" s="2">
        <v>17</v>
      </c>
      <c r="N16" s="2">
        <v>17</v>
      </c>
      <c r="O16" s="2">
        <v>17</v>
      </c>
      <c r="P16" s="2">
        <v>17</v>
      </c>
      <c r="Q16" s="2">
        <v>17</v>
      </c>
      <c r="R16" s="2">
        <v>17</v>
      </c>
      <c r="S16" s="2" t="s">
        <v>65</v>
      </c>
      <c r="T16" s="2">
        <v>17</v>
      </c>
      <c r="U16" s="2" t="s">
        <v>65</v>
      </c>
      <c r="V16" s="2">
        <v>13</v>
      </c>
      <c r="W16" s="2">
        <v>15</v>
      </c>
      <c r="X16" s="2">
        <v>16</v>
      </c>
      <c r="Y16" s="2">
        <v>16</v>
      </c>
    </row>
    <row r="17" spans="1:25" x14ac:dyDescent="0.25">
      <c r="A17" s="34" t="s">
        <v>110</v>
      </c>
      <c r="B17" s="2">
        <v>12</v>
      </c>
      <c r="C17" s="2">
        <v>10</v>
      </c>
      <c r="D17" s="2">
        <v>10</v>
      </c>
      <c r="E17" s="2">
        <v>10</v>
      </c>
      <c r="F17" s="2">
        <v>12</v>
      </c>
      <c r="G17" s="2">
        <v>11</v>
      </c>
      <c r="H17" s="2">
        <v>11</v>
      </c>
      <c r="I17" s="2">
        <v>10</v>
      </c>
      <c r="J17" s="2">
        <v>12</v>
      </c>
      <c r="K17" s="2">
        <v>12</v>
      </c>
      <c r="L17" s="2">
        <v>13</v>
      </c>
      <c r="M17" s="2">
        <v>13</v>
      </c>
      <c r="N17" s="2">
        <v>14</v>
      </c>
      <c r="O17" s="2">
        <v>15</v>
      </c>
      <c r="P17" s="2">
        <v>15</v>
      </c>
      <c r="Q17" s="2">
        <v>15</v>
      </c>
      <c r="R17" s="2">
        <v>15</v>
      </c>
      <c r="S17" s="2">
        <v>16</v>
      </c>
      <c r="T17" s="2">
        <v>15</v>
      </c>
      <c r="U17" s="2">
        <v>16</v>
      </c>
      <c r="V17" s="2">
        <v>15</v>
      </c>
      <c r="W17" s="2">
        <v>15</v>
      </c>
      <c r="X17" s="2">
        <v>15</v>
      </c>
      <c r="Y17" s="2">
        <v>16</v>
      </c>
    </row>
    <row r="18" spans="1:25" x14ac:dyDescent="0.25">
      <c r="A18" s="34" t="s">
        <v>111</v>
      </c>
      <c r="B18" s="2">
        <v>13</v>
      </c>
      <c r="C18" s="2">
        <v>12</v>
      </c>
      <c r="D18" s="2">
        <v>14</v>
      </c>
      <c r="E18" s="2">
        <v>15</v>
      </c>
      <c r="F18" s="2">
        <v>12</v>
      </c>
      <c r="G18" s="2">
        <v>12</v>
      </c>
      <c r="H18" s="2">
        <v>12</v>
      </c>
      <c r="I18" s="2">
        <v>13</v>
      </c>
      <c r="J18" s="2">
        <v>13</v>
      </c>
      <c r="K18" s="2">
        <v>13</v>
      </c>
      <c r="L18" s="2">
        <v>13</v>
      </c>
      <c r="M18" s="2">
        <v>13</v>
      </c>
      <c r="N18" s="2">
        <v>14</v>
      </c>
      <c r="O18" s="2">
        <v>15</v>
      </c>
      <c r="P18" s="2">
        <v>13</v>
      </c>
      <c r="Q18" s="2">
        <v>14</v>
      </c>
      <c r="R18" s="2">
        <v>15</v>
      </c>
      <c r="S18" s="2">
        <v>15</v>
      </c>
      <c r="T18" s="2">
        <v>14</v>
      </c>
      <c r="U18" s="2">
        <v>15</v>
      </c>
      <c r="V18" s="2">
        <v>15</v>
      </c>
      <c r="W18" s="2">
        <v>14</v>
      </c>
      <c r="X18" s="2">
        <v>14</v>
      </c>
      <c r="Y18" s="2">
        <v>14</v>
      </c>
    </row>
    <row r="19" spans="1:25" x14ac:dyDescent="0.25">
      <c r="A19" s="34" t="s">
        <v>112</v>
      </c>
      <c r="B19" s="2">
        <v>15</v>
      </c>
      <c r="C19" s="2">
        <v>15</v>
      </c>
      <c r="D19" s="2">
        <v>14</v>
      </c>
      <c r="E19" s="2">
        <v>16</v>
      </c>
      <c r="F19" s="2">
        <v>17</v>
      </c>
      <c r="G19" s="2">
        <v>17</v>
      </c>
      <c r="H19" s="2">
        <v>14</v>
      </c>
      <c r="I19" s="2">
        <v>16</v>
      </c>
      <c r="J19" s="2">
        <v>17</v>
      </c>
      <c r="K19" s="2">
        <v>17</v>
      </c>
      <c r="L19" s="2">
        <v>17</v>
      </c>
      <c r="M19" s="2">
        <v>18</v>
      </c>
      <c r="N19" s="2">
        <v>18</v>
      </c>
      <c r="O19" s="2">
        <v>18</v>
      </c>
      <c r="P19" s="2">
        <v>18</v>
      </c>
      <c r="Q19" s="2" t="s">
        <v>65</v>
      </c>
      <c r="R19" s="2">
        <v>17</v>
      </c>
      <c r="S19" s="2">
        <v>18</v>
      </c>
      <c r="T19" s="2">
        <v>18</v>
      </c>
      <c r="U19" s="2">
        <v>17</v>
      </c>
      <c r="V19" s="2">
        <v>18</v>
      </c>
      <c r="W19" s="2">
        <v>17</v>
      </c>
      <c r="X19" s="2">
        <v>18</v>
      </c>
      <c r="Y19" s="2">
        <v>18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BE08-4914-49EF-8720-2C4FB3238CA4}">
  <dimension ref="A1:O29"/>
  <sheetViews>
    <sheetView zoomScaleNormal="100" workbookViewId="0">
      <selection activeCell="G22" sqref="G22:H22"/>
    </sheetView>
  </sheetViews>
  <sheetFormatPr defaultRowHeight="15" x14ac:dyDescent="0.25"/>
  <cols>
    <col min="1" max="1" width="14.7109375" bestFit="1" customWidth="1"/>
    <col min="2" max="2" width="7.140625" style="22" bestFit="1" customWidth="1"/>
    <col min="3" max="3" width="14.140625" bestFit="1" customWidth="1"/>
    <col min="4" max="4" width="7.140625" bestFit="1" customWidth="1"/>
    <col min="5" max="5" width="7.140625" customWidth="1"/>
    <col min="6" max="6" width="13.42578125" bestFit="1" customWidth="1"/>
    <col min="7" max="8" width="13.42578125" customWidth="1"/>
    <col min="9" max="9" width="5.5703125" style="22" bestFit="1" customWidth="1"/>
    <col min="10" max="10" width="17.28515625" bestFit="1" customWidth="1"/>
    <col min="11" max="11" width="7.28515625" bestFit="1" customWidth="1"/>
    <col min="12" max="12" width="14.7109375" bestFit="1" customWidth="1"/>
    <col min="13" max="13" width="13.5703125" bestFit="1" customWidth="1"/>
    <col min="14" max="14" width="10.28515625" bestFit="1" customWidth="1"/>
    <col min="15" max="15" width="11" bestFit="1" customWidth="1"/>
  </cols>
  <sheetData>
    <row r="1" spans="1:15" x14ac:dyDescent="0.25">
      <c r="B1" s="23" t="s">
        <v>127</v>
      </c>
      <c r="C1" s="24"/>
      <c r="D1" s="24"/>
      <c r="E1" s="24"/>
      <c r="F1" s="24"/>
      <c r="G1" s="24"/>
      <c r="H1" s="32"/>
      <c r="I1" s="23" t="s">
        <v>128</v>
      </c>
      <c r="J1" s="24"/>
      <c r="K1" s="24"/>
      <c r="L1" s="24"/>
      <c r="M1" s="24"/>
      <c r="N1" s="24"/>
      <c r="O1" s="24"/>
    </row>
    <row r="2" spans="1:15" x14ac:dyDescent="0.25">
      <c r="A2" s="3" t="s">
        <v>0</v>
      </c>
      <c r="B2" s="19" t="s">
        <v>53</v>
      </c>
      <c r="C2" s="3" t="s">
        <v>60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19" t="s">
        <v>53</v>
      </c>
      <c r="J2" s="3" t="s">
        <v>54</v>
      </c>
      <c r="K2" s="1" t="s">
        <v>55</v>
      </c>
      <c r="L2" s="3" t="s">
        <v>56</v>
      </c>
      <c r="M2" s="1" t="s">
        <v>57</v>
      </c>
      <c r="N2" s="1" t="s">
        <v>58</v>
      </c>
      <c r="O2" s="1" t="s">
        <v>59</v>
      </c>
    </row>
    <row r="3" spans="1:15" x14ac:dyDescent="0.25">
      <c r="A3" s="34" t="s">
        <v>6</v>
      </c>
      <c r="B3" s="25">
        <v>37</v>
      </c>
      <c r="C3" s="4">
        <v>69</v>
      </c>
      <c r="D3" s="4">
        <v>3.2</v>
      </c>
      <c r="E3" s="4">
        <f>27/9</f>
        <v>3</v>
      </c>
      <c r="F3" s="4">
        <v>8.9</v>
      </c>
      <c r="G3" s="4">
        <v>67.400000000000006</v>
      </c>
      <c r="H3" s="4">
        <v>63</v>
      </c>
      <c r="I3" s="25">
        <v>33</v>
      </c>
      <c r="J3" s="4">
        <v>67</v>
      </c>
      <c r="K3" s="4">
        <v>11.8</v>
      </c>
      <c r="L3" s="4">
        <f>26/9</f>
        <v>2.8888888888888888</v>
      </c>
      <c r="M3" s="4">
        <v>9.6</v>
      </c>
      <c r="N3" s="4">
        <v>64.400000000000006</v>
      </c>
      <c r="O3" s="4">
        <v>61</v>
      </c>
    </row>
    <row r="4" spans="1:15" x14ac:dyDescent="0.25">
      <c r="A4" s="34" t="s">
        <v>7</v>
      </c>
      <c r="B4" s="25">
        <v>29</v>
      </c>
      <c r="C4" s="4">
        <v>64</v>
      </c>
      <c r="D4" s="4">
        <v>22.6</v>
      </c>
      <c r="E4" s="4">
        <f>57/9</f>
        <v>6.333333333333333</v>
      </c>
      <c r="F4" s="4">
        <v>5</v>
      </c>
      <c r="G4" s="4">
        <v>42.1</v>
      </c>
      <c r="H4" s="4">
        <v>52</v>
      </c>
      <c r="I4" s="25">
        <v>30</v>
      </c>
      <c r="J4" s="4">
        <v>66</v>
      </c>
      <c r="K4" s="4">
        <v>11.6</v>
      </c>
      <c r="L4" s="4">
        <f>60/9</f>
        <v>6.666666666666667</v>
      </c>
      <c r="M4" s="4">
        <v>7</v>
      </c>
      <c r="N4" s="4">
        <v>54.1</v>
      </c>
      <c r="O4" s="4">
        <v>55</v>
      </c>
    </row>
    <row r="5" spans="1:15" x14ac:dyDescent="0.25">
      <c r="A5" s="34" t="s">
        <v>8</v>
      </c>
      <c r="B5" s="25">
        <v>40</v>
      </c>
      <c r="C5" s="4">
        <v>73</v>
      </c>
      <c r="D5" s="4">
        <v>5.9</v>
      </c>
      <c r="E5" s="4">
        <f>16/9</f>
        <v>1.7777777777777777</v>
      </c>
      <c r="F5" s="4">
        <v>3</v>
      </c>
      <c r="G5" s="4">
        <v>63.8</v>
      </c>
      <c r="H5" s="4">
        <v>55</v>
      </c>
      <c r="I5" s="25">
        <v>39</v>
      </c>
      <c r="J5" s="4">
        <v>69</v>
      </c>
      <c r="K5" s="4">
        <v>0</v>
      </c>
      <c r="L5" s="4">
        <f>21/9</f>
        <v>2.3333333333333335</v>
      </c>
      <c r="M5" s="4">
        <v>9</v>
      </c>
      <c r="N5" s="4">
        <v>66.400000000000006</v>
      </c>
      <c r="O5" s="4">
        <v>62</v>
      </c>
    </row>
    <row r="6" spans="1:15" x14ac:dyDescent="0.25">
      <c r="A6" s="34" t="s">
        <v>9</v>
      </c>
      <c r="B6" s="25">
        <v>32</v>
      </c>
      <c r="C6" s="4">
        <v>72</v>
      </c>
      <c r="D6" s="4">
        <v>21.4</v>
      </c>
      <c r="E6" s="4">
        <f>39/9</f>
        <v>4.333333333333333</v>
      </c>
      <c r="F6" s="4">
        <v>8.5</v>
      </c>
      <c r="G6" s="4">
        <v>51.6</v>
      </c>
      <c r="H6" s="4">
        <v>54</v>
      </c>
      <c r="I6" s="25">
        <v>32</v>
      </c>
      <c r="J6" s="4">
        <v>75</v>
      </c>
      <c r="K6" s="4">
        <v>23.1</v>
      </c>
      <c r="L6" s="4">
        <f>17/9</f>
        <v>1.8888888888888888</v>
      </c>
      <c r="M6" s="4">
        <v>1.5</v>
      </c>
      <c r="N6" s="4">
        <v>60.8</v>
      </c>
      <c r="O6" s="4">
        <v>54</v>
      </c>
    </row>
    <row r="7" spans="1:15" x14ac:dyDescent="0.25">
      <c r="A7" s="34" t="s">
        <v>10</v>
      </c>
      <c r="B7" s="25">
        <v>28</v>
      </c>
      <c r="C7" s="4">
        <v>69</v>
      </c>
      <c r="D7" s="4">
        <v>0</v>
      </c>
      <c r="E7" s="4">
        <f>33/9</f>
        <v>3.6666666666666665</v>
      </c>
      <c r="F7" s="4">
        <v>8</v>
      </c>
      <c r="G7" s="4">
        <v>71.400000000000006</v>
      </c>
      <c r="H7" s="4">
        <v>60</v>
      </c>
      <c r="I7" s="25">
        <v>33</v>
      </c>
      <c r="J7" s="4">
        <v>68</v>
      </c>
      <c r="K7" s="4">
        <v>0</v>
      </c>
      <c r="L7" s="4">
        <f>22/8</f>
        <v>2.75</v>
      </c>
      <c r="M7" s="4">
        <v>8</v>
      </c>
      <c r="N7" s="4">
        <v>73</v>
      </c>
      <c r="O7" s="4">
        <v>61</v>
      </c>
    </row>
    <row r="8" spans="1:15" x14ac:dyDescent="0.25">
      <c r="A8" s="34" t="s">
        <v>11</v>
      </c>
      <c r="B8" s="25">
        <v>29</v>
      </c>
      <c r="C8" s="4">
        <v>65</v>
      </c>
      <c r="D8" s="4">
        <v>41.3</v>
      </c>
      <c r="E8" s="4">
        <f>35/9</f>
        <v>3.8888888888888888</v>
      </c>
      <c r="F8" s="4">
        <v>7</v>
      </c>
      <c r="G8" s="4">
        <v>67.099999999999994</v>
      </c>
      <c r="H8" s="4">
        <v>59</v>
      </c>
      <c r="I8" s="25">
        <v>37</v>
      </c>
      <c r="J8" s="4">
        <v>64</v>
      </c>
      <c r="K8" s="4">
        <v>31.7</v>
      </c>
      <c r="L8" s="4">
        <f>36/9</f>
        <v>4</v>
      </c>
      <c r="M8" s="4">
        <v>4</v>
      </c>
      <c r="N8" s="4">
        <v>63.1</v>
      </c>
      <c r="O8" s="4">
        <v>63</v>
      </c>
    </row>
    <row r="9" spans="1:15" x14ac:dyDescent="0.25">
      <c r="A9" s="34" t="s">
        <v>63</v>
      </c>
      <c r="B9" s="25">
        <f>36</f>
        <v>36</v>
      </c>
      <c r="C9" s="4">
        <v>70</v>
      </c>
      <c r="D9" s="4">
        <v>10.6</v>
      </c>
      <c r="E9" s="4">
        <f t="shared" ref="E9" si="0">44/9</f>
        <v>4.8888888888888893</v>
      </c>
      <c r="F9" s="4">
        <v>5</v>
      </c>
      <c r="G9" s="4">
        <v>50.5</v>
      </c>
      <c r="H9" s="4">
        <v>35</v>
      </c>
      <c r="I9" s="25">
        <v>36</v>
      </c>
      <c r="J9" s="4">
        <v>66</v>
      </c>
      <c r="K9" s="4">
        <v>6</v>
      </c>
      <c r="L9" s="4">
        <f>48/9</f>
        <v>5.333333333333333</v>
      </c>
      <c r="M9" s="4">
        <v>5</v>
      </c>
      <c r="N9" s="4">
        <v>50.6</v>
      </c>
      <c r="O9" s="4">
        <v>37</v>
      </c>
    </row>
    <row r="10" spans="1:15" x14ac:dyDescent="0.25">
      <c r="A10" s="34" t="s">
        <v>64</v>
      </c>
      <c r="B10" s="25">
        <v>29</v>
      </c>
      <c r="C10" s="4">
        <v>57</v>
      </c>
      <c r="D10" s="4">
        <f>0.7/15</f>
        <v>4.6666666666666662E-2</v>
      </c>
      <c r="E10" s="4">
        <f>27/9</f>
        <v>3</v>
      </c>
      <c r="F10" s="4">
        <v>8</v>
      </c>
      <c r="G10" s="4">
        <v>58.4</v>
      </c>
      <c r="H10" s="4">
        <v>57</v>
      </c>
      <c r="I10" s="25">
        <v>33</v>
      </c>
      <c r="J10" s="4">
        <v>66</v>
      </c>
      <c r="K10" s="4">
        <v>4.4000000000000004</v>
      </c>
      <c r="L10" s="4">
        <f>32/9</f>
        <v>3.5555555555555554</v>
      </c>
      <c r="M10" s="4">
        <v>7</v>
      </c>
      <c r="N10" s="4">
        <v>65.400000000000006</v>
      </c>
      <c r="O10" s="4">
        <v>63</v>
      </c>
    </row>
    <row r="11" spans="1:15" x14ac:dyDescent="0.25">
      <c r="A11" s="34" t="s">
        <v>70</v>
      </c>
      <c r="B11" s="25">
        <v>34</v>
      </c>
      <c r="C11" s="4">
        <v>73</v>
      </c>
      <c r="D11" s="4">
        <v>6</v>
      </c>
      <c r="E11" s="4">
        <f>32/9</f>
        <v>3.5555555555555554</v>
      </c>
      <c r="F11" s="4">
        <v>7</v>
      </c>
      <c r="G11" s="4">
        <v>56.5</v>
      </c>
      <c r="H11" s="4">
        <v>49</v>
      </c>
      <c r="I11" s="25"/>
      <c r="J11" s="4">
        <v>72</v>
      </c>
      <c r="K11" s="4">
        <v>8.6</v>
      </c>
      <c r="L11" s="4">
        <f>33/9</f>
        <v>3.6666666666666665</v>
      </c>
      <c r="M11" s="4">
        <v>6</v>
      </c>
      <c r="N11" s="4">
        <v>56.8</v>
      </c>
      <c r="O11" s="4">
        <v>55</v>
      </c>
    </row>
    <row r="12" spans="1:15" x14ac:dyDescent="0.25">
      <c r="A12" s="34" t="s">
        <v>71</v>
      </c>
      <c r="B12" s="25">
        <v>30</v>
      </c>
      <c r="C12" s="4">
        <v>69</v>
      </c>
      <c r="D12" s="4">
        <v>22.9</v>
      </c>
      <c r="E12" s="4">
        <f>26/9</f>
        <v>2.8888888888888888</v>
      </c>
      <c r="F12" s="4">
        <v>7</v>
      </c>
      <c r="G12" s="4">
        <v>46.6</v>
      </c>
      <c r="H12" s="4">
        <v>41</v>
      </c>
      <c r="I12" s="25">
        <v>30</v>
      </c>
      <c r="J12" s="4">
        <v>70</v>
      </c>
      <c r="K12" s="4">
        <v>13</v>
      </c>
      <c r="L12" s="4">
        <f>33/9</f>
        <v>3.6666666666666665</v>
      </c>
      <c r="M12" s="4">
        <v>8</v>
      </c>
      <c r="N12" s="4">
        <v>50.8</v>
      </c>
      <c r="O12" s="4">
        <v>49</v>
      </c>
    </row>
    <row r="13" spans="1:15" x14ac:dyDescent="0.25">
      <c r="A13" s="34" t="s">
        <v>73</v>
      </c>
      <c r="B13" s="25">
        <v>27</v>
      </c>
      <c r="C13" s="4">
        <v>72</v>
      </c>
      <c r="D13" s="4">
        <v>36</v>
      </c>
      <c r="E13" s="4">
        <f>46/9</f>
        <v>5.1111111111111107</v>
      </c>
      <c r="F13" s="4">
        <v>6</v>
      </c>
      <c r="G13" s="4">
        <v>40.6</v>
      </c>
      <c r="H13" s="4">
        <v>41</v>
      </c>
      <c r="I13" s="25">
        <v>26</v>
      </c>
      <c r="J13" s="4">
        <v>74</v>
      </c>
      <c r="K13" s="4">
        <v>36.299999999999997</v>
      </c>
      <c r="L13" s="4">
        <f>37/9</f>
        <v>4.1111111111111107</v>
      </c>
      <c r="M13" s="4">
        <v>7</v>
      </c>
      <c r="N13" s="4">
        <v>39.6</v>
      </c>
      <c r="O13" s="4">
        <v>49</v>
      </c>
    </row>
    <row r="14" spans="1:15" x14ac:dyDescent="0.25">
      <c r="A14" s="34" t="s">
        <v>76</v>
      </c>
      <c r="B14" s="25">
        <v>35</v>
      </c>
      <c r="C14" s="4">
        <v>74</v>
      </c>
      <c r="D14" s="4">
        <v>15.4</v>
      </c>
      <c r="E14" s="4">
        <f>18/9</f>
        <v>2</v>
      </c>
      <c r="F14" s="4">
        <v>8</v>
      </c>
      <c r="G14" s="4">
        <v>65.5</v>
      </c>
      <c r="H14" s="4">
        <v>59</v>
      </c>
      <c r="I14" s="25">
        <v>37</v>
      </c>
      <c r="J14" s="4">
        <v>76</v>
      </c>
      <c r="K14" s="4">
        <v>14.2</v>
      </c>
      <c r="L14" s="4">
        <f>21/8</f>
        <v>2.625</v>
      </c>
      <c r="M14" s="4">
        <v>6</v>
      </c>
      <c r="N14" s="4">
        <v>64.5</v>
      </c>
      <c r="O14" s="4">
        <v>62</v>
      </c>
    </row>
    <row r="15" spans="1:15" x14ac:dyDescent="0.25">
      <c r="A15" s="34" t="s">
        <v>77</v>
      </c>
      <c r="B15" s="25">
        <v>35</v>
      </c>
      <c r="C15" s="4">
        <v>70</v>
      </c>
      <c r="D15" s="4">
        <v>13</v>
      </c>
      <c r="E15" s="4">
        <f>34/9</f>
        <v>3.7777777777777777</v>
      </c>
      <c r="F15" s="4">
        <v>8</v>
      </c>
      <c r="G15" s="4">
        <v>60.6</v>
      </c>
      <c r="H15" s="4">
        <v>59</v>
      </c>
      <c r="I15" s="25">
        <v>37</v>
      </c>
      <c r="J15" s="4">
        <v>69</v>
      </c>
      <c r="K15" s="4">
        <v>4.8</v>
      </c>
      <c r="L15" s="4">
        <f>33/9</f>
        <v>3.6666666666666665</v>
      </c>
      <c r="M15" s="4">
        <v>7</v>
      </c>
      <c r="N15" s="4">
        <v>58.6</v>
      </c>
      <c r="O15" s="4">
        <v>61</v>
      </c>
    </row>
    <row r="16" spans="1:15" x14ac:dyDescent="0.25">
      <c r="A16" s="34" t="s">
        <v>78</v>
      </c>
      <c r="B16" s="25">
        <v>28</v>
      </c>
      <c r="C16" s="4">
        <v>69</v>
      </c>
      <c r="D16" s="4">
        <v>3.5</v>
      </c>
      <c r="E16" s="4">
        <f>43/9</f>
        <v>4.7777777777777777</v>
      </c>
      <c r="F16" s="4">
        <v>6</v>
      </c>
      <c r="G16" s="4">
        <v>68.599999999999994</v>
      </c>
      <c r="H16" s="4">
        <v>54</v>
      </c>
      <c r="I16" s="25">
        <v>34</v>
      </c>
      <c r="J16" s="4">
        <v>69</v>
      </c>
      <c r="K16" s="4">
        <v>5.6</v>
      </c>
      <c r="L16" s="4">
        <f>28/9</f>
        <v>3.1111111111111112</v>
      </c>
      <c r="M16" s="4">
        <v>6</v>
      </c>
      <c r="N16" s="4">
        <v>71.599999999999994</v>
      </c>
      <c r="O16" s="4">
        <v>56</v>
      </c>
    </row>
    <row r="17" spans="1:15" x14ac:dyDescent="0.25">
      <c r="A17" s="34" t="s">
        <v>79</v>
      </c>
      <c r="B17" s="25">
        <v>35</v>
      </c>
      <c r="C17" s="4">
        <v>69</v>
      </c>
      <c r="D17" s="4">
        <f>0.3*15</f>
        <v>4.5</v>
      </c>
      <c r="E17" s="4">
        <f>33/8</f>
        <v>4.125</v>
      </c>
      <c r="F17" s="4">
        <v>8</v>
      </c>
      <c r="G17" s="4">
        <v>65.7</v>
      </c>
      <c r="H17" s="4">
        <v>62</v>
      </c>
      <c r="I17" s="25">
        <v>35</v>
      </c>
      <c r="J17" s="4">
        <v>71</v>
      </c>
      <c r="K17" s="4">
        <v>10.5</v>
      </c>
      <c r="L17" s="4">
        <f>41/9</f>
        <v>4.5555555555555554</v>
      </c>
      <c r="M17" s="4">
        <v>8</v>
      </c>
      <c r="N17" s="4">
        <v>63.2</v>
      </c>
      <c r="O17" s="4">
        <v>62</v>
      </c>
    </row>
    <row r="18" spans="1:15" x14ac:dyDescent="0.25">
      <c r="A18" s="34" t="s">
        <v>81</v>
      </c>
      <c r="B18" s="25">
        <v>36</v>
      </c>
      <c r="C18" s="4">
        <v>71</v>
      </c>
      <c r="D18" s="4">
        <v>19.899999999999999</v>
      </c>
      <c r="E18" s="4">
        <f>41/9</f>
        <v>4.5555555555555554</v>
      </c>
      <c r="F18" s="4">
        <v>4</v>
      </c>
      <c r="G18" s="4">
        <v>60.5</v>
      </c>
      <c r="H18" s="4">
        <v>42</v>
      </c>
      <c r="I18" s="25">
        <v>35</v>
      </c>
      <c r="J18" s="4">
        <v>71</v>
      </c>
      <c r="K18" s="4">
        <v>5.7</v>
      </c>
      <c r="L18" s="4">
        <f>41/9</f>
        <v>4.5555555555555554</v>
      </c>
      <c r="M18" s="4">
        <v>8</v>
      </c>
      <c r="N18" s="4">
        <v>59.6</v>
      </c>
      <c r="O18" s="4">
        <v>53</v>
      </c>
    </row>
    <row r="19" spans="1:15" x14ac:dyDescent="0.25">
      <c r="A19" s="34" t="s">
        <v>84</v>
      </c>
      <c r="B19" s="25">
        <v>40</v>
      </c>
      <c r="C19" s="4">
        <v>68</v>
      </c>
      <c r="D19" s="4">
        <v>1.4</v>
      </c>
      <c r="E19" s="4">
        <f>56/9</f>
        <v>6.2222222222222223</v>
      </c>
      <c r="F19" s="4">
        <v>10</v>
      </c>
      <c r="G19" s="4">
        <v>74</v>
      </c>
      <c r="H19" s="4">
        <v>62</v>
      </c>
      <c r="I19" s="25">
        <v>40</v>
      </c>
      <c r="J19" s="4">
        <v>67</v>
      </c>
      <c r="K19" s="4">
        <v>0</v>
      </c>
      <c r="L19" s="4">
        <f>70/9</f>
        <v>7.7777777777777777</v>
      </c>
      <c r="M19" s="4">
        <v>10</v>
      </c>
      <c r="N19" s="4">
        <v>74</v>
      </c>
      <c r="O19" s="4">
        <v>70</v>
      </c>
    </row>
    <row r="20" spans="1:15" x14ac:dyDescent="0.25">
      <c r="A20" s="34" t="s">
        <v>85</v>
      </c>
      <c r="B20" s="25">
        <v>36</v>
      </c>
      <c r="C20" s="4">
        <v>70</v>
      </c>
      <c r="D20" s="4">
        <v>17.600000000000001</v>
      </c>
      <c r="E20" s="4">
        <f>46/9</f>
        <v>5.1111111111111107</v>
      </c>
      <c r="F20" s="4">
        <v>4</v>
      </c>
      <c r="G20" s="4">
        <v>50.2</v>
      </c>
      <c r="H20" s="4">
        <v>40</v>
      </c>
      <c r="I20" s="25">
        <v>36</v>
      </c>
      <c r="J20" s="4">
        <v>66</v>
      </c>
      <c r="K20" s="4">
        <v>78.2</v>
      </c>
      <c r="L20" s="4">
        <f>45/9</f>
        <v>5</v>
      </c>
      <c r="M20" s="4">
        <v>4.2</v>
      </c>
      <c r="N20" s="4">
        <v>48.5</v>
      </c>
      <c r="O20" s="4">
        <v>37</v>
      </c>
    </row>
    <row r="21" spans="1:15" x14ac:dyDescent="0.25">
      <c r="A21" s="34" t="s">
        <v>90</v>
      </c>
      <c r="B21" s="25">
        <v>36</v>
      </c>
      <c r="C21" s="4">
        <v>64</v>
      </c>
      <c r="D21" s="4">
        <v>14.6</v>
      </c>
      <c r="E21" s="4">
        <f>17/8</f>
        <v>2.125</v>
      </c>
      <c r="F21" s="4">
        <v>9</v>
      </c>
      <c r="G21" s="4">
        <v>67.400000000000006</v>
      </c>
      <c r="H21" s="4">
        <v>53</v>
      </c>
      <c r="I21" s="25">
        <v>36</v>
      </c>
      <c r="J21" s="4">
        <v>68</v>
      </c>
      <c r="K21" s="4">
        <v>5.9</v>
      </c>
      <c r="L21" s="4">
        <f>16/9</f>
        <v>1.7777777777777777</v>
      </c>
      <c r="M21" s="4">
        <v>9</v>
      </c>
      <c r="N21" s="4">
        <v>70.400000000000006</v>
      </c>
      <c r="O21" s="4">
        <v>54</v>
      </c>
    </row>
    <row r="22" spans="1:15" x14ac:dyDescent="0.25">
      <c r="A22" s="34" t="s">
        <v>95</v>
      </c>
      <c r="B22" s="25">
        <v>32</v>
      </c>
      <c r="C22" s="4">
        <v>59</v>
      </c>
      <c r="D22" s="4">
        <v>27.7</v>
      </c>
      <c r="E22" s="4">
        <f>35/9</f>
        <v>3.8888888888888888</v>
      </c>
      <c r="F22" s="4">
        <v>7</v>
      </c>
      <c r="G22" s="4"/>
      <c r="H22" s="4"/>
      <c r="I22" s="25">
        <v>33</v>
      </c>
      <c r="J22" s="4">
        <v>53</v>
      </c>
      <c r="K22" s="4">
        <v>36.200000000000003</v>
      </c>
      <c r="L22" s="4">
        <f>33/9</f>
        <v>3.6666666666666665</v>
      </c>
      <c r="M22" s="4">
        <v>6</v>
      </c>
      <c r="N22" s="4"/>
      <c r="O22" s="4"/>
    </row>
    <row r="23" spans="1:15" x14ac:dyDescent="0.25">
      <c r="A23" s="34" t="s">
        <v>98</v>
      </c>
      <c r="B23" s="25">
        <v>37</v>
      </c>
      <c r="C23" s="4">
        <v>63</v>
      </c>
      <c r="D23" s="4">
        <v>7.5</v>
      </c>
      <c r="E23" s="4">
        <f>28/9</f>
        <v>3.1111111111111112</v>
      </c>
      <c r="F23" s="4">
        <v>9</v>
      </c>
      <c r="G23" s="4">
        <v>48</v>
      </c>
      <c r="H23" s="4">
        <v>58</v>
      </c>
      <c r="I23" s="25">
        <v>36</v>
      </c>
      <c r="J23" s="4">
        <v>59</v>
      </c>
      <c r="K23" s="4">
        <v>15</v>
      </c>
      <c r="L23" s="4">
        <f>17/9</f>
        <v>1.8888888888888888</v>
      </c>
      <c r="M23" s="4">
        <v>7</v>
      </c>
      <c r="N23" s="4">
        <v>53.6</v>
      </c>
      <c r="O23" s="4">
        <v>57</v>
      </c>
    </row>
    <row r="24" spans="1:15" x14ac:dyDescent="0.25">
      <c r="A24" s="34" t="s">
        <v>101</v>
      </c>
      <c r="B24" s="25">
        <v>33</v>
      </c>
      <c r="C24" s="4">
        <v>72</v>
      </c>
      <c r="D24" s="4">
        <v>5.4</v>
      </c>
      <c r="E24" s="4">
        <f>33/9</f>
        <v>3.6666666666666665</v>
      </c>
      <c r="F24" s="4">
        <v>6</v>
      </c>
      <c r="G24" s="4">
        <v>58.6</v>
      </c>
      <c r="H24" s="4">
        <v>59</v>
      </c>
      <c r="I24" s="25">
        <v>35</v>
      </c>
      <c r="J24" s="4">
        <v>69</v>
      </c>
      <c r="K24" s="4">
        <v>1.8</v>
      </c>
      <c r="L24" s="4">
        <f>24/9</f>
        <v>2.6666666666666665</v>
      </c>
      <c r="M24" s="4">
        <v>8</v>
      </c>
      <c r="N24" s="4">
        <v>63.6</v>
      </c>
      <c r="O24" s="4">
        <v>62</v>
      </c>
    </row>
    <row r="25" spans="1:15" x14ac:dyDescent="0.25">
      <c r="A25" s="34" t="s">
        <v>105</v>
      </c>
      <c r="B25" s="25">
        <v>34</v>
      </c>
      <c r="C25" s="4">
        <v>69</v>
      </c>
      <c r="D25" s="4">
        <v>11.2</v>
      </c>
      <c r="E25" s="4">
        <f>23/9</f>
        <v>2.5555555555555554</v>
      </c>
      <c r="F25" s="4">
        <v>8</v>
      </c>
      <c r="G25" s="4">
        <v>70.7</v>
      </c>
      <c r="H25" s="4">
        <v>56</v>
      </c>
      <c r="I25" s="25">
        <v>34</v>
      </c>
      <c r="J25" s="4">
        <v>71</v>
      </c>
      <c r="K25" s="4">
        <v>10.1</v>
      </c>
      <c r="L25" s="4">
        <f>31/9</f>
        <v>3.4444444444444446</v>
      </c>
      <c r="M25" s="4">
        <v>8</v>
      </c>
      <c r="N25" s="4">
        <v>68.8</v>
      </c>
      <c r="O25" s="4">
        <v>42</v>
      </c>
    </row>
    <row r="26" spans="1:15" x14ac:dyDescent="0.25">
      <c r="A26" s="34" t="s">
        <v>107</v>
      </c>
      <c r="B26" s="25">
        <v>39</v>
      </c>
      <c r="C26" s="4">
        <v>68</v>
      </c>
      <c r="D26" s="4">
        <v>5.7</v>
      </c>
      <c r="E26" s="4">
        <f>9/9</f>
        <v>1</v>
      </c>
      <c r="F26" s="4">
        <v>10</v>
      </c>
      <c r="G26" s="4">
        <v>73.400000000000006</v>
      </c>
      <c r="H26" s="4">
        <v>69</v>
      </c>
      <c r="I26" s="25">
        <v>39</v>
      </c>
      <c r="J26" s="4">
        <v>62</v>
      </c>
      <c r="K26" s="4">
        <v>35.5</v>
      </c>
      <c r="L26" s="4">
        <f>13/9</f>
        <v>1.4444444444444444</v>
      </c>
      <c r="M26" s="4">
        <v>10</v>
      </c>
      <c r="N26" s="4">
        <v>66.2</v>
      </c>
      <c r="O26" s="4">
        <v>69</v>
      </c>
    </row>
    <row r="27" spans="1:15" x14ac:dyDescent="0.25">
      <c r="A27" s="34" t="s">
        <v>110</v>
      </c>
      <c r="B27" s="25">
        <v>34</v>
      </c>
      <c r="C27" s="4">
        <v>69</v>
      </c>
      <c r="D27" s="4">
        <v>0</v>
      </c>
      <c r="E27" s="4">
        <f>26/9</f>
        <v>2.8888888888888888</v>
      </c>
      <c r="F27" s="4">
        <v>10</v>
      </c>
      <c r="G27" s="4">
        <v>69.400000000000006</v>
      </c>
      <c r="H27" s="4">
        <v>55</v>
      </c>
      <c r="I27" s="25">
        <v>36</v>
      </c>
      <c r="J27" s="4">
        <v>69</v>
      </c>
      <c r="K27" s="4">
        <v>16.399999999999999</v>
      </c>
      <c r="L27" s="4">
        <f>31/9</f>
        <v>3.4444444444444446</v>
      </c>
      <c r="M27" s="4">
        <v>10</v>
      </c>
      <c r="N27" s="4">
        <v>69.400000000000006</v>
      </c>
      <c r="O27" s="4">
        <v>57</v>
      </c>
    </row>
    <row r="28" spans="1:15" x14ac:dyDescent="0.25">
      <c r="A28" s="34" t="s">
        <v>111</v>
      </c>
      <c r="B28" s="25">
        <v>31</v>
      </c>
      <c r="C28" s="4">
        <v>61</v>
      </c>
      <c r="D28" s="4">
        <v>53.2</v>
      </c>
      <c r="E28" s="4">
        <f>38/9</f>
        <v>4.2222222222222223</v>
      </c>
      <c r="F28" s="4">
        <v>6</v>
      </c>
      <c r="G28" s="4">
        <v>53.5</v>
      </c>
      <c r="H28" s="4">
        <v>52</v>
      </c>
      <c r="I28" s="25">
        <v>31</v>
      </c>
      <c r="J28" s="4">
        <v>63</v>
      </c>
      <c r="K28" s="4">
        <v>20.2</v>
      </c>
      <c r="L28" s="4">
        <f>19/9</f>
        <v>2.1111111111111112</v>
      </c>
      <c r="M28" s="4">
        <v>8</v>
      </c>
      <c r="N28" s="4">
        <v>60.8</v>
      </c>
      <c r="O28" s="4">
        <v>64</v>
      </c>
    </row>
    <row r="29" spans="1:15" x14ac:dyDescent="0.25">
      <c r="A29" s="34" t="s">
        <v>112</v>
      </c>
      <c r="B29" s="25">
        <v>29</v>
      </c>
      <c r="C29" s="4">
        <v>58</v>
      </c>
      <c r="D29" s="4">
        <v>0</v>
      </c>
      <c r="E29" s="4">
        <f>37/9</f>
        <v>4.1111111111111107</v>
      </c>
      <c r="F29" s="4">
        <v>3</v>
      </c>
      <c r="G29" s="4">
        <v>51.8</v>
      </c>
      <c r="H29" s="4">
        <v>54</v>
      </c>
      <c r="I29" s="25">
        <v>32</v>
      </c>
      <c r="J29" s="4">
        <v>57</v>
      </c>
      <c r="K29" s="4">
        <v>14.5</v>
      </c>
      <c r="L29" s="4">
        <f>43/9</f>
        <v>4.7777777777777777</v>
      </c>
      <c r="M29" s="4">
        <v>7</v>
      </c>
      <c r="N29" s="4">
        <v>41.1</v>
      </c>
      <c r="O29" s="4">
        <v>46</v>
      </c>
    </row>
  </sheetData>
  <mergeCells count="2">
    <mergeCell ref="I1:O1"/>
    <mergeCell ref="B1:H1"/>
  </mergeCells>
  <phoneticPr fontId="2" type="noConversion"/>
  <pageMargins left="0.7" right="0.7" top="0.75" bottom="0.75" header="0.3" footer="0.3"/>
  <pageSetup paperSize="9" orientation="portrait" verticalDpi="0" r:id="rId1"/>
  <ignoredErrors>
    <ignoredError sqref="L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E0C2-FEF5-4259-BB96-2B1B0C8F9287}">
  <dimension ref="A1:AF42"/>
  <sheetViews>
    <sheetView zoomScale="70" zoomScaleNormal="70" workbookViewId="0">
      <selection sqref="A1:A1048576"/>
    </sheetView>
  </sheetViews>
  <sheetFormatPr defaultRowHeight="15" x14ac:dyDescent="0.25"/>
  <cols>
    <col min="1" max="1" width="15.7109375" bestFit="1" customWidth="1"/>
    <col min="2" max="2" width="17" bestFit="1" customWidth="1"/>
    <col min="3" max="3" width="15.28515625" bestFit="1" customWidth="1"/>
    <col min="4" max="4" width="10.7109375" bestFit="1" customWidth="1"/>
    <col min="5" max="5" width="12.140625" bestFit="1" customWidth="1"/>
    <col min="6" max="6" width="11.85546875" bestFit="1" customWidth="1"/>
    <col min="7" max="7" width="15.42578125" bestFit="1" customWidth="1"/>
    <col min="8" max="8" width="14.7109375" bestFit="1" customWidth="1"/>
    <col min="9" max="9" width="7.7109375" bestFit="1" customWidth="1"/>
    <col min="10" max="10" width="14.5703125" bestFit="1" customWidth="1"/>
    <col min="11" max="11" width="13.28515625" bestFit="1" customWidth="1"/>
    <col min="12" max="13" width="12.28515625" bestFit="1" customWidth="1"/>
    <col min="14" max="14" width="20.85546875" bestFit="1" customWidth="1"/>
    <col min="15" max="15" width="19.5703125" bestFit="1" customWidth="1"/>
    <col min="16" max="16" width="17" style="22" bestFit="1" customWidth="1"/>
    <col min="17" max="17" width="15.28515625" bestFit="1" customWidth="1"/>
    <col min="18" max="18" width="10.28515625" bestFit="1" customWidth="1"/>
    <col min="19" max="19" width="12.140625" bestFit="1" customWidth="1"/>
    <col min="20" max="20" width="11.85546875" bestFit="1" customWidth="1"/>
    <col min="21" max="21" width="15.140625" bestFit="1" customWidth="1"/>
    <col min="22" max="22" width="14.7109375" bestFit="1" customWidth="1"/>
    <col min="23" max="23" width="7.140625" bestFit="1" customWidth="1"/>
    <col min="24" max="24" width="14.5703125" bestFit="1" customWidth="1"/>
    <col min="25" max="25" width="13.28515625" bestFit="1" customWidth="1"/>
    <col min="26" max="26" width="12.28515625" bestFit="1" customWidth="1"/>
    <col min="27" max="27" width="18" bestFit="1" customWidth="1"/>
    <col min="28" max="28" width="20.85546875" bestFit="1" customWidth="1"/>
    <col min="29" max="29" width="19.5703125" bestFit="1" customWidth="1"/>
  </cols>
  <sheetData>
    <row r="1" spans="1:32" x14ac:dyDescent="0.25">
      <c r="B1" s="17" t="s">
        <v>127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8"/>
      <c r="P1" s="23" t="s">
        <v>128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2" x14ac:dyDescent="0.25">
      <c r="A2" s="3" t="s">
        <v>0</v>
      </c>
      <c r="B2" s="18" t="s">
        <v>131</v>
      </c>
      <c r="C2" s="18" t="s">
        <v>142</v>
      </c>
      <c r="D2" s="18" t="s">
        <v>130</v>
      </c>
      <c r="E2" s="18" t="s">
        <v>132</v>
      </c>
      <c r="F2" s="18" t="s">
        <v>133</v>
      </c>
      <c r="G2" s="18" t="s">
        <v>134</v>
      </c>
      <c r="H2" s="18" t="s">
        <v>135</v>
      </c>
      <c r="I2" s="18" t="s">
        <v>129</v>
      </c>
      <c r="J2" s="18" t="s">
        <v>136</v>
      </c>
      <c r="K2" s="18" t="s">
        <v>137</v>
      </c>
      <c r="L2" s="18" t="s">
        <v>138</v>
      </c>
      <c r="M2" s="18" t="s">
        <v>139</v>
      </c>
      <c r="N2" s="18" t="s">
        <v>140</v>
      </c>
      <c r="O2" s="18" t="s">
        <v>141</v>
      </c>
      <c r="P2" s="18" t="s">
        <v>131</v>
      </c>
      <c r="Q2" s="18" t="s">
        <v>142</v>
      </c>
      <c r="R2" s="18" t="s">
        <v>130</v>
      </c>
      <c r="S2" s="18" t="s">
        <v>132</v>
      </c>
      <c r="T2" s="18" t="s">
        <v>133</v>
      </c>
      <c r="U2" s="18" t="s">
        <v>134</v>
      </c>
      <c r="V2" s="18" t="s">
        <v>135</v>
      </c>
      <c r="W2" s="18" t="s">
        <v>129</v>
      </c>
      <c r="X2" s="18" t="s">
        <v>136</v>
      </c>
      <c r="Y2" s="18" t="s">
        <v>137</v>
      </c>
      <c r="Z2" s="18" t="s">
        <v>138</v>
      </c>
      <c r="AA2" s="18" t="s">
        <v>139</v>
      </c>
      <c r="AB2" s="18" t="s">
        <v>140</v>
      </c>
      <c r="AC2" s="18" t="s">
        <v>141</v>
      </c>
    </row>
    <row r="3" spans="1:32" x14ac:dyDescent="0.25">
      <c r="A3" s="34" t="s">
        <v>6</v>
      </c>
      <c r="B3" s="14">
        <v>6.11</v>
      </c>
      <c r="C3" s="38">
        <v>75.908699879745342</v>
      </c>
      <c r="D3" s="38">
        <v>1.48</v>
      </c>
      <c r="E3" s="2">
        <v>1.63</v>
      </c>
      <c r="F3" s="36">
        <v>6.2750000000000004</v>
      </c>
      <c r="G3" s="2">
        <v>0.95599999999999996</v>
      </c>
      <c r="H3" s="2">
        <v>4.6879999999999997</v>
      </c>
      <c r="I3" s="6">
        <v>6.5638075313807533</v>
      </c>
      <c r="J3" s="36">
        <v>0.90700000000000003</v>
      </c>
      <c r="K3" s="2">
        <v>0.5</v>
      </c>
      <c r="L3" s="5">
        <v>4.1351000000000004</v>
      </c>
      <c r="M3" s="5">
        <v>5.8283000000000005</v>
      </c>
      <c r="N3" s="5">
        <v>1.3</v>
      </c>
      <c r="O3" s="5">
        <v>4.9333333333333336</v>
      </c>
      <c r="P3" s="21">
        <v>7.52</v>
      </c>
      <c r="Q3" s="6">
        <v>67.4592791378047</v>
      </c>
      <c r="R3" s="6">
        <v>1.38</v>
      </c>
      <c r="S3" s="2">
        <v>0.99</v>
      </c>
      <c r="T3" s="36">
        <v>5.9290000000000003</v>
      </c>
      <c r="U3" s="2">
        <v>0.95199999999999996</v>
      </c>
      <c r="V3" s="2">
        <v>4.4829999999999997</v>
      </c>
      <c r="W3" s="6">
        <v>6.2279411764705888</v>
      </c>
      <c r="X3" s="36">
        <v>0.55600000000000005</v>
      </c>
      <c r="Y3" s="2">
        <v>0.39</v>
      </c>
      <c r="Z3" s="5">
        <v>4.3788500000000008</v>
      </c>
      <c r="AA3" s="5">
        <v>6.6335499999999996</v>
      </c>
      <c r="AB3" s="5">
        <v>1.1333333333333335</v>
      </c>
      <c r="AC3" s="5">
        <v>3.7333333333333329</v>
      </c>
    </row>
    <row r="4" spans="1:32" x14ac:dyDescent="0.25">
      <c r="A4" s="34" t="s">
        <v>7</v>
      </c>
      <c r="B4" s="14">
        <v>2.81</v>
      </c>
      <c r="C4" s="38">
        <v>47.750868996033802</v>
      </c>
      <c r="D4" s="38">
        <v>0.8</v>
      </c>
      <c r="E4" s="2">
        <v>2.14</v>
      </c>
      <c r="F4" s="36">
        <v>7.6120000000000001</v>
      </c>
      <c r="G4" s="2">
        <v>1.194</v>
      </c>
      <c r="H4" s="2">
        <v>5.5209999999999999</v>
      </c>
      <c r="I4" s="6">
        <v>6.375209380234506</v>
      </c>
      <c r="J4" s="36">
        <v>0.95699999999999996</v>
      </c>
      <c r="K4" s="2">
        <v>1.54</v>
      </c>
      <c r="L4" s="5">
        <v>11.860849999999999</v>
      </c>
      <c r="M4" s="5">
        <v>10.658199999999999</v>
      </c>
      <c r="N4" s="5">
        <v>1.2666666666666666</v>
      </c>
      <c r="O4" s="5">
        <v>3.7999999999999994</v>
      </c>
      <c r="P4" s="21">
        <v>5.18</v>
      </c>
      <c r="Q4" s="6">
        <v>55.258976579205651</v>
      </c>
      <c r="R4" s="6">
        <v>1.04</v>
      </c>
      <c r="S4" s="2">
        <v>1.89</v>
      </c>
      <c r="T4" s="36">
        <v>7.0540000000000003</v>
      </c>
      <c r="U4" s="2">
        <v>1.151</v>
      </c>
      <c r="V4" s="2">
        <v>5.032</v>
      </c>
      <c r="W4" s="6">
        <v>6.1285838401390098</v>
      </c>
      <c r="X4" s="36">
        <v>0.81299999999999994</v>
      </c>
      <c r="Y4" s="2">
        <v>1.2</v>
      </c>
      <c r="Z4" s="5">
        <v>13.318449999999999</v>
      </c>
      <c r="AA4" s="5">
        <v>10.626099999999999</v>
      </c>
      <c r="AB4" s="5">
        <v>1.0333333333333334</v>
      </c>
      <c r="AC4" s="5">
        <v>2.7666666666666671</v>
      </c>
    </row>
    <row r="5" spans="1:32" x14ac:dyDescent="0.25">
      <c r="A5" s="34" t="s">
        <v>8</v>
      </c>
      <c r="B5" s="14">
        <v>5.1100000000000003</v>
      </c>
      <c r="C5" s="38">
        <v>41.807241893279155</v>
      </c>
      <c r="D5" s="38">
        <v>0.79</v>
      </c>
      <c r="E5" s="2">
        <v>1.3</v>
      </c>
      <c r="F5" s="36">
        <v>4.9749999999999996</v>
      </c>
      <c r="G5" s="2">
        <v>1.0609999999999999</v>
      </c>
      <c r="H5" s="2">
        <v>3.2669999999999999</v>
      </c>
      <c r="I5" s="6">
        <v>4.6889726672950047</v>
      </c>
      <c r="J5" s="36">
        <v>0.45500000000000002</v>
      </c>
      <c r="K5" s="2">
        <v>2.96</v>
      </c>
      <c r="L5" s="5">
        <v>30.294700000000002</v>
      </c>
      <c r="M5" s="5">
        <v>9.61355</v>
      </c>
      <c r="N5" s="5">
        <v>1.3999999999999997</v>
      </c>
      <c r="O5" s="5">
        <v>3.3333333333333335</v>
      </c>
      <c r="P5" s="21">
        <v>5.28</v>
      </c>
      <c r="Q5" s="6">
        <v>56.197170625053303</v>
      </c>
      <c r="R5" s="6">
        <v>1.06</v>
      </c>
      <c r="S5" s="2">
        <v>1.82</v>
      </c>
      <c r="T5" s="36">
        <v>5.4939999999999998</v>
      </c>
      <c r="U5" s="2">
        <v>1.1599999999999999</v>
      </c>
      <c r="V5" s="2">
        <v>3.6739999999999999</v>
      </c>
      <c r="W5" s="6">
        <v>4.7362068965517246</v>
      </c>
      <c r="X5" s="36">
        <v>0.65700000000000003</v>
      </c>
      <c r="Y5" s="2">
        <v>6.59</v>
      </c>
      <c r="Z5" s="5">
        <v>41.314099999999996</v>
      </c>
      <c r="AA5" s="5">
        <v>11.847249999999999</v>
      </c>
      <c r="AB5" s="5">
        <v>1.5</v>
      </c>
      <c r="AC5" s="5">
        <v>3.7666666666666671</v>
      </c>
    </row>
    <row r="6" spans="1:32" x14ac:dyDescent="0.25">
      <c r="A6" s="34" t="s">
        <v>9</v>
      </c>
      <c r="B6" s="14">
        <v>5.07</v>
      </c>
      <c r="C6" s="38">
        <v>65.116607587262394</v>
      </c>
      <c r="D6" s="38">
        <v>1.22</v>
      </c>
      <c r="E6" s="2">
        <v>2.9</v>
      </c>
      <c r="F6" s="36">
        <v>5.3739999999999997</v>
      </c>
      <c r="G6" s="2">
        <v>0.77900000000000003</v>
      </c>
      <c r="H6" s="2">
        <v>3.8759999999999999</v>
      </c>
      <c r="I6" s="6">
        <v>6.8985879332477529</v>
      </c>
      <c r="J6" s="36">
        <v>0.91600000000000004</v>
      </c>
      <c r="K6" s="2">
        <v>6.13</v>
      </c>
      <c r="L6" s="5">
        <v>17.322599999999998</v>
      </c>
      <c r="M6" s="5">
        <v>6.2319000000000004</v>
      </c>
      <c r="N6" s="5">
        <v>2.1</v>
      </c>
      <c r="O6" s="5">
        <v>4.2666666666666666</v>
      </c>
      <c r="P6" s="21">
        <v>5.52</v>
      </c>
      <c r="Q6" s="6">
        <v>44.166268029689306</v>
      </c>
      <c r="R6" s="6">
        <v>0.85</v>
      </c>
      <c r="S6" s="2">
        <v>2.0099999999999998</v>
      </c>
      <c r="T6" s="36">
        <v>6.7190000000000003</v>
      </c>
      <c r="U6" s="2">
        <v>1.103</v>
      </c>
      <c r="V6" s="2">
        <v>5.1150000000000002</v>
      </c>
      <c r="W6" s="6">
        <v>6.0915684496826836</v>
      </c>
      <c r="X6" s="36">
        <v>0.89800000000000002</v>
      </c>
      <c r="Y6" s="2">
        <v>3.75</v>
      </c>
      <c r="Z6" s="5">
        <v>8.9103999999999992</v>
      </c>
      <c r="AA6" s="5">
        <v>5.7980999999999998</v>
      </c>
      <c r="AB6" s="5">
        <v>1.7</v>
      </c>
      <c r="AC6" s="5">
        <v>3.5</v>
      </c>
    </row>
    <row r="7" spans="1:32" x14ac:dyDescent="0.25">
      <c r="A7" s="34" t="s">
        <v>10</v>
      </c>
      <c r="B7" s="14"/>
      <c r="C7" s="38"/>
      <c r="D7" s="38"/>
      <c r="E7" s="2"/>
      <c r="F7" s="2"/>
      <c r="G7" s="2"/>
      <c r="H7" s="2"/>
      <c r="I7" s="2"/>
      <c r="J7" s="2"/>
      <c r="K7" s="2"/>
      <c r="L7" s="5"/>
      <c r="M7" s="5"/>
      <c r="N7" s="5"/>
      <c r="O7" s="5"/>
      <c r="P7" s="21"/>
      <c r="Q7" s="6"/>
      <c r="R7" s="6"/>
      <c r="S7" s="2"/>
      <c r="T7" s="2"/>
      <c r="U7" s="2"/>
      <c r="V7" s="2"/>
      <c r="W7" s="2"/>
      <c r="X7" s="2"/>
      <c r="Y7" s="2"/>
      <c r="Z7" s="5"/>
      <c r="AA7" s="5"/>
      <c r="AB7" s="5"/>
      <c r="AC7" s="5"/>
    </row>
    <row r="8" spans="1:32" x14ac:dyDescent="0.25">
      <c r="A8" s="34" t="s">
        <v>11</v>
      </c>
      <c r="B8" s="14">
        <v>4.8899999999999997</v>
      </c>
      <c r="C8" s="38">
        <v>53.666597688268553</v>
      </c>
      <c r="D8" s="38">
        <v>1</v>
      </c>
      <c r="E8" s="2">
        <v>1.1000000000000001</v>
      </c>
      <c r="F8" s="36">
        <v>4.3449999999999998</v>
      </c>
      <c r="G8" s="2">
        <v>1.0569999999999999</v>
      </c>
      <c r="H8" s="2">
        <v>2.8140000000000001</v>
      </c>
      <c r="I8" s="6">
        <v>4.1106906338694422</v>
      </c>
      <c r="J8" s="36">
        <v>0.60899999999999999</v>
      </c>
      <c r="K8" s="2">
        <v>0.44</v>
      </c>
      <c r="L8" s="5">
        <v>9.3371499999999994</v>
      </c>
      <c r="M8" s="5">
        <v>11.06625</v>
      </c>
      <c r="N8" s="5">
        <v>2.1</v>
      </c>
      <c r="O8" s="5">
        <v>4.5333333333333332</v>
      </c>
      <c r="P8" s="21">
        <v>5.1100000000000003</v>
      </c>
      <c r="Q8" s="6">
        <v>39.817464713556248</v>
      </c>
      <c r="R8" s="6">
        <v>0.75</v>
      </c>
      <c r="S8" s="2">
        <v>0.84</v>
      </c>
      <c r="T8" s="36">
        <v>5.3929999999999998</v>
      </c>
      <c r="U8" s="2">
        <v>1.478</v>
      </c>
      <c r="V8" s="2">
        <v>3.4609999999999999</v>
      </c>
      <c r="W8" s="6">
        <v>3.6488497970230038</v>
      </c>
      <c r="X8" s="36">
        <v>0.379</v>
      </c>
      <c r="Y8" s="2">
        <v>0.39</v>
      </c>
      <c r="Z8" s="5">
        <v>32.786249999999995</v>
      </c>
      <c r="AA8" s="5">
        <v>11.018600000000001</v>
      </c>
      <c r="AB8" s="5">
        <v>2.1</v>
      </c>
      <c r="AC8" s="5">
        <v>3.3333333333333335</v>
      </c>
    </row>
    <row r="9" spans="1:32" x14ac:dyDescent="0.25">
      <c r="A9" s="34" t="s">
        <v>63</v>
      </c>
      <c r="B9" s="14">
        <v>4.5599999999999996</v>
      </c>
      <c r="C9" s="38">
        <v>28.415991015784698</v>
      </c>
      <c r="D9" s="38">
        <v>0.52</v>
      </c>
      <c r="E9" s="2">
        <v>0.64</v>
      </c>
      <c r="F9" s="36">
        <v>5.3140000000000001</v>
      </c>
      <c r="G9" s="2">
        <v>0.97899999999999998</v>
      </c>
      <c r="H9" s="2">
        <v>4.0439999999999996</v>
      </c>
      <c r="I9" s="6">
        <v>5.4279877425944845</v>
      </c>
      <c r="J9" s="36">
        <v>0.08</v>
      </c>
      <c r="K9" s="2">
        <v>0.42</v>
      </c>
      <c r="L9" s="5">
        <v>8.7656499999999991</v>
      </c>
      <c r="M9" s="5">
        <v>7.6757000000000009</v>
      </c>
      <c r="N9" s="5">
        <v>1.3666666666666665</v>
      </c>
      <c r="O9" s="5">
        <v>2.0666666666666669</v>
      </c>
      <c r="P9" s="21">
        <v>4.58</v>
      </c>
      <c r="Q9" s="6">
        <v>25.0059428896597</v>
      </c>
      <c r="R9" s="6">
        <v>0.46</v>
      </c>
      <c r="S9" s="2">
        <v>1.43</v>
      </c>
      <c r="T9" s="36">
        <v>5.3159999999999998</v>
      </c>
      <c r="U9" s="2">
        <v>0.88400000000000001</v>
      </c>
      <c r="V9" s="2">
        <v>4.0830000000000002</v>
      </c>
      <c r="W9" s="6">
        <v>6.0135746606334841</v>
      </c>
      <c r="X9" s="36">
        <v>0.248</v>
      </c>
      <c r="Y9" s="2">
        <v>0.8</v>
      </c>
      <c r="Z9" s="5">
        <v>21.832900000000002</v>
      </c>
      <c r="AA9" s="5">
        <v>10.943100000000001</v>
      </c>
      <c r="AB9" s="5">
        <v>1.3</v>
      </c>
      <c r="AC9" s="5">
        <v>2.4333333333333336</v>
      </c>
    </row>
    <row r="10" spans="1:32" x14ac:dyDescent="0.25">
      <c r="A10" s="34" t="s">
        <v>64</v>
      </c>
      <c r="B10" s="14">
        <v>4.87</v>
      </c>
      <c r="C10" s="38">
        <v>28.416133625864504</v>
      </c>
      <c r="D10" s="38">
        <v>0.53</v>
      </c>
      <c r="E10" s="2">
        <v>1.33</v>
      </c>
      <c r="F10" s="36">
        <v>4.8600000000000003</v>
      </c>
      <c r="G10" s="2">
        <v>1.1259999999999999</v>
      </c>
      <c r="H10" s="2">
        <v>2.7919999999999998</v>
      </c>
      <c r="I10" s="6">
        <v>4.3161634103019546</v>
      </c>
      <c r="J10" s="36">
        <v>0.63</v>
      </c>
      <c r="K10" s="2">
        <v>0.39</v>
      </c>
      <c r="L10" s="5">
        <v>13.378699999999997</v>
      </c>
      <c r="M10" s="5">
        <v>18.5854</v>
      </c>
      <c r="N10" s="5">
        <v>2.3666666666666667</v>
      </c>
      <c r="O10" s="5">
        <v>3.6333333333333333</v>
      </c>
      <c r="P10" s="21">
        <v>5.18</v>
      </c>
      <c r="Q10" s="6">
        <v>34.992958429380103</v>
      </c>
      <c r="R10" s="6">
        <v>0.66</v>
      </c>
      <c r="S10" s="2">
        <v>0.88</v>
      </c>
      <c r="T10" s="36">
        <v>4.6710000000000003</v>
      </c>
      <c r="U10" s="2">
        <v>1.1539999999999999</v>
      </c>
      <c r="V10" s="2">
        <v>2.9340000000000002</v>
      </c>
      <c r="W10" s="6">
        <v>4.0476603119584063</v>
      </c>
      <c r="X10" s="36">
        <v>0.497</v>
      </c>
      <c r="Y10" s="2">
        <v>0.6</v>
      </c>
      <c r="Z10" s="5">
        <v>8.7387000000000015</v>
      </c>
      <c r="AA10" s="5">
        <v>18.700299999999999</v>
      </c>
      <c r="AB10" s="5">
        <v>1.8999999999999997</v>
      </c>
      <c r="AC10" s="5">
        <v>3.6</v>
      </c>
    </row>
    <row r="11" spans="1:32" x14ac:dyDescent="0.25">
      <c r="A11" s="34" t="s">
        <v>70</v>
      </c>
      <c r="B11" s="14">
        <v>4.25</v>
      </c>
      <c r="C11" s="38">
        <v>23.475491455451902</v>
      </c>
      <c r="D11" s="38">
        <v>0.42</v>
      </c>
      <c r="E11" s="2">
        <v>1.18</v>
      </c>
      <c r="F11" s="36">
        <v>4.5049999999999999</v>
      </c>
      <c r="G11" s="2">
        <v>0.88300000000000001</v>
      </c>
      <c r="H11" s="2">
        <v>2.9350000000000001</v>
      </c>
      <c r="I11" s="6">
        <v>5.1019252548131373</v>
      </c>
      <c r="J11" s="36">
        <v>0.47699999999999998</v>
      </c>
      <c r="K11" s="2">
        <v>0.36</v>
      </c>
      <c r="L11" s="5">
        <v>1.911</v>
      </c>
      <c r="M11" s="5">
        <v>9.9993500000000015</v>
      </c>
      <c r="N11" s="5">
        <v>1.8666666666666665</v>
      </c>
      <c r="O11" s="5">
        <v>1.4666666666666668</v>
      </c>
      <c r="P11" s="21">
        <v>4.1500000000000004</v>
      </c>
      <c r="Q11" s="6">
        <v>19.997986509023949</v>
      </c>
      <c r="R11" s="6">
        <v>0.36</v>
      </c>
      <c r="S11" s="2">
        <v>1.1200000000000001</v>
      </c>
      <c r="T11" s="36">
        <v>4.6710000000000003</v>
      </c>
      <c r="U11" s="2">
        <v>0.88700000000000001</v>
      </c>
      <c r="V11" s="2">
        <v>3.1869999999999998</v>
      </c>
      <c r="W11" s="6">
        <v>5.2660653889515219</v>
      </c>
      <c r="X11" s="36">
        <v>0.28000000000000003</v>
      </c>
      <c r="Y11" s="2">
        <v>0.46</v>
      </c>
      <c r="Z11" s="5">
        <v>1.4955000000000001</v>
      </c>
      <c r="AA11" s="5">
        <v>7.5805499999999997</v>
      </c>
      <c r="AB11" s="5">
        <v>1.8</v>
      </c>
      <c r="AC11" s="5">
        <v>1.8</v>
      </c>
    </row>
    <row r="12" spans="1:32" x14ac:dyDescent="0.25">
      <c r="A12" s="34" t="s">
        <v>71</v>
      </c>
      <c r="B12" s="14">
        <v>5.81</v>
      </c>
      <c r="C12" s="38">
        <v>41.245336197950152</v>
      </c>
      <c r="D12" s="38">
        <v>0.78</v>
      </c>
      <c r="E12" s="2">
        <v>1.86</v>
      </c>
      <c r="F12" s="36">
        <v>4.8360000000000003</v>
      </c>
      <c r="G12" s="2">
        <v>0.70599999999999996</v>
      </c>
      <c r="H12" s="2">
        <v>3.395</v>
      </c>
      <c r="I12" s="6">
        <v>6.8498583569405112</v>
      </c>
      <c r="J12" s="36">
        <v>0.254</v>
      </c>
      <c r="K12" s="2">
        <v>0.6</v>
      </c>
      <c r="L12" s="5">
        <v>2.0253999999999999</v>
      </c>
      <c r="M12" s="5">
        <v>3.6164999999999998</v>
      </c>
      <c r="N12" s="5">
        <v>1.2333333333333334</v>
      </c>
      <c r="O12" s="5">
        <v>3.5666666666666664</v>
      </c>
      <c r="P12" s="21">
        <v>5.55</v>
      </c>
      <c r="Q12" s="6">
        <v>42.860037989895851</v>
      </c>
      <c r="R12" s="6">
        <v>0.83</v>
      </c>
      <c r="S12" s="2">
        <v>2.16</v>
      </c>
      <c r="T12" s="36">
        <v>3.9740000000000002</v>
      </c>
      <c r="U12" s="2">
        <v>0.66600000000000004</v>
      </c>
      <c r="V12" s="2">
        <v>2.153</v>
      </c>
      <c r="W12" s="6">
        <v>5.9669669669669672</v>
      </c>
      <c r="X12" s="36">
        <v>0.33400000000000002</v>
      </c>
      <c r="Y12" s="2">
        <v>0.95</v>
      </c>
      <c r="Z12" s="5">
        <v>2.7933000000000003</v>
      </c>
      <c r="AA12" s="5">
        <v>4.2165499999999998</v>
      </c>
      <c r="AB12" s="5">
        <v>1.2666666666666666</v>
      </c>
      <c r="AC12" s="5">
        <v>3.9</v>
      </c>
    </row>
    <row r="13" spans="1:32" x14ac:dyDescent="0.25">
      <c r="A13" s="34" t="s">
        <v>73</v>
      </c>
      <c r="B13" s="14">
        <v>4.49</v>
      </c>
      <c r="C13" s="38">
        <v>21.431193108044301</v>
      </c>
      <c r="D13" s="38">
        <v>0.39</v>
      </c>
      <c r="E13" s="2">
        <v>1.07</v>
      </c>
      <c r="F13" s="36">
        <v>5.5810000000000004</v>
      </c>
      <c r="G13" s="2">
        <v>1.024</v>
      </c>
      <c r="H13" s="2">
        <v>3.9209999999999998</v>
      </c>
      <c r="I13" s="6">
        <v>5.4501953125</v>
      </c>
      <c r="J13" s="36">
        <v>0.48099999999999998</v>
      </c>
      <c r="K13" s="2">
        <v>1.82</v>
      </c>
      <c r="L13" s="5">
        <v>10.473549999999999</v>
      </c>
      <c r="M13" s="5">
        <v>10.69285</v>
      </c>
      <c r="N13" s="5">
        <v>1.5</v>
      </c>
      <c r="O13" s="5">
        <v>3.0666666666666664</v>
      </c>
      <c r="P13" s="21">
        <v>4.72</v>
      </c>
      <c r="Q13" s="6">
        <v>17.744876919100349</v>
      </c>
      <c r="R13" s="6">
        <v>0.33</v>
      </c>
      <c r="S13" s="2">
        <v>0.81</v>
      </c>
      <c r="T13" s="36">
        <v>5.2359999999999998</v>
      </c>
      <c r="U13" s="2">
        <v>0.996</v>
      </c>
      <c r="V13" s="2">
        <v>3.7890000000000001</v>
      </c>
      <c r="W13" s="6">
        <v>5.2570281124497988</v>
      </c>
      <c r="X13" s="36">
        <v>0.45700000000000002</v>
      </c>
      <c r="Y13" s="2">
        <v>0.94</v>
      </c>
      <c r="Z13" s="5">
        <v>5.1119500000000002</v>
      </c>
      <c r="AA13" s="5">
        <v>8.7492999999999999</v>
      </c>
      <c r="AB13" s="5">
        <v>1.4666666666666668</v>
      </c>
      <c r="AC13" s="5">
        <v>3.3333333333333335</v>
      </c>
    </row>
    <row r="14" spans="1:32" x14ac:dyDescent="0.25">
      <c r="A14" s="34" t="s">
        <v>76</v>
      </c>
      <c r="B14" s="14">
        <v>5.04</v>
      </c>
      <c r="C14" s="38">
        <v>50.1194249802504</v>
      </c>
      <c r="D14" s="38">
        <v>0.94</v>
      </c>
      <c r="E14" s="2">
        <v>0.7</v>
      </c>
      <c r="F14" s="36">
        <v>5.7149999999999999</v>
      </c>
      <c r="G14" s="2">
        <v>1.1299999999999999</v>
      </c>
      <c r="H14" s="2">
        <v>4.383</v>
      </c>
      <c r="I14" s="6">
        <v>5.057522123893806</v>
      </c>
      <c r="J14" s="36">
        <v>0.255</v>
      </c>
      <c r="K14" s="2">
        <v>2.85</v>
      </c>
      <c r="L14" s="5">
        <v>29.4346</v>
      </c>
      <c r="M14" s="5">
        <v>11.058000000000002</v>
      </c>
      <c r="N14" s="5">
        <v>2.2666666666666666</v>
      </c>
      <c r="O14" s="5">
        <v>5.9333333333333327</v>
      </c>
      <c r="P14" s="21">
        <v>6.53</v>
      </c>
      <c r="Q14" s="6">
        <v>22.3024150700946</v>
      </c>
      <c r="R14" s="6">
        <v>0.45</v>
      </c>
      <c r="S14" s="2">
        <v>0.62</v>
      </c>
      <c r="T14" s="36">
        <v>6.1230000000000002</v>
      </c>
      <c r="U14" s="2">
        <v>1.175</v>
      </c>
      <c r="V14" s="2">
        <v>4.452</v>
      </c>
      <c r="W14" s="6">
        <v>5.2110638297872338</v>
      </c>
      <c r="X14" s="36">
        <v>0.8</v>
      </c>
      <c r="Y14" s="2">
        <v>15.78</v>
      </c>
      <c r="Z14" s="5">
        <v>22.228349999999999</v>
      </c>
      <c r="AA14" s="5">
        <v>9.8251000000000008</v>
      </c>
      <c r="AB14" s="5">
        <v>2.0333333333333332</v>
      </c>
      <c r="AC14" s="5">
        <v>6.6000000000000005</v>
      </c>
    </row>
    <row r="15" spans="1:32" x14ac:dyDescent="0.25">
      <c r="A15" s="34" t="s">
        <v>77</v>
      </c>
      <c r="B15" s="14">
        <v>5.3</v>
      </c>
      <c r="C15" s="38">
        <v>56.147074763339901</v>
      </c>
      <c r="D15" s="38">
        <v>1.06</v>
      </c>
      <c r="E15" s="2">
        <v>0.94</v>
      </c>
      <c r="F15" s="36">
        <v>3.4129999999999998</v>
      </c>
      <c r="G15" s="2">
        <v>0.78200000000000003</v>
      </c>
      <c r="H15" s="2">
        <v>2.097</v>
      </c>
      <c r="I15" s="6">
        <v>4.3644501278772374</v>
      </c>
      <c r="J15" s="36">
        <v>0.48499999999999999</v>
      </c>
      <c r="K15" s="2">
        <v>9.81</v>
      </c>
      <c r="L15" s="5">
        <v>5.9236499999999994</v>
      </c>
      <c r="M15" s="5">
        <v>2.0648499999999999</v>
      </c>
      <c r="N15" s="5">
        <v>1.8333333333333333</v>
      </c>
      <c r="O15" s="5">
        <v>3.3666666666666667</v>
      </c>
      <c r="P15" s="21">
        <v>4.96</v>
      </c>
      <c r="Q15" s="6">
        <v>74.787931781794853</v>
      </c>
      <c r="R15" s="6">
        <v>1.39</v>
      </c>
      <c r="S15" s="2">
        <v>1.45</v>
      </c>
      <c r="T15" s="36">
        <v>3.6160000000000001</v>
      </c>
      <c r="U15" s="2">
        <v>0.84699999999999998</v>
      </c>
      <c r="V15" s="2">
        <v>2.0750000000000002</v>
      </c>
      <c r="W15" s="6">
        <v>4.2691853600944514</v>
      </c>
      <c r="X15" s="36">
        <v>0.48499999999999999</v>
      </c>
      <c r="Y15" s="2">
        <v>7.31</v>
      </c>
      <c r="Z15" s="5">
        <v>9.4869500000000002</v>
      </c>
      <c r="AA15" s="5">
        <v>1.9570000000000001</v>
      </c>
      <c r="AB15" s="5">
        <v>1.4</v>
      </c>
      <c r="AC15" s="5">
        <v>3.5</v>
      </c>
    </row>
    <row r="16" spans="1:32" x14ac:dyDescent="0.25">
      <c r="A16" s="34" t="s">
        <v>78</v>
      </c>
      <c r="B16" s="14">
        <v>4.28</v>
      </c>
      <c r="C16" s="38">
        <v>18.246482758922902</v>
      </c>
      <c r="D16" s="38">
        <v>0.33</v>
      </c>
      <c r="E16" s="2">
        <v>0.66</v>
      </c>
      <c r="F16" s="36">
        <v>4.2750000000000004</v>
      </c>
      <c r="G16" s="2">
        <v>1.196</v>
      </c>
      <c r="H16" s="2">
        <v>2.3290000000000002</v>
      </c>
      <c r="I16" s="6">
        <v>3.574414715719064</v>
      </c>
      <c r="J16" s="36">
        <v>1.284</v>
      </c>
      <c r="K16" s="2">
        <v>7.71</v>
      </c>
      <c r="L16" s="5">
        <v>4.0260000000000007</v>
      </c>
      <c r="M16" s="5">
        <v>9.6844999999999999</v>
      </c>
      <c r="N16" s="5">
        <v>1.2</v>
      </c>
      <c r="O16" s="5">
        <v>5.8999999999999995</v>
      </c>
      <c r="P16" s="21">
        <v>4.93</v>
      </c>
      <c r="Q16" s="6">
        <v>18.246696975815652</v>
      </c>
      <c r="R16" s="6">
        <v>0.34</v>
      </c>
      <c r="S16" s="2">
        <v>0.47</v>
      </c>
      <c r="T16" s="36">
        <v>4.9080000000000004</v>
      </c>
      <c r="U16" s="2">
        <v>1.7829999999999999</v>
      </c>
      <c r="V16" s="2">
        <v>2.2810000000000001</v>
      </c>
      <c r="W16" s="6">
        <v>2.7526640493550198</v>
      </c>
      <c r="X16" s="36">
        <v>0.85299999999999998</v>
      </c>
      <c r="Y16" s="2">
        <v>9.1199999999999992</v>
      </c>
      <c r="Z16" s="5">
        <v>10.282849999999998</v>
      </c>
      <c r="AA16" s="5">
        <v>14.90695</v>
      </c>
      <c r="AB16" s="5">
        <v>1.0666666666666667</v>
      </c>
      <c r="AC16" s="5">
        <v>2.8666666666666667</v>
      </c>
      <c r="AF16" s="5"/>
    </row>
    <row r="17" spans="1:32" x14ac:dyDescent="0.25">
      <c r="A17" s="34" t="s">
        <v>79</v>
      </c>
      <c r="B17" s="14">
        <v>5.03</v>
      </c>
      <c r="C17" s="38">
        <v>14.1952632284172</v>
      </c>
      <c r="D17" s="38">
        <v>0.27</v>
      </c>
      <c r="E17" s="2">
        <v>0.5</v>
      </c>
      <c r="F17" s="36">
        <v>4.556</v>
      </c>
      <c r="G17" s="2">
        <v>1.6850000000000001</v>
      </c>
      <c r="H17" s="2">
        <v>2.11</v>
      </c>
      <c r="I17" s="6">
        <v>2.7038575667655786</v>
      </c>
      <c r="J17" s="36">
        <v>0.629</v>
      </c>
      <c r="K17" s="2">
        <v>0.59</v>
      </c>
      <c r="L17" s="5"/>
      <c r="M17" s="5">
        <v>25.409600000000001</v>
      </c>
      <c r="N17" s="5">
        <v>0.76666666666666661</v>
      </c>
      <c r="O17" s="5">
        <v>2.2333333333333334</v>
      </c>
      <c r="P17" s="21">
        <v>5.39</v>
      </c>
      <c r="Q17" s="6">
        <v>10.625201959458099</v>
      </c>
      <c r="R17" s="6">
        <v>0.21</v>
      </c>
      <c r="S17" s="2">
        <v>0.47</v>
      </c>
      <c r="T17" s="36">
        <v>4.2350000000000003</v>
      </c>
      <c r="U17" s="2">
        <v>1.7130000000000001</v>
      </c>
      <c r="V17" s="2">
        <v>1.7070000000000001</v>
      </c>
      <c r="W17" s="6">
        <v>2.472270869819031</v>
      </c>
      <c r="X17" s="36">
        <v>0.70699999999999996</v>
      </c>
      <c r="Y17" s="2">
        <v>0.56000000000000005</v>
      </c>
      <c r="Z17" s="5"/>
      <c r="AA17" s="5">
        <v>21.695100000000004</v>
      </c>
      <c r="AB17" s="5">
        <v>0.8666666666666667</v>
      </c>
      <c r="AC17" s="5">
        <v>2.5333333333333332</v>
      </c>
      <c r="AF17" s="5"/>
    </row>
    <row r="18" spans="1:32" x14ac:dyDescent="0.25">
      <c r="A18" s="34" t="s">
        <v>81</v>
      </c>
      <c r="B18" s="14">
        <v>4.9000000000000004</v>
      </c>
      <c r="C18" s="37">
        <v>92.557868663338752</v>
      </c>
      <c r="D18" s="37">
        <v>1.7</v>
      </c>
      <c r="E18" s="2">
        <v>0.81</v>
      </c>
      <c r="F18" s="36">
        <v>4.5839999999999996</v>
      </c>
      <c r="G18" s="2">
        <v>0.80200000000000005</v>
      </c>
      <c r="H18" s="2">
        <v>3.3679999999999999</v>
      </c>
      <c r="I18" s="6">
        <v>5.7157107231920188</v>
      </c>
      <c r="J18" s="36">
        <v>0.75600000000000001</v>
      </c>
      <c r="K18" s="2">
        <v>1</v>
      </c>
      <c r="L18" s="5">
        <v>17.263999999999999</v>
      </c>
      <c r="M18" s="5">
        <v>8.2263999999999999</v>
      </c>
      <c r="N18" s="5">
        <v>1.7333333333333334</v>
      </c>
      <c r="O18" s="5">
        <v>4.2333333333333334</v>
      </c>
      <c r="P18" s="21">
        <v>4.47</v>
      </c>
      <c r="Q18" s="5">
        <v>82.863736132723943</v>
      </c>
      <c r="R18" s="5">
        <v>1.49</v>
      </c>
      <c r="S18" s="2">
        <v>0.83</v>
      </c>
      <c r="T18" s="36">
        <v>5.8010000000000002</v>
      </c>
      <c r="U18" s="2">
        <v>1.1160000000000001</v>
      </c>
      <c r="V18" s="2">
        <v>4.2380000000000004</v>
      </c>
      <c r="W18" s="6">
        <v>5.1980286738351253</v>
      </c>
      <c r="X18" s="36">
        <v>0.88200000000000001</v>
      </c>
      <c r="Y18" s="2">
        <v>2.75</v>
      </c>
      <c r="Z18" s="5">
        <v>24.726299999999998</v>
      </c>
      <c r="AA18" s="5">
        <v>8.7698999999999998</v>
      </c>
      <c r="AB18" s="5">
        <v>1.6333333333333335</v>
      </c>
      <c r="AC18" s="5">
        <v>2.9333333333333336</v>
      </c>
      <c r="AF18" s="5"/>
    </row>
    <row r="19" spans="1:32" x14ac:dyDescent="0.25">
      <c r="A19" s="34" t="s">
        <v>84</v>
      </c>
      <c r="B19" s="14">
        <v>14.37</v>
      </c>
      <c r="C19" s="37">
        <v>180.7527724159722</v>
      </c>
      <c r="D19" s="37">
        <v>4.41</v>
      </c>
      <c r="E19" s="2">
        <v>2.0699999999999998</v>
      </c>
      <c r="F19" s="36">
        <v>5.1340000000000003</v>
      </c>
      <c r="G19" s="2">
        <v>0.72499999999999998</v>
      </c>
      <c r="H19" s="2">
        <v>3.9430000000000001</v>
      </c>
      <c r="I19" s="6">
        <v>7.0813793103448281</v>
      </c>
      <c r="J19" s="36">
        <v>0.78200000000000003</v>
      </c>
      <c r="K19" s="2">
        <v>2.4500000000000002</v>
      </c>
      <c r="L19" s="5">
        <v>12.172199999999998</v>
      </c>
      <c r="M19" s="5">
        <v>6.2067999999999994</v>
      </c>
      <c r="N19" s="5">
        <v>1.6</v>
      </c>
      <c r="O19" s="5">
        <v>2.2000000000000002</v>
      </c>
      <c r="P19" s="39">
        <v>20.04</v>
      </c>
      <c r="Q19" s="37">
        <v>83.140534250620107</v>
      </c>
      <c r="R19" s="5">
        <v>3.79</v>
      </c>
      <c r="S19" s="2">
        <v>1.48</v>
      </c>
      <c r="T19" s="36">
        <v>5.883</v>
      </c>
      <c r="U19" s="2">
        <v>0.89700000000000002</v>
      </c>
      <c r="V19" s="2">
        <v>4.944</v>
      </c>
      <c r="W19" s="6">
        <v>6.5585284280936458</v>
      </c>
      <c r="X19" s="36">
        <v>0.68</v>
      </c>
      <c r="Y19" s="2">
        <v>5.28</v>
      </c>
      <c r="Z19" s="5">
        <v>8.2197000000000013</v>
      </c>
      <c r="AA19" s="5">
        <v>4.8304</v>
      </c>
      <c r="AB19" s="5">
        <v>1.7666666666666666</v>
      </c>
      <c r="AC19" s="5">
        <v>2.5</v>
      </c>
      <c r="AF19" s="5"/>
    </row>
    <row r="20" spans="1:32" x14ac:dyDescent="0.25">
      <c r="A20" s="34" t="s">
        <v>85</v>
      </c>
      <c r="B20" s="14">
        <v>4.59</v>
      </c>
      <c r="C20" s="37">
        <v>68.331808902900008</v>
      </c>
      <c r="D20" s="37">
        <v>1.24</v>
      </c>
      <c r="E20" s="2">
        <v>1.36</v>
      </c>
      <c r="F20" s="36">
        <v>5.9169999999999998</v>
      </c>
      <c r="G20" s="2">
        <v>1.3380000000000001</v>
      </c>
      <c r="H20" s="2">
        <v>4.03</v>
      </c>
      <c r="I20" s="6">
        <v>4.4222720478325854</v>
      </c>
      <c r="J20" s="36">
        <v>0.51</v>
      </c>
      <c r="K20" s="2">
        <v>2.19</v>
      </c>
      <c r="L20" s="5">
        <v>12.903700000000001</v>
      </c>
      <c r="M20" s="5">
        <v>2.5138000000000003</v>
      </c>
      <c r="N20" s="5">
        <v>2.1333333333333333</v>
      </c>
      <c r="O20" s="5">
        <v>3.8333333333333335</v>
      </c>
      <c r="P20" s="21">
        <v>5.25</v>
      </c>
      <c r="Q20" s="5">
        <v>78.184790612501402</v>
      </c>
      <c r="R20" s="5">
        <v>1.47</v>
      </c>
      <c r="S20" s="2">
        <v>1.87</v>
      </c>
      <c r="T20" s="36">
        <v>5.9260000000000002</v>
      </c>
      <c r="U20" s="2">
        <v>1.387</v>
      </c>
      <c r="V20" s="2">
        <v>3.9809999999999999</v>
      </c>
      <c r="W20" s="6">
        <v>4.2725306416726747</v>
      </c>
      <c r="X20" s="36">
        <v>0.47499999999999998</v>
      </c>
      <c r="Y20" s="2">
        <v>9.02</v>
      </c>
      <c r="Z20" s="5">
        <v>18.873999999999999</v>
      </c>
      <c r="AA20" s="5">
        <v>2.6888000000000001</v>
      </c>
      <c r="AB20" s="5">
        <v>2.2333333333333334</v>
      </c>
      <c r="AC20" s="5">
        <v>3.2666666666666671</v>
      </c>
      <c r="AF20" s="5"/>
    </row>
    <row r="21" spans="1:32" x14ac:dyDescent="0.25">
      <c r="A21" s="34" t="s">
        <v>90</v>
      </c>
      <c r="B21" s="14">
        <v>5.03</v>
      </c>
      <c r="C21" s="37">
        <v>44.291938103899895</v>
      </c>
      <c r="D21" s="37">
        <v>0.83</v>
      </c>
      <c r="E21" s="2">
        <v>0.33</v>
      </c>
      <c r="F21" s="2">
        <v>4.601</v>
      </c>
      <c r="G21" s="2">
        <v>1.19</v>
      </c>
      <c r="H21" s="2">
        <v>2.9</v>
      </c>
      <c r="I21" s="6">
        <v>3.8663865546218488</v>
      </c>
      <c r="J21" s="36">
        <v>0.54900000000000004</v>
      </c>
      <c r="K21" s="2">
        <v>0.39</v>
      </c>
      <c r="L21" s="5">
        <v>23.059200000000001</v>
      </c>
      <c r="M21" s="5">
        <v>8.3245000000000005</v>
      </c>
      <c r="N21" s="5">
        <v>1.8333333333333333</v>
      </c>
      <c r="O21" s="5">
        <v>3.1333333333333333</v>
      </c>
      <c r="P21" s="21">
        <v>4.8899999999999997</v>
      </c>
      <c r="Q21" s="5">
        <v>88.359382088953552</v>
      </c>
      <c r="R21" s="5">
        <v>1.63</v>
      </c>
      <c r="S21" s="2">
        <v>0.38</v>
      </c>
      <c r="T21" s="2">
        <v>4.9080000000000004</v>
      </c>
      <c r="U21" s="2">
        <v>1.2190000000000001</v>
      </c>
      <c r="V21" s="2">
        <v>3.242</v>
      </c>
      <c r="W21" s="6">
        <v>4.0262510254306809</v>
      </c>
      <c r="X21" s="36">
        <v>0.30399999999999999</v>
      </c>
      <c r="Y21" s="2">
        <v>0.64</v>
      </c>
      <c r="Z21" s="5">
        <v>21.682500000000001</v>
      </c>
      <c r="AA21" s="5">
        <v>8.7114000000000011</v>
      </c>
      <c r="AB21" s="5">
        <v>1.9666666666666668</v>
      </c>
      <c r="AC21" s="5">
        <v>2.6</v>
      </c>
      <c r="AF21" s="5"/>
    </row>
    <row r="22" spans="1:32" x14ac:dyDescent="0.25">
      <c r="A22" s="34" t="s">
        <v>95</v>
      </c>
      <c r="B22" s="14"/>
      <c r="C22" s="14"/>
      <c r="D22" s="14"/>
      <c r="E22" s="2"/>
      <c r="F22" s="2"/>
      <c r="G22" s="2"/>
      <c r="H22" s="2"/>
      <c r="I22" s="2"/>
      <c r="J22" s="2"/>
      <c r="K22" s="2"/>
      <c r="L22" s="2"/>
      <c r="M22" s="5"/>
      <c r="N22" s="5">
        <v>1.9333333333333333</v>
      </c>
      <c r="O22" s="5">
        <v>3.6666666666666665</v>
      </c>
      <c r="P22" s="21"/>
      <c r="Q22" s="2"/>
      <c r="R22" s="2"/>
      <c r="S22" s="2"/>
      <c r="T22" s="2"/>
      <c r="U22" s="2"/>
      <c r="V22" s="2"/>
      <c r="W22" s="2"/>
      <c r="X22" s="2"/>
      <c r="Y22" s="2"/>
      <c r="Z22" s="2"/>
      <c r="AA22" s="5"/>
      <c r="AB22" s="5"/>
      <c r="AC22" s="5"/>
      <c r="AF22" s="5"/>
    </row>
    <row r="23" spans="1:32" x14ac:dyDescent="0.25">
      <c r="A23" s="34" t="s">
        <v>98</v>
      </c>
      <c r="B23" s="14">
        <v>5.62</v>
      </c>
      <c r="C23" s="37">
        <v>78.683089417822657</v>
      </c>
      <c r="D23" s="38">
        <v>1.51</v>
      </c>
      <c r="E23" s="2">
        <v>0.72</v>
      </c>
      <c r="F23" s="2">
        <v>4.9470000000000001</v>
      </c>
      <c r="G23" s="2">
        <v>1.3240000000000001</v>
      </c>
      <c r="H23" s="2">
        <v>3.0139999999999998</v>
      </c>
      <c r="I23" s="6">
        <v>3.7364048338368581</v>
      </c>
      <c r="J23" s="36">
        <v>0.29699999999999999</v>
      </c>
      <c r="K23" s="2">
        <v>0.42</v>
      </c>
      <c r="L23" s="5">
        <v>2.2632000000000003</v>
      </c>
      <c r="M23" s="5">
        <v>6.3810000000000002</v>
      </c>
      <c r="N23" s="5">
        <v>1.0333333333333334</v>
      </c>
      <c r="O23" s="5">
        <v>2.2999999999999998</v>
      </c>
      <c r="P23" s="21">
        <v>5.73</v>
      </c>
      <c r="Q23" s="5">
        <v>55.167725904253146</v>
      </c>
      <c r="R23" s="6">
        <v>1.07</v>
      </c>
      <c r="S23" s="2">
        <v>0.59</v>
      </c>
      <c r="T23" s="2">
        <v>5.1630000000000003</v>
      </c>
      <c r="U23" s="2">
        <v>1.2689999999999999</v>
      </c>
      <c r="V23" s="2">
        <v>3.3380000000000001</v>
      </c>
      <c r="W23" s="6">
        <v>4.0685579196217496</v>
      </c>
      <c r="X23" s="36">
        <v>0.25700000000000001</v>
      </c>
      <c r="Y23" s="2">
        <v>0.47</v>
      </c>
      <c r="Z23" s="5">
        <v>0.50679999999999992</v>
      </c>
      <c r="AA23" s="5">
        <v>8.0565999999999995</v>
      </c>
      <c r="AB23" s="5">
        <v>0.79999999999999993</v>
      </c>
      <c r="AC23" s="5">
        <v>3.2166666666666668</v>
      </c>
      <c r="AF23" s="5"/>
    </row>
    <row r="24" spans="1:32" x14ac:dyDescent="0.25">
      <c r="A24" s="34" t="s">
        <v>101</v>
      </c>
      <c r="B24" s="14">
        <v>5.07</v>
      </c>
      <c r="C24" s="37">
        <v>55.188000000000002</v>
      </c>
      <c r="D24" s="38">
        <v>1.04</v>
      </c>
      <c r="E24" s="2">
        <v>1.8180000000000001</v>
      </c>
      <c r="F24" s="2">
        <v>6.03</v>
      </c>
      <c r="G24" s="2">
        <v>1.28</v>
      </c>
      <c r="H24" s="2">
        <v>4.63</v>
      </c>
      <c r="I24" s="6">
        <v>4.7109375</v>
      </c>
      <c r="J24" s="36">
        <v>0.55100000000000005</v>
      </c>
      <c r="K24" s="2">
        <v>0.9</v>
      </c>
      <c r="L24" s="5">
        <v>9.5432000000000006</v>
      </c>
      <c r="M24" s="5">
        <v>5.9489000000000001</v>
      </c>
      <c r="N24" s="5">
        <v>0.99333333333333329</v>
      </c>
      <c r="O24" s="5">
        <v>4.126666666666666</v>
      </c>
      <c r="P24" s="21">
        <v>5.09</v>
      </c>
      <c r="Q24" s="5">
        <v>35.436</v>
      </c>
      <c r="R24" s="6">
        <v>0.67</v>
      </c>
      <c r="S24" s="2">
        <v>1.788</v>
      </c>
      <c r="T24" s="2">
        <v>5.64</v>
      </c>
      <c r="U24" s="2">
        <v>1.23</v>
      </c>
      <c r="V24" s="2">
        <v>4.3600000000000003</v>
      </c>
      <c r="W24" s="6">
        <v>4.5853658536585362</v>
      </c>
      <c r="X24" s="2">
        <v>0.55600000000000005</v>
      </c>
      <c r="Y24" s="2">
        <v>3.28</v>
      </c>
      <c r="Z24" s="5">
        <v>7.7540999999999993</v>
      </c>
      <c r="AA24" s="5">
        <v>4.8231999999999999</v>
      </c>
      <c r="AB24" s="5">
        <v>0.95666666666666667</v>
      </c>
      <c r="AC24" s="5">
        <v>5.5100000000000007</v>
      </c>
      <c r="AF24" s="5"/>
    </row>
    <row r="25" spans="1:32" x14ac:dyDescent="0.25">
      <c r="A25" s="34" t="s">
        <v>105</v>
      </c>
      <c r="B25" s="14">
        <v>5.14</v>
      </c>
      <c r="C25" s="37">
        <v>25.268999999999998</v>
      </c>
      <c r="D25" s="38">
        <v>0.49</v>
      </c>
      <c r="E25" s="2">
        <v>0.81200000000000006</v>
      </c>
      <c r="F25" s="2">
        <v>5.5</v>
      </c>
      <c r="G25" s="2">
        <v>1.91</v>
      </c>
      <c r="H25" s="2">
        <v>3.39</v>
      </c>
      <c r="I25" s="6">
        <v>2.8795811518324608</v>
      </c>
      <c r="J25" s="36">
        <v>1.026</v>
      </c>
      <c r="K25" s="2">
        <v>0.3</v>
      </c>
      <c r="L25" s="5">
        <v>9.2545000000000002</v>
      </c>
      <c r="M25" s="5">
        <v>12.6816</v>
      </c>
      <c r="N25" s="5">
        <v>1.8149999999999999</v>
      </c>
      <c r="O25" s="5">
        <v>4.2550000000000008</v>
      </c>
      <c r="P25" s="21">
        <v>5.15</v>
      </c>
      <c r="Q25" s="5">
        <v>23.154</v>
      </c>
      <c r="R25" s="6">
        <v>0.44</v>
      </c>
      <c r="S25" s="2">
        <v>0.85499999999999998</v>
      </c>
      <c r="T25" s="2">
        <v>6.15</v>
      </c>
      <c r="U25" s="2">
        <v>2.27</v>
      </c>
      <c r="V25" s="2">
        <v>3.54</v>
      </c>
      <c r="W25" s="6">
        <v>2.7092511013215859</v>
      </c>
      <c r="X25" s="2">
        <v>0.81599999999999995</v>
      </c>
      <c r="Y25" s="2">
        <v>0.34</v>
      </c>
      <c r="Z25" s="5"/>
      <c r="AA25" s="5">
        <v>15.280199999999999</v>
      </c>
      <c r="AB25" s="5">
        <v>1.6850000000000001</v>
      </c>
      <c r="AC25" s="5">
        <v>3.81</v>
      </c>
      <c r="AF25" s="5"/>
    </row>
    <row r="26" spans="1:32" x14ac:dyDescent="0.25">
      <c r="A26" s="34" t="s">
        <v>107</v>
      </c>
      <c r="B26" s="14">
        <v>4.1399999999999997</v>
      </c>
      <c r="C26" s="37">
        <v>17.7</v>
      </c>
      <c r="D26" s="38">
        <v>0.32</v>
      </c>
      <c r="E26" s="2">
        <v>1.018</v>
      </c>
      <c r="F26" s="2">
        <v>4.43</v>
      </c>
      <c r="G26" s="2">
        <v>1.1100000000000001</v>
      </c>
      <c r="H26" s="2">
        <v>3.07</v>
      </c>
      <c r="I26" s="6">
        <v>3.9909909909909902</v>
      </c>
      <c r="J26" s="36">
        <v>0.54200000000000004</v>
      </c>
      <c r="K26" s="2">
        <v>1.24</v>
      </c>
      <c r="L26" s="5">
        <v>4.7699999999999996</v>
      </c>
      <c r="M26" s="5">
        <v>10.772600000000001</v>
      </c>
      <c r="N26" s="5">
        <v>1.3599999999999999</v>
      </c>
      <c r="O26" s="5">
        <v>3.44</v>
      </c>
      <c r="P26" s="21">
        <v>3.87</v>
      </c>
      <c r="Q26" s="5">
        <v>17.7</v>
      </c>
      <c r="R26" s="6">
        <v>0.31</v>
      </c>
      <c r="S26" s="2">
        <v>0.70399999999999996</v>
      </c>
      <c r="T26" s="2">
        <v>5.56</v>
      </c>
      <c r="U26" s="2">
        <v>1.37</v>
      </c>
      <c r="V26" s="2">
        <v>3.91</v>
      </c>
      <c r="W26" s="6">
        <v>4.0583941605839406</v>
      </c>
      <c r="X26" s="2">
        <v>0.41299999999999998</v>
      </c>
      <c r="Y26" s="2">
        <v>0.21</v>
      </c>
      <c r="Z26" s="5">
        <v>14.4931</v>
      </c>
      <c r="AA26" s="5">
        <v>9.0465</v>
      </c>
      <c r="AB26" s="5">
        <v>1.925</v>
      </c>
      <c r="AC26" s="5">
        <v>2.61</v>
      </c>
      <c r="AF26" s="5"/>
    </row>
    <row r="27" spans="1:32" x14ac:dyDescent="0.25">
      <c r="A27" s="34" t="s">
        <v>110</v>
      </c>
      <c r="B27" s="14">
        <v>4.82</v>
      </c>
      <c r="C27" s="37">
        <v>27.791999999999998</v>
      </c>
      <c r="D27" s="38">
        <v>0.52</v>
      </c>
      <c r="E27" s="2">
        <v>0.68500000000000005</v>
      </c>
      <c r="F27" s="2">
        <v>3.71</v>
      </c>
      <c r="G27" s="2">
        <v>1.08</v>
      </c>
      <c r="H27" s="2">
        <v>2.34</v>
      </c>
      <c r="I27" s="6">
        <v>3.4351851851851851</v>
      </c>
      <c r="J27" s="36">
        <v>0.58399999999999996</v>
      </c>
      <c r="K27" s="2">
        <v>4.26</v>
      </c>
      <c r="L27" s="5">
        <v>4.569700000000001</v>
      </c>
      <c r="M27" s="5">
        <v>8.6243999999999996</v>
      </c>
      <c r="N27" s="5">
        <v>2.1800000000000002</v>
      </c>
      <c r="O27" s="5">
        <v>3.88</v>
      </c>
      <c r="P27" s="21">
        <v>4.96</v>
      </c>
      <c r="Q27" s="5">
        <v>30.759</v>
      </c>
      <c r="R27" s="6">
        <v>0.57999999999999996</v>
      </c>
      <c r="S27" s="2">
        <v>0.97299999999999998</v>
      </c>
      <c r="T27" s="2">
        <v>3.55</v>
      </c>
      <c r="U27" s="2">
        <v>1.01</v>
      </c>
      <c r="V27" s="2">
        <v>2.36</v>
      </c>
      <c r="W27" s="6">
        <v>3.5148514851485149</v>
      </c>
      <c r="X27" s="2">
        <v>0.80200000000000005</v>
      </c>
      <c r="Y27" s="2">
        <v>2.85</v>
      </c>
      <c r="Z27" s="5">
        <v>13.389099999999999</v>
      </c>
      <c r="AA27" s="5">
        <v>6.8063000000000002</v>
      </c>
      <c r="AB27" s="5">
        <v>2.2599999999999998</v>
      </c>
      <c r="AC27" s="5">
        <v>5.45</v>
      </c>
      <c r="AF27" s="5"/>
    </row>
    <row r="28" spans="1:32" x14ac:dyDescent="0.25">
      <c r="A28" s="34" t="s">
        <v>111</v>
      </c>
      <c r="B28" s="14">
        <v>5.2</v>
      </c>
      <c r="C28" s="37">
        <v>24.923999999999999</v>
      </c>
      <c r="D28" s="38">
        <v>0.47</v>
      </c>
      <c r="E28" s="2">
        <v>0.56000000000000005</v>
      </c>
      <c r="F28" s="2">
        <v>7.29</v>
      </c>
      <c r="G28" s="2">
        <v>2.1800000000000002</v>
      </c>
      <c r="H28" s="2">
        <v>4.6900000000000004</v>
      </c>
      <c r="I28" s="6">
        <v>3.3440366972477062</v>
      </c>
      <c r="J28" s="36">
        <v>0.36499999999999999</v>
      </c>
      <c r="K28" s="2">
        <v>0.36</v>
      </c>
      <c r="L28" s="5">
        <v>10.8689</v>
      </c>
      <c r="M28" s="5">
        <v>22.575200000000002</v>
      </c>
      <c r="N28" s="5">
        <v>2.0999999999999996</v>
      </c>
      <c r="O28" s="5">
        <v>3.125</v>
      </c>
      <c r="P28" s="21">
        <v>5.18</v>
      </c>
      <c r="Q28" s="5">
        <v>31.362000000000002</v>
      </c>
      <c r="R28" s="6">
        <v>0.6</v>
      </c>
      <c r="S28" s="2">
        <v>0.57699999999999996</v>
      </c>
      <c r="T28" s="2">
        <v>6.17</v>
      </c>
      <c r="U28" s="2">
        <v>2.21</v>
      </c>
      <c r="V28" s="2">
        <v>3.24</v>
      </c>
      <c r="W28" s="6">
        <v>2.7918552036199094</v>
      </c>
      <c r="X28" s="2">
        <v>0.318</v>
      </c>
      <c r="Y28" s="2">
        <v>0.46</v>
      </c>
      <c r="Z28" s="5">
        <v>7.08</v>
      </c>
      <c r="AA28" s="5">
        <v>22.773599999999998</v>
      </c>
      <c r="AB28" s="5">
        <v>2.125</v>
      </c>
      <c r="AC28" s="5">
        <v>5.08</v>
      </c>
      <c r="AF28" s="5"/>
    </row>
    <row r="29" spans="1:32" x14ac:dyDescent="0.25">
      <c r="A29" s="34" t="s">
        <v>112</v>
      </c>
      <c r="B29" s="14">
        <v>4.67</v>
      </c>
      <c r="C29" s="37">
        <v>34.209000000000003</v>
      </c>
      <c r="D29" s="38">
        <v>0.63</v>
      </c>
      <c r="E29" s="2">
        <v>0.749</v>
      </c>
      <c r="F29" s="2">
        <v>6.01</v>
      </c>
      <c r="G29" s="2">
        <v>1.79</v>
      </c>
      <c r="H29" s="2">
        <v>4.63</v>
      </c>
      <c r="I29" s="6">
        <v>3.3575418994413404</v>
      </c>
      <c r="J29" s="36">
        <v>0.64100000000000001</v>
      </c>
      <c r="K29" s="2">
        <v>2.19</v>
      </c>
      <c r="L29" s="5">
        <v>6.5775000000000006</v>
      </c>
      <c r="M29" s="5">
        <v>8.2444999999999986</v>
      </c>
      <c r="N29" s="5">
        <v>1.5249999999999999</v>
      </c>
      <c r="O29" s="5">
        <v>2.17</v>
      </c>
      <c r="P29" s="21">
        <v>4.82</v>
      </c>
      <c r="Q29" s="5">
        <v>26.357999999999997</v>
      </c>
      <c r="R29" s="6">
        <v>0.49</v>
      </c>
      <c r="S29" s="2">
        <v>0.76700000000000002</v>
      </c>
      <c r="T29" s="2">
        <v>5.25</v>
      </c>
      <c r="U29" s="2">
        <v>1.63</v>
      </c>
      <c r="V29" s="2">
        <v>4.03</v>
      </c>
      <c r="W29" s="6">
        <v>3.2208588957055215</v>
      </c>
      <c r="X29" s="2">
        <v>0.33</v>
      </c>
      <c r="Y29" s="2">
        <v>1.01</v>
      </c>
      <c r="Z29" s="5">
        <v>11.3057</v>
      </c>
      <c r="AA29" s="5">
        <v>6.7754000000000003</v>
      </c>
      <c r="AB29" s="5">
        <v>1.145</v>
      </c>
      <c r="AC29" s="5">
        <v>2.4550000000000001</v>
      </c>
      <c r="AF29" s="5"/>
    </row>
    <row r="30" spans="1:32" x14ac:dyDescent="0.25">
      <c r="AF30" s="5"/>
    </row>
    <row r="31" spans="1:32" x14ac:dyDescent="0.25">
      <c r="AF31" s="5"/>
    </row>
    <row r="32" spans="1:32" x14ac:dyDescent="0.25">
      <c r="AF32" s="5"/>
    </row>
    <row r="33" spans="32:32" x14ac:dyDescent="0.25">
      <c r="AF33" s="5"/>
    </row>
    <row r="34" spans="32:32" x14ac:dyDescent="0.25">
      <c r="AF34" s="5"/>
    </row>
    <row r="35" spans="32:32" x14ac:dyDescent="0.25">
      <c r="AF35" s="5"/>
    </row>
    <row r="36" spans="32:32" x14ac:dyDescent="0.25">
      <c r="AF36" s="5"/>
    </row>
    <row r="37" spans="32:32" x14ac:dyDescent="0.25">
      <c r="AF37" s="5"/>
    </row>
    <row r="38" spans="32:32" x14ac:dyDescent="0.25">
      <c r="AF38" s="5"/>
    </row>
    <row r="39" spans="32:32" x14ac:dyDescent="0.25">
      <c r="AF39" s="5"/>
    </row>
    <row r="40" spans="32:32" x14ac:dyDescent="0.25">
      <c r="AF40" s="11"/>
    </row>
    <row r="41" spans="32:32" x14ac:dyDescent="0.25">
      <c r="AF41" s="5"/>
    </row>
    <row r="42" spans="32:32" x14ac:dyDescent="0.25">
      <c r="AF42" s="5"/>
    </row>
  </sheetData>
  <mergeCells count="2">
    <mergeCell ref="B1:M1"/>
    <mergeCell ref="P1:AA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b95a125-791c-4f0a-9f9e-99e363117506}" enabled="0" method="" siteId="{0b95a125-791c-4f0a-9f9e-99e3631175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Injury Details</vt:lpstr>
      <vt:lpstr>Body Composition</vt:lpstr>
      <vt:lpstr>RMR</vt:lpstr>
      <vt:lpstr>VO2peak</vt:lpstr>
      <vt:lpstr>Diet</vt:lpstr>
      <vt:lpstr>Physical Activity</vt:lpstr>
      <vt:lpstr>Session RPE's</vt:lpstr>
      <vt:lpstr>Psychological </vt:lpstr>
      <vt:lpstr>Fasting Blood</vt:lpstr>
      <vt:lpstr>OGTT - Glucose (mmolL)</vt:lpstr>
      <vt:lpstr>OGTT - Insulin (pmolL)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Farrow</dc:creator>
  <cp:lastModifiedBy>Farrow, Matthew</cp:lastModifiedBy>
  <dcterms:created xsi:type="dcterms:W3CDTF">2021-04-12T15:21:26Z</dcterms:created>
  <dcterms:modified xsi:type="dcterms:W3CDTF">2024-03-19T20:30:12Z</dcterms:modified>
</cp:coreProperties>
</file>