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bui\Desktop\Cooling_rate_rev_2\Data\"/>
    </mc:Choice>
  </mc:AlternateContent>
  <xr:revisionPtr revIDLastSave="0" documentId="13_ncr:1_{83079A83-7346-4F55-9CB1-7CEA89AE3F7C}" xr6:coauthVersionLast="47" xr6:coauthVersionMax="47" xr10:uidLastSave="{00000000-0000-0000-0000-000000000000}"/>
  <bookViews>
    <workbookView xWindow="-19310" yWindow="2140" windowWidth="19420" windowHeight="1150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2" i="1" l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 l="1"/>
  <c r="Q32" i="1"/>
  <c r="P32" i="1"/>
  <c r="R29" i="1"/>
  <c r="Q29" i="1"/>
  <c r="P29" i="1"/>
  <c r="R26" i="1"/>
  <c r="Q26" i="1"/>
  <c r="P26" i="1"/>
  <c r="P23" i="1"/>
  <c r="R25" i="1"/>
  <c r="Q25" i="1"/>
  <c r="P25" i="1"/>
  <c r="R23" i="1" l="1"/>
  <c r="Q23" i="1"/>
  <c r="R20" i="1" l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4" i="1"/>
  <c r="Q14" i="1"/>
  <c r="P14" i="1"/>
  <c r="R10" i="1"/>
  <c r="Q10" i="1"/>
  <c r="P10" i="1"/>
  <c r="R9" i="1"/>
  <c r="Q9" i="1"/>
  <c r="R5" i="1"/>
  <c r="R8" i="1"/>
  <c r="Q8" i="1"/>
  <c r="P8" i="1"/>
  <c r="Q4" i="1"/>
  <c r="P4" i="1"/>
  <c r="R4" i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3" i="1"/>
  <c r="O13" i="1"/>
  <c r="N14" i="1"/>
  <c r="O14" i="1"/>
  <c r="N15" i="1"/>
  <c r="O15" i="1"/>
  <c r="N17" i="1"/>
  <c r="O17" i="1"/>
  <c r="N19" i="1"/>
  <c r="O19" i="1"/>
  <c r="N20" i="1"/>
  <c r="O20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O2" i="1"/>
  <c r="N2" i="1"/>
  <c r="M12" i="1" l="1"/>
  <c r="M11" i="1"/>
</calcChain>
</file>

<file path=xl/sharedStrings.xml><?xml version="1.0" encoding="utf-8"?>
<sst xmlns="http://schemas.openxmlformats.org/spreadsheetml/2006/main" count="90" uniqueCount="20">
  <si>
    <t>Sample number</t>
  </si>
  <si>
    <t>Dense</t>
  </si>
  <si>
    <t>No data</t>
  </si>
  <si>
    <t>m (g)</t>
  </si>
  <si>
    <t>d (mm)</t>
  </si>
  <si>
    <t>A (mm2)</t>
  </si>
  <si>
    <t>V (mm3)</t>
  </si>
  <si>
    <t>ρ_rel</t>
  </si>
  <si>
    <t>P_max @ 12 kV/cm</t>
  </si>
  <si>
    <t>P_r @ 12 kV/cm</t>
  </si>
  <si>
    <t>ε_r,unpoled</t>
  </si>
  <si>
    <t>ε_r,poled</t>
  </si>
  <si>
    <t>d33 (pC/N)</t>
  </si>
  <si>
    <t>g33 (Vm/N)</t>
  </si>
  <si>
    <t>FOM33 (m2/N)</t>
  </si>
  <si>
    <t xml:space="preserve">Ø (mm) </t>
  </si>
  <si>
    <t>ρ_a (g/cm3)</t>
  </si>
  <si>
    <t>Cooling 
rate (°C/min)</t>
  </si>
  <si>
    <t>Breakdown
 strength (kV/cm)</t>
  </si>
  <si>
    <t>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</si>
</sst>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zoomScale="77" zoomScaleNormal="8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L24" sqref="L24"/>
    </sheetView>
  </sheetViews>
  <sheetFormatPr defaultColWidth="8.85546875" defaultRowHeight="15" x14ac:dyDescent="0.25"/>
  <cols>
    <col min="1" max="1" width="20.28515625" style="2" bestFit="1" customWidth="1"/>
    <col min="2" max="2" width="18.7109375" style="2" customWidth="1"/>
    <col min="3" max="3" width="6.7109375" style="2" bestFit="1" customWidth="1"/>
    <col min="4" max="4" width="8.140625" style="2" bestFit="1" customWidth="1"/>
    <col min="5" max="5" width="7.42578125" style="2" bestFit="1" customWidth="1"/>
    <col min="6" max="7" width="8.5703125" style="2" bestFit="1" customWidth="1"/>
    <col min="8" max="8" width="11.42578125" style="2" bestFit="1" customWidth="1"/>
    <col min="9" max="9" width="5.5703125" style="2" bestFit="1" customWidth="1"/>
    <col min="10" max="10" width="27" style="2" bestFit="1" customWidth="1"/>
    <col min="11" max="11" width="11.7109375" style="2" bestFit="1" customWidth="1"/>
    <col min="12" max="12" width="9.42578125" bestFit="1" customWidth="1"/>
    <col min="13" max="14" width="12.28515625" style="2" bestFit="1" customWidth="1"/>
    <col min="15" max="15" width="14.28515625" style="2" bestFit="1" customWidth="1"/>
    <col min="16" max="16" width="18.140625" style="2" bestFit="1" customWidth="1"/>
    <col min="17" max="17" width="15" style="2" bestFit="1" customWidth="1"/>
    <col min="18" max="18" width="15" style="2" customWidth="1"/>
    <col min="19" max="16384" width="8.85546875" style="2"/>
  </cols>
  <sheetData>
    <row r="1" spans="1:20" s="1" customFormat="1" ht="30" x14ac:dyDescent="0.25">
      <c r="A1" s="9" t="s">
        <v>17</v>
      </c>
      <c r="B1" s="10" t="s">
        <v>0</v>
      </c>
      <c r="C1" s="10" t="s">
        <v>3</v>
      </c>
      <c r="D1" s="10" t="s">
        <v>15</v>
      </c>
      <c r="E1" s="10" t="s">
        <v>4</v>
      </c>
      <c r="F1" s="10" t="s">
        <v>5</v>
      </c>
      <c r="G1" s="10" t="s">
        <v>6</v>
      </c>
      <c r="H1" s="10" t="s">
        <v>16</v>
      </c>
      <c r="I1" s="10" t="s">
        <v>7</v>
      </c>
      <c r="J1" s="9" t="s">
        <v>18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8</v>
      </c>
      <c r="Q1" s="10" t="s">
        <v>9</v>
      </c>
      <c r="R1" s="10" t="s">
        <v>19</v>
      </c>
    </row>
    <row r="2" spans="1:20" x14ac:dyDescent="0.25">
      <c r="A2" s="3">
        <v>1</v>
      </c>
      <c r="B2" s="3">
        <v>1</v>
      </c>
      <c r="C2" s="5">
        <v>0.74923333333333331</v>
      </c>
      <c r="D2" s="4">
        <v>10.335300266830977</v>
      </c>
      <c r="E2" s="4">
        <v>2.0299999999999998</v>
      </c>
      <c r="F2" s="4">
        <v>83.894999999999996</v>
      </c>
      <c r="G2" s="4">
        <v>0.17030684999999998</v>
      </c>
      <c r="H2" s="4">
        <v>4.3993141399381965</v>
      </c>
      <c r="I2" s="4">
        <v>0.54991426749227457</v>
      </c>
      <c r="J2" s="3">
        <v>11</v>
      </c>
      <c r="K2" s="7">
        <v>822.39499999999998</v>
      </c>
      <c r="L2" s="7">
        <v>916.38800000000003</v>
      </c>
      <c r="M2" s="7">
        <v>361.33333333333331</v>
      </c>
      <c r="N2" s="8">
        <f>(M2*0.000000000001)/(L2*0.000000000008854)</f>
        <v>4.4533734571304502E-2</v>
      </c>
      <c r="O2" s="8">
        <f>(M2*0.000000000001)^2/(L2*0.000000000008854)</f>
        <v>1.6091522758431356E-11</v>
      </c>
      <c r="P2" s="6" t="s">
        <v>2</v>
      </c>
      <c r="Q2" s="6" t="s">
        <v>2</v>
      </c>
      <c r="R2" s="6" t="s">
        <v>2</v>
      </c>
    </row>
    <row r="3" spans="1:20" x14ac:dyDescent="0.25">
      <c r="A3" s="3">
        <v>1</v>
      </c>
      <c r="B3" s="3">
        <v>2</v>
      </c>
      <c r="C3" s="5">
        <v>0.74036666666666662</v>
      </c>
      <c r="D3" s="4">
        <v>9.9832545716932586</v>
      </c>
      <c r="E3" s="4">
        <v>1.99</v>
      </c>
      <c r="F3" s="4">
        <v>78.277000000000015</v>
      </c>
      <c r="G3" s="4">
        <v>0.15577123000000004</v>
      </c>
      <c r="H3" s="4">
        <v>4.7529101918670502</v>
      </c>
      <c r="I3" s="4">
        <v>0.59411377398338128</v>
      </c>
      <c r="J3" s="3">
        <v>11</v>
      </c>
      <c r="K3" s="7">
        <v>855.31799999999998</v>
      </c>
      <c r="L3" s="7">
        <v>911.69781114071088</v>
      </c>
      <c r="M3" s="7">
        <v>366</v>
      </c>
      <c r="N3" s="8">
        <f t="shared" ref="N3:N42" si="0">(M3*0.000000000001)/(L3*0.000000000008854)</f>
        <v>4.5340954202172649E-2</v>
      </c>
      <c r="O3" s="8">
        <f t="shared" ref="O3:O42" si="1">(M3*0.000000000001)^2/(L3*0.000000000008854)</f>
        <v>1.6594789237995187E-11</v>
      </c>
      <c r="P3" s="6" t="s">
        <v>2</v>
      </c>
      <c r="Q3" s="6" t="s">
        <v>2</v>
      </c>
      <c r="R3" s="6" t="s">
        <v>2</v>
      </c>
    </row>
    <row r="4" spans="1:20" x14ac:dyDescent="0.25">
      <c r="A4" s="3">
        <v>1</v>
      </c>
      <c r="B4" s="3">
        <v>3</v>
      </c>
      <c r="C4" s="5">
        <v>0.72919999999999996</v>
      </c>
      <c r="D4" s="4">
        <v>10.520000000000001</v>
      </c>
      <c r="E4" s="4">
        <v>2.0299999999999998</v>
      </c>
      <c r="F4" s="4">
        <v>86.92032890246098</v>
      </c>
      <c r="G4" s="4">
        <v>0.17644826767199578</v>
      </c>
      <c r="H4" s="4">
        <v>4.1326560448614238</v>
      </c>
      <c r="I4" s="4">
        <v>0.51658200560767797</v>
      </c>
      <c r="J4" s="3">
        <v>12</v>
      </c>
      <c r="K4" s="7">
        <v>717.77800000000002</v>
      </c>
      <c r="L4" s="7">
        <v>765.0916167845844</v>
      </c>
      <c r="M4" s="7">
        <v>346.66666666666669</v>
      </c>
      <c r="N4" s="8">
        <f t="shared" si="0"/>
        <v>5.1175149913984024E-2</v>
      </c>
      <c r="O4" s="8">
        <f t="shared" si="1"/>
        <v>1.7740718636847794E-11</v>
      </c>
      <c r="P4" s="6">
        <f>AVERAGE(10.2,10.3)</f>
        <v>10.25</v>
      </c>
      <c r="Q4" s="6">
        <f>AVERAGE(8.379,8.44)</f>
        <v>8.4094999999999995</v>
      </c>
      <c r="R4" s="6">
        <f>AVERAGE(7.83,7.59)</f>
        <v>7.71</v>
      </c>
    </row>
    <row r="5" spans="1:20" x14ac:dyDescent="0.25">
      <c r="A5" s="3">
        <v>1</v>
      </c>
      <c r="B5" s="3">
        <v>4</v>
      </c>
      <c r="C5" s="5">
        <v>0.46649999999999997</v>
      </c>
      <c r="D5" s="4">
        <v>10.210000000000001</v>
      </c>
      <c r="E5" s="4">
        <v>1.2133333333333332</v>
      </c>
      <c r="F5" s="4">
        <v>81.873124685019945</v>
      </c>
      <c r="G5" s="4">
        <v>9.9339391284490861E-2</v>
      </c>
      <c r="H5" s="4">
        <v>4.6960223328128166</v>
      </c>
      <c r="I5" s="4">
        <v>0.58700279160160207</v>
      </c>
      <c r="J5" s="3">
        <v>16</v>
      </c>
      <c r="K5" s="7">
        <v>478.47699999999998</v>
      </c>
      <c r="L5" s="7">
        <v>510.01666465709116</v>
      </c>
      <c r="M5" s="7">
        <v>252.66666666666666</v>
      </c>
      <c r="N5" s="8">
        <f t="shared" si="0"/>
        <v>5.5953088855688497E-2</v>
      </c>
      <c r="O5" s="8">
        <f t="shared" si="1"/>
        <v>1.4137480450870629E-11</v>
      </c>
      <c r="P5" s="6">
        <v>3.07</v>
      </c>
      <c r="Q5" s="6">
        <v>1.98</v>
      </c>
      <c r="R5" s="6">
        <f>AVERAGE(6.33,6.24)</f>
        <v>6.2850000000000001</v>
      </c>
    </row>
    <row r="6" spans="1:20" x14ac:dyDescent="0.25">
      <c r="A6" s="3">
        <v>1</v>
      </c>
      <c r="B6" s="3">
        <v>5</v>
      </c>
      <c r="C6" s="5">
        <v>0.33790000000000003</v>
      </c>
      <c r="D6" s="4">
        <v>10.015914522882232</v>
      </c>
      <c r="E6" s="4">
        <v>1.1733333333333331</v>
      </c>
      <c r="F6" s="4">
        <v>78.789999999999793</v>
      </c>
      <c r="G6" s="4">
        <v>9.2446933333333078E-2</v>
      </c>
      <c r="H6" s="4">
        <v>3.6550698635036851</v>
      </c>
      <c r="I6" s="4">
        <v>0.45688373293796064</v>
      </c>
      <c r="J6" s="3">
        <v>11</v>
      </c>
      <c r="K6" s="7">
        <v>1017.45</v>
      </c>
      <c r="L6" s="7">
        <v>1084.5170310283618</v>
      </c>
      <c r="M6" s="7">
        <v>139.33333333333334</v>
      </c>
      <c r="N6" s="8">
        <f t="shared" si="0"/>
        <v>1.4510391593211084E-2</v>
      </c>
      <c r="O6" s="8">
        <f t="shared" si="1"/>
        <v>2.0217812286540778E-12</v>
      </c>
      <c r="P6" s="6" t="s">
        <v>2</v>
      </c>
      <c r="Q6" s="6" t="s">
        <v>2</v>
      </c>
      <c r="R6" s="6" t="s">
        <v>2</v>
      </c>
    </row>
    <row r="7" spans="1:20" x14ac:dyDescent="0.25">
      <c r="A7" s="3">
        <v>1</v>
      </c>
      <c r="B7" s="3">
        <v>6</v>
      </c>
      <c r="C7" s="5">
        <v>0.77769999999999995</v>
      </c>
      <c r="D7" s="4">
        <v>10.317977093087864</v>
      </c>
      <c r="E7" s="4">
        <v>2.0666666666666664</v>
      </c>
      <c r="F7" s="4">
        <v>83.61399999999999</v>
      </c>
      <c r="G7" s="4">
        <v>0.17280226666666665</v>
      </c>
      <c r="H7" s="4">
        <v>4.5005196691092788</v>
      </c>
      <c r="I7" s="4">
        <v>0.56256495863865985</v>
      </c>
      <c r="J7" s="3">
        <v>8</v>
      </c>
      <c r="K7" s="7">
        <v>843.69299999999998</v>
      </c>
      <c r="L7" s="7">
        <v>899.30652853645051</v>
      </c>
      <c r="M7" s="7">
        <v>9.3333333333333339</v>
      </c>
      <c r="N7" s="8">
        <f t="shared" si="0"/>
        <v>1.1721670600594756E-3</v>
      </c>
      <c r="O7" s="8">
        <f t="shared" si="1"/>
        <v>1.094022589388844E-14</v>
      </c>
      <c r="P7" s="6" t="s">
        <v>2</v>
      </c>
      <c r="Q7" s="6" t="s">
        <v>2</v>
      </c>
      <c r="R7" s="6" t="s">
        <v>2</v>
      </c>
    </row>
    <row r="8" spans="1:20" x14ac:dyDescent="0.25">
      <c r="A8" s="3">
        <v>1</v>
      </c>
      <c r="B8" s="3">
        <v>7</v>
      </c>
      <c r="C8" s="5">
        <v>0.72919999999999996</v>
      </c>
      <c r="D8" s="4">
        <v>10.346666666666666</v>
      </c>
      <c r="E8" s="4">
        <v>2.0333333333333332</v>
      </c>
      <c r="F8" s="4">
        <v>84.079631011914969</v>
      </c>
      <c r="G8" s="4">
        <v>0.17096191639089375</v>
      </c>
      <c r="H8" s="4">
        <v>4.2641075590963018</v>
      </c>
      <c r="I8" s="4">
        <v>0.53301344488703772</v>
      </c>
      <c r="J8" s="3">
        <v>18</v>
      </c>
      <c r="K8" s="7">
        <v>318.41000000000003</v>
      </c>
      <c r="L8" s="7">
        <v>339.39856292667025</v>
      </c>
      <c r="M8" s="7">
        <v>136.66666666666666</v>
      </c>
      <c r="N8" s="8">
        <f t="shared" si="0"/>
        <v>4.5479228128505834E-2</v>
      </c>
      <c r="O8" s="8">
        <f t="shared" si="1"/>
        <v>6.2154945108957975E-12</v>
      </c>
      <c r="P8" s="6">
        <f>AVERAGE(1.77,1.77)</f>
        <v>1.77</v>
      </c>
      <c r="Q8" s="6">
        <f>AVERAGE(1.04,1.07)</f>
        <v>1.0550000000000002</v>
      </c>
      <c r="R8" s="6">
        <f>AVERAGE(5.977,5.069)</f>
        <v>5.5229999999999997</v>
      </c>
    </row>
    <row r="9" spans="1:20" x14ac:dyDescent="0.25">
      <c r="A9" s="3">
        <v>1.5</v>
      </c>
      <c r="B9" s="3">
        <v>1</v>
      </c>
      <c r="C9" s="5">
        <v>0.7077</v>
      </c>
      <c r="D9" s="4">
        <v>10.08</v>
      </c>
      <c r="E9" s="4">
        <v>2.0433333333333334</v>
      </c>
      <c r="F9" s="4">
        <v>79.801479949426493</v>
      </c>
      <c r="G9" s="4">
        <v>0.16306102402999481</v>
      </c>
      <c r="H9" s="4">
        <v>4.3400929450180552</v>
      </c>
      <c r="I9" s="4">
        <v>0.5425116181272569</v>
      </c>
      <c r="J9" s="3">
        <v>14</v>
      </c>
      <c r="K9" s="7">
        <v>551.72199999999998</v>
      </c>
      <c r="L9" s="7">
        <v>588.08973943980516</v>
      </c>
      <c r="M9" s="7">
        <v>100</v>
      </c>
      <c r="N9" s="8">
        <f t="shared" si="0"/>
        <v>1.9205113588574095E-2</v>
      </c>
      <c r="O9" s="8">
        <f t="shared" si="1"/>
        <v>1.9205113588574094E-12</v>
      </c>
      <c r="P9" s="6">
        <v>3.96</v>
      </c>
      <c r="Q9" s="6">
        <f>AVERAGE(2.53,2.66)</f>
        <v>2.5949999999999998</v>
      </c>
      <c r="R9" s="6">
        <f>AVERAGE(6.23,6.75)</f>
        <v>6.49</v>
      </c>
    </row>
    <row r="10" spans="1:20" x14ac:dyDescent="0.25">
      <c r="A10" s="3">
        <v>1.5</v>
      </c>
      <c r="B10" s="3">
        <v>2</v>
      </c>
      <c r="C10" s="5">
        <v>0.70620000000000005</v>
      </c>
      <c r="D10" s="4">
        <v>10.396666666666667</v>
      </c>
      <c r="E10" s="4">
        <v>2.02</v>
      </c>
      <c r="F10" s="4">
        <v>84.894219807052039</v>
      </c>
      <c r="G10" s="4">
        <v>0.17148632401024511</v>
      </c>
      <c r="H10" s="4">
        <v>4.1181126487836401</v>
      </c>
      <c r="I10" s="4">
        <v>0.51476408109795502</v>
      </c>
      <c r="J10" s="3">
        <v>14</v>
      </c>
      <c r="K10" s="7">
        <v>665.30200000000002</v>
      </c>
      <c r="L10" s="7">
        <v>709.15656767136579</v>
      </c>
      <c r="M10" s="7">
        <v>338</v>
      </c>
      <c r="N10" s="8">
        <f t="shared" si="0"/>
        <v>5.383132297225264E-2</v>
      </c>
      <c r="O10" s="8">
        <f t="shared" si="1"/>
        <v>1.8194987164621392E-11</v>
      </c>
      <c r="P10" s="6">
        <f>AVERAGE(7.83,7.76)</f>
        <v>7.7949999999999999</v>
      </c>
      <c r="Q10" s="6">
        <f>AVERAGE(5.92,6.06)</f>
        <v>5.99</v>
      </c>
      <c r="R10" s="6">
        <f>AVERAGE(7.68,7.82)</f>
        <v>7.75</v>
      </c>
    </row>
    <row r="11" spans="1:20" x14ac:dyDescent="0.25">
      <c r="A11" s="3">
        <v>1.5</v>
      </c>
      <c r="B11" s="3">
        <v>3</v>
      </c>
      <c r="C11" s="5">
        <v>0.69753333333333334</v>
      </c>
      <c r="D11" s="4">
        <v>10.236666666666666</v>
      </c>
      <c r="E11" s="4">
        <v>2.0500000000000003</v>
      </c>
      <c r="F11" s="4">
        <v>82.301358670289261</v>
      </c>
      <c r="G11" s="4">
        <v>0.16871778527409304</v>
      </c>
      <c r="H11" s="4">
        <v>4.1343201145044963</v>
      </c>
      <c r="I11" s="4">
        <v>0.51679001431306204</v>
      </c>
      <c r="J11" s="3" t="s">
        <v>2</v>
      </c>
      <c r="K11" s="7" t="s">
        <v>2</v>
      </c>
      <c r="L11" s="7" t="s">
        <v>2</v>
      </c>
      <c r="M11" s="7">
        <f>AVERAGE(15,12,13)</f>
        <v>13.333333333333334</v>
      </c>
      <c r="N11" s="7" t="s">
        <v>2</v>
      </c>
      <c r="O11" s="7" t="s">
        <v>2</v>
      </c>
      <c r="P11" s="6" t="s">
        <v>2</v>
      </c>
      <c r="Q11" s="6" t="s">
        <v>2</v>
      </c>
      <c r="R11" s="6" t="s">
        <v>2</v>
      </c>
    </row>
    <row r="12" spans="1:20" x14ac:dyDescent="0.25">
      <c r="A12" s="3">
        <v>1.5</v>
      </c>
      <c r="B12" s="3">
        <v>4</v>
      </c>
      <c r="C12" s="5">
        <v>0.54286666666666672</v>
      </c>
      <c r="D12" s="4">
        <v>10.299999999999999</v>
      </c>
      <c r="E12" s="4">
        <v>1.6933333333333334</v>
      </c>
      <c r="F12" s="4">
        <v>83.322891154835261</v>
      </c>
      <c r="G12" s="4">
        <v>0.14109342902218772</v>
      </c>
      <c r="H12" s="4">
        <v>3.8475687381677992</v>
      </c>
      <c r="I12" s="4">
        <v>0.4809460922709749</v>
      </c>
      <c r="J12" s="3" t="s">
        <v>2</v>
      </c>
      <c r="K12" s="7" t="s">
        <v>2</v>
      </c>
      <c r="L12" s="7" t="s">
        <v>2</v>
      </c>
      <c r="M12" s="7">
        <f>AVERAGE(193,218,266)</f>
        <v>225.66666666666666</v>
      </c>
      <c r="N12" s="7" t="s">
        <v>2</v>
      </c>
      <c r="O12" s="7" t="s">
        <v>2</v>
      </c>
      <c r="P12" s="6" t="s">
        <v>2</v>
      </c>
      <c r="Q12" s="6" t="s">
        <v>2</v>
      </c>
      <c r="R12" s="6" t="s">
        <v>2</v>
      </c>
      <c r="T12" s="11"/>
    </row>
    <row r="13" spans="1:20" x14ac:dyDescent="0.25">
      <c r="A13" s="3">
        <v>2</v>
      </c>
      <c r="B13" s="3">
        <v>1</v>
      </c>
      <c r="C13" s="5">
        <v>0.61329999999999996</v>
      </c>
      <c r="D13" s="4">
        <v>10.4</v>
      </c>
      <c r="E13" s="4">
        <v>2.11</v>
      </c>
      <c r="F13" s="4">
        <v>84.948665353068009</v>
      </c>
      <c r="G13" s="4">
        <v>0.17924168389497347</v>
      </c>
      <c r="H13" s="4">
        <v>3.4216371252089028</v>
      </c>
      <c r="I13" s="4">
        <v>0.42770464065111286</v>
      </c>
      <c r="J13" s="3">
        <v>9</v>
      </c>
      <c r="K13" s="7">
        <v>664.5</v>
      </c>
      <c r="L13" s="7">
        <v>708.30170241126962</v>
      </c>
      <c r="M13" s="7">
        <v>118</v>
      </c>
      <c r="N13" s="8">
        <f t="shared" si="0"/>
        <v>1.8815865675834504E-2</v>
      </c>
      <c r="O13" s="8">
        <f t="shared" si="1"/>
        <v>2.2202721497484715E-12</v>
      </c>
      <c r="P13" s="6" t="s">
        <v>2</v>
      </c>
      <c r="Q13" s="6" t="s">
        <v>2</v>
      </c>
      <c r="R13" s="6" t="s">
        <v>2</v>
      </c>
    </row>
    <row r="14" spans="1:20" x14ac:dyDescent="0.25">
      <c r="A14" s="3">
        <v>2</v>
      </c>
      <c r="B14" s="3">
        <v>2</v>
      </c>
      <c r="C14" s="5">
        <v>0.52296666666666669</v>
      </c>
      <c r="D14" s="4">
        <v>10.213333333333333</v>
      </c>
      <c r="E14" s="4">
        <v>1.9866666666666666</v>
      </c>
      <c r="F14" s="4">
        <v>81.926592846654785</v>
      </c>
      <c r="G14" s="4">
        <v>0.16276083112202083</v>
      </c>
      <c r="H14" s="4">
        <v>3.213099018120654</v>
      </c>
      <c r="I14" s="4">
        <v>0.40163737726508175</v>
      </c>
      <c r="J14" s="3">
        <v>13</v>
      </c>
      <c r="K14" s="7">
        <v>599.601</v>
      </c>
      <c r="L14" s="7">
        <v>639.12476910082728</v>
      </c>
      <c r="M14" s="7">
        <v>356.66666666666669</v>
      </c>
      <c r="N14" s="8">
        <f t="shared" si="0"/>
        <v>6.3028555861132915E-2</v>
      </c>
      <c r="O14" s="8">
        <f t="shared" si="1"/>
        <v>2.248018492380407E-11</v>
      </c>
      <c r="P14" s="6">
        <f>AVERAGE(6.74,6.72)</f>
        <v>6.73</v>
      </c>
      <c r="Q14" s="6">
        <f>AVERAGE(5.182,5.189)</f>
        <v>5.1855000000000002</v>
      </c>
      <c r="R14" s="6">
        <f>AVERAGE(7.12,7.07)</f>
        <v>7.0950000000000006</v>
      </c>
    </row>
    <row r="15" spans="1:20" x14ac:dyDescent="0.25">
      <c r="A15" s="3">
        <v>2</v>
      </c>
      <c r="B15" s="3">
        <v>3</v>
      </c>
      <c r="C15" s="5">
        <v>0.51329999999999998</v>
      </c>
      <c r="D15" s="4">
        <v>10.246666666666668</v>
      </c>
      <c r="E15" s="4">
        <v>1.9400000000000002</v>
      </c>
      <c r="F15" s="4">
        <v>82.462234394091865</v>
      </c>
      <c r="G15" s="4">
        <v>0.15997673472453824</v>
      </c>
      <c r="H15" s="4">
        <v>3.2085915547897903</v>
      </c>
      <c r="I15" s="4">
        <v>0.40107394434872379</v>
      </c>
      <c r="J15" s="3">
        <v>9</v>
      </c>
      <c r="K15" s="7">
        <v>667.83699999999999</v>
      </c>
      <c r="L15" s="7">
        <v>684.31399999999996</v>
      </c>
      <c r="M15" s="7">
        <v>212.66666666666666</v>
      </c>
      <c r="N15" s="8">
        <f t="shared" si="0"/>
        <v>3.509978702314076E-2</v>
      </c>
      <c r="O15" s="8">
        <f t="shared" si="1"/>
        <v>7.4645547069212674E-12</v>
      </c>
      <c r="P15" s="6" t="s">
        <v>2</v>
      </c>
      <c r="Q15" s="6" t="s">
        <v>2</v>
      </c>
      <c r="R15" s="6" t="s">
        <v>2</v>
      </c>
    </row>
    <row r="16" spans="1:20" x14ac:dyDescent="0.25">
      <c r="A16" s="3">
        <v>2</v>
      </c>
      <c r="B16" s="3">
        <v>4</v>
      </c>
      <c r="C16" s="5">
        <v>0.623</v>
      </c>
      <c r="D16" s="4">
        <v>10.353333333333333</v>
      </c>
      <c r="E16" s="4">
        <v>1.95</v>
      </c>
      <c r="F16" s="4">
        <v>84.188015958463836</v>
      </c>
      <c r="G16" s="4">
        <v>0.16416663111900448</v>
      </c>
      <c r="H16" s="4">
        <v>3.7949246795981759</v>
      </c>
      <c r="I16" s="4">
        <v>0.47436558494977199</v>
      </c>
      <c r="J16" s="3">
        <v>14</v>
      </c>
      <c r="K16" s="7">
        <v>636.79700000000003</v>
      </c>
      <c r="L16" s="7">
        <v>678.77260976732782</v>
      </c>
      <c r="M16" s="7" t="s">
        <v>2</v>
      </c>
      <c r="N16" s="7" t="s">
        <v>2</v>
      </c>
      <c r="O16" s="7" t="s">
        <v>2</v>
      </c>
      <c r="P16" s="6">
        <f>AVERAGE(7.068,7.068)</f>
        <v>7.0679999999999996</v>
      </c>
      <c r="Q16" s="6">
        <f>AVERAGE(5.33,5.33)</f>
        <v>5.33</v>
      </c>
      <c r="R16" s="6">
        <f>AVERAGE(7.605,7.462)</f>
        <v>7.5335000000000001</v>
      </c>
    </row>
    <row r="17" spans="1:18" x14ac:dyDescent="0.25">
      <c r="A17" s="3">
        <v>2</v>
      </c>
      <c r="B17" s="3">
        <v>5</v>
      </c>
      <c r="C17" s="5">
        <v>0.90750000000000008</v>
      </c>
      <c r="D17" s="4">
        <v>10.303333333333335</v>
      </c>
      <c r="E17" s="4">
        <v>2.1133333333333333</v>
      </c>
      <c r="F17" s="4">
        <v>83.376830555368187</v>
      </c>
      <c r="G17" s="4">
        <v>0.17620303524034478</v>
      </c>
      <c r="H17" s="4">
        <v>5.1503085560481425</v>
      </c>
      <c r="I17" s="4">
        <v>0.64378856950601782</v>
      </c>
      <c r="J17" s="3">
        <v>18</v>
      </c>
      <c r="K17" s="7">
        <v>565.529</v>
      </c>
      <c r="L17" s="7">
        <v>561.1</v>
      </c>
      <c r="M17" s="7">
        <v>212</v>
      </c>
      <c r="N17" s="8">
        <f t="shared" si="0"/>
        <v>4.2673284836889626E-2</v>
      </c>
      <c r="O17" s="8">
        <f t="shared" si="1"/>
        <v>9.046736385420601E-12</v>
      </c>
      <c r="P17" s="6">
        <f>AVERAGE(3.89,3.9)</f>
        <v>3.895</v>
      </c>
      <c r="Q17" s="6">
        <f>AVERAGE(2.5,2.54)</f>
        <v>2.52</v>
      </c>
      <c r="R17" s="6">
        <f>AVERAGE(5.148,6.8556)</f>
        <v>6.0017999999999994</v>
      </c>
    </row>
    <row r="18" spans="1:18" x14ac:dyDescent="0.25">
      <c r="A18" s="3">
        <v>2</v>
      </c>
      <c r="B18" s="3">
        <v>6</v>
      </c>
      <c r="C18" s="5">
        <v>0.27629999999999999</v>
      </c>
      <c r="D18" s="4">
        <v>7.2890150036002028</v>
      </c>
      <c r="E18" s="4">
        <v>2.0299999999999998</v>
      </c>
      <c r="F18" s="4">
        <v>41.727999999999994</v>
      </c>
      <c r="G18" s="4">
        <v>8.4707839999999979E-2</v>
      </c>
      <c r="H18" s="4">
        <v>3.2617996161866487</v>
      </c>
      <c r="I18" s="4">
        <v>0.40772495202333109</v>
      </c>
      <c r="J18" s="3">
        <v>14</v>
      </c>
      <c r="K18" s="7">
        <v>319.94499999999999</v>
      </c>
      <c r="L18" s="7">
        <v>341.03474518882416</v>
      </c>
      <c r="M18" s="7" t="s">
        <v>2</v>
      </c>
      <c r="N18" s="7" t="s">
        <v>2</v>
      </c>
      <c r="O18" s="7" t="s">
        <v>2</v>
      </c>
      <c r="P18" s="6">
        <f>AVERAGE(3.67,3.81)</f>
        <v>3.74</v>
      </c>
      <c r="Q18" s="6">
        <f>AVERAGE(2.286,2.8397)</f>
        <v>2.5628500000000001</v>
      </c>
      <c r="R18" s="6">
        <f>AVERAGE(7.17,7.31)</f>
        <v>7.24</v>
      </c>
    </row>
    <row r="19" spans="1:18" x14ac:dyDescent="0.25">
      <c r="A19" s="3">
        <v>2.5</v>
      </c>
      <c r="B19" s="3">
        <v>1</v>
      </c>
      <c r="C19" s="5">
        <v>0.71109999999999995</v>
      </c>
      <c r="D19" s="4">
        <v>10.346666666666666</v>
      </c>
      <c r="E19" s="4">
        <v>2.0233333333333334</v>
      </c>
      <c r="F19" s="4">
        <v>84.079631011914969</v>
      </c>
      <c r="G19" s="4">
        <v>0.17012112008077462</v>
      </c>
      <c r="H19" s="4">
        <v>4.1799630737345543</v>
      </c>
      <c r="I19" s="4">
        <v>0.52249538421681929</v>
      </c>
      <c r="J19" s="3">
        <v>12</v>
      </c>
      <c r="K19" s="7">
        <v>741.79200000000003</v>
      </c>
      <c r="L19" s="7">
        <v>790.68854241544102</v>
      </c>
      <c r="M19" s="7">
        <v>288</v>
      </c>
      <c r="N19" s="8">
        <f t="shared" si="0"/>
        <v>4.1138412110710273E-2</v>
      </c>
      <c r="O19" s="8">
        <f t="shared" si="1"/>
        <v>1.1847862687884557E-11</v>
      </c>
      <c r="P19" s="6">
        <f>AVERAGE(6.66,6.66)</f>
        <v>6.66</v>
      </c>
      <c r="Q19" s="6">
        <f>AVERAGE(4.88,5.08)</f>
        <v>4.9800000000000004</v>
      </c>
      <c r="R19" s="6">
        <f>AVERAGE(8.78,6.48)</f>
        <v>7.63</v>
      </c>
    </row>
    <row r="20" spans="1:18" x14ac:dyDescent="0.25">
      <c r="A20" s="3">
        <v>2.5</v>
      </c>
      <c r="B20" s="3">
        <v>2</v>
      </c>
      <c r="C20" s="5">
        <v>0.74580000000000002</v>
      </c>
      <c r="D20" s="4">
        <v>10.363333333333333</v>
      </c>
      <c r="E20" s="4">
        <v>2.0466666666666664</v>
      </c>
      <c r="F20" s="4">
        <v>84.350724277981001</v>
      </c>
      <c r="G20" s="4">
        <v>0.17263781568893444</v>
      </c>
      <c r="H20" s="4">
        <v>4.3200268552042598</v>
      </c>
      <c r="I20" s="4">
        <v>0.54000335690053247</v>
      </c>
      <c r="J20" s="3">
        <v>12</v>
      </c>
      <c r="K20" s="7">
        <v>725.46799999999996</v>
      </c>
      <c r="L20" s="7">
        <v>773.2885168471015</v>
      </c>
      <c r="M20" s="7">
        <v>305</v>
      </c>
      <c r="N20" s="8">
        <f t="shared" si="0"/>
        <v>4.4547030636653294E-2</v>
      </c>
      <c r="O20" s="8">
        <f t="shared" si="1"/>
        <v>1.3586844344179254E-11</v>
      </c>
      <c r="P20" s="6">
        <f>AVERAGE(8.54,8.54)</f>
        <v>8.5399999999999991</v>
      </c>
      <c r="Q20" s="6">
        <f>AVERAGE(6.757,6.599)</f>
        <v>6.6779999999999999</v>
      </c>
      <c r="R20" s="6">
        <f>AVERAGE(7.66,7.61)</f>
        <v>7.6349999999999998</v>
      </c>
    </row>
    <row r="21" spans="1:18" x14ac:dyDescent="0.25">
      <c r="A21" s="3">
        <v>2.5</v>
      </c>
      <c r="B21" s="3">
        <v>3</v>
      </c>
      <c r="C21" s="5">
        <v>0.75439999999999996</v>
      </c>
      <c r="D21" s="4">
        <v>10.376666666666667</v>
      </c>
      <c r="E21" s="4">
        <v>2.08</v>
      </c>
      <c r="F21" s="4">
        <v>84.567913050099179</v>
      </c>
      <c r="G21" s="4">
        <v>0.17590125914420632</v>
      </c>
      <c r="H21" s="4">
        <v>4.2887697545219519</v>
      </c>
      <c r="I21" s="4">
        <v>0.53609621931524398</v>
      </c>
      <c r="J21" s="3">
        <v>9</v>
      </c>
      <c r="K21" s="7" t="s">
        <v>2</v>
      </c>
      <c r="L21" s="7" t="s">
        <v>2</v>
      </c>
      <c r="M21" s="7">
        <v>195.66666666666666</v>
      </c>
      <c r="N21" s="7" t="s">
        <v>2</v>
      </c>
      <c r="O21" s="7" t="s">
        <v>2</v>
      </c>
      <c r="P21" s="6" t="s">
        <v>2</v>
      </c>
      <c r="Q21" s="6" t="s">
        <v>2</v>
      </c>
      <c r="R21" s="6" t="s">
        <v>2</v>
      </c>
    </row>
    <row r="22" spans="1:18" x14ac:dyDescent="0.25">
      <c r="A22" s="3">
        <v>2.5</v>
      </c>
      <c r="B22" s="3">
        <v>4</v>
      </c>
      <c r="C22" s="5">
        <v>0.74216666666666653</v>
      </c>
      <c r="D22" s="4">
        <v>10.356666666666667</v>
      </c>
      <c r="E22" s="4">
        <v>2.0566666666666666</v>
      </c>
      <c r="F22" s="4">
        <v>84.242234611677048</v>
      </c>
      <c r="G22" s="4">
        <v>0.17325819585134911</v>
      </c>
      <c r="H22" s="4">
        <v>4.2835876422459442</v>
      </c>
      <c r="I22" s="4">
        <v>0.53544845528074303</v>
      </c>
      <c r="J22" s="3">
        <v>10</v>
      </c>
      <c r="K22" s="7" t="s">
        <v>2</v>
      </c>
      <c r="L22" s="7" t="s">
        <v>2</v>
      </c>
      <c r="M22" s="7">
        <v>189</v>
      </c>
      <c r="N22" s="7" t="s">
        <v>2</v>
      </c>
      <c r="O22" s="7" t="s">
        <v>2</v>
      </c>
      <c r="P22" s="6" t="s">
        <v>2</v>
      </c>
      <c r="Q22" s="6" t="s">
        <v>2</v>
      </c>
      <c r="R22" s="6" t="s">
        <v>2</v>
      </c>
    </row>
    <row r="23" spans="1:18" x14ac:dyDescent="0.25">
      <c r="A23" s="3">
        <v>2.5</v>
      </c>
      <c r="B23" s="3">
        <v>5</v>
      </c>
      <c r="C23" s="5">
        <v>0.36270000000000002</v>
      </c>
      <c r="D23" s="4">
        <v>6.8102150000000004</v>
      </c>
      <c r="E23" s="4">
        <v>2.0333333333333332</v>
      </c>
      <c r="F23" s="4">
        <v>36.426003683283312</v>
      </c>
      <c r="G23" s="4">
        <v>7.4066207489342728E-2</v>
      </c>
      <c r="H23" s="4">
        <v>4.8969700528029376</v>
      </c>
      <c r="I23" s="4">
        <v>0.6121212566003672</v>
      </c>
      <c r="J23" s="3">
        <v>12</v>
      </c>
      <c r="K23" s="7">
        <v>645.16899999999998</v>
      </c>
      <c r="L23" s="7">
        <v>687.69646507596156</v>
      </c>
      <c r="M23" s="7">
        <v>98</v>
      </c>
      <c r="N23" s="8">
        <f t="shared" si="0"/>
        <v>1.6094954974167963E-2</v>
      </c>
      <c r="O23" s="8">
        <f t="shared" si="1"/>
        <v>1.5773055874684603E-12</v>
      </c>
      <c r="P23" s="6">
        <f>AVERAGE(6.26,6.26)</f>
        <v>6.26</v>
      </c>
      <c r="Q23" s="6">
        <f>AVERAGE(4.36,4.68)</f>
        <v>4.5199999999999996</v>
      </c>
      <c r="R23" s="6">
        <f>AVERAGE(6.47,7.36)</f>
        <v>6.915</v>
      </c>
    </row>
    <row r="24" spans="1:18" x14ac:dyDescent="0.25">
      <c r="A24" s="3">
        <v>2.5</v>
      </c>
      <c r="B24" s="3">
        <v>6</v>
      </c>
      <c r="C24" s="5">
        <v>0.70640000000000003</v>
      </c>
      <c r="D24" s="4">
        <v>9.6477409999999999</v>
      </c>
      <c r="E24" s="4">
        <v>2.19</v>
      </c>
      <c r="F24" s="4">
        <v>73.1040021400228</v>
      </c>
      <c r="G24" s="4">
        <v>0.16009776468664993</v>
      </c>
      <c r="H24" s="4">
        <v>4.412303953041417</v>
      </c>
      <c r="I24" s="4">
        <v>0.55153799413017712</v>
      </c>
      <c r="J24" s="3">
        <v>11</v>
      </c>
      <c r="K24" s="7">
        <v>740.59699999999998</v>
      </c>
      <c r="L24" s="7">
        <v>789.41477185956217</v>
      </c>
      <c r="M24" s="7">
        <v>267</v>
      </c>
      <c r="N24" s="8">
        <f t="shared" si="0"/>
        <v>3.8200275485549884E-2</v>
      </c>
      <c r="O24" s="8">
        <f t="shared" si="1"/>
        <v>1.019947355464182E-11</v>
      </c>
      <c r="P24" s="6" t="s">
        <v>2</v>
      </c>
      <c r="Q24" s="6" t="s">
        <v>2</v>
      </c>
      <c r="R24" s="6" t="s">
        <v>2</v>
      </c>
    </row>
    <row r="25" spans="1:18" x14ac:dyDescent="0.25">
      <c r="A25" s="3">
        <v>3</v>
      </c>
      <c r="B25" s="3">
        <v>1</v>
      </c>
      <c r="C25" s="5">
        <v>0.69199999999999984</v>
      </c>
      <c r="D25" s="4">
        <v>10.469999999999999</v>
      </c>
      <c r="E25" s="4">
        <v>2.023333333333333</v>
      </c>
      <c r="F25" s="4">
        <v>86.096053529975322</v>
      </c>
      <c r="G25" s="4">
        <v>0.17420101497565002</v>
      </c>
      <c r="H25" s="4">
        <v>3.9724223196789539</v>
      </c>
      <c r="I25" s="4">
        <v>0.49655278995986923</v>
      </c>
      <c r="J25" s="3">
        <v>13</v>
      </c>
      <c r="K25" s="7">
        <v>654.73099999999999</v>
      </c>
      <c r="L25" s="7">
        <v>697.88876135655835</v>
      </c>
      <c r="M25" s="7">
        <v>292.66666666666669</v>
      </c>
      <c r="N25" s="8">
        <f t="shared" si="0"/>
        <v>4.7363909098743419E-2</v>
      </c>
      <c r="O25" s="8">
        <f t="shared" si="1"/>
        <v>1.3861837396232243E-11</v>
      </c>
      <c r="P25" s="6">
        <f>AVERAGE(8.08,8.09)</f>
        <v>8.0850000000000009</v>
      </c>
      <c r="Q25" s="6">
        <f>AVERAGE(6.1,6.23)</f>
        <v>6.165</v>
      </c>
      <c r="R25" s="6">
        <f>AVERAGE(7.63,7.74)</f>
        <v>7.6850000000000005</v>
      </c>
    </row>
    <row r="26" spans="1:18" x14ac:dyDescent="0.25">
      <c r="A26" s="3">
        <v>3</v>
      </c>
      <c r="B26" s="3">
        <v>2</v>
      </c>
      <c r="C26" s="5">
        <v>0.66879999999999995</v>
      </c>
      <c r="D26" s="4">
        <v>10.526666666666666</v>
      </c>
      <c r="E26" s="4">
        <v>2.02</v>
      </c>
      <c r="F26" s="4">
        <v>87.030528991431865</v>
      </c>
      <c r="G26" s="4">
        <v>0.17580166856269236</v>
      </c>
      <c r="H26" s="4">
        <v>3.8042869869662255</v>
      </c>
      <c r="I26" s="4">
        <v>0.47553587337077818</v>
      </c>
      <c r="J26" s="3">
        <v>12</v>
      </c>
      <c r="K26" s="7">
        <v>676.91399999999999</v>
      </c>
      <c r="L26" s="7">
        <v>721.53399335744496</v>
      </c>
      <c r="M26" s="7">
        <v>206.66666666666666</v>
      </c>
      <c r="N26" s="8">
        <f t="shared" si="0"/>
        <v>3.2349987744260331E-2</v>
      </c>
      <c r="O26" s="8">
        <f t="shared" si="1"/>
        <v>6.6856641338138012E-12</v>
      </c>
      <c r="P26" s="6">
        <f>AVERAGE(9.23,9.23)</f>
        <v>9.23</v>
      </c>
      <c r="Q26" s="6">
        <f>AVERAGE(7.17,7.31)</f>
        <v>7.24</v>
      </c>
      <c r="R26" s="6">
        <f>AVERAGE(7.59,7.82)</f>
        <v>7.7050000000000001</v>
      </c>
    </row>
    <row r="27" spans="1:18" x14ac:dyDescent="0.25">
      <c r="A27" s="3">
        <v>3</v>
      </c>
      <c r="B27" s="3">
        <v>3</v>
      </c>
      <c r="C27" s="5">
        <v>0.69520000000000015</v>
      </c>
      <c r="D27" s="4">
        <v>10.563333333333334</v>
      </c>
      <c r="E27" s="4">
        <v>2.1133333333333333</v>
      </c>
      <c r="F27" s="4">
        <v>87.637877391187146</v>
      </c>
      <c r="G27" s="4">
        <v>0.1852080475533755</v>
      </c>
      <c r="H27" s="4">
        <v>3.7536165905514931</v>
      </c>
      <c r="I27" s="4">
        <v>0.46920207381893664</v>
      </c>
      <c r="J27" s="3">
        <v>11</v>
      </c>
      <c r="K27" s="7">
        <v>763.952</v>
      </c>
      <c r="L27" s="7">
        <v>729.255</v>
      </c>
      <c r="M27" s="7">
        <v>327.33333333333331</v>
      </c>
      <c r="N27" s="8">
        <f t="shared" si="0"/>
        <v>5.0695720526585372E-2</v>
      </c>
      <c r="O27" s="8">
        <f t="shared" si="1"/>
        <v>1.6594399185702274E-11</v>
      </c>
      <c r="P27" s="6" t="s">
        <v>2</v>
      </c>
      <c r="Q27" s="6" t="s">
        <v>2</v>
      </c>
      <c r="R27" s="6" t="s">
        <v>2</v>
      </c>
    </row>
    <row r="28" spans="1:18" x14ac:dyDescent="0.25">
      <c r="A28" s="3">
        <v>3</v>
      </c>
      <c r="B28" s="3">
        <v>4</v>
      </c>
      <c r="C28" s="5">
        <v>0.70350000000000001</v>
      </c>
      <c r="D28" s="4">
        <v>10.546666666666667</v>
      </c>
      <c r="E28" s="4">
        <v>2.0333333333333332</v>
      </c>
      <c r="F28" s="4">
        <v>87.361548137365133</v>
      </c>
      <c r="G28" s="4">
        <v>0.17763514787930912</v>
      </c>
      <c r="H28" s="4">
        <v>3.9603648737240893</v>
      </c>
      <c r="I28" s="4">
        <v>0.49504560921551116</v>
      </c>
      <c r="J28" s="3">
        <v>10</v>
      </c>
      <c r="K28" s="7">
        <v>640.05999999999995</v>
      </c>
      <c r="L28" s="7">
        <v>682.25069623078593</v>
      </c>
      <c r="M28" s="7">
        <v>334.66666666666669</v>
      </c>
      <c r="N28" s="8">
        <f t="shared" si="0"/>
        <v>5.5402447760275274E-2</v>
      </c>
      <c r="O28" s="8">
        <f t="shared" si="1"/>
        <v>1.8541352517105459E-11</v>
      </c>
      <c r="P28" s="6" t="s">
        <v>2</v>
      </c>
      <c r="Q28" s="6" t="s">
        <v>2</v>
      </c>
      <c r="R28" s="6" t="s">
        <v>2</v>
      </c>
    </row>
    <row r="29" spans="1:18" x14ac:dyDescent="0.25">
      <c r="A29" s="3">
        <v>3</v>
      </c>
      <c r="B29" s="3">
        <v>5</v>
      </c>
      <c r="C29" s="5">
        <v>0.66100000000000003</v>
      </c>
      <c r="D29" s="4">
        <v>10.426666666666666</v>
      </c>
      <c r="E29" s="4">
        <v>2.043333333333333</v>
      </c>
      <c r="F29" s="4">
        <v>85.38485803972641</v>
      </c>
      <c r="G29" s="4">
        <v>0.1744697265945076</v>
      </c>
      <c r="H29" s="4">
        <v>3.7886228912151494</v>
      </c>
      <c r="I29" s="4">
        <v>0.47357786140189367</v>
      </c>
      <c r="J29" s="3">
        <v>13</v>
      </c>
      <c r="K29" s="7">
        <v>663.78399999999999</v>
      </c>
      <c r="L29" s="7">
        <v>707.53850599452551</v>
      </c>
      <c r="M29" s="7">
        <v>330.33333333333331</v>
      </c>
      <c r="N29" s="8">
        <f t="shared" si="0"/>
        <v>5.273061079207212E-2</v>
      </c>
      <c r="O29" s="8">
        <f t="shared" si="1"/>
        <v>1.741867843164782E-11</v>
      </c>
      <c r="P29" s="6">
        <f>AVERAGE(8.95,8.96)</f>
        <v>8.9550000000000001</v>
      </c>
      <c r="Q29" s="6">
        <f>AVERAGE(7.07,7.11)</f>
        <v>7.09</v>
      </c>
      <c r="R29" s="6">
        <f>AVERAGE(7.89,7.84)</f>
        <v>7.8650000000000002</v>
      </c>
    </row>
    <row r="30" spans="1:18" x14ac:dyDescent="0.25">
      <c r="A30" s="3">
        <v>3.5</v>
      </c>
      <c r="B30" s="3">
        <v>1</v>
      </c>
      <c r="C30" s="5">
        <v>0.73680000000000001</v>
      </c>
      <c r="D30" s="4">
        <v>10.29</v>
      </c>
      <c r="E30" s="4">
        <v>2.0333333333333332</v>
      </c>
      <c r="F30" s="4">
        <v>83.161177672991741</v>
      </c>
      <c r="G30" s="4">
        <v>0.16909439460174985</v>
      </c>
      <c r="H30" s="4">
        <v>4.3573295361759756</v>
      </c>
      <c r="I30" s="4">
        <v>0.54466619202199695</v>
      </c>
      <c r="J30" s="3">
        <v>11</v>
      </c>
      <c r="K30" s="7">
        <v>731.93499999999995</v>
      </c>
      <c r="L30" s="7">
        <v>780.18180068381139</v>
      </c>
      <c r="M30" s="7">
        <v>323</v>
      </c>
      <c r="N30" s="8">
        <f t="shared" si="0"/>
        <v>4.6759212613399194E-2</v>
      </c>
      <c r="O30" s="8">
        <f t="shared" si="1"/>
        <v>1.5103225674127938E-11</v>
      </c>
      <c r="P30" s="6" t="s">
        <v>2</v>
      </c>
      <c r="Q30" s="6" t="s">
        <v>2</v>
      </c>
      <c r="R30" s="6" t="s">
        <v>2</v>
      </c>
    </row>
    <row r="31" spans="1:18" x14ac:dyDescent="0.25">
      <c r="A31" s="3">
        <v>3.5</v>
      </c>
      <c r="B31" s="3">
        <v>2</v>
      </c>
      <c r="C31" s="5">
        <v>0.72399999999999987</v>
      </c>
      <c r="D31" s="4">
        <v>10.323333333333332</v>
      </c>
      <c r="E31" s="4">
        <v>2.0233333333333334</v>
      </c>
      <c r="F31" s="4">
        <v>83.700833477708386</v>
      </c>
      <c r="G31" s="4">
        <v>0.16935468640322998</v>
      </c>
      <c r="H31" s="4">
        <v>4.2750514637437957</v>
      </c>
      <c r="I31" s="4">
        <v>0.53438143296797447</v>
      </c>
      <c r="J31" s="3">
        <v>11</v>
      </c>
      <c r="K31" s="7">
        <v>738.702</v>
      </c>
      <c r="L31" s="7">
        <v>806.34500000000003</v>
      </c>
      <c r="M31" s="7">
        <v>313.33333333333331</v>
      </c>
      <c r="N31" s="8">
        <f t="shared" si="0"/>
        <v>4.3888039782158647E-2</v>
      </c>
      <c r="O31" s="8">
        <f t="shared" si="1"/>
        <v>1.3751585798409707E-11</v>
      </c>
      <c r="P31" s="6" t="s">
        <v>2</v>
      </c>
      <c r="Q31" s="6" t="s">
        <v>2</v>
      </c>
      <c r="R31" s="6" t="s">
        <v>2</v>
      </c>
    </row>
    <row r="32" spans="1:18" x14ac:dyDescent="0.25">
      <c r="A32" s="3">
        <v>3.5</v>
      </c>
      <c r="B32" s="3">
        <v>3</v>
      </c>
      <c r="C32" s="5">
        <v>0.5585</v>
      </c>
      <c r="D32" s="4">
        <v>10.006666666666666</v>
      </c>
      <c r="E32" s="4">
        <v>1.6833333333333333</v>
      </c>
      <c r="F32" s="4">
        <v>78.644571001449521</v>
      </c>
      <c r="G32" s="4">
        <v>0.13238502785244002</v>
      </c>
      <c r="H32" s="4">
        <v>4.218755013765751</v>
      </c>
      <c r="I32" s="4">
        <v>0.52734437672071888</v>
      </c>
      <c r="J32" s="3">
        <v>12</v>
      </c>
      <c r="K32" s="7">
        <v>790.44600000000003</v>
      </c>
      <c r="L32" s="7">
        <v>842.54965758341382</v>
      </c>
      <c r="M32" s="7">
        <v>303.33333333333331</v>
      </c>
      <c r="N32" s="8">
        <f t="shared" si="0"/>
        <v>4.0661660835262209E-2</v>
      </c>
      <c r="O32" s="8">
        <f t="shared" si="1"/>
        <v>1.2334037120029536E-11</v>
      </c>
      <c r="P32" s="6">
        <f>AVERAGE(10.83,10.86)</f>
        <v>10.844999999999999</v>
      </c>
      <c r="Q32" s="6">
        <f>AVERAGE(8.2,8.51)</f>
        <v>8.3550000000000004</v>
      </c>
      <c r="R32" s="6">
        <f>AVERAGE(7.85,7.79)</f>
        <v>7.82</v>
      </c>
    </row>
    <row r="33" spans="1:19" x14ac:dyDescent="0.25">
      <c r="A33" s="3">
        <v>3.5</v>
      </c>
      <c r="B33" s="3">
        <v>4</v>
      </c>
      <c r="C33" s="5">
        <v>0.72730000000000006</v>
      </c>
      <c r="D33" s="4">
        <v>10.253333333333332</v>
      </c>
      <c r="E33" s="4">
        <v>2.0666666666666664</v>
      </c>
      <c r="F33" s="4">
        <v>82.569572143089474</v>
      </c>
      <c r="G33" s="4">
        <v>0.17064378242905157</v>
      </c>
      <c r="H33" s="4">
        <v>4.2620949304284732</v>
      </c>
      <c r="I33" s="4">
        <v>0.53276186630355915</v>
      </c>
      <c r="J33" s="3">
        <v>12</v>
      </c>
      <c r="K33" s="7">
        <v>742.26199999999994</v>
      </c>
      <c r="L33" s="7">
        <v>791.18952330352715</v>
      </c>
      <c r="M33" s="7">
        <v>225.33333333333334</v>
      </c>
      <c r="N33" s="8">
        <f t="shared" si="0"/>
        <v>3.2166617569973618E-2</v>
      </c>
      <c r="O33" s="8">
        <f t="shared" si="1"/>
        <v>7.2482111591007224E-12</v>
      </c>
      <c r="P33" s="6">
        <f>AVERAGE(8.64,8.63)</f>
        <v>8.6350000000000016</v>
      </c>
      <c r="Q33" s="6">
        <f>AVERAGE(6.53,6.55)</f>
        <v>6.54</v>
      </c>
      <c r="R33" s="6">
        <f>AVERAGE(6.56,7.58)</f>
        <v>7.07</v>
      </c>
      <c r="S33" s="11"/>
    </row>
    <row r="34" spans="1:19" x14ac:dyDescent="0.25">
      <c r="A34" s="3">
        <v>4</v>
      </c>
      <c r="B34" s="3">
        <v>1</v>
      </c>
      <c r="C34" s="5">
        <v>0.66909999999999992</v>
      </c>
      <c r="D34" s="4">
        <v>10.403333333333334</v>
      </c>
      <c r="E34" s="4">
        <v>2.0133333333333332</v>
      </c>
      <c r="F34" s="4">
        <v>85.003128352376507</v>
      </c>
      <c r="G34" s="4">
        <v>0.17113963174945135</v>
      </c>
      <c r="H34" s="4">
        <v>3.9096730147203029</v>
      </c>
      <c r="I34" s="4">
        <v>0.48870912684003787</v>
      </c>
      <c r="J34" s="3">
        <v>16</v>
      </c>
      <c r="K34" s="7">
        <v>627.245</v>
      </c>
      <c r="L34" s="7">
        <v>713.25400000000002</v>
      </c>
      <c r="M34" s="7">
        <v>337</v>
      </c>
      <c r="N34" s="8">
        <f t="shared" si="0"/>
        <v>5.3363728671341856E-2</v>
      </c>
      <c r="O34" s="8">
        <f t="shared" si="1"/>
        <v>1.7983576562242206E-11</v>
      </c>
      <c r="P34" s="6">
        <f>AVERAGE(5.76,5.76)</f>
        <v>5.76</v>
      </c>
      <c r="Q34" s="6">
        <f>AVERAGE(4.32,4.08)</f>
        <v>4.2</v>
      </c>
      <c r="R34" s="6">
        <f>AVERAGE(7.73,7.43)</f>
        <v>7.58</v>
      </c>
    </row>
    <row r="35" spans="1:19" x14ac:dyDescent="0.25">
      <c r="A35" s="3">
        <v>4</v>
      </c>
      <c r="B35" s="3">
        <v>2</v>
      </c>
      <c r="C35" s="5">
        <v>0.67620000000000002</v>
      </c>
      <c r="D35" s="4">
        <v>10.476666666666667</v>
      </c>
      <c r="E35" s="4">
        <v>2.0066666666666664</v>
      </c>
      <c r="F35" s="4">
        <v>86.205730020170662</v>
      </c>
      <c r="G35" s="4">
        <v>0.17298616490714244</v>
      </c>
      <c r="H35" s="4">
        <v>3.9089831280032055</v>
      </c>
      <c r="I35" s="4">
        <v>0.48862289100040068</v>
      </c>
      <c r="J35" s="3">
        <v>12</v>
      </c>
      <c r="K35" s="7">
        <v>650.91899999999998</v>
      </c>
      <c r="L35" s="7">
        <v>693.82548657914413</v>
      </c>
      <c r="M35" s="7">
        <v>325.66666666666669</v>
      </c>
      <c r="N35" s="8">
        <f t="shared" si="0"/>
        <v>5.3013141700124618E-2</v>
      </c>
      <c r="O35" s="8">
        <f t="shared" si="1"/>
        <v>1.726461314700725E-11</v>
      </c>
      <c r="P35" s="6">
        <f>AVERAGE(7.42,7.41)</f>
        <v>7.415</v>
      </c>
      <c r="Q35" s="6">
        <f>AVERAGE(5.54,5.55)</f>
        <v>5.5449999999999999</v>
      </c>
      <c r="R35" s="6">
        <f>AVERAGE(7.43,7.58)</f>
        <v>7.5049999999999999</v>
      </c>
    </row>
    <row r="36" spans="1:19" x14ac:dyDescent="0.25">
      <c r="A36" s="3">
        <v>4</v>
      </c>
      <c r="B36" s="3">
        <v>3</v>
      </c>
      <c r="C36" s="5">
        <v>0.6876000000000001</v>
      </c>
      <c r="D36" s="4">
        <v>10.476666666666667</v>
      </c>
      <c r="E36" s="4">
        <v>1.9866666666666666</v>
      </c>
      <c r="F36" s="4">
        <v>86.205730020170662</v>
      </c>
      <c r="G36" s="4">
        <v>0.17126205030673905</v>
      </c>
      <c r="H36" s="4">
        <v>4.014899966270832</v>
      </c>
      <c r="I36" s="4">
        <v>0.501862495783854</v>
      </c>
      <c r="J36" s="3">
        <v>14</v>
      </c>
      <c r="K36" s="7">
        <v>635.423</v>
      </c>
      <c r="L36" s="7">
        <v>677.30804010726297</v>
      </c>
      <c r="M36" s="7">
        <v>335</v>
      </c>
      <c r="N36" s="8">
        <f t="shared" si="0"/>
        <v>5.5862331589675178E-2</v>
      </c>
      <c r="O36" s="8">
        <f t="shared" si="1"/>
        <v>1.8713881082541184E-11</v>
      </c>
      <c r="P36" s="6">
        <f>AVERAGE(6.42,6.41)</f>
        <v>6.415</v>
      </c>
      <c r="Q36" s="6">
        <f>AVERAGE(4.67,4.61)</f>
        <v>4.6400000000000006</v>
      </c>
      <c r="R36" s="6">
        <f>AVERAGE(7.32,7.21)</f>
        <v>7.2650000000000006</v>
      </c>
    </row>
    <row r="37" spans="1:19" x14ac:dyDescent="0.25">
      <c r="A37" s="3">
        <v>4</v>
      </c>
      <c r="B37" s="3">
        <v>4</v>
      </c>
      <c r="C37" s="5">
        <v>0.64159999999999995</v>
      </c>
      <c r="D37" s="4">
        <v>10.336666666666666</v>
      </c>
      <c r="E37" s="4">
        <v>2.15</v>
      </c>
      <c r="F37" s="4">
        <v>83.917184491785605</v>
      </c>
      <c r="G37" s="4">
        <v>0.18042194665733904</v>
      </c>
      <c r="H37" s="4">
        <v>3.5561083997089304</v>
      </c>
      <c r="I37" s="4">
        <v>0.44451354996361631</v>
      </c>
      <c r="J37" s="3">
        <v>14</v>
      </c>
      <c r="K37" s="7">
        <v>625.98</v>
      </c>
      <c r="L37" s="7">
        <v>724.10599999999999</v>
      </c>
      <c r="M37" s="7">
        <v>358</v>
      </c>
      <c r="N37" s="8">
        <f t="shared" si="0"/>
        <v>5.5839479691446717E-2</v>
      </c>
      <c r="O37" s="8">
        <f t="shared" si="1"/>
        <v>1.9990533729537923E-11</v>
      </c>
      <c r="P37" s="6">
        <f>AVERAGE(6.88,6.88)</f>
        <v>6.88</v>
      </c>
      <c r="Q37" s="6">
        <f>AVERAGE(5.18,5.11)</f>
        <v>5.1449999999999996</v>
      </c>
      <c r="R37" s="6">
        <f>AVERAGE(7.45,7.49)</f>
        <v>7.4700000000000006</v>
      </c>
    </row>
    <row r="38" spans="1:19" x14ac:dyDescent="0.25">
      <c r="A38" s="3">
        <v>4</v>
      </c>
      <c r="B38" s="3">
        <v>5</v>
      </c>
      <c r="C38" s="5">
        <v>0.66616666666666668</v>
      </c>
      <c r="D38" s="4">
        <v>10.42</v>
      </c>
      <c r="E38" s="4">
        <v>2</v>
      </c>
      <c r="F38" s="4">
        <v>85.275705148306699</v>
      </c>
      <c r="G38" s="4">
        <v>0.17055141029661341</v>
      </c>
      <c r="H38" s="4">
        <v>3.9059581243456569</v>
      </c>
      <c r="I38" s="4">
        <v>0.48824476554320712</v>
      </c>
      <c r="J38" s="3">
        <v>14</v>
      </c>
      <c r="K38" s="7">
        <v>634.12400000000002</v>
      </c>
      <c r="L38" s="7">
        <v>675.92341420593527</v>
      </c>
      <c r="M38" s="7">
        <v>315.66666666666669</v>
      </c>
      <c r="N38" s="8">
        <f t="shared" si="0"/>
        <v>5.2746265421860526E-2</v>
      </c>
      <c r="O38" s="8">
        <f t="shared" si="1"/>
        <v>1.6650237784833973E-11</v>
      </c>
      <c r="P38" s="6">
        <f>AVERAGE(7.19,7.2)</f>
        <v>7.1950000000000003</v>
      </c>
      <c r="Q38" s="6">
        <f>AVERAGE(5.37,5.34)</f>
        <v>5.3550000000000004</v>
      </c>
      <c r="R38" s="6">
        <f>AVERAGE(7.32,7.53)</f>
        <v>7.4250000000000007</v>
      </c>
    </row>
    <row r="39" spans="1:19" x14ac:dyDescent="0.25">
      <c r="A39" s="3">
        <v>4</v>
      </c>
      <c r="B39" s="3">
        <v>6</v>
      </c>
      <c r="C39" s="5">
        <v>0.58829999999999993</v>
      </c>
      <c r="D39" s="4">
        <v>9.8960847218912686</v>
      </c>
      <c r="E39" s="4">
        <v>1.9933333333333334</v>
      </c>
      <c r="F39" s="4">
        <v>76.915999999999997</v>
      </c>
      <c r="G39" s="4">
        <v>0.15331922666666667</v>
      </c>
      <c r="H39" s="4">
        <v>3.83709214291193</v>
      </c>
      <c r="I39" s="4">
        <v>0.47963651786399125</v>
      </c>
      <c r="J39" s="3">
        <v>12</v>
      </c>
      <c r="K39" s="7">
        <v>559.28300000000002</v>
      </c>
      <c r="L39" s="7">
        <v>590.69899999999996</v>
      </c>
      <c r="M39" s="7">
        <v>273.33333333333331</v>
      </c>
      <c r="N39" s="8">
        <f t="shared" si="0"/>
        <v>5.2262098530145074E-2</v>
      </c>
      <c r="O39" s="8">
        <f t="shared" si="1"/>
        <v>1.4284973598239651E-11</v>
      </c>
      <c r="P39" s="6">
        <f>AVERAGE(4.33,4.33)</f>
        <v>4.33</v>
      </c>
      <c r="Q39" s="6">
        <f>AVERAGE(2.93,2.86)</f>
        <v>2.895</v>
      </c>
      <c r="R39" s="6">
        <f>AVERAGE(4.97,6.88)</f>
        <v>5.9249999999999998</v>
      </c>
    </row>
    <row r="40" spans="1:19" x14ac:dyDescent="0.25">
      <c r="A40" s="3" t="s">
        <v>1</v>
      </c>
      <c r="B40" s="3">
        <v>1</v>
      </c>
      <c r="C40" s="5">
        <v>0.41880000000000001</v>
      </c>
      <c r="D40" s="4">
        <v>5.1615176289574505</v>
      </c>
      <c r="E40" s="4">
        <v>2.5199999999999996</v>
      </c>
      <c r="F40" s="4">
        <v>20.923999999999996</v>
      </c>
      <c r="G40" s="4">
        <v>52.728479999999983</v>
      </c>
      <c r="H40" s="4">
        <v>7.9425767630699804</v>
      </c>
      <c r="I40" s="4">
        <v>0.95</v>
      </c>
      <c r="J40" s="3">
        <v>21</v>
      </c>
      <c r="K40" s="7">
        <v>1344.9955200000002</v>
      </c>
      <c r="L40" s="7">
        <v>1344.9955200000002</v>
      </c>
      <c r="M40" s="7">
        <v>380</v>
      </c>
      <c r="N40" s="8">
        <f t="shared" si="0"/>
        <v>3.1909738209107426E-2</v>
      </c>
      <c r="O40" s="8">
        <f t="shared" si="1"/>
        <v>1.212570051946082E-11</v>
      </c>
      <c r="P40" s="6">
        <f>AVERAGE(19.75,19.75)</f>
        <v>19.75</v>
      </c>
      <c r="Q40" s="6">
        <f>AVERAGE(16.43,16.71)</f>
        <v>16.57</v>
      </c>
      <c r="R40" s="6">
        <f>AVERAGE(8.92,8.66)</f>
        <v>8.7899999999999991</v>
      </c>
    </row>
    <row r="41" spans="1:19" x14ac:dyDescent="0.25">
      <c r="A41" s="3" t="s">
        <v>1</v>
      </c>
      <c r="B41" s="3">
        <v>2</v>
      </c>
      <c r="C41" s="5">
        <v>0.46266666666666662</v>
      </c>
      <c r="D41" s="4">
        <v>5.4736276569714821</v>
      </c>
      <c r="E41" s="4">
        <v>2.5</v>
      </c>
      <c r="F41" s="4">
        <v>23.531000000000002</v>
      </c>
      <c r="G41" s="4">
        <v>58.827500000000008</v>
      </c>
      <c r="H41" s="4">
        <v>7.8648024591673398</v>
      </c>
      <c r="I41" s="4">
        <v>0.95</v>
      </c>
      <c r="J41" s="3">
        <v>21</v>
      </c>
      <c r="K41" s="7">
        <v>1333.6224000000002</v>
      </c>
      <c r="L41" s="7">
        <v>1333.6224000000002</v>
      </c>
      <c r="M41" s="7">
        <v>375</v>
      </c>
      <c r="N41" s="8">
        <f t="shared" si="0"/>
        <v>3.1758418592332804E-2</v>
      </c>
      <c r="O41" s="8">
        <f t="shared" si="1"/>
        <v>1.1909406972124801E-11</v>
      </c>
      <c r="P41" s="6">
        <f>AVERAGE(18.6,18.69)</f>
        <v>18.645000000000003</v>
      </c>
      <c r="Q41" s="6">
        <f>AVERAGE(15.5,15.5)</f>
        <v>15.5</v>
      </c>
      <c r="R41" s="6">
        <f>AVERAGE(8.77,9.24)</f>
        <v>9.004999999999999</v>
      </c>
    </row>
    <row r="42" spans="1:19" x14ac:dyDescent="0.25">
      <c r="A42" s="3" t="s">
        <v>1</v>
      </c>
      <c r="B42" s="3">
        <v>3</v>
      </c>
      <c r="C42" s="5">
        <v>0.17766666666666667</v>
      </c>
      <c r="D42" s="4">
        <v>5.0491658127092798</v>
      </c>
      <c r="E42" s="4">
        <v>1.1200000000000001</v>
      </c>
      <c r="F42" s="4">
        <v>20.023</v>
      </c>
      <c r="G42" s="4">
        <v>22.42576</v>
      </c>
      <c r="H42" s="4">
        <v>7.9224368167083998</v>
      </c>
      <c r="I42" s="4">
        <v>0.96</v>
      </c>
      <c r="J42" s="3">
        <v>21</v>
      </c>
      <c r="K42" s="7">
        <v>1354.06656</v>
      </c>
      <c r="L42" s="7">
        <v>1354.06656</v>
      </c>
      <c r="M42" s="7">
        <v>386</v>
      </c>
      <c r="N42" s="8">
        <f t="shared" si="0"/>
        <v>3.2196434088436025E-2</v>
      </c>
      <c r="O42" s="8">
        <f t="shared" si="1"/>
        <v>1.2427823558136308E-11</v>
      </c>
      <c r="P42" s="6">
        <f>AVERAGE(15.23,15.26)</f>
        <v>15.245000000000001</v>
      </c>
      <c r="Q42" s="6">
        <f>AVERAGE(12.16,12.21)</f>
        <v>12.185</v>
      </c>
      <c r="R42" s="6">
        <f>AVERAGE(7.69,8.68)</f>
        <v>8.1850000000000005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Nguyên Võ</dc:creator>
  <cp:lastModifiedBy>Nguyen Vo</cp:lastModifiedBy>
  <dcterms:created xsi:type="dcterms:W3CDTF">2023-07-10T10:15:51Z</dcterms:created>
  <dcterms:modified xsi:type="dcterms:W3CDTF">2026-02-20T11:06:35Z</dcterms:modified>
</cp:coreProperties>
</file>