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style4.xml" ContentType="application/vnd.ms-office.chartstyle+xml"/>
  <Override PartName="/xl/charts/colors4.xml" ContentType="application/vnd.ms-office.chartcolorstyle+xml"/>
  <Override PartName="/xl/charts/style5.xml" ContentType="application/vnd.ms-office.chartstyle+xml"/>
  <Override PartName="/xl/charts/colors5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showInkAnnotation="0" autoCompressPictures="0"/>
  <bookViews>
    <workbookView xWindow="560" yWindow="560" windowWidth="25040" windowHeight="13680" tabRatio="500" activeTab="1"/>
  </bookViews>
  <sheets>
    <sheet name="Algae cake work-up" sheetId="15" r:id="rId1"/>
    <sheet name="Catalysts yields" sheetId="12" r:id="rId2"/>
    <sheet name="Impact of IPA conc. filtered" sheetId="11" r:id="rId3"/>
    <sheet name="Algae Preparation" sheetId="1" r:id="rId4"/>
    <sheet name="Raw data" sheetId="2" r:id="rId5"/>
    <sheet name="GC-MS samples" sheetId="5" r:id="rId6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N60" i="11" l="1"/>
  <c r="AP37" i="11"/>
  <c r="AP32" i="11"/>
  <c r="AP31" i="11"/>
  <c r="AP33" i="11"/>
  <c r="AP34" i="11"/>
  <c r="E37" i="15"/>
  <c r="E38" i="15"/>
  <c r="E39" i="15"/>
  <c r="D63" i="15"/>
  <c r="T63" i="15"/>
  <c r="I63" i="15"/>
  <c r="I65" i="15"/>
  <c r="D65" i="15"/>
  <c r="E65" i="15"/>
  <c r="E66" i="15"/>
  <c r="I66" i="15"/>
  <c r="I67" i="15"/>
  <c r="I69" i="15"/>
  <c r="E67" i="15"/>
  <c r="E68" i="15"/>
  <c r="E69" i="15"/>
  <c r="E70" i="15"/>
  <c r="I70" i="15"/>
  <c r="I71" i="15"/>
  <c r="G72" i="15"/>
  <c r="F70" i="15"/>
  <c r="F66" i="15"/>
  <c r="Q63" i="15"/>
  <c r="F63" i="15"/>
  <c r="F65" i="15"/>
  <c r="F67" i="15"/>
  <c r="F69" i="15"/>
  <c r="F71" i="15"/>
  <c r="R63" i="15"/>
  <c r="G63" i="15"/>
  <c r="O63" i="15"/>
  <c r="G71" i="15"/>
  <c r="H70" i="15"/>
  <c r="H66" i="15"/>
  <c r="S63" i="15"/>
  <c r="H63" i="15"/>
  <c r="H65" i="15"/>
  <c r="H67" i="15"/>
  <c r="H69" i="15"/>
  <c r="H71" i="15"/>
  <c r="F72" i="15"/>
  <c r="O72" i="15"/>
  <c r="E30" i="15"/>
  <c r="J67" i="15"/>
  <c r="A68" i="15"/>
  <c r="E64" i="15"/>
  <c r="I64" i="15"/>
  <c r="F56" i="15"/>
  <c r="J66" i="15"/>
  <c r="G66" i="15"/>
  <c r="G64" i="15"/>
  <c r="E44" i="15"/>
  <c r="H32" i="15"/>
  <c r="H23" i="15"/>
  <c r="E40" i="15"/>
  <c r="D66" i="15"/>
  <c r="L21" i="15"/>
  <c r="L22" i="15"/>
  <c r="E71" i="15"/>
  <c r="A72" i="15"/>
  <c r="D67" i="15"/>
  <c r="J68" i="15"/>
  <c r="D68" i="15"/>
  <c r="D69" i="15"/>
  <c r="G70" i="15"/>
  <c r="D70" i="15"/>
  <c r="D71" i="15"/>
  <c r="A71" i="15"/>
  <c r="AM21" i="12"/>
  <c r="AM64" i="12"/>
  <c r="AM108" i="12"/>
  <c r="AN21" i="12"/>
  <c r="AN64" i="12"/>
  <c r="AN108" i="12"/>
  <c r="AO108" i="12"/>
  <c r="AM32" i="12"/>
  <c r="AM74" i="12"/>
  <c r="AM109" i="12"/>
  <c r="AN32" i="12"/>
  <c r="AN74" i="12"/>
  <c r="AN109" i="12"/>
  <c r="AO109" i="12"/>
  <c r="AM57" i="12"/>
  <c r="AM58" i="12"/>
  <c r="AM70" i="12"/>
  <c r="AM110" i="12"/>
  <c r="AN57" i="12"/>
  <c r="AN58" i="12"/>
  <c r="AN70" i="12"/>
  <c r="AN110" i="12"/>
  <c r="AO110" i="12"/>
  <c r="AM22" i="12"/>
  <c r="AM65" i="12"/>
  <c r="AM111" i="12"/>
  <c r="AN22" i="12"/>
  <c r="AN65" i="12"/>
  <c r="AN111" i="12"/>
  <c r="AO111" i="12"/>
  <c r="AM33" i="12"/>
  <c r="AM75" i="12"/>
  <c r="AM112" i="12"/>
  <c r="AN33" i="12"/>
  <c r="AN75" i="12"/>
  <c r="AN112" i="12"/>
  <c r="AO112" i="12"/>
  <c r="AM48" i="12"/>
  <c r="AM49" i="12"/>
  <c r="AM69" i="12"/>
  <c r="AM107" i="12"/>
  <c r="AN48" i="12"/>
  <c r="AN49" i="12"/>
  <c r="AN69" i="12"/>
  <c r="AN107" i="12"/>
  <c r="AO107" i="12"/>
  <c r="BR58" i="12"/>
  <c r="BR70" i="12"/>
  <c r="AV146" i="12"/>
  <c r="BN58" i="12"/>
  <c r="BN70" i="12"/>
  <c r="AU146" i="12"/>
  <c r="AW146" i="12"/>
  <c r="BR49" i="12"/>
  <c r="BR69" i="12"/>
  <c r="AV132" i="12"/>
  <c r="BN49" i="12"/>
  <c r="BN69" i="12"/>
  <c r="AU132" i="12"/>
  <c r="AW132" i="12"/>
  <c r="AM31" i="12"/>
  <c r="BR31" i="12"/>
  <c r="BR73" i="12"/>
  <c r="AV119" i="12"/>
  <c r="AN31" i="12"/>
  <c r="BN31" i="12"/>
  <c r="BN73" i="12"/>
  <c r="AU119" i="12"/>
  <c r="AT119" i="12"/>
  <c r="AM20" i="12"/>
  <c r="BR20" i="12"/>
  <c r="BR63" i="12"/>
  <c r="AV118" i="12"/>
  <c r="AN20" i="12"/>
  <c r="BN20" i="12"/>
  <c r="BN63" i="12"/>
  <c r="AU118" i="12"/>
  <c r="AT118" i="12"/>
  <c r="AM47" i="12"/>
  <c r="BR47" i="12"/>
  <c r="BR68" i="12"/>
  <c r="AV117" i="12"/>
  <c r="AN47" i="12"/>
  <c r="BN47" i="12"/>
  <c r="BN68" i="12"/>
  <c r="AU117" i="12"/>
  <c r="AT117" i="12"/>
  <c r="BR32" i="12"/>
  <c r="BR74" i="12"/>
  <c r="AV134" i="12"/>
  <c r="BN32" i="12"/>
  <c r="BN74" i="12"/>
  <c r="AU134" i="12"/>
  <c r="AT134" i="12"/>
  <c r="BR21" i="12"/>
  <c r="BR64" i="12"/>
  <c r="AV133" i="12"/>
  <c r="BN21" i="12"/>
  <c r="BN64" i="12"/>
  <c r="AU133" i="12"/>
  <c r="AT133" i="12"/>
  <c r="AT132" i="12"/>
  <c r="BR22" i="12"/>
  <c r="BR65" i="12"/>
  <c r="AV147" i="12"/>
  <c r="BN22" i="12"/>
  <c r="BN65" i="12"/>
  <c r="AU147" i="12"/>
  <c r="AT147" i="12"/>
  <c r="BR33" i="12"/>
  <c r="BR75" i="12"/>
  <c r="AV148" i="12"/>
  <c r="BN33" i="12"/>
  <c r="BN75" i="12"/>
  <c r="AU148" i="12"/>
  <c r="AT148" i="12"/>
  <c r="BS58" i="12"/>
  <c r="BS70" i="12"/>
  <c r="AV149" i="12"/>
  <c r="BO58" i="12"/>
  <c r="BO70" i="12"/>
  <c r="AU149" i="12"/>
  <c r="AT149" i="12"/>
  <c r="BS22" i="12"/>
  <c r="BS65" i="12"/>
  <c r="AV150" i="12"/>
  <c r="BO22" i="12"/>
  <c r="BO65" i="12"/>
  <c r="AU150" i="12"/>
  <c r="AT150" i="12"/>
  <c r="BS33" i="12"/>
  <c r="BS75" i="12"/>
  <c r="AV151" i="12"/>
  <c r="BO33" i="12"/>
  <c r="BO75" i="12"/>
  <c r="AU151" i="12"/>
  <c r="AT151" i="12"/>
  <c r="BT58" i="12"/>
  <c r="BT70" i="12"/>
  <c r="AV152" i="12"/>
  <c r="BP58" i="12"/>
  <c r="BP70" i="12"/>
  <c r="AU152" i="12"/>
  <c r="AT152" i="12"/>
  <c r="BT22" i="12"/>
  <c r="BT65" i="12"/>
  <c r="AV153" i="12"/>
  <c r="BP22" i="12"/>
  <c r="BP65" i="12"/>
  <c r="AU153" i="12"/>
  <c r="AT153" i="12"/>
  <c r="BT33" i="12"/>
  <c r="BT75" i="12"/>
  <c r="AV154" i="12"/>
  <c r="BP33" i="12"/>
  <c r="BP75" i="12"/>
  <c r="AU154" i="12"/>
  <c r="AT154" i="12"/>
  <c r="BU58" i="12"/>
  <c r="BU70" i="12"/>
  <c r="AV155" i="12"/>
  <c r="BQ58" i="12"/>
  <c r="BQ70" i="12"/>
  <c r="AU155" i="12"/>
  <c r="AT155" i="12"/>
  <c r="BU22" i="12"/>
  <c r="BU65" i="12"/>
  <c r="AV156" i="12"/>
  <c r="BQ22" i="12"/>
  <c r="BQ65" i="12"/>
  <c r="AU156" i="12"/>
  <c r="AT156" i="12"/>
  <c r="BU33" i="12"/>
  <c r="BU75" i="12"/>
  <c r="AV157" i="12"/>
  <c r="BQ33" i="12"/>
  <c r="BQ75" i="12"/>
  <c r="AU157" i="12"/>
  <c r="AT157" i="12"/>
  <c r="AT146" i="12"/>
  <c r="BG21" i="12"/>
  <c r="BG64" i="12"/>
  <c r="BE21" i="12"/>
  <c r="BE64" i="12"/>
  <c r="CA64" i="12"/>
  <c r="CA82" i="12"/>
  <c r="AY21" i="12"/>
  <c r="BD21" i="12"/>
  <c r="BI21" i="12"/>
  <c r="BI64" i="12"/>
  <c r="CB64" i="12"/>
  <c r="CB82" i="12"/>
  <c r="BG49" i="12"/>
  <c r="BG69" i="12"/>
  <c r="BE49" i="12"/>
  <c r="BE69" i="12"/>
  <c r="CA69" i="12"/>
  <c r="CA83" i="12"/>
  <c r="AY49" i="12"/>
  <c r="BD49" i="12"/>
  <c r="BI49" i="12"/>
  <c r="BI69" i="12"/>
  <c r="CB69" i="12"/>
  <c r="CB83" i="12"/>
  <c r="BG32" i="12"/>
  <c r="BG74" i="12"/>
  <c r="BE32" i="12"/>
  <c r="BE74" i="12"/>
  <c r="CA74" i="12"/>
  <c r="CA84" i="12"/>
  <c r="AY32" i="12"/>
  <c r="BD32" i="12"/>
  <c r="BI32" i="12"/>
  <c r="BI74" i="12"/>
  <c r="CB74" i="12"/>
  <c r="CB84" i="12"/>
  <c r="BG22" i="12"/>
  <c r="BG65" i="12"/>
  <c r="BE22" i="12"/>
  <c r="BE65" i="12"/>
  <c r="CA65" i="12"/>
  <c r="CA86" i="12"/>
  <c r="AY22" i="12"/>
  <c r="BD22" i="12"/>
  <c r="BI22" i="12"/>
  <c r="BI65" i="12"/>
  <c r="CB65" i="12"/>
  <c r="CB86" i="12"/>
  <c r="BG58" i="12"/>
  <c r="BG70" i="12"/>
  <c r="BE58" i="12"/>
  <c r="BE70" i="12"/>
  <c r="CA70" i="12"/>
  <c r="CA87" i="12"/>
  <c r="AY58" i="12"/>
  <c r="BD58" i="12"/>
  <c r="BI58" i="12"/>
  <c r="BI70" i="12"/>
  <c r="CB70" i="12"/>
  <c r="CB87" i="12"/>
  <c r="BG33" i="12"/>
  <c r="BG75" i="12"/>
  <c r="BE33" i="12"/>
  <c r="BE75" i="12"/>
  <c r="CA75" i="12"/>
  <c r="CA88" i="12"/>
  <c r="AY33" i="12"/>
  <c r="BD33" i="12"/>
  <c r="BI33" i="12"/>
  <c r="BI75" i="12"/>
  <c r="CB75" i="12"/>
  <c r="CB88" i="12"/>
  <c r="BG20" i="12"/>
  <c r="BG63" i="12"/>
  <c r="BE20" i="12"/>
  <c r="BE63" i="12"/>
  <c r="CA63" i="12"/>
  <c r="CA78" i="12"/>
  <c r="AY20" i="12"/>
  <c r="BD20" i="12"/>
  <c r="BI20" i="12"/>
  <c r="BI63" i="12"/>
  <c r="CB63" i="12"/>
  <c r="CB78" i="12"/>
  <c r="BG47" i="12"/>
  <c r="BG68" i="12"/>
  <c r="BE47" i="12"/>
  <c r="BE68" i="12"/>
  <c r="CA68" i="12"/>
  <c r="CA79" i="12"/>
  <c r="AY47" i="12"/>
  <c r="BD47" i="12"/>
  <c r="BI47" i="12"/>
  <c r="BI68" i="12"/>
  <c r="CB68" i="12"/>
  <c r="CB79" i="12"/>
  <c r="BG31" i="12"/>
  <c r="BG73" i="12"/>
  <c r="BE31" i="12"/>
  <c r="BE73" i="12"/>
  <c r="CA73" i="12"/>
  <c r="CA80" i="12"/>
  <c r="AY31" i="12"/>
  <c r="BD31" i="12"/>
  <c r="BI31" i="12"/>
  <c r="BI73" i="12"/>
  <c r="CB73" i="12"/>
  <c r="CB80" i="12"/>
  <c r="BF33" i="12"/>
  <c r="BF75" i="12"/>
  <c r="BZ75" i="12"/>
  <c r="BZ88" i="12"/>
  <c r="BF58" i="12"/>
  <c r="BF70" i="12"/>
  <c r="BZ70" i="12"/>
  <c r="BZ87" i="12"/>
  <c r="BF22" i="12"/>
  <c r="BF65" i="12"/>
  <c r="BZ65" i="12"/>
  <c r="BZ86" i="12"/>
  <c r="BF32" i="12"/>
  <c r="BF74" i="12"/>
  <c r="BZ74" i="12"/>
  <c r="BZ84" i="12"/>
  <c r="BF49" i="12"/>
  <c r="BF69" i="12"/>
  <c r="BZ69" i="12"/>
  <c r="BZ83" i="12"/>
  <c r="BF21" i="12"/>
  <c r="BF64" i="12"/>
  <c r="BZ64" i="12"/>
  <c r="BZ82" i="12"/>
  <c r="BF31" i="12"/>
  <c r="BF73" i="12"/>
  <c r="BZ73" i="12"/>
  <c r="BZ80" i="12"/>
  <c r="BF47" i="12"/>
  <c r="BF68" i="12"/>
  <c r="BZ68" i="12"/>
  <c r="BZ79" i="12"/>
  <c r="BF20" i="12"/>
  <c r="BF63" i="12"/>
  <c r="BZ63" i="12"/>
  <c r="BZ78" i="12"/>
  <c r="G79" i="15"/>
  <c r="G78" i="15"/>
  <c r="G77" i="15"/>
  <c r="F77" i="15"/>
  <c r="F78" i="15"/>
  <c r="F79" i="15"/>
  <c r="F80" i="15"/>
  <c r="AM46" i="12"/>
  <c r="AM67" i="12"/>
  <c r="AM99" i="12"/>
  <c r="AN46" i="12"/>
  <c r="AN67" i="12"/>
  <c r="AN99" i="12"/>
  <c r="AQ99" i="12"/>
  <c r="AN63" i="12"/>
  <c r="AN103" i="12"/>
  <c r="AM63" i="12"/>
  <c r="AM103" i="12"/>
  <c r="AQ103" i="12"/>
  <c r="AN73" i="12"/>
  <c r="AN104" i="12"/>
  <c r="AM73" i="12"/>
  <c r="AM104" i="12"/>
  <c r="AQ104" i="12"/>
  <c r="AN30" i="12"/>
  <c r="AN72" i="12"/>
  <c r="AN101" i="12"/>
  <c r="AM30" i="12"/>
  <c r="AM72" i="12"/>
  <c r="AM101" i="12"/>
  <c r="AQ101" i="12"/>
  <c r="AN68" i="12"/>
  <c r="AN102" i="12"/>
  <c r="AM68" i="12"/>
  <c r="AM102" i="12"/>
  <c r="AQ102" i="12"/>
  <c r="AN19" i="12"/>
  <c r="AN62" i="12"/>
  <c r="AN100" i="12"/>
  <c r="AM19" i="12"/>
  <c r="AM62" i="12"/>
  <c r="AM100" i="12"/>
  <c r="AQ100" i="12"/>
  <c r="AL8" i="11"/>
  <c r="AM16" i="11"/>
  <c r="AM17" i="11"/>
  <c r="AM37" i="11"/>
  <c r="AM13" i="11"/>
  <c r="AM14" i="11"/>
  <c r="AM54" i="11"/>
  <c r="AM66" i="11"/>
  <c r="AM25" i="11"/>
  <c r="AM26" i="11"/>
  <c r="AM40" i="11"/>
  <c r="AM65" i="11"/>
  <c r="AM8" i="11"/>
  <c r="AM51" i="11"/>
  <c r="AM64" i="11"/>
  <c r="AM63" i="11"/>
  <c r="AN13" i="11"/>
  <c r="AN14" i="11"/>
  <c r="AN54" i="11"/>
  <c r="AN66" i="11"/>
  <c r="AN48" i="11"/>
  <c r="AN61" i="11"/>
  <c r="AN25" i="11"/>
  <c r="AN26" i="11"/>
  <c r="AN40" i="11"/>
  <c r="AN65" i="11"/>
  <c r="AN34" i="11"/>
  <c r="AN8" i="11"/>
  <c r="AN51" i="11"/>
  <c r="AN64" i="11"/>
  <c r="AN45" i="11"/>
  <c r="AN59" i="11"/>
  <c r="AN16" i="11"/>
  <c r="AN17" i="11"/>
  <c r="AN37" i="11"/>
  <c r="AN63" i="11"/>
  <c r="AN31" i="11"/>
  <c r="AN58" i="11"/>
  <c r="AM31" i="11"/>
  <c r="AM58" i="11"/>
  <c r="AO58" i="11"/>
  <c r="AM45" i="11"/>
  <c r="AM59" i="11"/>
  <c r="AO59" i="11"/>
  <c r="AO64" i="11"/>
  <c r="AM34" i="11"/>
  <c r="AM60" i="11"/>
  <c r="AO60" i="11"/>
  <c r="AM48" i="11"/>
  <c r="AM61" i="11"/>
  <c r="AO61" i="11"/>
  <c r="E36" i="15"/>
  <c r="K66" i="15"/>
  <c r="L66" i="15"/>
  <c r="M73" i="15"/>
  <c r="E27" i="15"/>
  <c r="K70" i="15"/>
  <c r="L70" i="15"/>
  <c r="M72" i="15"/>
  <c r="G80" i="15"/>
  <c r="M77" i="15"/>
  <c r="M78" i="15"/>
  <c r="M79" i="15"/>
  <c r="M80" i="15"/>
  <c r="H64" i="15"/>
  <c r="E82" i="15"/>
  <c r="E77" i="15"/>
  <c r="K82" i="15"/>
  <c r="D79" i="15"/>
  <c r="D78" i="15"/>
  <c r="D81" i="15"/>
  <c r="E79" i="15"/>
  <c r="E78" i="15"/>
  <c r="E81" i="15"/>
  <c r="E80" i="15"/>
  <c r="K81" i="15"/>
  <c r="L80" i="15"/>
  <c r="L78" i="15"/>
  <c r="L79" i="15"/>
  <c r="L77" i="15"/>
  <c r="J65" i="15"/>
  <c r="J63" i="15"/>
  <c r="X63" i="15"/>
  <c r="AA63" i="15"/>
  <c r="AB63" i="15"/>
  <c r="Y63" i="15"/>
  <c r="F64" i="15"/>
  <c r="H36" i="15"/>
  <c r="H27" i="15"/>
  <c r="E42" i="15"/>
  <c r="H26" i="15"/>
  <c r="H35" i="15"/>
  <c r="E41" i="15"/>
  <c r="E25" i="15"/>
  <c r="L20" i="15"/>
  <c r="D77" i="15"/>
  <c r="D80" i="15"/>
  <c r="J77" i="15"/>
  <c r="AC63" i="15"/>
  <c r="AD63" i="15"/>
  <c r="AE63" i="15"/>
  <c r="BE107" i="12"/>
  <c r="BF107" i="12"/>
  <c r="BG107" i="12"/>
  <c r="BH49" i="12"/>
  <c r="BH69" i="12"/>
  <c r="BH107" i="12"/>
  <c r="BI107" i="12"/>
  <c r="BE108" i="12"/>
  <c r="BF108" i="12"/>
  <c r="BG108" i="12"/>
  <c r="BH21" i="12"/>
  <c r="BH64" i="12"/>
  <c r="BH108" i="12"/>
  <c r="BI108" i="12"/>
  <c r="BE109" i="12"/>
  <c r="BF109" i="12"/>
  <c r="BG109" i="12"/>
  <c r="BH32" i="12"/>
  <c r="BH74" i="12"/>
  <c r="BH109" i="12"/>
  <c r="BI109" i="12"/>
  <c r="BE110" i="12"/>
  <c r="BF110" i="12"/>
  <c r="BG110" i="12"/>
  <c r="BH58" i="12"/>
  <c r="BH70" i="12"/>
  <c r="BH110" i="12"/>
  <c r="BI110" i="12"/>
  <c r="BE111" i="12"/>
  <c r="BF111" i="12"/>
  <c r="BG111" i="12"/>
  <c r="BH22" i="12"/>
  <c r="BH65" i="12"/>
  <c r="BH111" i="12"/>
  <c r="BI111" i="12"/>
  <c r="BE112" i="12"/>
  <c r="BF112" i="12"/>
  <c r="BG112" i="12"/>
  <c r="BH33" i="12"/>
  <c r="BH75" i="12"/>
  <c r="BH112" i="12"/>
  <c r="BI112" i="12"/>
  <c r="BV78" i="12"/>
  <c r="BN26" i="11"/>
  <c r="BN34" i="11"/>
  <c r="BV68" i="11"/>
  <c r="BV74" i="11"/>
  <c r="BN17" i="11"/>
  <c r="BN31" i="11"/>
  <c r="BV64" i="11"/>
  <c r="BV73" i="11"/>
  <c r="AL18" i="11"/>
  <c r="AL19" i="11"/>
  <c r="AL32" i="11"/>
  <c r="AP18" i="11"/>
  <c r="AP19" i="11"/>
  <c r="AL20" i="11"/>
  <c r="AL21" i="11"/>
  <c r="AL33" i="11"/>
  <c r="AP20" i="11"/>
  <c r="AP21" i="11"/>
  <c r="AL25" i="11"/>
  <c r="AL26" i="11"/>
  <c r="AL34" i="11"/>
  <c r="AP25" i="11"/>
  <c r="AP26" i="11"/>
  <c r="AL16" i="11"/>
  <c r="AL17" i="11"/>
  <c r="AL31" i="11"/>
  <c r="AP16" i="11"/>
  <c r="AP17" i="11"/>
  <c r="AN18" i="11"/>
  <c r="AN19" i="11"/>
  <c r="AN32" i="11"/>
  <c r="AM18" i="11"/>
  <c r="AM19" i="11"/>
  <c r="AM32" i="11"/>
  <c r="AN20" i="11"/>
  <c r="AN21" i="11"/>
  <c r="AN33" i="11"/>
  <c r="AM20" i="11"/>
  <c r="AM21" i="11"/>
  <c r="AM33" i="11"/>
  <c r="U21" i="12"/>
  <c r="T21" i="12"/>
  <c r="AP21" i="12"/>
  <c r="AP19" i="12"/>
  <c r="U18" i="12"/>
  <c r="T18" i="12"/>
  <c r="AP18" i="12"/>
  <c r="AP13" i="12"/>
  <c r="AM18" i="12"/>
  <c r="AM61" i="12"/>
  <c r="AM97" i="12"/>
  <c r="AN18" i="12"/>
  <c r="AN61" i="12"/>
  <c r="AN97" i="12"/>
  <c r="AO97" i="12"/>
  <c r="AM29" i="12"/>
  <c r="AM71" i="12"/>
  <c r="AM98" i="12"/>
  <c r="AN29" i="12"/>
  <c r="AN71" i="12"/>
  <c r="AN98" i="12"/>
  <c r="AO98" i="12"/>
  <c r="AO99" i="12"/>
  <c r="AO100" i="12"/>
  <c r="AO101" i="12"/>
  <c r="AO102" i="12"/>
  <c r="AO103" i="12"/>
  <c r="AO104" i="12"/>
  <c r="AM45" i="12"/>
  <c r="AM66" i="12"/>
  <c r="AM96" i="12"/>
  <c r="AN45" i="12"/>
  <c r="AN66" i="12"/>
  <c r="AN96" i="12"/>
  <c r="AO96" i="12"/>
  <c r="D82" i="15"/>
  <c r="J82" i="15"/>
  <c r="K77" i="15"/>
  <c r="K78" i="15"/>
  <c r="K79" i="15"/>
  <c r="K80" i="15"/>
  <c r="J78" i="15"/>
  <c r="J79" i="15"/>
  <c r="J80" i="15"/>
  <c r="J81" i="15"/>
  <c r="J10" i="15"/>
  <c r="J14" i="15"/>
  <c r="H8" i="15"/>
  <c r="J8" i="15"/>
  <c r="K8" i="15"/>
  <c r="H14" i="15"/>
  <c r="H10" i="15"/>
  <c r="H16" i="15"/>
  <c r="H17" i="15"/>
  <c r="U54" i="15"/>
  <c r="T54" i="15"/>
  <c r="I8" i="15"/>
  <c r="M8" i="15"/>
  <c r="I14" i="15"/>
  <c r="L64" i="15"/>
  <c r="S64" i="15"/>
  <c r="Q64" i="15"/>
  <c r="S66" i="15"/>
  <c r="Q66" i="15"/>
  <c r="N64" i="15"/>
  <c r="R64" i="15"/>
  <c r="T64" i="15"/>
  <c r="J64" i="15"/>
  <c r="D64" i="15"/>
  <c r="Z63" i="15"/>
  <c r="K64" i="15"/>
  <c r="K69" i="15"/>
  <c r="L69" i="15"/>
  <c r="L71" i="15"/>
  <c r="K71" i="15"/>
  <c r="K67" i="15"/>
  <c r="K65" i="15"/>
  <c r="L65" i="15"/>
  <c r="L67" i="15"/>
  <c r="K63" i="15"/>
  <c r="L63" i="15"/>
  <c r="W65" i="15"/>
  <c r="W66" i="15"/>
  <c r="W67" i="15"/>
  <c r="W68" i="15"/>
  <c r="W69" i="15"/>
  <c r="W70" i="15"/>
  <c r="W71" i="15"/>
  <c r="W63" i="15"/>
  <c r="F81" i="15"/>
  <c r="G81" i="15"/>
  <c r="H77" i="15"/>
  <c r="T71" i="15"/>
  <c r="U71" i="15"/>
  <c r="P67" i="15"/>
  <c r="Q67" i="15"/>
  <c r="G67" i="15"/>
  <c r="R67" i="15"/>
  <c r="S67" i="15"/>
  <c r="T67" i="15"/>
  <c r="P68" i="15"/>
  <c r="Q68" i="15"/>
  <c r="R68" i="15"/>
  <c r="S68" i="15"/>
  <c r="T68" i="15"/>
  <c r="P69" i="15"/>
  <c r="Q69" i="15"/>
  <c r="G69" i="15"/>
  <c r="R69" i="15"/>
  <c r="S69" i="15"/>
  <c r="T69" i="15"/>
  <c r="P70" i="15"/>
  <c r="Q70" i="15"/>
  <c r="R70" i="15"/>
  <c r="S70" i="15"/>
  <c r="T70" i="15"/>
  <c r="P71" i="15"/>
  <c r="Q71" i="15"/>
  <c r="R71" i="15"/>
  <c r="S71" i="15"/>
  <c r="R66" i="15"/>
  <c r="Q65" i="15"/>
  <c r="G65" i="15"/>
  <c r="R65" i="15"/>
  <c r="S65" i="15"/>
  <c r="T66" i="15"/>
  <c r="T65" i="15"/>
  <c r="P66" i="15"/>
  <c r="O65" i="15"/>
  <c r="O66" i="15"/>
  <c r="O67" i="15"/>
  <c r="O69" i="15"/>
  <c r="O70" i="15"/>
  <c r="O71" i="15"/>
  <c r="N69" i="15"/>
  <c r="N70" i="15"/>
  <c r="N71" i="15"/>
  <c r="N65" i="15"/>
  <c r="N66" i="15"/>
  <c r="N67" i="15"/>
  <c r="N63" i="15"/>
  <c r="M65" i="15"/>
  <c r="M66" i="15"/>
  <c r="M67" i="15"/>
  <c r="M68" i="15"/>
  <c r="M63" i="15"/>
  <c r="J71" i="15"/>
  <c r="P65" i="15"/>
  <c r="E45" i="15"/>
  <c r="L26" i="15"/>
  <c r="L32" i="15"/>
  <c r="L33" i="15"/>
  <c r="J44" i="15"/>
  <c r="J45" i="15"/>
  <c r="E47" i="15"/>
  <c r="L23" i="15"/>
  <c r="L24" i="15"/>
  <c r="L25" i="15"/>
  <c r="L34" i="15"/>
  <c r="L35" i="15"/>
  <c r="L36" i="15"/>
  <c r="L37" i="15"/>
  <c r="L38" i="15"/>
  <c r="L27" i="15"/>
  <c r="L39" i="15"/>
  <c r="L8" i="15"/>
  <c r="N8" i="15"/>
  <c r="L14" i="15"/>
  <c r="O14" i="15"/>
  <c r="E46" i="15"/>
  <c r="E34" i="15"/>
  <c r="H34" i="15"/>
  <c r="H33" i="15"/>
  <c r="H30" i="15"/>
  <c r="H25" i="15"/>
  <c r="H24" i="15"/>
  <c r="H20" i="15"/>
  <c r="E20" i="15"/>
  <c r="C18" i="1"/>
  <c r="F18" i="1"/>
  <c r="C9" i="1"/>
  <c r="F9" i="1"/>
  <c r="C24" i="1"/>
  <c r="F8" i="1"/>
  <c r="F17" i="1"/>
  <c r="C23" i="1"/>
  <c r="F14" i="1"/>
  <c r="F5" i="1"/>
  <c r="C22" i="1"/>
  <c r="C19" i="1"/>
  <c r="C20" i="1"/>
  <c r="C21" i="1"/>
  <c r="J5" i="1"/>
  <c r="J14" i="1"/>
  <c r="D31" i="1"/>
  <c r="C31" i="1"/>
  <c r="H19" i="1"/>
  <c r="H4" i="1"/>
  <c r="C7" i="1"/>
  <c r="F7" i="1"/>
  <c r="C12" i="1"/>
  <c r="C2" i="1"/>
  <c r="I10" i="15"/>
  <c r="L10" i="15"/>
  <c r="L16" i="15"/>
  <c r="H7" i="15"/>
  <c r="I7" i="15"/>
  <c r="J7" i="15"/>
  <c r="L7" i="15"/>
  <c r="N7" i="15"/>
  <c r="H9" i="15"/>
  <c r="I9" i="15"/>
  <c r="J9" i="15"/>
  <c r="L9" i="15"/>
  <c r="N9" i="15"/>
  <c r="N10" i="15"/>
  <c r="N15" i="15"/>
  <c r="H6" i="15"/>
  <c r="I6" i="15"/>
  <c r="J6" i="15"/>
  <c r="L6" i="15"/>
  <c r="N6" i="15"/>
  <c r="I16" i="15"/>
  <c r="M16" i="15"/>
  <c r="H11" i="15"/>
  <c r="I11" i="15"/>
  <c r="M11" i="15"/>
  <c r="J16" i="15"/>
  <c r="C11" i="15"/>
  <c r="B11" i="15"/>
  <c r="M7" i="15"/>
  <c r="M9" i="15"/>
  <c r="M10" i="15"/>
  <c r="M6" i="15"/>
  <c r="K9" i="15"/>
  <c r="K10" i="15"/>
  <c r="BX92" i="12"/>
  <c r="BX91" i="12"/>
  <c r="BX90" i="12"/>
  <c r="BX88" i="12"/>
  <c r="AE42" i="12"/>
  <c r="BX42" i="12"/>
  <c r="BX87" i="12"/>
  <c r="AE37" i="12"/>
  <c r="BX37" i="12"/>
  <c r="BX86" i="12"/>
  <c r="BX85" i="12"/>
  <c r="AE35" i="12"/>
  <c r="BX35" i="12"/>
  <c r="BX84" i="12"/>
  <c r="AE34" i="12"/>
  <c r="BX34" i="12"/>
  <c r="BX83" i="12"/>
  <c r="BX82" i="12"/>
  <c r="BX81" i="12"/>
  <c r="BX80" i="12"/>
  <c r="BX79" i="12"/>
  <c r="BX78" i="12"/>
  <c r="BW92" i="12"/>
  <c r="BW91" i="12"/>
  <c r="BW90" i="12"/>
  <c r="BW88" i="12"/>
  <c r="AF42" i="12"/>
  <c r="BW42" i="12"/>
  <c r="BW87" i="12"/>
  <c r="AF37" i="12"/>
  <c r="BW37" i="12"/>
  <c r="BW86" i="12"/>
  <c r="BW85" i="12"/>
  <c r="AF35" i="12"/>
  <c r="BW35" i="12"/>
  <c r="BW84" i="12"/>
  <c r="AF34" i="12"/>
  <c r="BW34" i="12"/>
  <c r="BW83" i="12"/>
  <c r="BW82" i="12"/>
  <c r="BW81" i="12"/>
  <c r="BW80" i="12"/>
  <c r="BW79" i="12"/>
  <c r="BW78" i="12"/>
  <c r="BV92" i="12"/>
  <c r="BV91" i="12"/>
  <c r="BV90" i="12"/>
  <c r="BV88" i="12"/>
  <c r="AG42" i="12"/>
  <c r="BV42" i="12"/>
  <c r="BV87" i="12"/>
  <c r="AG37" i="12"/>
  <c r="BV37" i="12"/>
  <c r="BV86" i="12"/>
  <c r="BV85" i="12"/>
  <c r="AG35" i="12"/>
  <c r="BV35" i="12"/>
  <c r="BV84" i="12"/>
  <c r="AG34" i="12"/>
  <c r="BV34" i="12"/>
  <c r="BV83" i="12"/>
  <c r="BV82" i="12"/>
  <c r="BV81" i="12"/>
  <c r="BV80" i="12"/>
  <c r="BV79" i="12"/>
  <c r="BX75" i="12"/>
  <c r="BX74" i="12"/>
  <c r="BX73" i="12"/>
  <c r="BX72" i="12"/>
  <c r="BX71" i="12"/>
  <c r="AE57" i="12"/>
  <c r="BX57" i="12"/>
  <c r="AE58" i="12"/>
  <c r="BX58" i="12"/>
  <c r="BX70" i="12"/>
  <c r="AE48" i="12"/>
  <c r="BX48" i="12"/>
  <c r="AE49" i="12"/>
  <c r="BX49" i="12"/>
  <c r="BX69" i="12"/>
  <c r="BX68" i="12"/>
  <c r="BX67" i="12"/>
  <c r="BX66" i="12"/>
  <c r="BX22" i="12"/>
  <c r="BX65" i="12"/>
  <c r="BX21" i="12"/>
  <c r="BX64" i="12"/>
  <c r="BX20" i="12"/>
  <c r="BX63" i="12"/>
  <c r="BX62" i="12"/>
  <c r="BX61" i="12"/>
  <c r="AF40" i="12"/>
  <c r="J40" i="12"/>
  <c r="BW40" i="12"/>
  <c r="AG40" i="12"/>
  <c r="BV40" i="12"/>
  <c r="AF38" i="12"/>
  <c r="J38" i="12"/>
  <c r="BW38" i="12"/>
  <c r="AG38" i="12"/>
  <c r="BV38" i="12"/>
  <c r="AF48" i="12"/>
  <c r="BW48" i="12"/>
  <c r="AG48" i="12"/>
  <c r="BV48" i="12"/>
  <c r="AF57" i="12"/>
  <c r="BW57" i="12"/>
  <c r="AG57" i="12"/>
  <c r="BV57" i="12"/>
  <c r="BW56" i="12"/>
  <c r="BV56" i="12"/>
  <c r="AF53" i="12"/>
  <c r="BW53" i="12"/>
  <c r="AG53" i="12"/>
  <c r="BV53" i="12"/>
  <c r="AF52" i="12"/>
  <c r="BW52" i="12"/>
  <c r="AG52" i="12"/>
  <c r="BV52" i="12"/>
  <c r="AF51" i="12"/>
  <c r="BW51" i="12"/>
  <c r="AG51" i="12"/>
  <c r="BV51" i="12"/>
  <c r="AF50" i="12"/>
  <c r="BW50" i="12"/>
  <c r="AG50" i="12"/>
  <c r="BV50" i="12"/>
  <c r="BX56" i="12"/>
  <c r="AE53" i="12"/>
  <c r="BX53" i="12"/>
  <c r="AE52" i="12"/>
  <c r="BX52" i="12"/>
  <c r="AE51" i="12"/>
  <c r="BX51" i="12"/>
  <c r="AE50" i="12"/>
  <c r="BX50" i="12"/>
  <c r="AE40" i="12"/>
  <c r="BX40" i="12"/>
  <c r="AE38" i="12"/>
  <c r="BX38" i="12"/>
  <c r="AF49" i="12"/>
  <c r="BW49" i="12"/>
  <c r="BU31" i="12"/>
  <c r="BU73" i="12"/>
  <c r="AV128" i="12"/>
  <c r="BQ31" i="12"/>
  <c r="BQ73" i="12"/>
  <c r="AU128" i="12"/>
  <c r="BU20" i="12"/>
  <c r="BU63" i="12"/>
  <c r="AV127" i="12"/>
  <c r="BQ20" i="12"/>
  <c r="BQ63" i="12"/>
  <c r="AU127" i="12"/>
  <c r="BU47" i="12"/>
  <c r="BU68" i="12"/>
  <c r="AV126" i="12"/>
  <c r="BQ47" i="12"/>
  <c r="BQ68" i="12"/>
  <c r="AU126" i="12"/>
  <c r="BV73" i="12"/>
  <c r="AW125" i="12"/>
  <c r="BT31" i="12"/>
  <c r="BT73" i="12"/>
  <c r="AV125" i="12"/>
  <c r="BP31" i="12"/>
  <c r="BP73" i="12"/>
  <c r="AU125" i="12"/>
  <c r="BV20" i="12"/>
  <c r="BV63" i="12"/>
  <c r="AW124" i="12"/>
  <c r="BT20" i="12"/>
  <c r="BT63" i="12"/>
  <c r="AV124" i="12"/>
  <c r="BP20" i="12"/>
  <c r="BP63" i="12"/>
  <c r="AU124" i="12"/>
  <c r="BV68" i="12"/>
  <c r="AW123" i="12"/>
  <c r="BT47" i="12"/>
  <c r="BT68" i="12"/>
  <c r="AV123" i="12"/>
  <c r="BP47" i="12"/>
  <c r="BP68" i="12"/>
  <c r="AU123" i="12"/>
  <c r="BS31" i="12"/>
  <c r="BS73" i="12"/>
  <c r="AV122" i="12"/>
  <c r="BO31" i="12"/>
  <c r="BO73" i="12"/>
  <c r="AU122" i="12"/>
  <c r="BS20" i="12"/>
  <c r="BS63" i="12"/>
  <c r="AV121" i="12"/>
  <c r="BO20" i="12"/>
  <c r="BO63" i="12"/>
  <c r="AU121" i="12"/>
  <c r="BS47" i="12"/>
  <c r="BS68" i="12"/>
  <c r="AV120" i="12"/>
  <c r="BO47" i="12"/>
  <c r="BO68" i="12"/>
  <c r="AU120" i="12"/>
  <c r="BV75" i="12"/>
  <c r="AW154" i="12"/>
  <c r="BV22" i="12"/>
  <c r="BV65" i="12"/>
  <c r="AW153" i="12"/>
  <c r="AG58" i="12"/>
  <c r="BV58" i="12"/>
  <c r="BV70" i="12"/>
  <c r="AW152" i="12"/>
  <c r="BV74" i="12"/>
  <c r="AW140" i="12"/>
  <c r="BV21" i="12"/>
  <c r="BV64" i="12"/>
  <c r="AW139" i="12"/>
  <c r="AG49" i="12"/>
  <c r="BV49" i="12"/>
  <c r="BV69" i="12"/>
  <c r="AW138" i="12"/>
  <c r="BO32" i="12"/>
  <c r="BO74" i="12"/>
  <c r="AU137" i="12"/>
  <c r="BP32" i="12"/>
  <c r="BP74" i="12"/>
  <c r="AU140" i="12"/>
  <c r="BQ32" i="12"/>
  <c r="BQ74" i="12"/>
  <c r="AU143" i="12"/>
  <c r="BS32" i="12"/>
  <c r="BS74" i="12"/>
  <c r="AV137" i="12"/>
  <c r="BT32" i="12"/>
  <c r="BT74" i="12"/>
  <c r="AV140" i="12"/>
  <c r="BU32" i="12"/>
  <c r="BU74" i="12"/>
  <c r="AV143" i="12"/>
  <c r="BO21" i="12"/>
  <c r="BO64" i="12"/>
  <c r="AU136" i="12"/>
  <c r="BP21" i="12"/>
  <c r="BP64" i="12"/>
  <c r="AU139" i="12"/>
  <c r="BQ21" i="12"/>
  <c r="BQ64" i="12"/>
  <c r="AU142" i="12"/>
  <c r="BS21" i="12"/>
  <c r="BS64" i="12"/>
  <c r="AV136" i="12"/>
  <c r="BT21" i="12"/>
  <c r="BT64" i="12"/>
  <c r="AV139" i="12"/>
  <c r="BU21" i="12"/>
  <c r="BU64" i="12"/>
  <c r="AV142" i="12"/>
  <c r="BO49" i="12"/>
  <c r="BO69" i="12"/>
  <c r="AU135" i="12"/>
  <c r="BP49" i="12"/>
  <c r="BP69" i="12"/>
  <c r="AU138" i="12"/>
  <c r="BQ49" i="12"/>
  <c r="BQ69" i="12"/>
  <c r="AU141" i="12"/>
  <c r="BS49" i="12"/>
  <c r="BS69" i="12"/>
  <c r="AV135" i="12"/>
  <c r="BT49" i="12"/>
  <c r="BT69" i="12"/>
  <c r="AV138" i="12"/>
  <c r="BU49" i="12"/>
  <c r="BU69" i="12"/>
  <c r="AV141" i="12"/>
  <c r="BA69" i="12"/>
  <c r="BA107" i="12"/>
  <c r="BB69" i="12"/>
  <c r="BB107" i="12"/>
  <c r="BC69" i="12"/>
  <c r="BC107" i="12"/>
  <c r="BD69" i="12"/>
  <c r="BD107" i="12"/>
  <c r="BJ49" i="12"/>
  <c r="BJ69" i="12"/>
  <c r="BJ107" i="12"/>
  <c r="BK49" i="12"/>
  <c r="BK69" i="12"/>
  <c r="BK107" i="12"/>
  <c r="BL49" i="12"/>
  <c r="BL69" i="12"/>
  <c r="BL107" i="12"/>
  <c r="BM49" i="12"/>
  <c r="BM69" i="12"/>
  <c r="BM107" i="12"/>
  <c r="BN107" i="12"/>
  <c r="BO107" i="12"/>
  <c r="BP107" i="12"/>
  <c r="BQ107" i="12"/>
  <c r="BR107" i="12"/>
  <c r="BS107" i="12"/>
  <c r="BT107" i="12"/>
  <c r="BU107" i="12"/>
  <c r="BV107" i="12"/>
  <c r="BW69" i="12"/>
  <c r="BW107" i="12"/>
  <c r="BX107" i="12"/>
  <c r="BA64" i="12"/>
  <c r="BA108" i="12"/>
  <c r="BB64" i="12"/>
  <c r="BB108" i="12"/>
  <c r="BC64" i="12"/>
  <c r="BC108" i="12"/>
  <c r="BD64" i="12"/>
  <c r="BD108" i="12"/>
  <c r="BJ21" i="12"/>
  <c r="BJ64" i="12"/>
  <c r="BJ108" i="12"/>
  <c r="BK21" i="12"/>
  <c r="BK64" i="12"/>
  <c r="BK108" i="12"/>
  <c r="BL21" i="12"/>
  <c r="BL64" i="12"/>
  <c r="BL108" i="12"/>
  <c r="BM21" i="12"/>
  <c r="BM64" i="12"/>
  <c r="BM108" i="12"/>
  <c r="BN108" i="12"/>
  <c r="BO108" i="12"/>
  <c r="BP108" i="12"/>
  <c r="BQ108" i="12"/>
  <c r="BR108" i="12"/>
  <c r="BS108" i="12"/>
  <c r="BT108" i="12"/>
  <c r="BU108" i="12"/>
  <c r="BV108" i="12"/>
  <c r="BW21" i="12"/>
  <c r="BW64" i="12"/>
  <c r="BW108" i="12"/>
  <c r="BX108" i="12"/>
  <c r="BA74" i="12"/>
  <c r="BA109" i="12"/>
  <c r="BB74" i="12"/>
  <c r="BB109" i="12"/>
  <c r="BC74" i="12"/>
  <c r="BC109" i="12"/>
  <c r="BD74" i="12"/>
  <c r="BD109" i="12"/>
  <c r="BJ32" i="12"/>
  <c r="BJ74" i="12"/>
  <c r="BJ109" i="12"/>
  <c r="BK32" i="12"/>
  <c r="BK74" i="12"/>
  <c r="BK109" i="12"/>
  <c r="BL32" i="12"/>
  <c r="BL74" i="12"/>
  <c r="BL109" i="12"/>
  <c r="BM32" i="12"/>
  <c r="BM74" i="12"/>
  <c r="BM109" i="12"/>
  <c r="BN109" i="12"/>
  <c r="BO109" i="12"/>
  <c r="BP109" i="12"/>
  <c r="BQ109" i="12"/>
  <c r="BR109" i="12"/>
  <c r="BS109" i="12"/>
  <c r="BT109" i="12"/>
  <c r="BU109" i="12"/>
  <c r="BV109" i="12"/>
  <c r="BW74" i="12"/>
  <c r="BW109" i="12"/>
  <c r="BX109" i="12"/>
  <c r="BA70" i="12"/>
  <c r="BA110" i="12"/>
  <c r="BB70" i="12"/>
  <c r="BB110" i="12"/>
  <c r="BC70" i="12"/>
  <c r="BC110" i="12"/>
  <c r="BD70" i="12"/>
  <c r="BD110" i="12"/>
  <c r="BJ58" i="12"/>
  <c r="BJ70" i="12"/>
  <c r="BJ110" i="12"/>
  <c r="BK58" i="12"/>
  <c r="BK70" i="12"/>
  <c r="BK110" i="12"/>
  <c r="BL58" i="12"/>
  <c r="BL70" i="12"/>
  <c r="BL110" i="12"/>
  <c r="BM58" i="12"/>
  <c r="BM70" i="12"/>
  <c r="BM110" i="12"/>
  <c r="BN110" i="12"/>
  <c r="BO110" i="12"/>
  <c r="BP110" i="12"/>
  <c r="BQ110" i="12"/>
  <c r="BR110" i="12"/>
  <c r="BS110" i="12"/>
  <c r="BT110" i="12"/>
  <c r="BU110" i="12"/>
  <c r="BV110" i="12"/>
  <c r="AF58" i="12"/>
  <c r="BW58" i="12"/>
  <c r="BW70" i="12"/>
  <c r="BW110" i="12"/>
  <c r="BX110" i="12"/>
  <c r="BA65" i="12"/>
  <c r="BA111" i="12"/>
  <c r="BB65" i="12"/>
  <c r="BB111" i="12"/>
  <c r="BC65" i="12"/>
  <c r="BC111" i="12"/>
  <c r="BD65" i="12"/>
  <c r="BD111" i="12"/>
  <c r="BJ22" i="12"/>
  <c r="BJ65" i="12"/>
  <c r="BJ111" i="12"/>
  <c r="BK22" i="12"/>
  <c r="BK65" i="12"/>
  <c r="BK111" i="12"/>
  <c r="BL22" i="12"/>
  <c r="BL65" i="12"/>
  <c r="BL111" i="12"/>
  <c r="BM22" i="12"/>
  <c r="BM65" i="12"/>
  <c r="BM111" i="12"/>
  <c r="BN111" i="12"/>
  <c r="BO111" i="12"/>
  <c r="BP111" i="12"/>
  <c r="BQ111" i="12"/>
  <c r="BR111" i="12"/>
  <c r="BS111" i="12"/>
  <c r="BT111" i="12"/>
  <c r="BU111" i="12"/>
  <c r="BV111" i="12"/>
  <c r="BW22" i="12"/>
  <c r="BW65" i="12"/>
  <c r="BW111" i="12"/>
  <c r="BX111" i="12"/>
  <c r="BA75" i="12"/>
  <c r="BA112" i="12"/>
  <c r="BB75" i="12"/>
  <c r="BB112" i="12"/>
  <c r="BC75" i="12"/>
  <c r="BC112" i="12"/>
  <c r="BD75" i="12"/>
  <c r="BD112" i="12"/>
  <c r="BJ33" i="12"/>
  <c r="BJ75" i="12"/>
  <c r="BJ112" i="12"/>
  <c r="BK33" i="12"/>
  <c r="BK75" i="12"/>
  <c r="BK112" i="12"/>
  <c r="BL33" i="12"/>
  <c r="BL75" i="12"/>
  <c r="BL112" i="12"/>
  <c r="BM33" i="12"/>
  <c r="BM75" i="12"/>
  <c r="BM112" i="12"/>
  <c r="BN112" i="12"/>
  <c r="BO112" i="12"/>
  <c r="BP112" i="12"/>
  <c r="BQ112" i="12"/>
  <c r="BR112" i="12"/>
  <c r="BS112" i="12"/>
  <c r="BT112" i="12"/>
  <c r="BU112" i="12"/>
  <c r="BV112" i="12"/>
  <c r="BW75" i="12"/>
  <c r="BW112" i="12"/>
  <c r="BX112" i="12"/>
  <c r="AZ75" i="12"/>
  <c r="AZ112" i="12"/>
  <c r="AZ65" i="12"/>
  <c r="AZ111" i="12"/>
  <c r="AZ70" i="12"/>
  <c r="AZ110" i="12"/>
  <c r="AZ74" i="12"/>
  <c r="AZ109" i="12"/>
  <c r="AZ64" i="12"/>
  <c r="AZ108" i="12"/>
  <c r="AZ69" i="12"/>
  <c r="AZ107" i="12"/>
  <c r="AY75" i="12"/>
  <c r="AY112" i="12"/>
  <c r="AY65" i="12"/>
  <c r="AY111" i="12"/>
  <c r="AY70" i="12"/>
  <c r="AY110" i="12"/>
  <c r="AY74" i="12"/>
  <c r="AY109" i="12"/>
  <c r="AY64" i="12"/>
  <c r="AY108" i="12"/>
  <c r="AY69" i="12"/>
  <c r="AY107" i="12"/>
  <c r="AX75" i="12"/>
  <c r="AX112" i="12"/>
  <c r="AX65" i="12"/>
  <c r="AX111" i="12"/>
  <c r="AX70" i="12"/>
  <c r="AX110" i="12"/>
  <c r="AX74" i="12"/>
  <c r="AX109" i="12"/>
  <c r="AX64" i="12"/>
  <c r="AX108" i="12"/>
  <c r="AX69" i="12"/>
  <c r="AX107" i="12"/>
  <c r="AW75" i="12"/>
  <c r="AW112" i="12"/>
  <c r="AW65" i="12"/>
  <c r="AW111" i="12"/>
  <c r="AW70" i="12"/>
  <c r="AW110" i="12"/>
  <c r="AW74" i="12"/>
  <c r="AW109" i="12"/>
  <c r="AW64" i="12"/>
  <c r="AW108" i="12"/>
  <c r="AW69" i="12"/>
  <c r="AW107" i="12"/>
  <c r="AV75" i="12"/>
  <c r="AV112" i="12"/>
  <c r="AV65" i="12"/>
  <c r="AV111" i="12"/>
  <c r="AV70" i="12"/>
  <c r="AV110" i="12"/>
  <c r="AV74" i="12"/>
  <c r="AV109" i="12"/>
  <c r="AV64" i="12"/>
  <c r="AV108" i="12"/>
  <c r="AV69" i="12"/>
  <c r="AV107" i="12"/>
  <c r="AU75" i="12"/>
  <c r="AU112" i="12"/>
  <c r="AU65" i="12"/>
  <c r="AU111" i="12"/>
  <c r="AU70" i="12"/>
  <c r="AU110" i="12"/>
  <c r="AU74" i="12"/>
  <c r="AU109" i="12"/>
  <c r="AU64" i="12"/>
  <c r="AU108" i="12"/>
  <c r="AU69" i="12"/>
  <c r="AU107" i="12"/>
  <c r="BE61" i="12"/>
  <c r="BF61" i="12"/>
  <c r="BG61" i="12"/>
  <c r="BH61" i="12"/>
  <c r="BI61" i="12"/>
  <c r="BJ61" i="12"/>
  <c r="BK61" i="12"/>
  <c r="BL61" i="12"/>
  <c r="BM61" i="12"/>
  <c r="BN61" i="12"/>
  <c r="BO61" i="12"/>
  <c r="BP61" i="12"/>
  <c r="BQ61" i="12"/>
  <c r="BR61" i="12"/>
  <c r="BS61" i="12"/>
  <c r="BT61" i="12"/>
  <c r="BU61" i="12"/>
  <c r="BV61" i="12"/>
  <c r="BW61" i="12"/>
  <c r="BE62" i="12"/>
  <c r="BF62" i="12"/>
  <c r="BG62" i="12"/>
  <c r="BH62" i="12"/>
  <c r="BI62" i="12"/>
  <c r="BJ62" i="12"/>
  <c r="BK62" i="12"/>
  <c r="BL62" i="12"/>
  <c r="BM62" i="12"/>
  <c r="BN62" i="12"/>
  <c r="BO62" i="12"/>
  <c r="BP62" i="12"/>
  <c r="BQ62" i="12"/>
  <c r="BR62" i="12"/>
  <c r="BS62" i="12"/>
  <c r="BT62" i="12"/>
  <c r="BU62" i="12"/>
  <c r="BV62" i="12"/>
  <c r="BW62" i="12"/>
  <c r="BH20" i="12"/>
  <c r="BH63" i="12"/>
  <c r="BJ20" i="12"/>
  <c r="BJ63" i="12"/>
  <c r="BK20" i="12"/>
  <c r="BK63" i="12"/>
  <c r="BL20" i="12"/>
  <c r="BL63" i="12"/>
  <c r="BM20" i="12"/>
  <c r="BM63" i="12"/>
  <c r="BW20" i="12"/>
  <c r="BW63" i="12"/>
  <c r="BE66" i="12"/>
  <c r="BF66" i="12"/>
  <c r="BG66" i="12"/>
  <c r="BH66" i="12"/>
  <c r="BI66" i="12"/>
  <c r="BJ66" i="12"/>
  <c r="BK66" i="12"/>
  <c r="BL66" i="12"/>
  <c r="BM66" i="12"/>
  <c r="BN66" i="12"/>
  <c r="BO66" i="12"/>
  <c r="BP66" i="12"/>
  <c r="BQ66" i="12"/>
  <c r="BR66" i="12"/>
  <c r="BS66" i="12"/>
  <c r="BT66" i="12"/>
  <c r="BU66" i="12"/>
  <c r="BV66" i="12"/>
  <c r="BW66" i="12"/>
  <c r="BE67" i="12"/>
  <c r="BF67" i="12"/>
  <c r="BG67" i="12"/>
  <c r="BH67" i="12"/>
  <c r="BI67" i="12"/>
  <c r="BJ67" i="12"/>
  <c r="BK67" i="12"/>
  <c r="BL67" i="12"/>
  <c r="BM67" i="12"/>
  <c r="BN67" i="12"/>
  <c r="BO67" i="12"/>
  <c r="BP67" i="12"/>
  <c r="BQ67" i="12"/>
  <c r="BR67" i="12"/>
  <c r="BS67" i="12"/>
  <c r="BT67" i="12"/>
  <c r="BU67" i="12"/>
  <c r="BV67" i="12"/>
  <c r="BW67" i="12"/>
  <c r="BH47" i="12"/>
  <c r="BH68" i="12"/>
  <c r="BJ47" i="12"/>
  <c r="BJ68" i="12"/>
  <c r="BK47" i="12"/>
  <c r="BK68" i="12"/>
  <c r="BL47" i="12"/>
  <c r="BL68" i="12"/>
  <c r="BM47" i="12"/>
  <c r="BM68" i="12"/>
  <c r="BW68" i="12"/>
  <c r="BE71" i="12"/>
  <c r="BF71" i="12"/>
  <c r="BG71" i="12"/>
  <c r="BH71" i="12"/>
  <c r="BI71" i="12"/>
  <c r="BJ71" i="12"/>
  <c r="BK71" i="12"/>
  <c r="BL71" i="12"/>
  <c r="BM71" i="12"/>
  <c r="BN71" i="12"/>
  <c r="BO71" i="12"/>
  <c r="BP71" i="12"/>
  <c r="BQ71" i="12"/>
  <c r="BR71" i="12"/>
  <c r="BS71" i="12"/>
  <c r="BT71" i="12"/>
  <c r="BU71" i="12"/>
  <c r="BV71" i="12"/>
  <c r="BW71" i="12"/>
  <c r="BE72" i="12"/>
  <c r="BF72" i="12"/>
  <c r="BG72" i="12"/>
  <c r="BH72" i="12"/>
  <c r="BI72" i="12"/>
  <c r="BJ72" i="12"/>
  <c r="BK72" i="12"/>
  <c r="BL72" i="12"/>
  <c r="BM72" i="12"/>
  <c r="BN72" i="12"/>
  <c r="BO72" i="12"/>
  <c r="BP72" i="12"/>
  <c r="BQ72" i="12"/>
  <c r="BR72" i="12"/>
  <c r="BS72" i="12"/>
  <c r="BT72" i="12"/>
  <c r="BU72" i="12"/>
  <c r="BV72" i="12"/>
  <c r="BW72" i="12"/>
  <c r="BH31" i="12"/>
  <c r="BH73" i="12"/>
  <c r="BJ31" i="12"/>
  <c r="BJ73" i="12"/>
  <c r="BK31" i="12"/>
  <c r="BK73" i="12"/>
  <c r="BL31" i="12"/>
  <c r="BL73" i="12"/>
  <c r="BM31" i="12"/>
  <c r="BM73" i="12"/>
  <c r="BW73" i="12"/>
  <c r="BD73" i="12"/>
  <c r="BD72" i="12"/>
  <c r="BD71" i="12"/>
  <c r="BD68" i="12"/>
  <c r="BD67" i="12"/>
  <c r="BD66" i="12"/>
  <c r="BD63" i="12"/>
  <c r="BD62" i="12"/>
  <c r="BD61" i="12"/>
  <c r="BC73" i="12"/>
  <c r="BC72" i="12"/>
  <c r="BC71" i="12"/>
  <c r="BC68" i="12"/>
  <c r="BC67" i="12"/>
  <c r="BC66" i="12"/>
  <c r="BC63" i="12"/>
  <c r="BC62" i="12"/>
  <c r="BC61" i="12"/>
  <c r="BB73" i="12"/>
  <c r="BB72" i="12"/>
  <c r="BB71" i="12"/>
  <c r="BB68" i="12"/>
  <c r="BB67" i="12"/>
  <c r="BB66" i="12"/>
  <c r="BB63" i="12"/>
  <c r="BB62" i="12"/>
  <c r="BB61" i="12"/>
  <c r="BA73" i="12"/>
  <c r="BA72" i="12"/>
  <c r="BA71" i="12"/>
  <c r="BA68" i="12"/>
  <c r="BA67" i="12"/>
  <c r="BA66" i="12"/>
  <c r="BA63" i="12"/>
  <c r="BA62" i="12"/>
  <c r="BA61" i="12"/>
  <c r="AZ73" i="12"/>
  <c r="AZ72" i="12"/>
  <c r="AZ71" i="12"/>
  <c r="AZ68" i="12"/>
  <c r="AZ67" i="12"/>
  <c r="AZ66" i="12"/>
  <c r="AZ63" i="12"/>
  <c r="AZ62" i="12"/>
  <c r="AZ61" i="12"/>
  <c r="AY73" i="12"/>
  <c r="AY72" i="12"/>
  <c r="AY71" i="12"/>
  <c r="AY68" i="12"/>
  <c r="AY67" i="12"/>
  <c r="AY66" i="12"/>
  <c r="AY63" i="12"/>
  <c r="AY62" i="12"/>
  <c r="AY61" i="12"/>
  <c r="AX73" i="12"/>
  <c r="AX72" i="12"/>
  <c r="AX71" i="12"/>
  <c r="AX68" i="12"/>
  <c r="AX67" i="12"/>
  <c r="AX66" i="12"/>
  <c r="AX63" i="12"/>
  <c r="AX62" i="12"/>
  <c r="AX61" i="12"/>
  <c r="AW73" i="12"/>
  <c r="AW72" i="12"/>
  <c r="AW71" i="12"/>
  <c r="AW68" i="12"/>
  <c r="AW67" i="12"/>
  <c r="AW66" i="12"/>
  <c r="AW63" i="12"/>
  <c r="AW62" i="12"/>
  <c r="AW61" i="12"/>
  <c r="AV73" i="12"/>
  <c r="AV72" i="12"/>
  <c r="AV71" i="12"/>
  <c r="AV68" i="12"/>
  <c r="AV67" i="12"/>
  <c r="AV66" i="12"/>
  <c r="AV63" i="12"/>
  <c r="AV62" i="12"/>
  <c r="AV61" i="12"/>
  <c r="AU73" i="12"/>
  <c r="AU72" i="12"/>
  <c r="AU71" i="12"/>
  <c r="AU68" i="12"/>
  <c r="AU67" i="12"/>
  <c r="AU66" i="12"/>
  <c r="AU63" i="12"/>
  <c r="AU62" i="12"/>
  <c r="AU61" i="12"/>
  <c r="AP33" i="12"/>
  <c r="AP75" i="12"/>
  <c r="AP112" i="12"/>
  <c r="AP22" i="12"/>
  <c r="AP65" i="12"/>
  <c r="AP111" i="12"/>
  <c r="AP57" i="12"/>
  <c r="AP58" i="12"/>
  <c r="AP70" i="12"/>
  <c r="AP110" i="12"/>
  <c r="U32" i="12"/>
  <c r="T32" i="12"/>
  <c r="AP32" i="12"/>
  <c r="AP74" i="12"/>
  <c r="AP109" i="12"/>
  <c r="AP64" i="12"/>
  <c r="AP108" i="12"/>
  <c r="AP48" i="12"/>
  <c r="AP49" i="12"/>
  <c r="AP69" i="12"/>
  <c r="AP107" i="12"/>
  <c r="AL33" i="12"/>
  <c r="AL75" i="12"/>
  <c r="AL112" i="12"/>
  <c r="AL22" i="12"/>
  <c r="AL65" i="12"/>
  <c r="AL111" i="12"/>
  <c r="AL57" i="12"/>
  <c r="AL58" i="12"/>
  <c r="AL70" i="12"/>
  <c r="AL110" i="12"/>
  <c r="AL32" i="12"/>
  <c r="AL74" i="12"/>
  <c r="AL109" i="12"/>
  <c r="AL21" i="12"/>
  <c r="AL64" i="12"/>
  <c r="AL108" i="12"/>
  <c r="AL48" i="12"/>
  <c r="AL49" i="12"/>
  <c r="AL69" i="12"/>
  <c r="AL107" i="12"/>
  <c r="AP31" i="12"/>
  <c r="AP73" i="12"/>
  <c r="AP104" i="12"/>
  <c r="AP20" i="12"/>
  <c r="AP63" i="12"/>
  <c r="AP103" i="12"/>
  <c r="AP47" i="12"/>
  <c r="AP68" i="12"/>
  <c r="AP102" i="12"/>
  <c r="AP30" i="12"/>
  <c r="AP72" i="12"/>
  <c r="AP101" i="12"/>
  <c r="AP62" i="12"/>
  <c r="AP100" i="12"/>
  <c r="AP46" i="12"/>
  <c r="AP67" i="12"/>
  <c r="AP99" i="12"/>
  <c r="U29" i="12"/>
  <c r="T29" i="12"/>
  <c r="AP29" i="12"/>
  <c r="AP71" i="12"/>
  <c r="AP98" i="12"/>
  <c r="AP61" i="12"/>
  <c r="AP97" i="12"/>
  <c r="U45" i="12"/>
  <c r="T45" i="12"/>
  <c r="AP45" i="12"/>
  <c r="AP66" i="12"/>
  <c r="AP96" i="12"/>
  <c r="AL31" i="12"/>
  <c r="AL73" i="12"/>
  <c r="AL104" i="12"/>
  <c r="AL20" i="12"/>
  <c r="AL63" i="12"/>
  <c r="AL103" i="12"/>
  <c r="AL47" i="12"/>
  <c r="AL68" i="12"/>
  <c r="AL102" i="12"/>
  <c r="AL30" i="12"/>
  <c r="AL72" i="12"/>
  <c r="AL101" i="12"/>
  <c r="AL19" i="12"/>
  <c r="AL62" i="12"/>
  <c r="AL100" i="12"/>
  <c r="AL46" i="12"/>
  <c r="AL67" i="12"/>
  <c r="AL99" i="12"/>
  <c r="AL29" i="12"/>
  <c r="AL71" i="12"/>
  <c r="AL98" i="12"/>
  <c r="AL18" i="12"/>
  <c r="AL61" i="12"/>
  <c r="AL97" i="12"/>
  <c r="AL45" i="12"/>
  <c r="AL66" i="12"/>
  <c r="AL96" i="12"/>
  <c r="AP28" i="12"/>
  <c r="AP92" i="12"/>
  <c r="AP27" i="12"/>
  <c r="AP91" i="12"/>
  <c r="AP26" i="12"/>
  <c r="AP90" i="12"/>
  <c r="AP24" i="12"/>
  <c r="AP25" i="12"/>
  <c r="AP89" i="12"/>
  <c r="AP23" i="12"/>
  <c r="AP88" i="12"/>
  <c r="AP42" i="12"/>
  <c r="AP43" i="12"/>
  <c r="AP87" i="12"/>
  <c r="AP37" i="12"/>
  <c r="AP86" i="12"/>
  <c r="AP36" i="12"/>
  <c r="AP85" i="12"/>
  <c r="AP35" i="12"/>
  <c r="AP84" i="12"/>
  <c r="AP34" i="12"/>
  <c r="AP83" i="12"/>
  <c r="AP17" i="12"/>
  <c r="AP82" i="12"/>
  <c r="AP16" i="12"/>
  <c r="AP81" i="12"/>
  <c r="AP15" i="12"/>
  <c r="AP80" i="12"/>
  <c r="AP14" i="12"/>
  <c r="AP79" i="12"/>
  <c r="AP78" i="12"/>
  <c r="AN28" i="12"/>
  <c r="AN92" i="12"/>
  <c r="AN27" i="12"/>
  <c r="AN91" i="12"/>
  <c r="AN26" i="12"/>
  <c r="AN90" i="12"/>
  <c r="AN24" i="12"/>
  <c r="AN25" i="12"/>
  <c r="AN89" i="12"/>
  <c r="AN23" i="12"/>
  <c r="AN88" i="12"/>
  <c r="AN42" i="12"/>
  <c r="AN43" i="12"/>
  <c r="AN87" i="12"/>
  <c r="AN37" i="12"/>
  <c r="AN86" i="12"/>
  <c r="AN36" i="12"/>
  <c r="AN85" i="12"/>
  <c r="AN35" i="12"/>
  <c r="AN84" i="12"/>
  <c r="AN34" i="12"/>
  <c r="AN83" i="12"/>
  <c r="AN17" i="12"/>
  <c r="AN82" i="12"/>
  <c r="AN16" i="12"/>
  <c r="AN81" i="12"/>
  <c r="AN15" i="12"/>
  <c r="AN80" i="12"/>
  <c r="AN14" i="12"/>
  <c r="AN79" i="12"/>
  <c r="AN13" i="12"/>
  <c r="AN78" i="12"/>
  <c r="AM28" i="12"/>
  <c r="AM92" i="12"/>
  <c r="AM27" i="12"/>
  <c r="AM91" i="12"/>
  <c r="AM26" i="12"/>
  <c r="AM90" i="12"/>
  <c r="AM24" i="12"/>
  <c r="AM25" i="12"/>
  <c r="AM89" i="12"/>
  <c r="AM23" i="12"/>
  <c r="AM88" i="12"/>
  <c r="AM42" i="12"/>
  <c r="AM43" i="12"/>
  <c r="AM87" i="12"/>
  <c r="AM37" i="12"/>
  <c r="AM86" i="12"/>
  <c r="AM36" i="12"/>
  <c r="AM85" i="12"/>
  <c r="AM35" i="12"/>
  <c r="AM84" i="12"/>
  <c r="AM34" i="12"/>
  <c r="AM83" i="12"/>
  <c r="AM17" i="12"/>
  <c r="AM82" i="12"/>
  <c r="AM16" i="12"/>
  <c r="AM81" i="12"/>
  <c r="AM15" i="12"/>
  <c r="AM80" i="12"/>
  <c r="AM14" i="12"/>
  <c r="AM79" i="12"/>
  <c r="AM13" i="12"/>
  <c r="AM78" i="12"/>
  <c r="AL26" i="12"/>
  <c r="AL90" i="12"/>
  <c r="AL24" i="12"/>
  <c r="AL25" i="12"/>
  <c r="AL89" i="12"/>
  <c r="AL42" i="12"/>
  <c r="AL43" i="12"/>
  <c r="AP40" i="12"/>
  <c r="AP41" i="12"/>
  <c r="AN40" i="12"/>
  <c r="AN41" i="12"/>
  <c r="AM40" i="12"/>
  <c r="AM41" i="12"/>
  <c r="AL40" i="12"/>
  <c r="AL41" i="12"/>
  <c r="AP38" i="12"/>
  <c r="AP39" i="12"/>
  <c r="AN38" i="12"/>
  <c r="AN39" i="12"/>
  <c r="AM38" i="12"/>
  <c r="AM39" i="12"/>
  <c r="AL38" i="12"/>
  <c r="AL39" i="12"/>
  <c r="AP53" i="12"/>
  <c r="AN53" i="12"/>
  <c r="AM53" i="12"/>
  <c r="AL53" i="12"/>
  <c r="AP51" i="12"/>
  <c r="AN51" i="12"/>
  <c r="AM51" i="12"/>
  <c r="AL51" i="12"/>
  <c r="AL37" i="12"/>
  <c r="AP52" i="12"/>
  <c r="AN52" i="12"/>
  <c r="AM52" i="12"/>
  <c r="AL52" i="12"/>
  <c r="AP50" i="12"/>
  <c r="AN50" i="12"/>
  <c r="AM50" i="12"/>
  <c r="AL50" i="12"/>
  <c r="U55" i="12"/>
  <c r="T55" i="12"/>
  <c r="AP55" i="12"/>
  <c r="AN55" i="12"/>
  <c r="AM55" i="12"/>
  <c r="AL55" i="12"/>
  <c r="U54" i="12"/>
  <c r="T54" i="12"/>
  <c r="AP54" i="12"/>
  <c r="AN54" i="12"/>
  <c r="AM54" i="12"/>
  <c r="AL54" i="12"/>
  <c r="AL28" i="12"/>
  <c r="AL92" i="12"/>
  <c r="AL27" i="12"/>
  <c r="AL91" i="12"/>
  <c r="AL23" i="12"/>
  <c r="AL88" i="12"/>
  <c r="AL87" i="12"/>
  <c r="AL86" i="12"/>
  <c r="AL36" i="12"/>
  <c r="AL85" i="12"/>
  <c r="AL35" i="12"/>
  <c r="AL84" i="12"/>
  <c r="AL34" i="12"/>
  <c r="AL83" i="12"/>
  <c r="AL17" i="12"/>
  <c r="AL82" i="12"/>
  <c r="AL16" i="12"/>
  <c r="AL81" i="12"/>
  <c r="AL15" i="12"/>
  <c r="AL80" i="12"/>
  <c r="AL14" i="12"/>
  <c r="AL79" i="12"/>
  <c r="AL13" i="12"/>
  <c r="AL78" i="12"/>
  <c r="AT58" i="12"/>
  <c r="AS58" i="12"/>
  <c r="AR58" i="12"/>
  <c r="AQ58" i="12"/>
  <c r="AO58" i="12"/>
  <c r="AK58" i="12"/>
  <c r="AJ58" i="12"/>
  <c r="AI58" i="12"/>
  <c r="AH58" i="12"/>
  <c r="AT57" i="12"/>
  <c r="AS57" i="12"/>
  <c r="AR57" i="12"/>
  <c r="AQ57" i="12"/>
  <c r="AO57" i="12"/>
  <c r="AK57" i="12"/>
  <c r="AJ57" i="12"/>
  <c r="AI57" i="12"/>
  <c r="AH57" i="12"/>
  <c r="AT56" i="12"/>
  <c r="AS56" i="12"/>
  <c r="AQ56" i="12"/>
  <c r="AP56" i="12"/>
  <c r="AO56" i="12"/>
  <c r="AN56" i="12"/>
  <c r="AM56" i="12"/>
  <c r="AL56" i="12"/>
  <c r="AK56" i="12"/>
  <c r="AJ56" i="12"/>
  <c r="AI56" i="12"/>
  <c r="AH56" i="12"/>
  <c r="AO55" i="12"/>
  <c r="AK55" i="12"/>
  <c r="AJ55" i="12"/>
  <c r="AH55" i="12"/>
  <c r="AO54" i="12"/>
  <c r="AK54" i="12"/>
  <c r="AJ54" i="12"/>
  <c r="AI54" i="12"/>
  <c r="AH54" i="12"/>
  <c r="AT53" i="12"/>
  <c r="AS53" i="12"/>
  <c r="AR53" i="12"/>
  <c r="AQ53" i="12"/>
  <c r="AO53" i="12"/>
  <c r="AK53" i="12"/>
  <c r="AJ53" i="12"/>
  <c r="AI53" i="12"/>
  <c r="AH53" i="12"/>
  <c r="AT52" i="12"/>
  <c r="AS52" i="12"/>
  <c r="AR52" i="12"/>
  <c r="AQ52" i="12"/>
  <c r="AO52" i="12"/>
  <c r="AK52" i="12"/>
  <c r="AJ52" i="12"/>
  <c r="AI52" i="12"/>
  <c r="AH52" i="12"/>
  <c r="AT51" i="12"/>
  <c r="AS51" i="12"/>
  <c r="AR51" i="12"/>
  <c r="AQ51" i="12"/>
  <c r="AO51" i="12"/>
  <c r="AK51" i="12"/>
  <c r="AJ51" i="12"/>
  <c r="AI51" i="12"/>
  <c r="AH51" i="12"/>
  <c r="AT50" i="12"/>
  <c r="AS50" i="12"/>
  <c r="AR50" i="12"/>
  <c r="AQ50" i="12"/>
  <c r="AO50" i="12"/>
  <c r="AK50" i="12"/>
  <c r="AJ50" i="12"/>
  <c r="AI50" i="12"/>
  <c r="AH50" i="12"/>
  <c r="AT49" i="12"/>
  <c r="AS49" i="12"/>
  <c r="AR49" i="12"/>
  <c r="AQ49" i="12"/>
  <c r="AO49" i="12"/>
  <c r="AK49" i="12"/>
  <c r="AJ49" i="12"/>
  <c r="AI49" i="12"/>
  <c r="AH49" i="12"/>
  <c r="AT48" i="12"/>
  <c r="AS48" i="12"/>
  <c r="AR48" i="12"/>
  <c r="AQ48" i="12"/>
  <c r="AO48" i="12"/>
  <c r="AK48" i="12"/>
  <c r="AJ48" i="12"/>
  <c r="AI48" i="12"/>
  <c r="AH48" i="12"/>
  <c r="AT47" i="12"/>
  <c r="AS47" i="12"/>
  <c r="AQ47" i="12"/>
  <c r="AO47" i="12"/>
  <c r="AH47" i="12"/>
  <c r="AT46" i="12"/>
  <c r="AS46" i="12"/>
  <c r="AQ46" i="12"/>
  <c r="AO46" i="12"/>
  <c r="AK46" i="12"/>
  <c r="AJ46" i="12"/>
  <c r="AI46" i="12"/>
  <c r="AH46" i="12"/>
  <c r="AT44" i="12"/>
  <c r="AS44" i="12"/>
  <c r="AQ44" i="12"/>
  <c r="AP44" i="12"/>
  <c r="AN44" i="12"/>
  <c r="AM44" i="12"/>
  <c r="AL44" i="12"/>
  <c r="AK44" i="12"/>
  <c r="AJ44" i="12"/>
  <c r="AI44" i="12"/>
  <c r="AH44" i="12"/>
  <c r="S44" i="12"/>
  <c r="AT43" i="12"/>
  <c r="AS43" i="12"/>
  <c r="AR43" i="12"/>
  <c r="AQ43" i="12"/>
  <c r="AO43" i="12"/>
  <c r="AT42" i="12"/>
  <c r="AS42" i="12"/>
  <c r="AR42" i="12"/>
  <c r="AQ42" i="12"/>
  <c r="AO42" i="12"/>
  <c r="AK42" i="12"/>
  <c r="AJ42" i="12"/>
  <c r="AI42" i="12"/>
  <c r="AH42" i="12"/>
  <c r="AT41" i="12"/>
  <c r="AS41" i="12"/>
  <c r="AR41" i="12"/>
  <c r="AQ41" i="12"/>
  <c r="AO41" i="12"/>
  <c r="AT40" i="12"/>
  <c r="AS40" i="12"/>
  <c r="AR40" i="12"/>
  <c r="AQ40" i="12"/>
  <c r="AO40" i="12"/>
  <c r="AK40" i="12"/>
  <c r="AJ40" i="12"/>
  <c r="AI40" i="12"/>
  <c r="AH40" i="12"/>
  <c r="AT39" i="12"/>
  <c r="AS39" i="12"/>
  <c r="AR39" i="12"/>
  <c r="AQ39" i="12"/>
  <c r="AO39" i="12"/>
  <c r="AT38" i="12"/>
  <c r="AS38" i="12"/>
  <c r="AR38" i="12"/>
  <c r="AQ38" i="12"/>
  <c r="AO38" i="12"/>
  <c r="AK38" i="12"/>
  <c r="AJ38" i="12"/>
  <c r="AI38" i="12"/>
  <c r="AH38" i="12"/>
  <c r="AT37" i="12"/>
  <c r="AS37" i="12"/>
  <c r="AR37" i="12"/>
  <c r="AQ37" i="12"/>
  <c r="AO37" i="12"/>
  <c r="AK37" i="12"/>
  <c r="AJ37" i="12"/>
  <c r="AI37" i="12"/>
  <c r="AH37" i="12"/>
  <c r="AG36" i="12"/>
  <c r="AT36" i="12"/>
  <c r="AF36" i="12"/>
  <c r="AS36" i="12"/>
  <c r="AE36" i="12"/>
  <c r="AR36" i="12"/>
  <c r="AQ36" i="12"/>
  <c r="AO36" i="12"/>
  <c r="AK36" i="12"/>
  <c r="AJ36" i="12"/>
  <c r="AI36" i="12"/>
  <c r="AH36" i="12"/>
  <c r="AT35" i="12"/>
  <c r="AS35" i="12"/>
  <c r="AQ35" i="12"/>
  <c r="AO35" i="12"/>
  <c r="AK35" i="12"/>
  <c r="AJ35" i="12"/>
  <c r="AI35" i="12"/>
  <c r="AH35" i="12"/>
  <c r="AT34" i="12"/>
  <c r="AS34" i="12"/>
  <c r="AQ34" i="12"/>
  <c r="AO34" i="12"/>
  <c r="AK34" i="12"/>
  <c r="AJ34" i="12"/>
  <c r="AI34" i="12"/>
  <c r="AH34" i="12"/>
  <c r="AT33" i="12"/>
  <c r="AS33" i="12"/>
  <c r="AQ33" i="12"/>
  <c r="AO33" i="12"/>
  <c r="AK33" i="12"/>
  <c r="AJ33" i="12"/>
  <c r="AI33" i="12"/>
  <c r="AH33" i="12"/>
  <c r="AK32" i="12"/>
  <c r="AJ32" i="12"/>
  <c r="AI32" i="12"/>
  <c r="AH32" i="12"/>
  <c r="AT31" i="12"/>
  <c r="AS31" i="12"/>
  <c r="AQ31" i="12"/>
  <c r="AO31" i="12"/>
  <c r="AK31" i="12"/>
  <c r="AJ31" i="12"/>
  <c r="AI31" i="12"/>
  <c r="AH31" i="12"/>
  <c r="AT30" i="12"/>
  <c r="AS30" i="12"/>
  <c r="AQ30" i="12"/>
  <c r="AO30" i="12"/>
  <c r="AK30" i="12"/>
  <c r="AJ30" i="12"/>
  <c r="AI30" i="12"/>
  <c r="AH30" i="12"/>
  <c r="AK29" i="12"/>
  <c r="AJ29" i="12"/>
  <c r="AI29" i="12"/>
  <c r="AH29" i="12"/>
  <c r="AT28" i="12"/>
  <c r="AS28" i="12"/>
  <c r="AQ28" i="12"/>
  <c r="AK28" i="12"/>
  <c r="AJ28" i="12"/>
  <c r="AI28" i="12"/>
  <c r="AH28" i="12"/>
  <c r="AT27" i="12"/>
  <c r="AS27" i="12"/>
  <c r="AQ27" i="12"/>
  <c r="AK27" i="12"/>
  <c r="AJ27" i="12"/>
  <c r="AI27" i="12"/>
  <c r="AH27" i="12"/>
  <c r="AT26" i="12"/>
  <c r="AS26" i="12"/>
  <c r="AQ26" i="12"/>
  <c r="AK26" i="12"/>
  <c r="AJ26" i="12"/>
  <c r="AI26" i="12"/>
  <c r="AH26" i="12"/>
  <c r="AK25" i="12"/>
  <c r="AJ25" i="12"/>
  <c r="AI25" i="12"/>
  <c r="AH25" i="12"/>
  <c r="AT24" i="12"/>
  <c r="AS24" i="12"/>
  <c r="AQ24" i="12"/>
  <c r="AK24" i="12"/>
  <c r="AJ24" i="12"/>
  <c r="AI24" i="12"/>
  <c r="AH24" i="12"/>
  <c r="AK23" i="12"/>
  <c r="AJ23" i="12"/>
  <c r="AI23" i="12"/>
  <c r="AH23" i="12"/>
  <c r="AT22" i="12"/>
  <c r="AS22" i="12"/>
  <c r="AQ22" i="12"/>
  <c r="AK22" i="12"/>
  <c r="AJ22" i="12"/>
  <c r="AI22" i="12"/>
  <c r="AH22" i="12"/>
  <c r="AT21" i="12"/>
  <c r="AS21" i="12"/>
  <c r="AQ21" i="12"/>
  <c r="AK21" i="12"/>
  <c r="AJ21" i="12"/>
  <c r="AI21" i="12"/>
  <c r="AH21" i="12"/>
  <c r="AT20" i="12"/>
  <c r="AS20" i="12"/>
  <c r="AQ20" i="12"/>
  <c r="AO20" i="12"/>
  <c r="AK20" i="12"/>
  <c r="AJ20" i="12"/>
  <c r="AI20" i="12"/>
  <c r="AH20" i="12"/>
  <c r="AT19" i="12"/>
  <c r="AS19" i="12"/>
  <c r="AQ19" i="12"/>
  <c r="AO19" i="12"/>
  <c r="AK19" i="12"/>
  <c r="AJ19" i="12"/>
  <c r="AI19" i="12"/>
  <c r="AH19" i="12"/>
  <c r="AK18" i="12"/>
  <c r="AJ18" i="12"/>
  <c r="AI18" i="12"/>
  <c r="AH18" i="12"/>
  <c r="AT17" i="12"/>
  <c r="AS17" i="12"/>
  <c r="AQ17" i="12"/>
  <c r="AK17" i="12"/>
  <c r="AJ17" i="12"/>
  <c r="AI17" i="12"/>
  <c r="AH17" i="12"/>
  <c r="AT16" i="12"/>
  <c r="AS16" i="12"/>
  <c r="AQ16" i="12"/>
  <c r="AK16" i="12"/>
  <c r="AJ16" i="12"/>
  <c r="AI16" i="12"/>
  <c r="AH16" i="12"/>
  <c r="AT15" i="12"/>
  <c r="AS15" i="12"/>
  <c r="AQ15" i="12"/>
  <c r="AK15" i="12"/>
  <c r="AJ15" i="12"/>
  <c r="AI15" i="12"/>
  <c r="AH15" i="12"/>
  <c r="AT14" i="12"/>
  <c r="AS14" i="12"/>
  <c r="AQ14" i="12"/>
  <c r="AO14" i="12"/>
  <c r="AK14" i="12"/>
  <c r="AJ14" i="12"/>
  <c r="AI14" i="12"/>
  <c r="AH14" i="12"/>
  <c r="AT13" i="12"/>
  <c r="AS13" i="12"/>
  <c r="AQ13" i="12"/>
  <c r="AK13" i="12"/>
  <c r="AJ13" i="12"/>
  <c r="AI13" i="12"/>
  <c r="AH13" i="12"/>
  <c r="AZ85" i="11"/>
  <c r="BA85" i="11"/>
  <c r="BB85" i="11"/>
  <c r="BC85" i="11"/>
  <c r="BD85" i="11"/>
  <c r="BE85" i="11"/>
  <c r="BF85" i="11"/>
  <c r="BG85" i="11"/>
  <c r="BH85" i="11"/>
  <c r="BI85" i="11"/>
  <c r="AZ86" i="11"/>
  <c r="BA86" i="11"/>
  <c r="BB86" i="11"/>
  <c r="BC86" i="11"/>
  <c r="BD86" i="11"/>
  <c r="BE86" i="11"/>
  <c r="BF86" i="11"/>
  <c r="BG86" i="11"/>
  <c r="BH86" i="11"/>
  <c r="BI86" i="11"/>
  <c r="AU34" i="11"/>
  <c r="AU85" i="11"/>
  <c r="AV34" i="11"/>
  <c r="AV85" i="11"/>
  <c r="AW34" i="11"/>
  <c r="AW85" i="11"/>
  <c r="AX34" i="11"/>
  <c r="AX85" i="11"/>
  <c r="AY26" i="11"/>
  <c r="AY34" i="11"/>
  <c r="AY85" i="11"/>
  <c r="AZ34" i="11"/>
  <c r="AU87" i="11"/>
  <c r="BA34" i="11"/>
  <c r="AV87" i="11"/>
  <c r="BB34" i="11"/>
  <c r="AW87" i="11"/>
  <c r="BC34" i="11"/>
  <c r="AX87" i="11"/>
  <c r="BD26" i="11"/>
  <c r="BD34" i="11"/>
  <c r="AY87" i="11"/>
  <c r="BE26" i="11"/>
  <c r="BE34" i="11"/>
  <c r="BE87" i="11"/>
  <c r="BF26" i="11"/>
  <c r="BF34" i="11"/>
  <c r="BF87" i="11"/>
  <c r="BG26" i="11"/>
  <c r="BG34" i="11"/>
  <c r="BG87" i="11"/>
  <c r="BH26" i="11"/>
  <c r="BH34" i="11"/>
  <c r="BH87" i="11"/>
  <c r="BI26" i="11"/>
  <c r="BI34" i="11"/>
  <c r="BI87" i="11"/>
  <c r="AV31" i="11"/>
  <c r="AV84" i="11"/>
  <c r="AW31" i="11"/>
  <c r="AW84" i="11"/>
  <c r="AX31" i="11"/>
  <c r="AX84" i="11"/>
  <c r="AY17" i="11"/>
  <c r="AY31" i="11"/>
  <c r="AY84" i="11"/>
  <c r="AZ31" i="11"/>
  <c r="AU86" i="11"/>
  <c r="BA31" i="11"/>
  <c r="AV86" i="11"/>
  <c r="BB31" i="11"/>
  <c r="AW86" i="11"/>
  <c r="BC31" i="11"/>
  <c r="AX86" i="11"/>
  <c r="BD17" i="11"/>
  <c r="BD31" i="11"/>
  <c r="AY86" i="11"/>
  <c r="BE17" i="11"/>
  <c r="BE31" i="11"/>
  <c r="BE84" i="11"/>
  <c r="BF17" i="11"/>
  <c r="BF31" i="11"/>
  <c r="BF84" i="11"/>
  <c r="BG17" i="11"/>
  <c r="BG31" i="11"/>
  <c r="BG84" i="11"/>
  <c r="BH17" i="11"/>
  <c r="BH31" i="11"/>
  <c r="BH84" i="11"/>
  <c r="BI17" i="11"/>
  <c r="BI31" i="11"/>
  <c r="BI84" i="11"/>
  <c r="AU31" i="11"/>
  <c r="AU84" i="11"/>
  <c r="BY80" i="11"/>
  <c r="BY79" i="11"/>
  <c r="AG25" i="11"/>
  <c r="BV25" i="11"/>
  <c r="AG26" i="11"/>
  <c r="BV26" i="11"/>
  <c r="BV34" i="11"/>
  <c r="BY70" i="11"/>
  <c r="BY78" i="11"/>
  <c r="AG16" i="11"/>
  <c r="BV16" i="11"/>
  <c r="AG17" i="11"/>
  <c r="BV17" i="11"/>
  <c r="BV31" i="11"/>
  <c r="BY66" i="11"/>
  <c r="BY77" i="11"/>
  <c r="BY76" i="11"/>
  <c r="BY75" i="11"/>
  <c r="BY74" i="11"/>
  <c r="BY73" i="11"/>
  <c r="BM26" i="11"/>
  <c r="BM34" i="11"/>
  <c r="BX71" i="11"/>
  <c r="BX80" i="11"/>
  <c r="BM17" i="11"/>
  <c r="BM31" i="11"/>
  <c r="BX67" i="11"/>
  <c r="BX79" i="11"/>
  <c r="BL26" i="11"/>
  <c r="BL34" i="11"/>
  <c r="BX70" i="11"/>
  <c r="BX78" i="11"/>
  <c r="BL17" i="11"/>
  <c r="BL31" i="11"/>
  <c r="BX66" i="11"/>
  <c r="BX77" i="11"/>
  <c r="BK26" i="11"/>
  <c r="BK34" i="11"/>
  <c r="BX69" i="11"/>
  <c r="BX76" i="11"/>
  <c r="BK17" i="11"/>
  <c r="BK31" i="11"/>
  <c r="BX65" i="11"/>
  <c r="BX75" i="11"/>
  <c r="BJ26" i="11"/>
  <c r="BJ34" i="11"/>
  <c r="BX68" i="11"/>
  <c r="BX74" i="11"/>
  <c r="BJ17" i="11"/>
  <c r="BJ31" i="11"/>
  <c r="BX64" i="11"/>
  <c r="BX73" i="11"/>
  <c r="BU26" i="11"/>
  <c r="BU34" i="11"/>
  <c r="BW71" i="11"/>
  <c r="BW80" i="11"/>
  <c r="BU17" i="11"/>
  <c r="BU31" i="11"/>
  <c r="BW67" i="11"/>
  <c r="BW79" i="11"/>
  <c r="BT26" i="11"/>
  <c r="BT34" i="11"/>
  <c r="BW70" i="11"/>
  <c r="BW78" i="11"/>
  <c r="BT17" i="11"/>
  <c r="BT31" i="11"/>
  <c r="BW66" i="11"/>
  <c r="BW77" i="11"/>
  <c r="BS26" i="11"/>
  <c r="BS34" i="11"/>
  <c r="BW69" i="11"/>
  <c r="BW76" i="11"/>
  <c r="BS17" i="11"/>
  <c r="BS31" i="11"/>
  <c r="BW65" i="11"/>
  <c r="BW75" i="11"/>
  <c r="BR26" i="11"/>
  <c r="BR34" i="11"/>
  <c r="BW68" i="11"/>
  <c r="BW74" i="11"/>
  <c r="BR17" i="11"/>
  <c r="BR31" i="11"/>
  <c r="BW64" i="11"/>
  <c r="BW73" i="11"/>
  <c r="BQ26" i="11"/>
  <c r="BQ34" i="11"/>
  <c r="BV71" i="11"/>
  <c r="BV80" i="11"/>
  <c r="BQ17" i="11"/>
  <c r="BQ31" i="11"/>
  <c r="BV67" i="11"/>
  <c r="BV79" i="11"/>
  <c r="BP26" i="11"/>
  <c r="BP34" i="11"/>
  <c r="BV70" i="11"/>
  <c r="BV78" i="11"/>
  <c r="BP17" i="11"/>
  <c r="BP31" i="11"/>
  <c r="BV66" i="11"/>
  <c r="BV77" i="11"/>
  <c r="BO26" i="11"/>
  <c r="BO34" i="11"/>
  <c r="BV69" i="11"/>
  <c r="BV76" i="11"/>
  <c r="BO17" i="11"/>
  <c r="BO31" i="11"/>
  <c r="BV65" i="11"/>
  <c r="BV75" i="11"/>
  <c r="BW55" i="11"/>
  <c r="AF13" i="11"/>
  <c r="BW13" i="11"/>
  <c r="BW54" i="11"/>
  <c r="AF11" i="11"/>
  <c r="BW11" i="11"/>
  <c r="BW53" i="11"/>
  <c r="AF9" i="11"/>
  <c r="BW9" i="11"/>
  <c r="BW52" i="11"/>
  <c r="AF8" i="11"/>
  <c r="BW8" i="11"/>
  <c r="BW51" i="11"/>
  <c r="BW49" i="11"/>
  <c r="BW48" i="11"/>
  <c r="BW47" i="11"/>
  <c r="BW46" i="11"/>
  <c r="BW45" i="11"/>
  <c r="BV55" i="11"/>
  <c r="AG13" i="11"/>
  <c r="BV13" i="11"/>
  <c r="BV54" i="11"/>
  <c r="AG11" i="11"/>
  <c r="BV11" i="11"/>
  <c r="BV53" i="11"/>
  <c r="AG9" i="11"/>
  <c r="BV9" i="11"/>
  <c r="BV52" i="11"/>
  <c r="AG8" i="11"/>
  <c r="BV8" i="11"/>
  <c r="BV51" i="11"/>
  <c r="BV49" i="11"/>
  <c r="BV48" i="11"/>
  <c r="BV47" i="11"/>
  <c r="BV46" i="11"/>
  <c r="BV45" i="11"/>
  <c r="AF25" i="11"/>
  <c r="BW25" i="11"/>
  <c r="AF26" i="11"/>
  <c r="BW26" i="11"/>
  <c r="BW40" i="11"/>
  <c r="AF20" i="11"/>
  <c r="BW20" i="11"/>
  <c r="AF21" i="11"/>
  <c r="BW21" i="11"/>
  <c r="BW39" i="11"/>
  <c r="AF18" i="11"/>
  <c r="BW18" i="11"/>
  <c r="AF19" i="11"/>
  <c r="BW19" i="11"/>
  <c r="BW38" i="11"/>
  <c r="AF16" i="11"/>
  <c r="BW16" i="11"/>
  <c r="AF17" i="11"/>
  <c r="BW17" i="11"/>
  <c r="BW37" i="11"/>
  <c r="BW34" i="11"/>
  <c r="BW33" i="11"/>
  <c r="BW32" i="11"/>
  <c r="BW31" i="11"/>
  <c r="BV40" i="11"/>
  <c r="AG20" i="11"/>
  <c r="BV20" i="11"/>
  <c r="AG21" i="11"/>
  <c r="BV21" i="11"/>
  <c r="BV39" i="11"/>
  <c r="AG18" i="11"/>
  <c r="BV18" i="11"/>
  <c r="AG19" i="11"/>
  <c r="BV19" i="11"/>
  <c r="BV38" i="11"/>
  <c r="BV37" i="11"/>
  <c r="BV33" i="11"/>
  <c r="BV32" i="11"/>
  <c r="AT13" i="11"/>
  <c r="AS13" i="11"/>
  <c r="AT55" i="11"/>
  <c r="AT54" i="11"/>
  <c r="J11" i="11"/>
  <c r="AT11" i="11"/>
  <c r="AT53" i="11"/>
  <c r="J9" i="11"/>
  <c r="AT9" i="11"/>
  <c r="AT52" i="11"/>
  <c r="AT8" i="11"/>
  <c r="AT51" i="11"/>
  <c r="AT49" i="11"/>
  <c r="AT48" i="11"/>
  <c r="AT47" i="11"/>
  <c r="AT46" i="11"/>
  <c r="AT45" i="11"/>
  <c r="AS55" i="11"/>
  <c r="AS54" i="11"/>
  <c r="AS11" i="11"/>
  <c r="AS53" i="11"/>
  <c r="AS9" i="11"/>
  <c r="AS52" i="11"/>
  <c r="AS8" i="11"/>
  <c r="AS51" i="11"/>
  <c r="AS49" i="11"/>
  <c r="AS48" i="11"/>
  <c r="AS47" i="11"/>
  <c r="AS46" i="11"/>
  <c r="AS45" i="11"/>
  <c r="AT16" i="11"/>
  <c r="AS25" i="11"/>
  <c r="AS26" i="11"/>
  <c r="AS40" i="11"/>
  <c r="AS20" i="11"/>
  <c r="AS21" i="11"/>
  <c r="AS39" i="11"/>
  <c r="AS18" i="11"/>
  <c r="AS19" i="11"/>
  <c r="AS38" i="11"/>
  <c r="AS16" i="11"/>
  <c r="AS17" i="11"/>
  <c r="AS37" i="11"/>
  <c r="AS34" i="11"/>
  <c r="AS33" i="11"/>
  <c r="AS32" i="11"/>
  <c r="AS31" i="11"/>
  <c r="AT25" i="11"/>
  <c r="AT26" i="11"/>
  <c r="AT40" i="11"/>
  <c r="AT20" i="11"/>
  <c r="AT21" i="11"/>
  <c r="AT39" i="11"/>
  <c r="AT18" i="11"/>
  <c r="AT19" i="11"/>
  <c r="AT38" i="11"/>
  <c r="AT17" i="11"/>
  <c r="AT37" i="11"/>
  <c r="AT34" i="11"/>
  <c r="AT33" i="11"/>
  <c r="AT32" i="11"/>
  <c r="AT31" i="11"/>
  <c r="AP13" i="11"/>
  <c r="AP14" i="11"/>
  <c r="AP48" i="11"/>
  <c r="AP61" i="11"/>
  <c r="AP60" i="11"/>
  <c r="AP8" i="11"/>
  <c r="AP45" i="11"/>
  <c r="AP59" i="11"/>
  <c r="AP58" i="11"/>
  <c r="AL13" i="11"/>
  <c r="AL14" i="11"/>
  <c r="AL48" i="11"/>
  <c r="AL61" i="11"/>
  <c r="AL60" i="11"/>
  <c r="AL45" i="11"/>
  <c r="AL59" i="11"/>
  <c r="AL58" i="11"/>
  <c r="AP9" i="11"/>
  <c r="AP10" i="11"/>
  <c r="AP11" i="11"/>
  <c r="AP12" i="11"/>
  <c r="AP15" i="11"/>
  <c r="U22" i="11"/>
  <c r="T22" i="11"/>
  <c r="AP22" i="11"/>
  <c r="AP55" i="11"/>
  <c r="AN15" i="11"/>
  <c r="AN55" i="11"/>
  <c r="AM15" i="11"/>
  <c r="AM55" i="11"/>
  <c r="AL15" i="11"/>
  <c r="AL55" i="11"/>
  <c r="AP54" i="11"/>
  <c r="AL54" i="11"/>
  <c r="AP53" i="11"/>
  <c r="AN11" i="11"/>
  <c r="AN12" i="11"/>
  <c r="AN53" i="11"/>
  <c r="AM11" i="11"/>
  <c r="AM12" i="11"/>
  <c r="AM53" i="11"/>
  <c r="AL11" i="11"/>
  <c r="AL12" i="11"/>
  <c r="AL53" i="11"/>
  <c r="AP52" i="11"/>
  <c r="AN9" i="11"/>
  <c r="AN10" i="11"/>
  <c r="AN52" i="11"/>
  <c r="AM9" i="11"/>
  <c r="AM10" i="11"/>
  <c r="AM52" i="11"/>
  <c r="AL9" i="11"/>
  <c r="AL10" i="11"/>
  <c r="AL52" i="11"/>
  <c r="AP51" i="11"/>
  <c r="AL51" i="11"/>
  <c r="AP49" i="11"/>
  <c r="AN49" i="11"/>
  <c r="AM49" i="11"/>
  <c r="AL49" i="11"/>
  <c r="AP47" i="11"/>
  <c r="AN47" i="11"/>
  <c r="AM47" i="11"/>
  <c r="AL47" i="11"/>
  <c r="AP46" i="11"/>
  <c r="AN46" i="11"/>
  <c r="AM46" i="11"/>
  <c r="AL46" i="11"/>
  <c r="AP40" i="11"/>
  <c r="AL40" i="11"/>
  <c r="U23" i="11"/>
  <c r="T23" i="11"/>
  <c r="AP23" i="11"/>
  <c r="AN23" i="11"/>
  <c r="AM23" i="11"/>
  <c r="AL23" i="11"/>
  <c r="AN22" i="11"/>
  <c r="AM22" i="11"/>
  <c r="AL22" i="11"/>
  <c r="AP39" i="11"/>
  <c r="AN39" i="11"/>
  <c r="AM39" i="11"/>
  <c r="AL39" i="11"/>
  <c r="AP38" i="11"/>
  <c r="AN38" i="11"/>
  <c r="AM38" i="11"/>
  <c r="AL38" i="11"/>
  <c r="AL37" i="11"/>
  <c r="AE26" i="11"/>
  <c r="AR26" i="11"/>
  <c r="AQ26" i="11"/>
  <c r="AO26" i="11"/>
  <c r="AK26" i="11"/>
  <c r="AJ26" i="11"/>
  <c r="AI26" i="11"/>
  <c r="AH26" i="11"/>
  <c r="AE25" i="11"/>
  <c r="AR25" i="11"/>
  <c r="AQ25" i="11"/>
  <c r="AO25" i="11"/>
  <c r="AK25" i="11"/>
  <c r="AJ25" i="11"/>
  <c r="AI25" i="11"/>
  <c r="AH25" i="11"/>
  <c r="AT24" i="11"/>
  <c r="AS24" i="11"/>
  <c r="AQ24" i="11"/>
  <c r="AP24" i="11"/>
  <c r="AO24" i="11"/>
  <c r="AN24" i="11"/>
  <c r="AM24" i="11"/>
  <c r="AL24" i="11"/>
  <c r="AK24" i="11"/>
  <c r="AJ24" i="11"/>
  <c r="AI24" i="11"/>
  <c r="AH24" i="11"/>
  <c r="AO23" i="11"/>
  <c r="AK23" i="11"/>
  <c r="AJ23" i="11"/>
  <c r="AH23" i="11"/>
  <c r="AO22" i="11"/>
  <c r="AK22" i="11"/>
  <c r="AJ22" i="11"/>
  <c r="AI22" i="11"/>
  <c r="AH22" i="11"/>
  <c r="AE21" i="11"/>
  <c r="AR21" i="11"/>
  <c r="AQ21" i="11"/>
  <c r="AO21" i="11"/>
  <c r="AK21" i="11"/>
  <c r="AJ21" i="11"/>
  <c r="AI21" i="11"/>
  <c r="AH21" i="11"/>
  <c r="AE20" i="11"/>
  <c r="AR20" i="11"/>
  <c r="AQ20" i="11"/>
  <c r="AO20" i="11"/>
  <c r="AK20" i="11"/>
  <c r="AJ20" i="11"/>
  <c r="AI20" i="11"/>
  <c r="AH20" i="11"/>
  <c r="AE19" i="11"/>
  <c r="AR19" i="11"/>
  <c r="AQ19" i="11"/>
  <c r="AO19" i="11"/>
  <c r="AK19" i="11"/>
  <c r="AJ19" i="11"/>
  <c r="AI19" i="11"/>
  <c r="AH19" i="11"/>
  <c r="AE18" i="11"/>
  <c r="AR18" i="11"/>
  <c r="AQ18" i="11"/>
  <c r="AO18" i="11"/>
  <c r="AK18" i="11"/>
  <c r="AJ18" i="11"/>
  <c r="AI18" i="11"/>
  <c r="AH18" i="11"/>
  <c r="AE17" i="11"/>
  <c r="AR17" i="11"/>
  <c r="AQ17" i="11"/>
  <c r="AO17" i="11"/>
  <c r="AK17" i="11"/>
  <c r="AJ17" i="11"/>
  <c r="AI17" i="11"/>
  <c r="AH17" i="11"/>
  <c r="AE16" i="11"/>
  <c r="AR16" i="11"/>
  <c r="AQ16" i="11"/>
  <c r="AO16" i="11"/>
  <c r="AK16" i="11"/>
  <c r="AJ16" i="11"/>
  <c r="AI16" i="11"/>
  <c r="AH16" i="11"/>
  <c r="AQ15" i="11"/>
  <c r="AK15" i="11"/>
  <c r="AJ15" i="11"/>
  <c r="AI15" i="11"/>
  <c r="AH15" i="11"/>
  <c r="S15" i="11"/>
  <c r="AR14" i="11"/>
  <c r="AQ14" i="11"/>
  <c r="AO14" i="11"/>
  <c r="AE13" i="11"/>
  <c r="AR13" i="11"/>
  <c r="AQ13" i="11"/>
  <c r="AO13" i="11"/>
  <c r="AK13" i="11"/>
  <c r="AJ13" i="11"/>
  <c r="AI13" i="11"/>
  <c r="AH13" i="11"/>
  <c r="AR12" i="11"/>
  <c r="AQ12" i="11"/>
  <c r="AO12" i="11"/>
  <c r="AE11" i="11"/>
  <c r="AR11" i="11"/>
  <c r="AQ11" i="11"/>
  <c r="AO11" i="11"/>
  <c r="AK11" i="11"/>
  <c r="AJ11" i="11"/>
  <c r="AI11" i="11"/>
  <c r="AH11" i="11"/>
  <c r="AR10" i="11"/>
  <c r="AQ10" i="11"/>
  <c r="AO10" i="11"/>
  <c r="AE9" i="11"/>
  <c r="AR9" i="11"/>
  <c r="AQ9" i="11"/>
  <c r="AO9" i="11"/>
  <c r="AK9" i="11"/>
  <c r="AJ9" i="11"/>
  <c r="AI9" i="11"/>
  <c r="AH9" i="11"/>
  <c r="AE8" i="11"/>
  <c r="AR8" i="11"/>
  <c r="AQ8" i="11"/>
  <c r="AO8" i="11"/>
  <c r="AK8" i="11"/>
  <c r="AJ8" i="11"/>
  <c r="AI8" i="11"/>
  <c r="AH8" i="11"/>
  <c r="AR11" i="2"/>
  <c r="AR13" i="2"/>
  <c r="AR46" i="2"/>
  <c r="AJ37" i="2"/>
  <c r="AL37" i="2"/>
  <c r="AI38" i="2"/>
  <c r="AK38" i="2"/>
  <c r="AM38" i="2"/>
  <c r="AO38" i="2"/>
  <c r="AP38" i="2"/>
  <c r="AN38" i="2"/>
  <c r="AM34" i="2"/>
  <c r="AO34" i="2"/>
  <c r="AP34" i="2"/>
  <c r="AN34" i="2"/>
  <c r="AR34" i="2"/>
  <c r="AS34" i="2"/>
  <c r="AU34" i="2"/>
  <c r="AV34" i="2"/>
  <c r="AM35" i="2"/>
  <c r="AO35" i="2"/>
  <c r="AP35" i="2"/>
  <c r="AN35" i="2"/>
  <c r="AR35" i="2"/>
  <c r="AS35" i="2"/>
  <c r="AU35" i="2"/>
  <c r="AV35" i="2"/>
  <c r="AM36" i="2"/>
  <c r="AO36" i="2"/>
  <c r="AP36" i="2"/>
  <c r="AN36" i="2"/>
  <c r="AR36" i="2"/>
  <c r="AS36" i="2"/>
  <c r="AU36" i="2"/>
  <c r="AV36" i="2"/>
  <c r="AM37" i="2"/>
  <c r="AO37" i="2"/>
  <c r="AP37" i="2"/>
  <c r="AN37" i="2"/>
  <c r="AR37" i="2"/>
  <c r="AS37" i="2"/>
  <c r="AU37" i="2"/>
  <c r="AV37" i="2"/>
  <c r="AI37" i="2"/>
  <c r="AK37" i="2"/>
  <c r="AI36" i="2"/>
  <c r="AJ36" i="2"/>
  <c r="AL36" i="2"/>
  <c r="AK36" i="2"/>
  <c r="AI35" i="2"/>
  <c r="AJ35" i="2"/>
  <c r="AL35" i="2"/>
  <c r="AK35" i="2"/>
  <c r="AO33" i="2"/>
  <c r="AP33" i="2"/>
  <c r="AR33" i="2"/>
  <c r="AS33" i="2"/>
  <c r="AU33" i="2"/>
  <c r="AV33" i="2"/>
  <c r="AL34" i="2"/>
  <c r="AK34" i="2"/>
  <c r="AJ34" i="2"/>
  <c r="AI34" i="2"/>
  <c r="AN33" i="2"/>
  <c r="AM33" i="2"/>
  <c r="AL33" i="2"/>
  <c r="AK33" i="2"/>
  <c r="AJ33" i="2"/>
  <c r="AI33" i="2"/>
  <c r="R33" i="2"/>
  <c r="AV32" i="2"/>
  <c r="AU32" i="2"/>
  <c r="AS32" i="2"/>
  <c r="AR32" i="2"/>
  <c r="AP32" i="2"/>
  <c r="AO32" i="2"/>
  <c r="AN32" i="2"/>
  <c r="AM32" i="2"/>
  <c r="AL32" i="2"/>
  <c r="AK32" i="2"/>
  <c r="AJ32" i="2"/>
  <c r="AI32" i="2"/>
  <c r="AI30" i="2"/>
  <c r="AJ30" i="2"/>
  <c r="AK30" i="2"/>
  <c r="AL30" i="2"/>
  <c r="AM30" i="2"/>
  <c r="AO30" i="2"/>
  <c r="AP30" i="2"/>
  <c r="AN30" i="2"/>
  <c r="AR30" i="2"/>
  <c r="AS30" i="2"/>
  <c r="AU30" i="2"/>
  <c r="AV30" i="2"/>
  <c r="AI31" i="2"/>
  <c r="AJ31" i="2"/>
  <c r="AK31" i="2"/>
  <c r="AL31" i="2"/>
  <c r="AM31" i="2"/>
  <c r="AO31" i="2"/>
  <c r="AP31" i="2"/>
  <c r="AN31" i="2"/>
  <c r="AR31" i="2"/>
  <c r="AS31" i="2"/>
  <c r="AU31" i="2"/>
  <c r="AV31" i="2"/>
  <c r="AM29" i="2"/>
  <c r="AM28" i="2"/>
  <c r="AR29" i="2"/>
  <c r="AP29" i="2"/>
  <c r="AO29" i="2"/>
  <c r="AN29" i="2"/>
  <c r="AR28" i="2"/>
  <c r="AP28" i="2"/>
  <c r="AO28" i="2"/>
  <c r="AN28" i="2"/>
  <c r="AH27" i="2"/>
  <c r="AG27" i="2"/>
  <c r="AF27" i="2"/>
  <c r="AH25" i="2"/>
  <c r="AH26" i="2"/>
  <c r="AG26" i="2"/>
  <c r="AF26" i="2"/>
  <c r="AS29" i="2"/>
  <c r="AU29" i="2"/>
  <c r="AV29" i="2"/>
  <c r="AI29" i="2"/>
  <c r="AJ29" i="2"/>
  <c r="AL29" i="2"/>
  <c r="AK29" i="2"/>
  <c r="AS28" i="2"/>
  <c r="AU28" i="2"/>
  <c r="AV28" i="2"/>
  <c r="AI28" i="2"/>
  <c r="AJ28" i="2"/>
  <c r="AL28" i="2"/>
  <c r="AK28" i="2"/>
  <c r="AQ28" i="2"/>
  <c r="G4" i="5"/>
  <c r="I4" i="5"/>
  <c r="H4" i="5"/>
  <c r="K4" i="5"/>
  <c r="G5" i="5"/>
  <c r="I5" i="5"/>
  <c r="H5" i="5"/>
  <c r="K5" i="5"/>
  <c r="G6" i="5"/>
  <c r="I6" i="5"/>
  <c r="H6" i="5"/>
  <c r="K6" i="5"/>
  <c r="G7" i="5"/>
  <c r="I7" i="5"/>
  <c r="H7" i="5"/>
  <c r="K7" i="5"/>
  <c r="G8" i="5"/>
  <c r="I8" i="5"/>
  <c r="H8" i="5"/>
  <c r="K8" i="5"/>
  <c r="G9" i="5"/>
  <c r="I9" i="5"/>
  <c r="H9" i="5"/>
  <c r="K9" i="5"/>
  <c r="G10" i="5"/>
  <c r="I10" i="5"/>
  <c r="H10" i="5"/>
  <c r="K10" i="5"/>
  <c r="G3" i="5"/>
  <c r="I3" i="5"/>
  <c r="H3" i="5"/>
  <c r="K3" i="5"/>
  <c r="J4" i="5"/>
  <c r="J5" i="5"/>
  <c r="J6" i="5"/>
  <c r="J7" i="5"/>
  <c r="J8" i="5"/>
  <c r="J9" i="5"/>
  <c r="J10" i="5"/>
  <c r="J3" i="5"/>
  <c r="AO14" i="2"/>
  <c r="AO19" i="2"/>
  <c r="AO43" i="2"/>
  <c r="AX24" i="2"/>
  <c r="AR24" i="2"/>
  <c r="AY24" i="2"/>
  <c r="AW24" i="2"/>
  <c r="AF24" i="2"/>
  <c r="AT24" i="2"/>
  <c r="H21" i="2"/>
  <c r="AX21" i="2"/>
  <c r="AR21" i="2"/>
  <c r="AY21" i="2"/>
  <c r="AW21" i="2"/>
  <c r="AF21" i="2"/>
  <c r="AZ21" i="2"/>
  <c r="AX22" i="2"/>
  <c r="AR22" i="2"/>
  <c r="AY22" i="2"/>
  <c r="AW22" i="2"/>
  <c r="AF22" i="2"/>
  <c r="AZ22" i="2"/>
  <c r="AX23" i="2"/>
  <c r="AR23" i="2"/>
  <c r="AY23" i="2"/>
  <c r="AW23" i="2"/>
  <c r="AF23" i="2"/>
  <c r="AZ23" i="2"/>
  <c r="AZ24" i="2"/>
  <c r="AX25" i="2"/>
  <c r="AR25" i="2"/>
  <c r="AY25" i="2"/>
  <c r="AW25" i="2"/>
  <c r="AF25" i="2"/>
  <c r="AZ25" i="2"/>
  <c r="AT21" i="2"/>
  <c r="AT22" i="2"/>
  <c r="AT23" i="2"/>
  <c r="AT25" i="2"/>
  <c r="AG25" i="2"/>
  <c r="AH24" i="2"/>
  <c r="AG24" i="2"/>
  <c r="AH23" i="2"/>
  <c r="AG23" i="2"/>
  <c r="AH22" i="2"/>
  <c r="AG22" i="2"/>
  <c r="AH21" i="2"/>
  <c r="AG21" i="2"/>
  <c r="AP23" i="2"/>
  <c r="AO23" i="2"/>
  <c r="AN23" i="2"/>
  <c r="AM22" i="2"/>
  <c r="AO22" i="2"/>
  <c r="AP22" i="2"/>
  <c r="AN22" i="2"/>
  <c r="AQ22" i="2"/>
  <c r="AS22" i="2"/>
  <c r="AU22" i="2"/>
  <c r="AV22" i="2"/>
  <c r="AM23" i="2"/>
  <c r="AQ23" i="2"/>
  <c r="AS23" i="2"/>
  <c r="AU23" i="2"/>
  <c r="AV23" i="2"/>
  <c r="AM24" i="2"/>
  <c r="AO24" i="2"/>
  <c r="AP24" i="2"/>
  <c r="AN24" i="2"/>
  <c r="AQ24" i="2"/>
  <c r="AS24" i="2"/>
  <c r="AU24" i="2"/>
  <c r="AV24" i="2"/>
  <c r="AM25" i="2"/>
  <c r="AO25" i="2"/>
  <c r="AP25" i="2"/>
  <c r="AN25" i="2"/>
  <c r="AQ25" i="2"/>
  <c r="AS25" i="2"/>
  <c r="AU25" i="2"/>
  <c r="AV25" i="2"/>
  <c r="AM26" i="2"/>
  <c r="AO26" i="2"/>
  <c r="AP26" i="2"/>
  <c r="AN26" i="2"/>
  <c r="AQ26" i="2"/>
  <c r="AR26" i="2"/>
  <c r="AS26" i="2"/>
  <c r="AU26" i="2"/>
  <c r="AV26" i="2"/>
  <c r="AM27" i="2"/>
  <c r="AO27" i="2"/>
  <c r="AP27" i="2"/>
  <c r="AN27" i="2"/>
  <c r="AQ27" i="2"/>
  <c r="AR27" i="2"/>
  <c r="AS27" i="2"/>
  <c r="AU27" i="2"/>
  <c r="AV27" i="2"/>
  <c r="AI27" i="2"/>
  <c r="AJ27" i="2"/>
  <c r="AL27" i="2"/>
  <c r="AK27" i="2"/>
  <c r="AI26" i="2"/>
  <c r="AJ26" i="2"/>
  <c r="AL26" i="2"/>
  <c r="AK26" i="2"/>
  <c r="AI25" i="2"/>
  <c r="AJ25" i="2"/>
  <c r="AL25" i="2"/>
  <c r="AK25" i="2"/>
  <c r="AI24" i="2"/>
  <c r="AJ24" i="2"/>
  <c r="AL24" i="2"/>
  <c r="AK24" i="2"/>
  <c r="AI23" i="2"/>
  <c r="AJ23" i="2"/>
  <c r="AL23" i="2"/>
  <c r="AK23" i="2"/>
  <c r="AI22" i="2"/>
  <c r="AJ22" i="2"/>
  <c r="AL22" i="2"/>
  <c r="AK22" i="2"/>
  <c r="AO21" i="2"/>
  <c r="AP21" i="2"/>
  <c r="AN21" i="2"/>
  <c r="AN45" i="2"/>
  <c r="AO45" i="2"/>
  <c r="AP45" i="2"/>
  <c r="AQ21" i="2"/>
  <c r="AQ45" i="2"/>
  <c r="AS21" i="2"/>
  <c r="AS45" i="2"/>
  <c r="AT45" i="2"/>
  <c r="AU21" i="2"/>
  <c r="AU45" i="2"/>
  <c r="AV21" i="2"/>
  <c r="AV45" i="2"/>
  <c r="AM21" i="2"/>
  <c r="AM45" i="2"/>
  <c r="O6" i="1"/>
  <c r="P6" i="1"/>
  <c r="AP14" i="2"/>
  <c r="AN14" i="2"/>
  <c r="AP19" i="2"/>
  <c r="AN19" i="2"/>
  <c r="AN49" i="2"/>
  <c r="AO49" i="2"/>
  <c r="AP49" i="2"/>
  <c r="AQ14" i="2"/>
  <c r="AQ19" i="2"/>
  <c r="AQ49" i="2"/>
  <c r="AR14" i="2"/>
  <c r="AR19" i="2"/>
  <c r="AR49" i="2"/>
  <c r="AF14" i="2"/>
  <c r="AS14" i="2"/>
  <c r="AF19" i="2"/>
  <c r="AS19" i="2"/>
  <c r="AS49" i="2"/>
  <c r="AX14" i="2"/>
  <c r="AY14" i="2"/>
  <c r="AW14" i="2"/>
  <c r="AT14" i="2"/>
  <c r="AX19" i="2"/>
  <c r="AY19" i="2"/>
  <c r="AW19" i="2"/>
  <c r="AT19" i="2"/>
  <c r="AT49" i="2"/>
  <c r="AG14" i="2"/>
  <c r="AU14" i="2"/>
  <c r="AG19" i="2"/>
  <c r="AU19" i="2"/>
  <c r="AU49" i="2"/>
  <c r="AH14" i="2"/>
  <c r="AV14" i="2"/>
  <c r="AH19" i="2"/>
  <c r="AV19" i="2"/>
  <c r="AV49" i="2"/>
  <c r="AM14" i="2"/>
  <c r="AM19" i="2"/>
  <c r="AM49" i="2"/>
  <c r="AO10" i="2"/>
  <c r="AP10" i="2"/>
  <c r="AN10" i="2"/>
  <c r="AO12" i="2"/>
  <c r="AP12" i="2"/>
  <c r="AN12" i="2"/>
  <c r="AN47" i="2"/>
  <c r="AO47" i="2"/>
  <c r="AP47" i="2"/>
  <c r="AQ10" i="2"/>
  <c r="AQ12" i="2"/>
  <c r="AQ47" i="2"/>
  <c r="AR10" i="2"/>
  <c r="AR12" i="2"/>
  <c r="AR47" i="2"/>
  <c r="AF10" i="2"/>
  <c r="AS10" i="2"/>
  <c r="AF12" i="2"/>
  <c r="AS12" i="2"/>
  <c r="AS47" i="2"/>
  <c r="AX10" i="2"/>
  <c r="AY10" i="2"/>
  <c r="AW10" i="2"/>
  <c r="AT10" i="2"/>
  <c r="AX12" i="2"/>
  <c r="AY12" i="2"/>
  <c r="AW12" i="2"/>
  <c r="AT12" i="2"/>
  <c r="AT47" i="2"/>
  <c r="AG10" i="2"/>
  <c r="AU10" i="2"/>
  <c r="AG12" i="2"/>
  <c r="AU12" i="2"/>
  <c r="AU47" i="2"/>
  <c r="AH10" i="2"/>
  <c r="AV10" i="2"/>
  <c r="AH12" i="2"/>
  <c r="AV12" i="2"/>
  <c r="AV47" i="2"/>
  <c r="AO15" i="2"/>
  <c r="AP15" i="2"/>
  <c r="AN15" i="2"/>
  <c r="AO18" i="2"/>
  <c r="AP18" i="2"/>
  <c r="AN18" i="2"/>
  <c r="AN48" i="2"/>
  <c r="AO48" i="2"/>
  <c r="AP48" i="2"/>
  <c r="AQ15" i="2"/>
  <c r="AQ18" i="2"/>
  <c r="AQ48" i="2"/>
  <c r="AR15" i="2"/>
  <c r="AR18" i="2"/>
  <c r="AR48" i="2"/>
  <c r="AF15" i="2"/>
  <c r="AS15" i="2"/>
  <c r="AF18" i="2"/>
  <c r="AS18" i="2"/>
  <c r="AS48" i="2"/>
  <c r="AX15" i="2"/>
  <c r="AY15" i="2"/>
  <c r="AW15" i="2"/>
  <c r="AT15" i="2"/>
  <c r="AX18" i="2"/>
  <c r="AY18" i="2"/>
  <c r="AW18" i="2"/>
  <c r="AT18" i="2"/>
  <c r="AT48" i="2"/>
  <c r="AG15" i="2"/>
  <c r="AU15" i="2"/>
  <c r="AG18" i="2"/>
  <c r="AU18" i="2"/>
  <c r="AU48" i="2"/>
  <c r="AH15" i="2"/>
  <c r="AV15" i="2"/>
  <c r="AH18" i="2"/>
  <c r="AV18" i="2"/>
  <c r="AV48" i="2"/>
  <c r="AO11" i="2"/>
  <c r="AP11" i="2"/>
  <c r="AN11" i="2"/>
  <c r="AO13" i="2"/>
  <c r="AP13" i="2"/>
  <c r="AN13" i="2"/>
  <c r="AN52" i="2"/>
  <c r="AO52" i="2"/>
  <c r="AP52" i="2"/>
  <c r="AQ11" i="2"/>
  <c r="AQ13" i="2"/>
  <c r="AQ52" i="2"/>
  <c r="AR52" i="2"/>
  <c r="AF11" i="2"/>
  <c r="AS11" i="2"/>
  <c r="AF13" i="2"/>
  <c r="AS13" i="2"/>
  <c r="AS52" i="2"/>
  <c r="AX11" i="2"/>
  <c r="AY11" i="2"/>
  <c r="AW11" i="2"/>
  <c r="AT11" i="2"/>
  <c r="AX13" i="2"/>
  <c r="AY13" i="2"/>
  <c r="AW13" i="2"/>
  <c r="AT13" i="2"/>
  <c r="AT52" i="2"/>
  <c r="AG11" i="2"/>
  <c r="AU11" i="2"/>
  <c r="AG13" i="2"/>
  <c r="AU13" i="2"/>
  <c r="AU52" i="2"/>
  <c r="AH11" i="2"/>
  <c r="AV11" i="2"/>
  <c r="AH13" i="2"/>
  <c r="AV13" i="2"/>
  <c r="AV52" i="2"/>
  <c r="AM11" i="2"/>
  <c r="AM13" i="2"/>
  <c r="AM52" i="2"/>
  <c r="AM15" i="2"/>
  <c r="AM18" i="2"/>
  <c r="AM48" i="2"/>
  <c r="AM10" i="2"/>
  <c r="AM12" i="2"/>
  <c r="AM47" i="2"/>
  <c r="AX16" i="2"/>
  <c r="AR16" i="2"/>
  <c r="AY16" i="2"/>
  <c r="AW16" i="2"/>
  <c r="AX17" i="2"/>
  <c r="AR17" i="2"/>
  <c r="AY17" i="2"/>
  <c r="AW17" i="2"/>
  <c r="AF16" i="2"/>
  <c r="AT16" i="2"/>
  <c r="AF17" i="2"/>
  <c r="AT17" i="2"/>
  <c r="AF20" i="2"/>
  <c r="H20" i="2"/>
  <c r="AX20" i="2"/>
  <c r="AR20" i="2"/>
  <c r="AY20" i="2"/>
  <c r="AW20" i="2"/>
  <c r="AT20" i="2"/>
  <c r="AN41" i="2"/>
  <c r="AO41" i="2"/>
  <c r="AP41" i="2"/>
  <c r="AQ41" i="2"/>
  <c r="AR41" i="2"/>
  <c r="AS41" i="2"/>
  <c r="AT41" i="2"/>
  <c r="AU41" i="2"/>
  <c r="AV41" i="2"/>
  <c r="AN42" i="2"/>
  <c r="AO42" i="2"/>
  <c r="AP42" i="2"/>
  <c r="AQ42" i="2"/>
  <c r="AR42" i="2"/>
  <c r="AS42" i="2"/>
  <c r="AT42" i="2"/>
  <c r="AU42" i="2"/>
  <c r="AV42" i="2"/>
  <c r="AN43" i="2"/>
  <c r="AP43" i="2"/>
  <c r="AQ43" i="2"/>
  <c r="AR43" i="2"/>
  <c r="AS43" i="2"/>
  <c r="AT43" i="2"/>
  <c r="AU43" i="2"/>
  <c r="AV43" i="2"/>
  <c r="AO20" i="2"/>
  <c r="AP20" i="2"/>
  <c r="AN20" i="2"/>
  <c r="AN44" i="2"/>
  <c r="AO44" i="2"/>
  <c r="AP44" i="2"/>
  <c r="AQ20" i="2"/>
  <c r="AQ44" i="2"/>
  <c r="AR44" i="2"/>
  <c r="AS20" i="2"/>
  <c r="AS44" i="2"/>
  <c r="AT44" i="2"/>
  <c r="AG20" i="2"/>
  <c r="AU20" i="2"/>
  <c r="AU44" i="2"/>
  <c r="AH20" i="2"/>
  <c r="AV20" i="2"/>
  <c r="AV44" i="2"/>
  <c r="AN46" i="2"/>
  <c r="AO46" i="2"/>
  <c r="AP46" i="2"/>
  <c r="AQ46" i="2"/>
  <c r="AS46" i="2"/>
  <c r="AT46" i="2"/>
  <c r="AU46" i="2"/>
  <c r="AV46" i="2"/>
  <c r="AM46" i="2"/>
  <c r="AM20" i="2"/>
  <c r="AM44" i="2"/>
  <c r="AM43" i="2"/>
  <c r="AM42" i="2"/>
  <c r="AM41" i="2"/>
  <c r="AZ18" i="2"/>
  <c r="AZ19" i="2"/>
  <c r="AZ20" i="2"/>
  <c r="AI19" i="2"/>
  <c r="AJ19" i="2"/>
  <c r="AK19" i="2"/>
  <c r="AL19" i="2"/>
  <c r="AI20" i="2"/>
  <c r="AJ20" i="2"/>
  <c r="AK20" i="2"/>
  <c r="AL20" i="2"/>
  <c r="AI21" i="2"/>
  <c r="AJ21" i="2"/>
  <c r="AK21" i="2"/>
  <c r="AL21" i="2"/>
  <c r="AM17" i="2"/>
  <c r="AO17" i="2"/>
  <c r="AP17" i="2"/>
  <c r="AN17" i="2"/>
  <c r="AQ17" i="2"/>
  <c r="AS17" i="2"/>
  <c r="AG17" i="2"/>
  <c r="AU17" i="2"/>
  <c r="AH17" i="2"/>
  <c r="AV17" i="2"/>
  <c r="AI18" i="2"/>
  <c r="AJ18" i="2"/>
  <c r="AL18" i="2"/>
  <c r="AQ16" i="2"/>
  <c r="AK18" i="2"/>
  <c r="AI17" i="2"/>
  <c r="AJ17" i="2"/>
  <c r="AL17" i="2"/>
  <c r="AK17" i="2"/>
  <c r="AP16" i="2"/>
  <c r="AO16" i="2"/>
  <c r="AN16" i="2"/>
  <c r="AM16" i="2"/>
  <c r="AS16" i="2"/>
  <c r="AG16" i="2"/>
  <c r="AU16" i="2"/>
  <c r="AH16" i="2"/>
  <c r="AV16" i="2"/>
  <c r="AI16" i="2"/>
  <c r="AJ16" i="2"/>
  <c r="AL16" i="2"/>
  <c r="AK16" i="2"/>
  <c r="AI6" i="2"/>
  <c r="AJ6" i="2"/>
  <c r="AI7" i="2"/>
  <c r="AJ7" i="2"/>
  <c r="AI8" i="2"/>
  <c r="AJ8" i="2"/>
  <c r="AI9" i="2"/>
  <c r="AJ9" i="2"/>
  <c r="AI10" i="2"/>
  <c r="AJ10" i="2"/>
  <c r="AI11" i="2"/>
  <c r="AJ11" i="2"/>
  <c r="AI12" i="2"/>
  <c r="AJ12" i="2"/>
  <c r="AI13" i="2"/>
  <c r="AJ13" i="2"/>
  <c r="AI14" i="2"/>
  <c r="AJ14" i="2"/>
  <c r="AI15" i="2"/>
  <c r="AJ15" i="2"/>
  <c r="AJ5" i="2"/>
  <c r="AI5" i="2"/>
  <c r="AL6" i="2"/>
  <c r="AL7" i="2"/>
  <c r="AL8" i="2"/>
  <c r="AL9" i="2"/>
  <c r="AL10" i="2"/>
  <c r="AL11" i="2"/>
  <c r="AL12" i="2"/>
  <c r="AL13" i="2"/>
  <c r="AL14" i="2"/>
  <c r="AL15" i="2"/>
  <c r="AL5" i="2"/>
  <c r="AK6" i="2"/>
  <c r="AK7" i="2"/>
  <c r="AK8" i="2"/>
  <c r="AK9" i="2"/>
  <c r="AK10" i="2"/>
  <c r="AK11" i="2"/>
  <c r="AK12" i="2"/>
  <c r="AK13" i="2"/>
  <c r="AK14" i="2"/>
  <c r="AK15" i="2"/>
  <c r="AK5" i="2"/>
  <c r="F31" i="1"/>
  <c r="J8" i="1"/>
  <c r="J17" i="1"/>
  <c r="E31" i="1"/>
  <c r="C26" i="1"/>
  <c r="K17" i="1"/>
  <c r="K8" i="1"/>
  <c r="O5" i="1"/>
  <c r="J7" i="1"/>
  <c r="J16" i="1"/>
  <c r="AM5" i="2"/>
  <c r="AS5" i="2"/>
  <c r="AU5" i="2"/>
  <c r="AV5" i="2"/>
  <c r="AN5" i="2"/>
  <c r="AO5" i="2"/>
  <c r="AP5" i="2"/>
  <c r="AQ5" i="2"/>
  <c r="AM6" i="2"/>
  <c r="AR6" i="2"/>
  <c r="AF6" i="2"/>
  <c r="AS6" i="2"/>
  <c r="AG6" i="2"/>
  <c r="AU6" i="2"/>
  <c r="AH6" i="2"/>
  <c r="AV6" i="2"/>
  <c r="AN6" i="2"/>
  <c r="AO6" i="2"/>
  <c r="AP6" i="2"/>
  <c r="AQ6" i="2"/>
  <c r="AR7" i="2"/>
  <c r="AM7" i="2"/>
  <c r="AS7" i="2"/>
  <c r="AU7" i="2"/>
  <c r="AV7" i="2"/>
  <c r="AN7" i="2"/>
  <c r="AO7" i="2"/>
  <c r="AP7" i="2"/>
  <c r="AQ7" i="2"/>
  <c r="U8" i="2"/>
  <c r="AM8" i="2"/>
  <c r="AS8" i="2"/>
  <c r="AU8" i="2"/>
  <c r="AV8" i="2"/>
  <c r="X8" i="2"/>
  <c r="W8" i="2"/>
  <c r="AN8" i="2"/>
  <c r="AO8" i="2"/>
  <c r="AP8" i="2"/>
  <c r="AQ8" i="2"/>
  <c r="AR9" i="2"/>
  <c r="AM9" i="2"/>
  <c r="AS9" i="2"/>
  <c r="AU9" i="2"/>
  <c r="AV9" i="2"/>
  <c r="AN9" i="2"/>
  <c r="AO9" i="2"/>
  <c r="AP9" i="2"/>
  <c r="AQ9" i="2"/>
  <c r="H12" i="1"/>
  <c r="H24" i="1"/>
  <c r="F12" i="1"/>
  <c r="F2" i="1"/>
  <c r="C16" i="1"/>
  <c r="F16" i="1"/>
  <c r="F15" i="1"/>
  <c r="F6" i="1"/>
</calcChain>
</file>

<file path=xl/sharedStrings.xml><?xml version="1.0" encoding="utf-8"?>
<sst xmlns="http://schemas.openxmlformats.org/spreadsheetml/2006/main" count="1116" uniqueCount="251">
  <si>
    <t>Initial Volume</t>
  </si>
  <si>
    <t>Water</t>
  </si>
  <si>
    <t>Total Carbon</t>
  </si>
  <si>
    <t>Inorganic Carbon</t>
  </si>
  <si>
    <t>Organic Carbon</t>
  </si>
  <si>
    <t>Total Nitrogen</t>
  </si>
  <si>
    <t>Hexane</t>
  </si>
  <si>
    <t>pH</t>
  </si>
  <si>
    <t>V of 5M NaOH</t>
  </si>
  <si>
    <t>n base</t>
  </si>
  <si>
    <t>Mass Algae Paste</t>
  </si>
  <si>
    <t>Water Content</t>
  </si>
  <si>
    <t>ml</t>
  </si>
  <si>
    <t>mg/L</t>
  </si>
  <si>
    <t>mol</t>
  </si>
  <si>
    <t>g</t>
  </si>
  <si>
    <t>%</t>
  </si>
  <si>
    <t>mass dry algae</t>
  </si>
  <si>
    <t>total mass</t>
  </si>
  <si>
    <t>mass acid</t>
  </si>
  <si>
    <t>mass algae paste</t>
  </si>
  <si>
    <t>mass algae</t>
  </si>
  <si>
    <t>mass water</t>
  </si>
  <si>
    <t>mass IPA</t>
  </si>
  <si>
    <t>V gas</t>
  </si>
  <si>
    <t>Solid</t>
  </si>
  <si>
    <t>Oil</t>
  </si>
  <si>
    <t>Gas</t>
  </si>
  <si>
    <t>TC</t>
  </si>
  <si>
    <t>TIC</t>
  </si>
  <si>
    <t>TN</t>
  </si>
  <si>
    <t>NA1</t>
  </si>
  <si>
    <t>NA2</t>
  </si>
  <si>
    <t>Cake</t>
  </si>
  <si>
    <t>IC</t>
  </si>
  <si>
    <t>Time</t>
  </si>
  <si>
    <t>Heating</t>
  </si>
  <si>
    <t>Reaction</t>
  </si>
  <si>
    <t>Total</t>
  </si>
  <si>
    <t>Oil total</t>
  </si>
  <si>
    <t>Heavy</t>
  </si>
  <si>
    <t>Glucose</t>
  </si>
  <si>
    <t>NA3</t>
  </si>
  <si>
    <t>Light</t>
  </si>
  <si>
    <t>Residue</t>
  </si>
  <si>
    <t>Speed</t>
  </si>
  <si>
    <t>rpm</t>
  </si>
  <si>
    <t>Reaction conditions</t>
  </si>
  <si>
    <t>Reactor loading</t>
  </si>
  <si>
    <t>Algae</t>
  </si>
  <si>
    <t>Aqueous phase</t>
  </si>
  <si>
    <t>Empty</t>
  </si>
  <si>
    <t>Full</t>
  </si>
  <si>
    <t>Solid phase (filter)</t>
  </si>
  <si>
    <t>Clean</t>
  </si>
  <si>
    <t>Used</t>
  </si>
  <si>
    <t>Light Oil (C7 soluble)</t>
  </si>
  <si>
    <t>Heavy Oil (C7 insoluble)</t>
  </si>
  <si>
    <t>Water Phase Analysis</t>
  </si>
  <si>
    <t>Wet</t>
  </si>
  <si>
    <t>Dry</t>
  </si>
  <si>
    <t>Carbon/Nitrogen Analysis</t>
  </si>
  <si>
    <t>mL</t>
  </si>
  <si>
    <t>Reaction Summary</t>
  </si>
  <si>
    <t>T</t>
  </si>
  <si>
    <t>Pmax</t>
  </si>
  <si>
    <t>min</t>
  </si>
  <si>
    <t>C</t>
  </si>
  <si>
    <t>bar</t>
  </si>
  <si>
    <t>Product Yields</t>
  </si>
  <si>
    <t>Water phase</t>
  </si>
  <si>
    <t>start</t>
  </si>
  <si>
    <t>SP</t>
  </si>
  <si>
    <t>end</t>
  </si>
  <si>
    <t>Pressure</t>
  </si>
  <si>
    <t>Temperature</t>
  </si>
  <si>
    <t>Product Recovery</t>
  </si>
  <si>
    <t>g/L</t>
  </si>
  <si>
    <t>Reaction Times</t>
  </si>
  <si>
    <t>mass neutr. water</t>
  </si>
  <si>
    <t>TC corrected</t>
  </si>
  <si>
    <t>H</t>
  </si>
  <si>
    <t>O</t>
  </si>
  <si>
    <t>SD(0)</t>
  </si>
  <si>
    <t>SD(0.1)</t>
  </si>
  <si>
    <t>SD(0.2)</t>
  </si>
  <si>
    <t>SD(0.5)</t>
  </si>
  <si>
    <t>SD(0.3)</t>
  </si>
  <si>
    <t>SD(0.4)</t>
  </si>
  <si>
    <t>none</t>
  </si>
  <si>
    <t>Sample</t>
  </si>
  <si>
    <t>Empty Vial</t>
  </si>
  <si>
    <t>Vial with Oil</t>
  </si>
  <si>
    <t>Vial with Solvent</t>
  </si>
  <si>
    <t>Vial with residue</t>
  </si>
  <si>
    <t>R7-L.O.</t>
  </si>
  <si>
    <t>R8-L.O.</t>
  </si>
  <si>
    <t>R9-L.O.</t>
  </si>
  <si>
    <t>R10-L.O.</t>
  </si>
  <si>
    <t>R11-L.O.</t>
  </si>
  <si>
    <t>R14-L.O.</t>
  </si>
  <si>
    <t>R15-L.O.</t>
  </si>
  <si>
    <t>R6-L.O.</t>
  </si>
  <si>
    <t>m sample</t>
  </si>
  <si>
    <t>m solvent</t>
  </si>
  <si>
    <t>m residue</t>
  </si>
  <si>
    <t>% analysed</t>
  </si>
  <si>
    <t>conc.</t>
  </si>
  <si>
    <t>kg/m3</t>
  </si>
  <si>
    <t>catalyst</t>
  </si>
  <si>
    <t>mass catalyst</t>
  </si>
  <si>
    <t>Furn. Flour</t>
  </si>
  <si>
    <t>no cat.</t>
  </si>
  <si>
    <t>Furn. Res</t>
  </si>
  <si>
    <t>19..8504</t>
  </si>
  <si>
    <t>220 °C</t>
  </si>
  <si>
    <t>310 °C</t>
  </si>
  <si>
    <t>Catalyst</t>
  </si>
  <si>
    <t>Overview</t>
  </si>
  <si>
    <t>IPA</t>
  </si>
  <si>
    <t>Water Phase</t>
  </si>
  <si>
    <t>Water extracted?</t>
  </si>
  <si>
    <t>No</t>
  </si>
  <si>
    <t>Yes</t>
  </si>
  <si>
    <t>220 - 0%</t>
  </si>
  <si>
    <t>220 - 50%</t>
  </si>
  <si>
    <t>220 - 100%</t>
  </si>
  <si>
    <t>310 - 0%</t>
  </si>
  <si>
    <t>310 - 50%</t>
  </si>
  <si>
    <t>Furnace Flour</t>
  </si>
  <si>
    <t>Furnace Res.</t>
  </si>
  <si>
    <t>Ash Content</t>
  </si>
  <si>
    <t>Moisture Content</t>
  </si>
  <si>
    <t>Water extracted with chloroform</t>
  </si>
  <si>
    <t>Water not extracted with chloroform</t>
  </si>
  <si>
    <t>Runs without catalyst at 310 C, chloroform extracted</t>
  </si>
  <si>
    <t>Averages</t>
  </si>
  <si>
    <t>STDV</t>
  </si>
  <si>
    <t>Runs without catalyst at 310 C, not extracted with chloroform</t>
  </si>
  <si>
    <t>Oil Analysis</t>
  </si>
  <si>
    <t>Light Oil</t>
  </si>
  <si>
    <t>N</t>
  </si>
  <si>
    <t>S</t>
  </si>
  <si>
    <t>O?</t>
  </si>
  <si>
    <t>Heavy Oil</t>
  </si>
  <si>
    <t>Elemental retention in oil</t>
  </si>
  <si>
    <t>0% IPA</t>
  </si>
  <si>
    <t>50% IPA</t>
  </si>
  <si>
    <t>Extracted</t>
  </si>
  <si>
    <t>Not extracted</t>
  </si>
  <si>
    <t>Average Oil</t>
  </si>
  <si>
    <t>Standard deviations</t>
  </si>
  <si>
    <t>Standard Deviations</t>
  </si>
  <si>
    <t>Nitrogen retention in water</t>
  </si>
  <si>
    <t>IC retention in water</t>
  </si>
  <si>
    <t>Carbon</t>
  </si>
  <si>
    <t>Hydrogen</t>
  </si>
  <si>
    <t>Nitrogen</t>
  </si>
  <si>
    <t>Sulphur</t>
  </si>
  <si>
    <t>Elemental retention in heavy oil</t>
  </si>
  <si>
    <t>Elemental retention in light oil</t>
  </si>
  <si>
    <t>Oxygen</t>
  </si>
  <si>
    <t>0%  IPA</t>
  </si>
  <si>
    <t>100% IPA</t>
  </si>
  <si>
    <t>310C</t>
  </si>
  <si>
    <t>310C, 0% IPA</t>
  </si>
  <si>
    <t>310C, 50% IPA</t>
  </si>
  <si>
    <t>220C, 100% IPA</t>
  </si>
  <si>
    <t>Solids</t>
  </si>
  <si>
    <t>OC retention</t>
  </si>
  <si>
    <t>Blank</t>
  </si>
  <si>
    <t>Vegetable Oil</t>
  </si>
  <si>
    <t>Corn Flour</t>
  </si>
  <si>
    <t>Soy Protein</t>
  </si>
  <si>
    <t>Spirulina</t>
  </si>
  <si>
    <t>Ash</t>
  </si>
  <si>
    <t>ash</t>
  </si>
  <si>
    <t>moisture</t>
  </si>
  <si>
    <t>Corrected values</t>
  </si>
  <si>
    <t>C/N</t>
  </si>
  <si>
    <t>C/H</t>
  </si>
  <si>
    <t>hexane</t>
  </si>
  <si>
    <t>Protein fraction</t>
  </si>
  <si>
    <t>rest</t>
  </si>
  <si>
    <t>Lipid fraction</t>
  </si>
  <si>
    <t>C/O</t>
  </si>
  <si>
    <t>Total carbon</t>
  </si>
  <si>
    <t>Total nitrogen</t>
  </si>
  <si>
    <t>Total glucose</t>
  </si>
  <si>
    <t>Carbon in solid</t>
  </si>
  <si>
    <t>sum</t>
  </si>
  <si>
    <t>Dry cake</t>
  </si>
  <si>
    <t>Wet cake</t>
  </si>
  <si>
    <t>Neutral solution</t>
  </si>
  <si>
    <t>Centrifuge water</t>
  </si>
  <si>
    <t>Mass base</t>
  </si>
  <si>
    <t>Acid cake</t>
  </si>
  <si>
    <t>Initial weight</t>
  </si>
  <si>
    <t>sulphur</t>
  </si>
  <si>
    <t>Na2SO4</t>
  </si>
  <si>
    <t>Weight</t>
  </si>
  <si>
    <t>Water content</t>
  </si>
  <si>
    <t xml:space="preserve">Carbon </t>
  </si>
  <si>
    <t>Neutral Water</t>
  </si>
  <si>
    <t>Wet Paste</t>
  </si>
  <si>
    <t>Acid Water</t>
  </si>
  <si>
    <t>Acid paste</t>
  </si>
  <si>
    <t>H2SO4</t>
  </si>
  <si>
    <t>Dry Cake</t>
  </si>
  <si>
    <t>Water soluble</t>
  </si>
  <si>
    <t>m(Na2SO4)</t>
  </si>
  <si>
    <t>Neutral water</t>
  </si>
  <si>
    <t>(NH4)2SO4</t>
  </si>
  <si>
    <t>m(NH4)2SO4</t>
  </si>
  <si>
    <t>Water soluble carbon</t>
  </si>
  <si>
    <t>Plot of chloroform extracted and unextracted data</t>
  </si>
  <si>
    <t>Data used to plot Elemental Retention</t>
  </si>
  <si>
    <t>220C</t>
  </si>
  <si>
    <t>Elemental Analysis</t>
  </si>
  <si>
    <t>Theoretical Press cake composition</t>
  </si>
  <si>
    <t>Press cake</t>
  </si>
  <si>
    <t>Measurements from press cake product recovery</t>
  </si>
  <si>
    <t>Initial Volume of acid paste</t>
  </si>
  <si>
    <t>Acid water</t>
  </si>
  <si>
    <t>Mass Wet Paste</t>
  </si>
  <si>
    <t>mass dry cake</t>
  </si>
  <si>
    <t>NaOH solution</t>
  </si>
  <si>
    <t xml:space="preserve">Elemental conentration </t>
  </si>
  <si>
    <t>sodium</t>
  </si>
  <si>
    <t>C only</t>
  </si>
  <si>
    <t xml:space="preserve">S/Na </t>
  </si>
  <si>
    <t>Elemental molar ratios</t>
  </si>
  <si>
    <t>weight</t>
  </si>
  <si>
    <t>% of cake</t>
  </si>
  <si>
    <t>% of ash</t>
  </si>
  <si>
    <t>% of S</t>
  </si>
  <si>
    <t>m N</t>
  </si>
  <si>
    <t>% N</t>
  </si>
  <si>
    <t>Molecular weights</t>
  </si>
  <si>
    <t>C6H12O6</t>
  </si>
  <si>
    <t>Sodium sulphate</t>
  </si>
  <si>
    <t>Ammonium sulphate</t>
  </si>
  <si>
    <t>Data normalized to 1000g of cake</t>
  </si>
  <si>
    <t>Percentage of total element in feed</t>
  </si>
  <si>
    <t>LFR</t>
  </si>
  <si>
    <t>EAFS</t>
  </si>
  <si>
    <t>H/c</t>
  </si>
  <si>
    <t>N/C</t>
  </si>
  <si>
    <t>O/C</t>
  </si>
  <si>
    <t>50 vol% IPA</t>
  </si>
  <si>
    <t>0 vol% 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</si>
</sst>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0"/>
    <numFmt numFmtId="166" formatCode="0.000"/>
    <numFmt numFmtId="167" formatCode="0.0%"/>
    <numFmt numFmtId="168" formatCode="0.00000000000000%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sz val="12"/>
      <color theme="0" tint="-0.499984740745262"/>
      <name val="Calibri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7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1">
    <xf numFmtId="0" fontId="0" fillId="0" borderId="0" xfId="0"/>
    <xf numFmtId="9" fontId="0" fillId="0" borderId="0" xfId="1" applyFon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7" fontId="0" fillId="0" borderId="6" xfId="1" applyNumberFormat="1" applyFont="1" applyBorder="1" applyAlignment="1">
      <alignment horizontal="center"/>
    </xf>
    <xf numFmtId="167" fontId="0" fillId="0" borderId="0" xfId="1" applyNumberFormat="1" applyFon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67" fontId="0" fillId="0" borderId="7" xfId="1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167" fontId="0" fillId="0" borderId="6" xfId="0" applyNumberFormat="1" applyBorder="1"/>
    <xf numFmtId="0" fontId="0" fillId="2" borderId="2" xfId="0" applyFill="1" applyBorder="1" applyAlignment="1">
      <alignment horizontal="center"/>
    </xf>
    <xf numFmtId="0" fontId="6" fillId="0" borderId="0" xfId="0" applyFont="1"/>
    <xf numFmtId="0" fontId="0" fillId="3" borderId="15" xfId="0" applyFill="1" applyBorder="1" applyAlignment="1">
      <alignment horizontal="center"/>
    </xf>
    <xf numFmtId="165" fontId="0" fillId="3" borderId="15" xfId="0" applyNumberFormat="1" applyFill="1" applyBorder="1" applyAlignment="1">
      <alignment horizontal="center"/>
    </xf>
    <xf numFmtId="1" fontId="0" fillId="3" borderId="15" xfId="0" applyNumberFormat="1" applyFill="1" applyBorder="1" applyAlignment="1">
      <alignment horizontal="center"/>
    </xf>
    <xf numFmtId="20" fontId="0" fillId="3" borderId="15" xfId="0" applyNumberFormat="1" applyFill="1" applyBorder="1" applyAlignment="1">
      <alignment horizontal="center"/>
    </xf>
    <xf numFmtId="2" fontId="0" fillId="3" borderId="15" xfId="0" applyNumberFormat="1" applyFill="1" applyBorder="1" applyAlignment="1">
      <alignment horizontal="center"/>
    </xf>
    <xf numFmtId="167" fontId="0" fillId="3" borderId="15" xfId="1" applyNumberFormat="1" applyFont="1" applyFill="1" applyBorder="1" applyAlignment="1">
      <alignment horizontal="center"/>
    </xf>
    <xf numFmtId="10" fontId="0" fillId="3" borderId="15" xfId="1" applyNumberFormat="1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165" fontId="0" fillId="4" borderId="15" xfId="0" applyNumberFormat="1" applyFill="1" applyBorder="1" applyAlignment="1">
      <alignment horizontal="center"/>
    </xf>
    <xf numFmtId="1" fontId="0" fillId="4" borderId="15" xfId="0" applyNumberFormat="1" applyFill="1" applyBorder="1" applyAlignment="1">
      <alignment horizontal="center"/>
    </xf>
    <xf numFmtId="20" fontId="0" fillId="4" borderId="15" xfId="0" applyNumberFormat="1" applyFill="1" applyBorder="1" applyAlignment="1">
      <alignment horizontal="center"/>
    </xf>
    <xf numFmtId="2" fontId="0" fillId="4" borderId="15" xfId="0" applyNumberFormat="1" applyFill="1" applyBorder="1" applyAlignment="1">
      <alignment horizontal="center"/>
    </xf>
    <xf numFmtId="167" fontId="0" fillId="4" borderId="15" xfId="1" applyNumberFormat="1" applyFont="1" applyFill="1" applyBorder="1" applyAlignment="1">
      <alignment horizontal="center"/>
    </xf>
    <xf numFmtId="10" fontId="0" fillId="4" borderId="15" xfId="1" applyNumberFormat="1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165" fontId="0" fillId="5" borderId="15" xfId="0" applyNumberFormat="1" applyFill="1" applyBorder="1" applyAlignment="1">
      <alignment horizontal="center"/>
    </xf>
    <xf numFmtId="1" fontId="0" fillId="5" borderId="15" xfId="0" applyNumberFormat="1" applyFill="1" applyBorder="1" applyAlignment="1">
      <alignment horizontal="center"/>
    </xf>
    <xf numFmtId="20" fontId="0" fillId="5" borderId="15" xfId="0" applyNumberFormat="1" applyFill="1" applyBorder="1" applyAlignment="1">
      <alignment horizontal="center"/>
    </xf>
    <xf numFmtId="2" fontId="0" fillId="5" borderId="15" xfId="0" applyNumberFormat="1" applyFill="1" applyBorder="1" applyAlignment="1">
      <alignment horizontal="center"/>
    </xf>
    <xf numFmtId="167" fontId="0" fillId="5" borderId="15" xfId="1" applyNumberFormat="1" applyFont="1" applyFill="1" applyBorder="1" applyAlignment="1">
      <alignment horizontal="center"/>
    </xf>
    <xf numFmtId="10" fontId="0" fillId="5" borderId="15" xfId="1" applyNumberFormat="1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165" fontId="6" fillId="5" borderId="15" xfId="0" applyNumberFormat="1" applyFont="1" applyFill="1" applyBorder="1" applyAlignment="1">
      <alignment horizontal="center"/>
    </xf>
    <xf numFmtId="1" fontId="6" fillId="5" borderId="15" xfId="0" applyNumberFormat="1" applyFont="1" applyFill="1" applyBorder="1" applyAlignment="1">
      <alignment horizontal="center"/>
    </xf>
    <xf numFmtId="20" fontId="6" fillId="5" borderId="15" xfId="0" applyNumberFormat="1" applyFont="1" applyFill="1" applyBorder="1" applyAlignment="1">
      <alignment horizontal="center"/>
    </xf>
    <xf numFmtId="167" fontId="6" fillId="5" borderId="15" xfId="1" applyNumberFormat="1" applyFont="1" applyFill="1" applyBorder="1" applyAlignment="1">
      <alignment horizontal="center"/>
    </xf>
    <xf numFmtId="10" fontId="6" fillId="5" borderId="15" xfId="1" applyNumberFormat="1" applyFont="1" applyFill="1" applyBorder="1" applyAlignment="1">
      <alignment horizontal="center"/>
    </xf>
    <xf numFmtId="2" fontId="6" fillId="5" borderId="15" xfId="0" applyNumberFormat="1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5" fontId="0" fillId="3" borderId="16" xfId="0" applyNumberFormat="1" applyFill="1" applyBorder="1" applyAlignment="1">
      <alignment horizontal="center"/>
    </xf>
    <xf numFmtId="1" fontId="0" fillId="3" borderId="16" xfId="0" applyNumberFormat="1" applyFill="1" applyBorder="1" applyAlignment="1">
      <alignment horizontal="center"/>
    </xf>
    <xf numFmtId="20" fontId="0" fillId="3" borderId="16" xfId="0" applyNumberFormat="1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167" fontId="0" fillId="3" borderId="16" xfId="1" applyNumberFormat="1" applyFont="1" applyFill="1" applyBorder="1" applyAlignment="1">
      <alignment horizontal="center"/>
    </xf>
    <xf numFmtId="10" fontId="0" fillId="3" borderId="16" xfId="1" applyNumberFormat="1" applyFont="1" applyFill="1" applyBorder="1" applyAlignment="1">
      <alignment horizontal="center"/>
    </xf>
    <xf numFmtId="0" fontId="0" fillId="0" borderId="15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165" fontId="0" fillId="3" borderId="25" xfId="0" applyNumberFormat="1" applyFill="1" applyBorder="1" applyAlignment="1">
      <alignment horizontal="center"/>
    </xf>
    <xf numFmtId="9" fontId="0" fillId="3" borderId="26" xfId="0" applyNumberFormat="1" applyFill="1" applyBorder="1" applyAlignment="1">
      <alignment horizontal="center"/>
    </xf>
    <xf numFmtId="165" fontId="0" fillId="3" borderId="23" xfId="0" applyNumberFormat="1" applyFill="1" applyBorder="1" applyAlignment="1">
      <alignment horizontal="center"/>
    </xf>
    <xf numFmtId="9" fontId="0" fillId="3" borderId="24" xfId="0" applyNumberFormat="1" applyFill="1" applyBorder="1" applyAlignment="1">
      <alignment horizontal="center"/>
    </xf>
    <xf numFmtId="165" fontId="0" fillId="4" borderId="23" xfId="0" applyNumberFormat="1" applyFill="1" applyBorder="1" applyAlignment="1">
      <alignment horizontal="center"/>
    </xf>
    <xf numFmtId="9" fontId="0" fillId="4" borderId="24" xfId="0" applyNumberFormat="1" applyFill="1" applyBorder="1" applyAlignment="1">
      <alignment horizontal="center"/>
    </xf>
    <xf numFmtId="165" fontId="0" fillId="5" borderId="23" xfId="0" applyNumberFormat="1" applyFill="1" applyBorder="1" applyAlignment="1">
      <alignment horizontal="center"/>
    </xf>
    <xf numFmtId="9" fontId="0" fillId="5" borderId="24" xfId="0" applyNumberFormat="1" applyFill="1" applyBorder="1" applyAlignment="1">
      <alignment horizontal="center"/>
    </xf>
    <xf numFmtId="165" fontId="6" fillId="5" borderId="23" xfId="0" applyNumberFormat="1" applyFont="1" applyFill="1" applyBorder="1" applyAlignment="1">
      <alignment horizontal="center"/>
    </xf>
    <xf numFmtId="9" fontId="6" fillId="5" borderId="24" xfId="0" applyNumberFormat="1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165" fontId="0" fillId="3" borderId="26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165" fontId="0" fillId="3" borderId="24" xfId="0" applyNumberFormat="1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165" fontId="0" fillId="4" borderId="24" xfId="0" applyNumberFormat="1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165" fontId="0" fillId="5" borderId="24" xfId="0" applyNumberForma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165" fontId="6" fillId="5" borderId="24" xfId="0" applyNumberFormat="1" applyFont="1" applyFill="1" applyBorder="1" applyAlignment="1">
      <alignment horizontal="center"/>
    </xf>
    <xf numFmtId="1" fontId="0" fillId="3" borderId="25" xfId="0" applyNumberForma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1" fontId="0" fillId="3" borderId="23" xfId="0" applyNumberForma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1" fontId="0" fillId="4" borderId="23" xfId="0" applyNumberForma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1" fontId="0" fillId="5" borderId="23" xfId="0" applyNumberFormat="1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1" fontId="6" fillId="5" borderId="23" xfId="0" applyNumberFormat="1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2" fontId="0" fillId="3" borderId="26" xfId="0" applyNumberFormat="1" applyFill="1" applyBorder="1" applyAlignment="1">
      <alignment horizontal="center"/>
    </xf>
    <xf numFmtId="2" fontId="0" fillId="3" borderId="24" xfId="0" applyNumberFormat="1" applyFill="1" applyBorder="1" applyAlignment="1">
      <alignment horizontal="center"/>
    </xf>
    <xf numFmtId="2" fontId="0" fillId="4" borderId="24" xfId="0" applyNumberFormat="1" applyFill="1" applyBorder="1" applyAlignment="1">
      <alignment horizontal="center"/>
    </xf>
    <xf numFmtId="2" fontId="0" fillId="5" borderId="24" xfId="0" applyNumberFormat="1" applyFill="1" applyBorder="1" applyAlignment="1">
      <alignment horizontal="center"/>
    </xf>
    <xf numFmtId="2" fontId="6" fillId="5" borderId="24" xfId="0" applyNumberFormat="1" applyFont="1" applyFill="1" applyBorder="1" applyAlignment="1">
      <alignment horizontal="center"/>
    </xf>
    <xf numFmtId="1" fontId="0" fillId="3" borderId="26" xfId="0" applyNumberFormat="1" applyFill="1" applyBorder="1" applyAlignment="1">
      <alignment horizontal="center"/>
    </xf>
    <xf numFmtId="1" fontId="0" fillId="3" borderId="24" xfId="0" applyNumberFormat="1" applyFill="1" applyBorder="1" applyAlignment="1">
      <alignment horizontal="center"/>
    </xf>
    <xf numFmtId="1" fontId="0" fillId="4" borderId="24" xfId="0" applyNumberFormat="1" applyFill="1" applyBorder="1" applyAlignment="1">
      <alignment horizontal="center"/>
    </xf>
    <xf numFmtId="1" fontId="0" fillId="5" borderId="24" xfId="0" applyNumberFormat="1" applyFill="1" applyBorder="1" applyAlignment="1">
      <alignment horizontal="center"/>
    </xf>
    <xf numFmtId="1" fontId="6" fillId="5" borderId="24" xfId="0" applyNumberFormat="1" applyFont="1" applyFill="1" applyBorder="1" applyAlignment="1">
      <alignment horizontal="center"/>
    </xf>
    <xf numFmtId="167" fontId="0" fillId="3" borderId="26" xfId="1" applyNumberFormat="1" applyFont="1" applyFill="1" applyBorder="1" applyAlignment="1">
      <alignment horizontal="center"/>
    </xf>
    <xf numFmtId="167" fontId="0" fillId="3" borderId="24" xfId="1" applyNumberFormat="1" applyFont="1" applyFill="1" applyBorder="1" applyAlignment="1">
      <alignment horizontal="center"/>
    </xf>
    <xf numFmtId="167" fontId="0" fillId="4" borderId="24" xfId="1" applyNumberFormat="1" applyFont="1" applyFill="1" applyBorder="1" applyAlignment="1">
      <alignment horizontal="center"/>
    </xf>
    <xf numFmtId="167" fontId="0" fillId="5" borderId="24" xfId="1" applyNumberFormat="1" applyFont="1" applyFill="1" applyBorder="1" applyAlignment="1">
      <alignment horizontal="center"/>
    </xf>
    <xf numFmtId="167" fontId="6" fillId="5" borderId="24" xfId="1" applyNumberFormat="1" applyFont="1" applyFill="1" applyBorder="1" applyAlignment="1">
      <alignment horizontal="center"/>
    </xf>
    <xf numFmtId="0" fontId="0" fillId="0" borderId="17" xfId="0" applyBorder="1" applyAlignment="1"/>
    <xf numFmtId="1" fontId="0" fillId="3" borderId="18" xfId="0" applyNumberFormat="1" applyFill="1" applyBorder="1" applyAlignment="1">
      <alignment horizontal="center"/>
    </xf>
    <xf numFmtId="1" fontId="0" fillId="3" borderId="17" xfId="0" applyNumberFormat="1" applyFill="1" applyBorder="1" applyAlignment="1">
      <alignment horizontal="center"/>
    </xf>
    <xf numFmtId="1" fontId="0" fillId="4" borderId="17" xfId="0" applyNumberFormat="1" applyFill="1" applyBorder="1" applyAlignment="1">
      <alignment horizontal="center"/>
    </xf>
    <xf numFmtId="1" fontId="0" fillId="5" borderId="17" xfId="0" applyNumberFormat="1" applyFill="1" applyBorder="1" applyAlignment="1">
      <alignment horizontal="center"/>
    </xf>
    <xf numFmtId="1" fontId="6" fillId="5" borderId="17" xfId="0" applyNumberFormat="1" applyFont="1" applyFill="1" applyBorder="1" applyAlignment="1">
      <alignment horizontal="center"/>
    </xf>
    <xf numFmtId="9" fontId="0" fillId="0" borderId="0" xfId="1" applyFont="1" applyBorder="1"/>
    <xf numFmtId="10" fontId="0" fillId="0" borderId="6" xfId="1" applyNumberFormat="1" applyFont="1" applyBorder="1"/>
    <xf numFmtId="10" fontId="0" fillId="0" borderId="0" xfId="1" applyNumberFormat="1" applyFont="1" applyBorder="1"/>
    <xf numFmtId="9" fontId="0" fillId="0" borderId="0" xfId="0" applyNumberFormat="1" applyBorder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167" fontId="0" fillId="0" borderId="0" xfId="0" applyNumberFormat="1"/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10" fontId="0" fillId="0" borderId="6" xfId="0" applyNumberFormat="1" applyBorder="1"/>
    <xf numFmtId="0" fontId="0" fillId="0" borderId="0" xfId="0" applyFill="1" applyBorder="1"/>
    <xf numFmtId="10" fontId="0" fillId="0" borderId="0" xfId="0" applyNumberFormat="1"/>
    <xf numFmtId="0" fontId="7" fillId="0" borderId="15" xfId="0" applyFont="1" applyBorder="1"/>
    <xf numFmtId="0" fontId="7" fillId="0" borderId="19" xfId="0" applyFont="1" applyBorder="1"/>
    <xf numFmtId="10" fontId="0" fillId="0" borderId="0" xfId="1" applyNumberFormat="1" applyFont="1"/>
    <xf numFmtId="9" fontId="0" fillId="0" borderId="0" xfId="0" applyNumberFormat="1" applyFill="1" applyBorder="1"/>
    <xf numFmtId="167" fontId="0" fillId="0" borderId="0" xfId="0" applyNumberFormat="1" applyBorder="1"/>
    <xf numFmtId="2" fontId="7" fillId="0" borderId="0" xfId="0" applyNumberFormat="1" applyFont="1"/>
    <xf numFmtId="9" fontId="0" fillId="0" borderId="0" xfId="0" applyNumberFormat="1"/>
    <xf numFmtId="10" fontId="0" fillId="0" borderId="0" xfId="0" applyNumberFormat="1" applyBorder="1"/>
    <xf numFmtId="0" fontId="2" fillId="0" borderId="6" xfId="0" applyFont="1" applyBorder="1"/>
    <xf numFmtId="0" fontId="2" fillId="0" borderId="0" xfId="0" applyFont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167" fontId="0" fillId="0" borderId="7" xfId="0" applyNumberFormat="1" applyBorder="1"/>
    <xf numFmtId="167" fontId="0" fillId="0" borderId="9" xfId="0" applyNumberFormat="1" applyBorder="1"/>
    <xf numFmtId="167" fontId="0" fillId="0" borderId="10" xfId="0" applyNumberFormat="1" applyBorder="1"/>
    <xf numFmtId="0" fontId="0" fillId="0" borderId="11" xfId="0" applyBorder="1"/>
    <xf numFmtId="0" fontId="8" fillId="0" borderId="18" xfId="0" applyFont="1" applyBorder="1" applyAlignment="1">
      <alignment horizontal="left"/>
    </xf>
    <xf numFmtId="0" fontId="0" fillId="0" borderId="0" xfId="0" applyAlignment="1">
      <alignment horizontal="right"/>
    </xf>
    <xf numFmtId="168" fontId="0" fillId="0" borderId="0" xfId="1" applyNumberFormat="1" applyFont="1" applyBorder="1"/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/>
    </xf>
  </cellXfs>
  <cellStyles count="3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11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12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'Algae cake work-up'!$I$77</c:f>
              <c:strCache>
                <c:ptCount val="1"/>
                <c:pt idx="0">
                  <c:v>Dry Cake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'Algae cake work-up'!$J$76:$M$76</c:f>
              <c:strCache>
                <c:ptCount val="4"/>
                <c:pt idx="0">
                  <c:v>Carbon</c:v>
                </c:pt>
                <c:pt idx="1">
                  <c:v>Nitrogen</c:v>
                </c:pt>
                <c:pt idx="2">
                  <c:v>Hydrogen</c:v>
                </c:pt>
                <c:pt idx="3">
                  <c:v>Sulphur</c:v>
                </c:pt>
              </c:strCache>
            </c:strRef>
          </c:cat>
          <c:val>
            <c:numRef>
              <c:f>'Algae cake work-up'!$J$77:$M$77</c:f>
              <c:numCache>
                <c:formatCode>0.0%</c:formatCode>
                <c:ptCount val="4"/>
                <c:pt idx="0">
                  <c:v>0.435507106618401</c:v>
                </c:pt>
                <c:pt idx="1">
                  <c:v>0.391392117499791</c:v>
                </c:pt>
                <c:pt idx="2">
                  <c:v>0.435507106618401</c:v>
                </c:pt>
                <c:pt idx="3">
                  <c:v>0.244947330470866</c:v>
                </c:pt>
              </c:numCache>
            </c:numRef>
          </c:val>
        </c:ser>
        <c:ser>
          <c:idx val="1"/>
          <c:order val="1"/>
          <c:tx>
            <c:strRef>
              <c:f>'Algae cake work-up'!$I$78</c:f>
              <c:strCache>
                <c:ptCount val="1"/>
                <c:pt idx="0">
                  <c:v>Neutral Water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'Algae cake work-up'!$J$76:$M$76</c:f>
              <c:strCache>
                <c:ptCount val="4"/>
                <c:pt idx="0">
                  <c:v>Carbon</c:v>
                </c:pt>
                <c:pt idx="1">
                  <c:v>Nitrogen</c:v>
                </c:pt>
                <c:pt idx="2">
                  <c:v>Hydrogen</c:v>
                </c:pt>
                <c:pt idx="3">
                  <c:v>Sulphur</c:v>
                </c:pt>
              </c:strCache>
            </c:strRef>
          </c:cat>
          <c:val>
            <c:numRef>
              <c:f>'Algae cake work-up'!$J$78:$M$78</c:f>
              <c:numCache>
                <c:formatCode>0.0%</c:formatCode>
                <c:ptCount val="4"/>
                <c:pt idx="0">
                  <c:v>0.241494669945594</c:v>
                </c:pt>
                <c:pt idx="1">
                  <c:v>0.244548629437978</c:v>
                </c:pt>
                <c:pt idx="2">
                  <c:v>0.241494669945595</c:v>
                </c:pt>
                <c:pt idx="3">
                  <c:v>0.320525979504236</c:v>
                </c:pt>
              </c:numCache>
            </c:numRef>
          </c:val>
        </c:ser>
        <c:ser>
          <c:idx val="2"/>
          <c:order val="2"/>
          <c:tx>
            <c:strRef>
              <c:f>'Algae cake work-up'!$I$79</c:f>
              <c:strCache>
                <c:ptCount val="1"/>
                <c:pt idx="0">
                  <c:v>Acid Water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'Algae cake work-up'!$J$76:$M$76</c:f>
              <c:strCache>
                <c:ptCount val="4"/>
                <c:pt idx="0">
                  <c:v>Carbon</c:v>
                </c:pt>
                <c:pt idx="1">
                  <c:v>Nitrogen</c:v>
                </c:pt>
                <c:pt idx="2">
                  <c:v>Hydrogen</c:v>
                </c:pt>
                <c:pt idx="3">
                  <c:v>Sulphur</c:v>
                </c:pt>
              </c:strCache>
            </c:strRef>
          </c:cat>
          <c:val>
            <c:numRef>
              <c:f>'Algae cake work-up'!$J$79:$M$79</c:f>
              <c:numCache>
                <c:formatCode>0.0%</c:formatCode>
                <c:ptCount val="4"/>
                <c:pt idx="0">
                  <c:v>0.322998223436005</c:v>
                </c:pt>
                <c:pt idx="1">
                  <c:v>0.36405925306223</c:v>
                </c:pt>
                <c:pt idx="2">
                  <c:v>0.322998223436005</c:v>
                </c:pt>
                <c:pt idx="3">
                  <c:v>0.434526690024897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18977352"/>
        <c:axId val="2118344168"/>
      </c:barChart>
      <c:catAx>
        <c:axId val="-2118977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8344168"/>
        <c:crosses val="autoZero"/>
        <c:auto val="1"/>
        <c:lblAlgn val="ctr"/>
        <c:lblOffset val="100"/>
        <c:noMultiLvlLbl val="0"/>
      </c:catAx>
      <c:valAx>
        <c:axId val="2118344168"/>
        <c:scaling>
          <c:orientation val="minMax"/>
          <c:max val="0.6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18977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'Catalysts yields'!$BZ$63:$BZ$65</c:f>
              <c:numCache>
                <c:formatCode>0.000</c:formatCode>
                <c:ptCount val="3"/>
                <c:pt idx="0">
                  <c:v>0.147483312940909</c:v>
                </c:pt>
                <c:pt idx="1">
                  <c:v>0.154034867094431</c:v>
                </c:pt>
                <c:pt idx="2">
                  <c:v>0.112046464681794</c:v>
                </c:pt>
              </c:numCache>
            </c:numRef>
          </c:xVal>
          <c:yVal>
            <c:numRef>
              <c:f>'Catalysts yields'!$CA$63:$CA$65</c:f>
              <c:numCache>
                <c:formatCode>0.000</c:formatCode>
                <c:ptCount val="3"/>
                <c:pt idx="0">
                  <c:v>0.0623766517307728</c:v>
                </c:pt>
                <c:pt idx="1">
                  <c:v>0.0660436572926567</c:v>
                </c:pt>
                <c:pt idx="2">
                  <c:v>0.0605925339205062</c:v>
                </c:pt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'Catalysts yields'!$BZ$63:$BZ$65</c:f>
              <c:numCache>
                <c:formatCode>0.000</c:formatCode>
                <c:ptCount val="3"/>
                <c:pt idx="0">
                  <c:v>0.147483312940909</c:v>
                </c:pt>
                <c:pt idx="1">
                  <c:v>0.154034867094431</c:v>
                </c:pt>
                <c:pt idx="2">
                  <c:v>0.112046464681794</c:v>
                </c:pt>
              </c:numCache>
            </c:numRef>
          </c:xVal>
          <c:yVal>
            <c:numRef>
              <c:f>'Catalysts yields'!$CB$63:$CB$65</c:f>
              <c:numCache>
                <c:formatCode>0.000</c:formatCode>
                <c:ptCount val="3"/>
                <c:pt idx="0">
                  <c:v>0.286900400955433</c:v>
                </c:pt>
                <c:pt idx="1">
                  <c:v>0.0183152458049019</c:v>
                </c:pt>
                <c:pt idx="2">
                  <c:v>0.222335313570221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9738056"/>
        <c:axId val="-2129745896"/>
      </c:scatterChart>
      <c:valAx>
        <c:axId val="-2129738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9745896"/>
        <c:crosses val="autoZero"/>
        <c:crossBetween val="midCat"/>
      </c:valAx>
      <c:valAx>
        <c:axId val="-212974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97380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'Catalysts yields'!$BZ$78:$BZ$80</c:f>
              <c:numCache>
                <c:formatCode>0.000</c:formatCode>
                <c:ptCount val="3"/>
                <c:pt idx="0">
                  <c:v>0.147483312940909</c:v>
                </c:pt>
                <c:pt idx="1">
                  <c:v>0.16304025766456</c:v>
                </c:pt>
                <c:pt idx="2">
                  <c:v>0.176890756232754</c:v>
                </c:pt>
              </c:numCache>
            </c:numRef>
          </c:xVal>
          <c:yVal>
            <c:numRef>
              <c:f>'Catalysts yields'!$CA$78:$CA$80</c:f>
              <c:numCache>
                <c:formatCode>0.000</c:formatCode>
                <c:ptCount val="3"/>
                <c:pt idx="0">
                  <c:v>0.0623766517307728</c:v>
                </c:pt>
                <c:pt idx="1">
                  <c:v>0.103980702479656</c:v>
                </c:pt>
                <c:pt idx="2">
                  <c:v>0.0669697511929099</c:v>
                </c:pt>
              </c:numCache>
            </c:numRef>
          </c:yVal>
          <c:smooth val="0"/>
        </c:ser>
        <c:ser>
          <c:idx val="3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'Catalysts yields'!$BZ$78:$BZ$80</c:f>
              <c:numCache>
                <c:formatCode>0.000</c:formatCode>
                <c:ptCount val="3"/>
                <c:pt idx="0">
                  <c:v>0.147483312940909</c:v>
                </c:pt>
                <c:pt idx="1">
                  <c:v>0.16304025766456</c:v>
                </c:pt>
                <c:pt idx="2">
                  <c:v>0.176890756232754</c:v>
                </c:pt>
              </c:numCache>
            </c:numRef>
          </c:xVal>
          <c:yVal>
            <c:numRef>
              <c:f>'Catalysts yields'!$CB$78:$CB$80</c:f>
              <c:numCache>
                <c:formatCode>0.000</c:formatCode>
                <c:ptCount val="3"/>
                <c:pt idx="0">
                  <c:v>0.286900400955433</c:v>
                </c:pt>
                <c:pt idx="1">
                  <c:v>0.295979729655957</c:v>
                </c:pt>
                <c:pt idx="2">
                  <c:v>0.150033252864492</c:v>
                </c:pt>
              </c:numCache>
            </c:numRef>
          </c:yVal>
          <c:smooth val="0"/>
        </c:ser>
        <c:ser>
          <c:idx val="4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'Catalysts yields'!$BZ$82:$BZ$84</c:f>
              <c:numCache>
                <c:formatCode>0.000</c:formatCode>
                <c:ptCount val="3"/>
                <c:pt idx="0">
                  <c:v>0.154034867094431</c:v>
                </c:pt>
                <c:pt idx="1">
                  <c:v>0.118457921159293</c:v>
                </c:pt>
                <c:pt idx="2">
                  <c:v>0.14184487614966</c:v>
                </c:pt>
              </c:numCache>
            </c:numRef>
          </c:xVal>
          <c:yVal>
            <c:numRef>
              <c:f>'Catalysts yields'!$CA$82:$CA$84</c:f>
              <c:numCache>
                <c:formatCode>0.000</c:formatCode>
                <c:ptCount val="3"/>
                <c:pt idx="0">
                  <c:v>0.0660436572926567</c:v>
                </c:pt>
                <c:pt idx="1">
                  <c:v>0.0650233290814975</c:v>
                </c:pt>
                <c:pt idx="2">
                  <c:v>0.0623592283139002</c:v>
                </c:pt>
              </c:numCache>
            </c:numRef>
          </c:yVal>
          <c:smooth val="0"/>
        </c:ser>
        <c:ser>
          <c:idx val="5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'Catalysts yields'!$BZ$82:$BZ$84</c:f>
              <c:numCache>
                <c:formatCode>0.000</c:formatCode>
                <c:ptCount val="3"/>
                <c:pt idx="0">
                  <c:v>0.154034867094431</c:v>
                </c:pt>
                <c:pt idx="1">
                  <c:v>0.118457921159293</c:v>
                </c:pt>
                <c:pt idx="2">
                  <c:v>0.14184487614966</c:v>
                </c:pt>
              </c:numCache>
            </c:numRef>
          </c:xVal>
          <c:yVal>
            <c:numRef>
              <c:f>'Catalysts yields'!$CB$82:$CB$84</c:f>
              <c:numCache>
                <c:formatCode>0.000</c:formatCode>
                <c:ptCount val="3"/>
                <c:pt idx="0">
                  <c:v>0.0183152458049019</c:v>
                </c:pt>
                <c:pt idx="1">
                  <c:v>0.186646798810896</c:v>
                </c:pt>
                <c:pt idx="2">
                  <c:v>0.197198928221081</c:v>
                </c:pt>
              </c:numCache>
            </c:numRef>
          </c:yVal>
          <c:smooth val="0"/>
        </c:ser>
        <c:ser>
          <c:idx val="0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'Catalysts yields'!$BZ$86:$BZ$88</c:f>
              <c:numCache>
                <c:formatCode>0.000</c:formatCode>
                <c:ptCount val="3"/>
                <c:pt idx="0">
                  <c:v>0.112046464681794</c:v>
                </c:pt>
                <c:pt idx="1">
                  <c:v>0.121227936772216</c:v>
                </c:pt>
                <c:pt idx="2">
                  <c:v>0.123735800304589</c:v>
                </c:pt>
              </c:numCache>
            </c:numRef>
          </c:xVal>
          <c:yVal>
            <c:numRef>
              <c:f>'Catalysts yields'!$CA$86:$CA$88</c:f>
              <c:numCache>
                <c:formatCode>0.000</c:formatCode>
                <c:ptCount val="3"/>
                <c:pt idx="0">
                  <c:v>0.0605925339205062</c:v>
                </c:pt>
                <c:pt idx="1">
                  <c:v>0.0741781707791011</c:v>
                </c:pt>
                <c:pt idx="2">
                  <c:v>0.0592039180828945</c:v>
                </c:pt>
              </c:numCache>
            </c:numRef>
          </c:yVal>
          <c:smooth val="0"/>
        </c:ser>
        <c:ser>
          <c:idx val="1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'Catalysts yields'!$BZ$86:$BZ$88</c:f>
              <c:numCache>
                <c:formatCode>0.000</c:formatCode>
                <c:ptCount val="3"/>
                <c:pt idx="0">
                  <c:v>0.112046464681794</c:v>
                </c:pt>
                <c:pt idx="1">
                  <c:v>0.121227936772216</c:v>
                </c:pt>
                <c:pt idx="2">
                  <c:v>0.123735800304589</c:v>
                </c:pt>
              </c:numCache>
            </c:numRef>
          </c:xVal>
          <c:yVal>
            <c:numRef>
              <c:f>'Catalysts yields'!$CB$86:$CB$88</c:f>
              <c:numCache>
                <c:formatCode>0.000</c:formatCode>
                <c:ptCount val="3"/>
                <c:pt idx="0">
                  <c:v>0.222335313570221</c:v>
                </c:pt>
                <c:pt idx="1">
                  <c:v>0.29098171028092</c:v>
                </c:pt>
                <c:pt idx="2">
                  <c:v>0.235063445175645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3819320"/>
        <c:axId val="2133699256"/>
      </c:scatterChart>
      <c:valAx>
        <c:axId val="2133819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3699256"/>
        <c:crosses val="autoZero"/>
        <c:crossBetween val="midCat"/>
      </c:valAx>
      <c:valAx>
        <c:axId val="2133699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3819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'Catalysts yields'!$BZ$78:$BZ$80</c:f>
              <c:numCache>
                <c:formatCode>0.000</c:formatCode>
                <c:ptCount val="3"/>
                <c:pt idx="0">
                  <c:v>0.147483312940909</c:v>
                </c:pt>
                <c:pt idx="1">
                  <c:v>0.16304025766456</c:v>
                </c:pt>
                <c:pt idx="2">
                  <c:v>0.176890756232754</c:v>
                </c:pt>
              </c:numCache>
            </c:numRef>
          </c:xVal>
          <c:yVal>
            <c:numRef>
              <c:f>'Catalysts yields'!$CB$78:$CB$80</c:f>
              <c:numCache>
                <c:formatCode>0.000</c:formatCode>
                <c:ptCount val="3"/>
                <c:pt idx="0">
                  <c:v>0.286900400955433</c:v>
                </c:pt>
                <c:pt idx="1">
                  <c:v>0.295979729655957</c:v>
                </c:pt>
                <c:pt idx="2">
                  <c:v>0.150033252864492</c:v>
                </c:pt>
              </c:numCache>
            </c:numRef>
          </c:yVal>
          <c:smooth val="0"/>
        </c:ser>
        <c:ser>
          <c:idx val="5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'Catalysts yields'!$BZ$82:$BZ$84</c:f>
              <c:numCache>
                <c:formatCode>0.000</c:formatCode>
                <c:ptCount val="3"/>
                <c:pt idx="0">
                  <c:v>0.154034867094431</c:v>
                </c:pt>
                <c:pt idx="1">
                  <c:v>0.118457921159293</c:v>
                </c:pt>
                <c:pt idx="2">
                  <c:v>0.14184487614966</c:v>
                </c:pt>
              </c:numCache>
            </c:numRef>
          </c:xVal>
          <c:yVal>
            <c:numRef>
              <c:f>'Catalysts yields'!$CB$82:$CB$84</c:f>
              <c:numCache>
                <c:formatCode>0.000</c:formatCode>
                <c:ptCount val="3"/>
                <c:pt idx="0">
                  <c:v>0.0183152458049019</c:v>
                </c:pt>
                <c:pt idx="1">
                  <c:v>0.186646798810896</c:v>
                </c:pt>
                <c:pt idx="2">
                  <c:v>0.197198928221081</c:v>
                </c:pt>
              </c:numCache>
            </c:numRef>
          </c:yVal>
          <c:smooth val="0"/>
        </c:ser>
        <c:ser>
          <c:idx val="1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'Catalysts yields'!$BZ$86:$BZ$88</c:f>
              <c:numCache>
                <c:formatCode>0.000</c:formatCode>
                <c:ptCount val="3"/>
                <c:pt idx="0">
                  <c:v>0.112046464681794</c:v>
                </c:pt>
                <c:pt idx="1">
                  <c:v>0.121227936772216</c:v>
                </c:pt>
                <c:pt idx="2">
                  <c:v>0.123735800304589</c:v>
                </c:pt>
              </c:numCache>
            </c:numRef>
          </c:xVal>
          <c:yVal>
            <c:numRef>
              <c:f>'Catalysts yields'!$CB$86:$CB$88</c:f>
              <c:numCache>
                <c:formatCode>0.000</c:formatCode>
                <c:ptCount val="3"/>
                <c:pt idx="0">
                  <c:v>0.222335313570221</c:v>
                </c:pt>
                <c:pt idx="1">
                  <c:v>0.29098171028092</c:v>
                </c:pt>
                <c:pt idx="2">
                  <c:v>0.235063445175645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9952600"/>
        <c:axId val="-2129969816"/>
      </c:scatterChart>
      <c:valAx>
        <c:axId val="-2129952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9969816"/>
        <c:crosses val="autoZero"/>
        <c:crossBetween val="midCat"/>
      </c:valAx>
      <c:valAx>
        <c:axId val="-212996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9952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'Impact of IPA conc. filtered'!$AN$5</c:f>
              <c:strCache>
                <c:ptCount val="1"/>
                <c:pt idx="0">
                  <c:v>Heavy Oil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'Impact of IPA conc. filtered'!$AN$63:$AN$66</c:f>
                <c:numCache>
                  <c:formatCode>General</c:formatCode>
                  <c:ptCount val="4"/>
                  <c:pt idx="0">
                    <c:v>0.0201598848026704</c:v>
                  </c:pt>
                  <c:pt idx="1">
                    <c:v>0.0</c:v>
                  </c:pt>
                  <c:pt idx="2">
                    <c:v>0.0255784652920826</c:v>
                  </c:pt>
                  <c:pt idx="3">
                    <c:v>0.00442226866109407</c:v>
                  </c:pt>
                </c:numCache>
              </c:numRef>
            </c:plus>
            <c:minus>
              <c:numRef>
                <c:f>'Impact of IPA conc. filtered'!$AN$63:$AN$66</c:f>
                <c:numCache>
                  <c:formatCode>General</c:formatCode>
                  <c:ptCount val="4"/>
                  <c:pt idx="0">
                    <c:v>0.0201598848026704</c:v>
                  </c:pt>
                  <c:pt idx="1">
                    <c:v>0.0</c:v>
                  </c:pt>
                  <c:pt idx="2">
                    <c:v>0.0255784652920826</c:v>
                  </c:pt>
                  <c:pt idx="3">
                    <c:v>0.00442226866109407</c:v>
                  </c:pt>
                </c:numCache>
              </c:numRef>
            </c:minus>
          </c:errBars>
          <c:cat>
            <c:multiLvlStrRef>
              <c:f>'Impact of IPA conc. filtered'!$C$58:$D$61</c:f>
              <c:multiLvlStrCache>
                <c:ptCount val="4"/>
                <c:lvl>
                  <c:pt idx="0">
                    <c:v>Extracted</c:v>
                  </c:pt>
                  <c:pt idx="1">
                    <c:v>Not extracted</c:v>
                  </c:pt>
                  <c:pt idx="2">
                    <c:v>Extracted</c:v>
                  </c:pt>
                  <c:pt idx="3">
                    <c:v>Not extracted</c:v>
                  </c:pt>
                </c:lvl>
                <c:lvl>
                  <c:pt idx="0">
                    <c:v>0 vol% IPA</c:v>
                  </c:pt>
                  <c:pt idx="2">
                    <c:v>50 vol% IPA</c:v>
                  </c:pt>
                </c:lvl>
              </c:multiLvlStrCache>
            </c:multiLvlStrRef>
          </c:cat>
          <c:val>
            <c:numRef>
              <c:f>'Impact of IPA conc. filtered'!$AN$58:$AN$61</c:f>
              <c:numCache>
                <c:formatCode>0.00%</c:formatCode>
                <c:ptCount val="4"/>
                <c:pt idx="0">
                  <c:v>0.0797581660058284</c:v>
                </c:pt>
                <c:pt idx="1">
                  <c:v>0.0525748287773808</c:v>
                </c:pt>
                <c:pt idx="2">
                  <c:v>0.106953582785033</c:v>
                </c:pt>
                <c:pt idx="3">
                  <c:v>0.0149412167662832</c:v>
                </c:pt>
              </c:numCache>
            </c:numRef>
          </c:val>
        </c:ser>
        <c:ser>
          <c:idx val="1"/>
          <c:order val="1"/>
          <c:tx>
            <c:strRef>
              <c:f>'Impact of IPA conc. filtered'!$AM$5</c:f>
              <c:strCache>
                <c:ptCount val="1"/>
                <c:pt idx="0">
                  <c:v>Light Oil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'Impact of IPA conc. filtered'!$AM$63:$AM$66</c:f>
                <c:numCache>
                  <c:formatCode>General</c:formatCode>
                  <c:ptCount val="4"/>
                  <c:pt idx="0">
                    <c:v>2.17552735952767E-6</c:v>
                  </c:pt>
                  <c:pt idx="1">
                    <c:v>0.0</c:v>
                  </c:pt>
                  <c:pt idx="2">
                    <c:v>0.014509129452233</c:v>
                  </c:pt>
                  <c:pt idx="3">
                    <c:v>0.0010587851218679</c:v>
                  </c:pt>
                </c:numCache>
              </c:numRef>
            </c:plus>
            <c:minus>
              <c:numRef>
                <c:f>'Impact of IPA conc. filtered'!$AM$63:$AM$66</c:f>
                <c:numCache>
                  <c:formatCode>General</c:formatCode>
                  <c:ptCount val="4"/>
                  <c:pt idx="0">
                    <c:v>2.17552735952767E-6</c:v>
                  </c:pt>
                  <c:pt idx="1">
                    <c:v>0.0</c:v>
                  </c:pt>
                  <c:pt idx="2">
                    <c:v>0.014509129452233</c:v>
                  </c:pt>
                  <c:pt idx="3">
                    <c:v>0.0010587851218679</c:v>
                  </c:pt>
                </c:numCache>
              </c:numRef>
            </c:minus>
          </c:errBars>
          <c:cat>
            <c:multiLvlStrRef>
              <c:f>'Impact of IPA conc. filtered'!$C$58:$D$61</c:f>
              <c:multiLvlStrCache>
                <c:ptCount val="4"/>
                <c:lvl>
                  <c:pt idx="0">
                    <c:v>Extracted</c:v>
                  </c:pt>
                  <c:pt idx="1">
                    <c:v>Not extracted</c:v>
                  </c:pt>
                  <c:pt idx="2">
                    <c:v>Extracted</c:v>
                  </c:pt>
                  <c:pt idx="3">
                    <c:v>Not extracted</c:v>
                  </c:pt>
                </c:lvl>
                <c:lvl>
                  <c:pt idx="0">
                    <c:v>0 vol% IPA</c:v>
                  </c:pt>
                  <c:pt idx="2">
                    <c:v>50 vol% IPA</c:v>
                  </c:pt>
                </c:lvl>
              </c:multiLvlStrCache>
            </c:multiLvlStrRef>
          </c:cat>
          <c:val>
            <c:numRef>
              <c:f>'Impact of IPA conc. filtered'!$AM$58:$AM$61</c:f>
              <c:numCache>
                <c:formatCode>0.00%</c:formatCode>
                <c:ptCount val="4"/>
                <c:pt idx="0">
                  <c:v>0.0544240801940931</c:v>
                </c:pt>
                <c:pt idx="1">
                  <c:v>0.0131986182384542</c:v>
                </c:pt>
                <c:pt idx="2">
                  <c:v>0.176099434033958</c:v>
                </c:pt>
                <c:pt idx="3">
                  <c:v>0.00898021097852211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132831752"/>
        <c:axId val="2132834568"/>
      </c:barChart>
      <c:catAx>
        <c:axId val="213283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32834568"/>
        <c:crosses val="autoZero"/>
        <c:auto val="1"/>
        <c:lblAlgn val="ctr"/>
        <c:lblOffset val="100"/>
        <c:noMultiLvlLbl val="0"/>
      </c:catAx>
      <c:valAx>
        <c:axId val="2132834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Oil Yields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2132831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623140857393"/>
          <c:y val="0.293634925307234"/>
          <c:w val="0.185376859142607"/>
          <c:h val="0.18843108396497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0.000473315835520556"/>
          <c:y val="0.0"/>
        </c:manualLayout>
      </c:layout>
      <c:overlay val="1"/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'Impact of IPA conc. filtered'!$BZ$63</c:f>
              <c:strCache>
                <c:ptCount val="1"/>
                <c:pt idx="0">
                  <c:v>Solids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'Impact of IPA conc. filtered'!$C$73:$D$78</c:f>
              <c:multiLvlStrCache>
                <c:ptCount val="6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0% IPA</c:v>
                  </c:pt>
                  <c:pt idx="3">
                    <c:v>50% IPA</c:v>
                  </c:pt>
                  <c:pt idx="4">
                    <c:v>0% IPA</c:v>
                  </c:pt>
                  <c:pt idx="5">
                    <c:v>50% IPA</c:v>
                  </c:pt>
                </c:lvl>
                <c:lvl>
                  <c:pt idx="0">
                    <c:v>Carbon</c:v>
                  </c:pt>
                  <c:pt idx="2">
                    <c:v>Hydrogen</c:v>
                  </c:pt>
                  <c:pt idx="4">
                    <c:v>Nitrogen</c:v>
                  </c:pt>
                </c:lvl>
              </c:multiLvlStrCache>
            </c:multiLvlStrRef>
          </c:cat>
          <c:val>
            <c:numRef>
              <c:f>'Impact of IPA conc. filtered'!$BZ$73:$BZ$78</c:f>
              <c:numCache>
                <c:formatCode>0.0%</c:formatCode>
                <c:ptCount val="6"/>
                <c:pt idx="0">
                  <c:v>0.0879079144248701</c:v>
                </c:pt>
                <c:pt idx="1">
                  <c:v>0.0642459742039206</c:v>
                </c:pt>
              </c:numCache>
            </c:numRef>
          </c:val>
        </c:ser>
        <c:ser>
          <c:idx val="0"/>
          <c:order val="1"/>
          <c:tx>
            <c:strRef>
              <c:f>'Impact of IPA conc. filtered'!$BV$63</c:f>
              <c:strCache>
                <c:ptCount val="1"/>
                <c:pt idx="0">
                  <c:v>Heavy Oil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multiLvlStrRef>
              <c:f>'Impact of IPA conc. filtered'!$C$73:$D$78</c:f>
              <c:multiLvlStrCache>
                <c:ptCount val="6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0% IPA</c:v>
                  </c:pt>
                  <c:pt idx="3">
                    <c:v>50% IPA</c:v>
                  </c:pt>
                  <c:pt idx="4">
                    <c:v>0% IPA</c:v>
                  </c:pt>
                  <c:pt idx="5">
                    <c:v>50% IPA</c:v>
                  </c:pt>
                </c:lvl>
                <c:lvl>
                  <c:pt idx="0">
                    <c:v>Carbon</c:v>
                  </c:pt>
                  <c:pt idx="2">
                    <c:v>Hydrogen</c:v>
                  </c:pt>
                  <c:pt idx="4">
                    <c:v>Nitrogen</c:v>
                  </c:pt>
                </c:lvl>
              </c:multiLvlStrCache>
            </c:multiLvlStrRef>
          </c:cat>
          <c:val>
            <c:numRef>
              <c:f>'Impact of IPA conc. filtered'!$BV$73:$BV$78</c:f>
              <c:numCache>
                <c:formatCode>0.0%</c:formatCode>
                <c:ptCount val="6"/>
                <c:pt idx="0">
                  <c:v>0.208704457748399</c:v>
                </c:pt>
                <c:pt idx="1">
                  <c:v>0.247507721282922</c:v>
                </c:pt>
                <c:pt idx="2">
                  <c:v>0.119646835945997</c:v>
                </c:pt>
                <c:pt idx="3">
                  <c:v>0.139077189966424</c:v>
                </c:pt>
                <c:pt idx="4">
                  <c:v>0.158670058766905</c:v>
                </c:pt>
                <c:pt idx="5">
                  <c:v>0.223721785300471</c:v>
                </c:pt>
              </c:numCache>
            </c:numRef>
          </c:val>
        </c:ser>
        <c:ser>
          <c:idx val="1"/>
          <c:order val="2"/>
          <c:tx>
            <c:strRef>
              <c:f>'Impact of IPA conc. filtered'!$BW$63</c:f>
              <c:strCache>
                <c:ptCount val="1"/>
                <c:pt idx="0">
                  <c:v>Light Oil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multiLvlStrRef>
              <c:f>'Impact of IPA conc. filtered'!$C$73:$D$78</c:f>
              <c:multiLvlStrCache>
                <c:ptCount val="6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0% IPA</c:v>
                  </c:pt>
                  <c:pt idx="3">
                    <c:v>50% IPA</c:v>
                  </c:pt>
                  <c:pt idx="4">
                    <c:v>0% IPA</c:v>
                  </c:pt>
                  <c:pt idx="5">
                    <c:v>50% IPA</c:v>
                  </c:pt>
                </c:lvl>
                <c:lvl>
                  <c:pt idx="0">
                    <c:v>Carbon</c:v>
                  </c:pt>
                  <c:pt idx="2">
                    <c:v>Hydrogen</c:v>
                  </c:pt>
                  <c:pt idx="4">
                    <c:v>Nitrogen</c:v>
                  </c:pt>
                </c:lvl>
              </c:multiLvlStrCache>
            </c:multiLvlStrRef>
          </c:cat>
          <c:val>
            <c:numRef>
              <c:f>'Impact of IPA conc. filtered'!$BW$73:$BW$78</c:f>
              <c:numCache>
                <c:formatCode>0.0%</c:formatCode>
                <c:ptCount val="6"/>
                <c:pt idx="0">
                  <c:v>0.119012462198093</c:v>
                </c:pt>
                <c:pt idx="1">
                  <c:v>0.314642671534126</c:v>
                </c:pt>
                <c:pt idx="2">
                  <c:v>0.0817136789249223</c:v>
                </c:pt>
                <c:pt idx="3">
                  <c:v>0.214404216178659</c:v>
                </c:pt>
                <c:pt idx="4">
                  <c:v>0.0506320307565047</c:v>
                </c:pt>
                <c:pt idx="5">
                  <c:v>0.185853871800158</c:v>
                </c:pt>
              </c:numCache>
            </c:numRef>
          </c:val>
        </c:ser>
        <c:ser>
          <c:idx val="3"/>
          <c:order val="3"/>
          <c:tx>
            <c:strRef>
              <c:f>'Impact of IPA conc. filtered'!$BY$63</c:f>
              <c:strCache>
                <c:ptCount val="1"/>
                <c:pt idx="0">
                  <c:v>Residue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multiLvlStrRef>
              <c:f>'Impact of IPA conc. filtered'!$C$73:$D$78</c:f>
              <c:multiLvlStrCache>
                <c:ptCount val="6"/>
                <c:lvl>
                  <c:pt idx="0">
                    <c:v>0% IPA</c:v>
                  </c:pt>
                  <c:pt idx="1">
                    <c:v>50% IPA</c:v>
                  </c:pt>
                  <c:pt idx="2">
                    <c:v>0% IPA</c:v>
                  </c:pt>
                  <c:pt idx="3">
                    <c:v>50% IPA</c:v>
                  </c:pt>
                  <c:pt idx="4">
                    <c:v>0% IPA</c:v>
                  </c:pt>
                  <c:pt idx="5">
                    <c:v>50% IPA</c:v>
                  </c:pt>
                </c:lvl>
                <c:lvl>
                  <c:pt idx="0">
                    <c:v>Carbon</c:v>
                  </c:pt>
                  <c:pt idx="2">
                    <c:v>Hydrogen</c:v>
                  </c:pt>
                  <c:pt idx="4">
                    <c:v>Nitrogen</c:v>
                  </c:pt>
                </c:lvl>
              </c:multiLvlStrCache>
            </c:multiLvlStrRef>
          </c:cat>
          <c:val>
            <c:numRef>
              <c:f>'Impact of IPA conc. filtered'!$BY$73:$BY$78</c:f>
              <c:numCache>
                <c:formatCode>0.0%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0.590160799844681</c:v>
                </c:pt>
                <c:pt idx="5">
                  <c:v>0.396947270541768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3832232"/>
        <c:axId val="2133835416"/>
      </c:barChart>
      <c:catAx>
        <c:axId val="2133832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33835416"/>
        <c:crosses val="autoZero"/>
        <c:auto val="1"/>
        <c:lblAlgn val="ctr"/>
        <c:lblOffset val="100"/>
        <c:noMultiLvlLbl val="0"/>
      </c:catAx>
      <c:valAx>
        <c:axId val="2133835416"/>
        <c:scaling>
          <c:orientation val="minMax"/>
          <c:max val="0.9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Elemental yield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2133832232"/>
        <c:crosses val="autoZero"/>
        <c:crossBetween val="between"/>
        <c:majorUnit val="0.2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rgbClr val="FFFFFF"/>
      </a:solidFill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</a:t>
            </a:r>
          </a:p>
        </c:rich>
      </c:tx>
      <c:layout>
        <c:manualLayout>
          <c:xMode val="edge"/>
          <c:yMode val="edge"/>
          <c:x val="0.000473315835520556"/>
          <c:y val="0.0"/>
        </c:manualLayout>
      </c:layout>
      <c:overlay val="1"/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'Impact of IPA conc. filtered'!$AL$4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'Impact of IPA conc. filtered'!$AL$37:$AL$40</c:f>
                <c:numCache>
                  <c:formatCode>General</c:formatCode>
                  <c:ptCount val="4"/>
                  <c:pt idx="0">
                    <c:v>0.00597789418526999</c:v>
                  </c:pt>
                  <c:pt idx="1">
                    <c:v>0.000534594141869446</c:v>
                  </c:pt>
                  <c:pt idx="2">
                    <c:v>0.000117329357494828</c:v>
                  </c:pt>
                  <c:pt idx="3">
                    <c:v>0.00254984700917955</c:v>
                  </c:pt>
                </c:numCache>
              </c:numRef>
            </c:plus>
            <c:minus>
              <c:numRef>
                <c:f>'Impact of IPA conc. filtered'!$AL$37:$AL$40</c:f>
                <c:numCache>
                  <c:formatCode>General</c:formatCode>
                  <c:ptCount val="4"/>
                  <c:pt idx="0">
                    <c:v>0.00597789418526999</c:v>
                  </c:pt>
                  <c:pt idx="1">
                    <c:v>0.000534594141869446</c:v>
                  </c:pt>
                  <c:pt idx="2">
                    <c:v>0.000117329357494828</c:v>
                  </c:pt>
                  <c:pt idx="3">
                    <c:v>0.00254984700917955</c:v>
                  </c:pt>
                </c:numCache>
              </c:numRef>
            </c:minus>
          </c:errBars>
          <c:cat>
            <c:numRef>
              <c:f>'Impact of IPA conc. filtered'!$D$31:$D$34</c:f>
              <c:numCache>
                <c:formatCode>0%</c:formatCode>
                <c:ptCount val="4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0.5</c:v>
                </c:pt>
              </c:numCache>
            </c:numRef>
          </c:cat>
          <c:val>
            <c:numRef>
              <c:f>'Impact of IPA conc. filtered'!$AL$31:$AL$34</c:f>
              <c:numCache>
                <c:formatCode>0.00%</c:formatCode>
                <c:ptCount val="4"/>
                <c:pt idx="0">
                  <c:v>0.0459898857911449</c:v>
                </c:pt>
                <c:pt idx="1">
                  <c:v>0.0470578357870625</c:v>
                </c:pt>
                <c:pt idx="2">
                  <c:v>0.0395444262349325</c:v>
                </c:pt>
                <c:pt idx="3">
                  <c:v>0.0437473751574913</c:v>
                </c:pt>
              </c:numCache>
            </c:numRef>
          </c:val>
        </c:ser>
        <c:ser>
          <c:idx val="0"/>
          <c:order val="1"/>
          <c:tx>
            <c:strRef>
              <c:f>'Impact of IPA conc. filtered'!$AN$5</c:f>
              <c:strCache>
                <c:ptCount val="1"/>
                <c:pt idx="0">
                  <c:v>Heavy Oil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'Impact of IPA conc. filtered'!$AN$37:$AN$40</c:f>
                <c:numCache>
                  <c:formatCode>General</c:formatCode>
                  <c:ptCount val="4"/>
                  <c:pt idx="0">
                    <c:v>0.0201598848026704</c:v>
                  </c:pt>
                  <c:pt idx="1">
                    <c:v>0.00840927195069715</c:v>
                  </c:pt>
                  <c:pt idx="2">
                    <c:v>0.0156802486287086</c:v>
                  </c:pt>
                  <c:pt idx="3">
                    <c:v>0.0255784652920826</c:v>
                  </c:pt>
                </c:numCache>
              </c:numRef>
            </c:plus>
            <c:minus>
              <c:numRef>
                <c:f>'Impact of IPA conc. filtered'!$AN$37:$AN$40</c:f>
                <c:numCache>
                  <c:formatCode>General</c:formatCode>
                  <c:ptCount val="4"/>
                  <c:pt idx="0">
                    <c:v>0.0201598848026704</c:v>
                  </c:pt>
                  <c:pt idx="1">
                    <c:v>0.00840927195069715</c:v>
                  </c:pt>
                  <c:pt idx="2">
                    <c:v>0.0156802486287086</c:v>
                  </c:pt>
                  <c:pt idx="3">
                    <c:v>0.0255784652920826</c:v>
                  </c:pt>
                </c:numCache>
              </c:numRef>
            </c:minus>
          </c:errBars>
          <c:cat>
            <c:numRef>
              <c:f>'Impact of IPA conc. filtered'!$D$31:$D$34</c:f>
              <c:numCache>
                <c:formatCode>0%</c:formatCode>
                <c:ptCount val="4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0.5</c:v>
                </c:pt>
              </c:numCache>
            </c:numRef>
          </c:cat>
          <c:val>
            <c:numRef>
              <c:f>'Impact of IPA conc. filtered'!$AN$31:$AN$34</c:f>
              <c:numCache>
                <c:formatCode>0.00%</c:formatCode>
                <c:ptCount val="4"/>
                <c:pt idx="0">
                  <c:v>0.0797581660058284</c:v>
                </c:pt>
                <c:pt idx="1">
                  <c:v>0.071413344457285</c:v>
                </c:pt>
                <c:pt idx="2">
                  <c:v>0.0861129265107273</c:v>
                </c:pt>
                <c:pt idx="3">
                  <c:v>0.106953582785033</c:v>
                </c:pt>
              </c:numCache>
            </c:numRef>
          </c:val>
        </c:ser>
        <c:ser>
          <c:idx val="1"/>
          <c:order val="2"/>
          <c:tx>
            <c:strRef>
              <c:f>'Impact of IPA conc. filtered'!$AM$5</c:f>
              <c:strCache>
                <c:ptCount val="1"/>
                <c:pt idx="0">
                  <c:v>Light Oil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'Impact of IPA conc. filtered'!$AM$37:$AM$40</c:f>
                <c:numCache>
                  <c:formatCode>General</c:formatCode>
                  <c:ptCount val="4"/>
                  <c:pt idx="0">
                    <c:v>2.17552735952767E-6</c:v>
                  </c:pt>
                  <c:pt idx="1">
                    <c:v>0.0099610191209938</c:v>
                  </c:pt>
                  <c:pt idx="2">
                    <c:v>0.0227039417761891</c:v>
                  </c:pt>
                  <c:pt idx="3">
                    <c:v>0.014509129452233</c:v>
                  </c:pt>
                </c:numCache>
              </c:numRef>
            </c:plus>
            <c:minus>
              <c:numRef>
                <c:f>'Impact of IPA conc. filtered'!$AM$37:$AM$40</c:f>
                <c:numCache>
                  <c:formatCode>General</c:formatCode>
                  <c:ptCount val="4"/>
                  <c:pt idx="0">
                    <c:v>2.17552735952767E-6</c:v>
                  </c:pt>
                  <c:pt idx="1">
                    <c:v>0.0099610191209938</c:v>
                  </c:pt>
                  <c:pt idx="2">
                    <c:v>0.0227039417761891</c:v>
                  </c:pt>
                  <c:pt idx="3">
                    <c:v>0.014509129452233</c:v>
                  </c:pt>
                </c:numCache>
              </c:numRef>
            </c:minus>
          </c:errBars>
          <c:cat>
            <c:numRef>
              <c:f>'Impact of IPA conc. filtered'!$D$31:$D$34</c:f>
              <c:numCache>
                <c:formatCode>0%</c:formatCode>
                <c:ptCount val="4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0.5</c:v>
                </c:pt>
              </c:numCache>
            </c:numRef>
          </c:cat>
          <c:val>
            <c:numRef>
              <c:f>'Impact of IPA conc. filtered'!$AM$31:$AM$34</c:f>
              <c:numCache>
                <c:formatCode>0.00%</c:formatCode>
                <c:ptCount val="4"/>
                <c:pt idx="0">
                  <c:v>0.0544240801940931</c:v>
                </c:pt>
                <c:pt idx="1">
                  <c:v>0.108840386293044</c:v>
                </c:pt>
                <c:pt idx="2">
                  <c:v>0.116001025117852</c:v>
                </c:pt>
                <c:pt idx="3">
                  <c:v>0.176099434033958</c:v>
                </c:pt>
              </c:numCache>
            </c:numRef>
          </c:val>
        </c:ser>
        <c:ser>
          <c:idx val="3"/>
          <c:order val="3"/>
          <c:tx>
            <c:strRef>
              <c:f>'Impact of IPA conc. filtered'!$AP$4</c:f>
              <c:strCache>
                <c:ptCount val="1"/>
                <c:pt idx="0">
                  <c:v>Residue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'Impact of IPA conc. filtered'!$AP$37:$AP$40</c:f>
                <c:numCache>
                  <c:formatCode>General</c:formatCode>
                  <c:ptCount val="4"/>
                  <c:pt idx="0">
                    <c:v>0.00784151403580604</c:v>
                  </c:pt>
                  <c:pt idx="1">
                    <c:v>0.00183715743207127</c:v>
                  </c:pt>
                  <c:pt idx="2">
                    <c:v>0.006166993412765</c:v>
                  </c:pt>
                  <c:pt idx="3">
                    <c:v>0.0435094457844972</c:v>
                  </c:pt>
                </c:numCache>
              </c:numRef>
            </c:plus>
            <c:minus>
              <c:numRef>
                <c:f>'Impact of IPA conc. filtered'!$AP$37:$AP$40</c:f>
                <c:numCache>
                  <c:formatCode>General</c:formatCode>
                  <c:ptCount val="4"/>
                  <c:pt idx="0">
                    <c:v>0.00784151403580604</c:v>
                  </c:pt>
                  <c:pt idx="1">
                    <c:v>0.00183715743207127</c:v>
                  </c:pt>
                  <c:pt idx="2">
                    <c:v>0.006166993412765</c:v>
                  </c:pt>
                  <c:pt idx="3">
                    <c:v>0.0435094457844972</c:v>
                  </c:pt>
                </c:numCache>
              </c:numRef>
            </c:minus>
          </c:errBars>
          <c:cat>
            <c:numRef>
              <c:f>'Impact of IPA conc. filtered'!$D$31:$D$34</c:f>
              <c:numCache>
                <c:formatCode>0%</c:formatCode>
                <c:ptCount val="4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0.5</c:v>
                </c:pt>
              </c:numCache>
            </c:numRef>
          </c:cat>
          <c:val>
            <c:numRef>
              <c:f>'Impact of IPA conc. filtered'!$AP$31:$AP$34</c:f>
              <c:numCache>
                <c:formatCode>0.00%</c:formatCode>
                <c:ptCount val="4"/>
                <c:pt idx="0">
                  <c:v>0.476451867870324</c:v>
                </c:pt>
                <c:pt idx="1">
                  <c:v>0.474263059710718</c:v>
                </c:pt>
                <c:pt idx="2">
                  <c:v>0.432361730328023</c:v>
                </c:pt>
                <c:pt idx="3">
                  <c:v>0.308301209197482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22837512"/>
        <c:axId val="-2122831912"/>
      </c:barChart>
      <c:catAx>
        <c:axId val="-2122837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IPA content of reaction solution (v/v)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-2122831912"/>
        <c:crosses val="autoZero"/>
        <c:auto val="1"/>
        <c:lblAlgn val="ctr"/>
        <c:lblOffset val="100"/>
        <c:noMultiLvlLbl val="0"/>
      </c:catAx>
      <c:valAx>
        <c:axId val="-21228319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 phase yields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-2122837512"/>
        <c:crosses val="autoZero"/>
        <c:crossBetween val="between"/>
        <c:majorUnit val="0.2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rgbClr val="FFFFFF"/>
      </a:solidFill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Solid</c:v>
          </c:tx>
          <c:invertIfNegative val="0"/>
          <c:cat>
            <c:numRef>
              <c:f>'Raw data'!$A$41:$A$46</c:f>
              <c:numCache>
                <c:formatCode>General</c:formatCode>
                <c:ptCount val="6"/>
                <c:pt idx="0">
                  <c:v>0.0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1.0</c:v>
                </c:pt>
              </c:numCache>
            </c:numRef>
          </c:cat>
          <c:val>
            <c:numRef>
              <c:f>'Raw data'!$AM$41:$AM$46</c:f>
              <c:numCache>
                <c:formatCode>0.0%</c:formatCode>
                <c:ptCount val="6"/>
                <c:pt idx="0">
                  <c:v>0.0459898857911449</c:v>
                </c:pt>
                <c:pt idx="1">
                  <c:v>0.0470578357870625</c:v>
                </c:pt>
                <c:pt idx="2">
                  <c:v>0.0395444262349325</c:v>
                </c:pt>
                <c:pt idx="3">
                  <c:v>0.0379135570898347</c:v>
                </c:pt>
                <c:pt idx="4">
                  <c:v>0.0420199999999994</c:v>
                </c:pt>
                <c:pt idx="5">
                  <c:v>0.0437473751574913</c:v>
                </c:pt>
              </c:numCache>
            </c:numRef>
          </c:val>
        </c:ser>
        <c:ser>
          <c:idx val="1"/>
          <c:order val="1"/>
          <c:tx>
            <c:v>Light Oil</c:v>
          </c:tx>
          <c:invertIfNegative val="0"/>
          <c:cat>
            <c:numRef>
              <c:f>'Raw data'!$A$41:$A$46</c:f>
              <c:numCache>
                <c:formatCode>General</c:formatCode>
                <c:ptCount val="6"/>
                <c:pt idx="0">
                  <c:v>0.0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1.0</c:v>
                </c:pt>
              </c:numCache>
            </c:numRef>
          </c:cat>
          <c:val>
            <c:numRef>
              <c:f>'Raw data'!$AO$41:$AO$46</c:f>
              <c:numCache>
                <c:formatCode>0.0%</c:formatCode>
                <c:ptCount val="6"/>
                <c:pt idx="0">
                  <c:v>0.0544240801940931</c:v>
                </c:pt>
                <c:pt idx="1">
                  <c:v>0.108840386293044</c:v>
                </c:pt>
                <c:pt idx="2">
                  <c:v>0.116001025117852</c:v>
                </c:pt>
                <c:pt idx="3">
                  <c:v>0.0333639302390552</c:v>
                </c:pt>
                <c:pt idx="4">
                  <c:v>0.0267000000000003</c:v>
                </c:pt>
                <c:pt idx="5">
                  <c:v>0.176099434033958</c:v>
                </c:pt>
              </c:numCache>
            </c:numRef>
          </c:val>
        </c:ser>
        <c:ser>
          <c:idx val="2"/>
          <c:order val="2"/>
          <c:tx>
            <c:v>Heavy Oil</c:v>
          </c:tx>
          <c:invertIfNegative val="0"/>
          <c:cat>
            <c:numRef>
              <c:f>'Raw data'!$A$41:$A$46</c:f>
              <c:numCache>
                <c:formatCode>General</c:formatCode>
                <c:ptCount val="6"/>
                <c:pt idx="0">
                  <c:v>0.0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1.0</c:v>
                </c:pt>
              </c:numCache>
            </c:numRef>
          </c:cat>
          <c:val>
            <c:numRef>
              <c:f>'Raw data'!$AO$41:$AO$46</c:f>
              <c:numCache>
                <c:formatCode>0.0%</c:formatCode>
                <c:ptCount val="6"/>
                <c:pt idx="0">
                  <c:v>0.0544240801940931</c:v>
                </c:pt>
                <c:pt idx="1">
                  <c:v>0.108840386293044</c:v>
                </c:pt>
                <c:pt idx="2">
                  <c:v>0.116001025117852</c:v>
                </c:pt>
                <c:pt idx="3">
                  <c:v>0.0333639302390552</c:v>
                </c:pt>
                <c:pt idx="4">
                  <c:v>0.0267000000000003</c:v>
                </c:pt>
                <c:pt idx="5">
                  <c:v>0.176099434033958</c:v>
                </c:pt>
              </c:numCache>
            </c:numRef>
          </c:val>
        </c:ser>
        <c:ser>
          <c:idx val="3"/>
          <c:order val="3"/>
          <c:tx>
            <c:v>Water Residue</c:v>
          </c:tx>
          <c:invertIfNegative val="0"/>
          <c:cat>
            <c:numRef>
              <c:f>'Raw data'!$A$41:$A$46</c:f>
              <c:numCache>
                <c:formatCode>General</c:formatCode>
                <c:ptCount val="6"/>
                <c:pt idx="0">
                  <c:v>0.0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1.0</c:v>
                </c:pt>
              </c:numCache>
            </c:numRef>
          </c:cat>
          <c:val>
            <c:numRef>
              <c:f>'Raw data'!$AR$41:$AR$46</c:f>
              <c:numCache>
                <c:formatCode>0.00%</c:formatCode>
                <c:ptCount val="6"/>
                <c:pt idx="0">
                  <c:v>0.476451867870324</c:v>
                </c:pt>
                <c:pt idx="1">
                  <c:v>0.474263059710718</c:v>
                </c:pt>
                <c:pt idx="2">
                  <c:v>0.432361730328023</c:v>
                </c:pt>
                <c:pt idx="3">
                  <c:v>0.478573319576419</c:v>
                </c:pt>
                <c:pt idx="5">
                  <c:v>0.308301209197482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30030936"/>
        <c:axId val="-2130049576"/>
      </c:barChart>
      <c:catAx>
        <c:axId val="-2130030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30049576"/>
        <c:crosses val="autoZero"/>
        <c:auto val="1"/>
        <c:lblAlgn val="ctr"/>
        <c:lblOffset val="100"/>
        <c:noMultiLvlLbl val="0"/>
      </c:catAx>
      <c:valAx>
        <c:axId val="-213004957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2130030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Solid</c:v>
          </c:tx>
          <c:spPr>
            <a:ln w="4762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'Raw data'!$AM$47:$AM$52</c:f>
                <c:numCache>
                  <c:formatCode>General</c:formatCode>
                  <c:ptCount val="6"/>
                  <c:pt idx="0">
                    <c:v>0.00597789418526999</c:v>
                  </c:pt>
                  <c:pt idx="1">
                    <c:v>0.000534594141869446</c:v>
                  </c:pt>
                  <c:pt idx="2">
                    <c:v>0.000117329357494828</c:v>
                  </c:pt>
                  <c:pt idx="5">
                    <c:v>0.00254984700917955</c:v>
                  </c:pt>
                </c:numCache>
              </c:numRef>
            </c:plus>
            <c:minus>
              <c:numRef>
                <c:f>'Raw data'!$AM$47:$AM$52</c:f>
                <c:numCache>
                  <c:formatCode>General</c:formatCode>
                  <c:ptCount val="6"/>
                  <c:pt idx="0">
                    <c:v>0.00597789418526999</c:v>
                  </c:pt>
                  <c:pt idx="1">
                    <c:v>0.000534594141869446</c:v>
                  </c:pt>
                  <c:pt idx="2">
                    <c:v>0.000117329357494828</c:v>
                  </c:pt>
                  <c:pt idx="5">
                    <c:v>0.00254984700917955</c:v>
                  </c:pt>
                </c:numCache>
              </c:numRef>
            </c:minus>
          </c:errBars>
          <c:xVal>
            <c:numRef>
              <c:f>'Raw data'!$A$41:$A$46</c:f>
              <c:numCache>
                <c:formatCode>General</c:formatCode>
                <c:ptCount val="6"/>
                <c:pt idx="0">
                  <c:v>0.0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1.0</c:v>
                </c:pt>
              </c:numCache>
            </c:numRef>
          </c:xVal>
          <c:yVal>
            <c:numRef>
              <c:f>'Raw data'!$AM$41:$AM$46</c:f>
              <c:numCache>
                <c:formatCode>0.0%</c:formatCode>
                <c:ptCount val="6"/>
                <c:pt idx="0">
                  <c:v>0.0459898857911449</c:v>
                </c:pt>
                <c:pt idx="1">
                  <c:v>0.0470578357870625</c:v>
                </c:pt>
                <c:pt idx="2">
                  <c:v>0.0395444262349325</c:v>
                </c:pt>
                <c:pt idx="3">
                  <c:v>0.0379135570898347</c:v>
                </c:pt>
                <c:pt idx="4">
                  <c:v>0.0420199999999994</c:v>
                </c:pt>
                <c:pt idx="5">
                  <c:v>0.0437473751574913</c:v>
                </c:pt>
              </c:numCache>
            </c:numRef>
          </c:yVal>
          <c:smooth val="0"/>
        </c:ser>
        <c:ser>
          <c:idx val="1"/>
          <c:order val="1"/>
          <c:tx>
            <c:v>Light Oil</c:v>
          </c:tx>
          <c:spPr>
            <a:ln w="4762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'Raw data'!$AO$47:$AO$52</c:f>
                <c:numCache>
                  <c:formatCode>General</c:formatCode>
                  <c:ptCount val="6"/>
                  <c:pt idx="0">
                    <c:v>2.17552735952767E-6</c:v>
                  </c:pt>
                  <c:pt idx="1">
                    <c:v>0.0099610191209938</c:v>
                  </c:pt>
                  <c:pt idx="2">
                    <c:v>0.0227039417761891</c:v>
                  </c:pt>
                  <c:pt idx="5">
                    <c:v>0.014509129452233</c:v>
                  </c:pt>
                </c:numCache>
              </c:numRef>
            </c:plus>
            <c:minus>
              <c:numRef>
                <c:f>'Raw data'!$AO$47:$AO$52</c:f>
                <c:numCache>
                  <c:formatCode>General</c:formatCode>
                  <c:ptCount val="6"/>
                  <c:pt idx="0">
                    <c:v>2.17552735952767E-6</c:v>
                  </c:pt>
                  <c:pt idx="1">
                    <c:v>0.0099610191209938</c:v>
                  </c:pt>
                  <c:pt idx="2">
                    <c:v>0.0227039417761891</c:v>
                  </c:pt>
                  <c:pt idx="5">
                    <c:v>0.014509129452233</c:v>
                  </c:pt>
                </c:numCache>
              </c:numRef>
            </c:minus>
          </c:errBars>
          <c:xVal>
            <c:numRef>
              <c:f>'Raw data'!$A$41:$A$46</c:f>
              <c:numCache>
                <c:formatCode>General</c:formatCode>
                <c:ptCount val="6"/>
                <c:pt idx="0">
                  <c:v>0.0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1.0</c:v>
                </c:pt>
              </c:numCache>
            </c:numRef>
          </c:xVal>
          <c:yVal>
            <c:numRef>
              <c:f>'Raw data'!$AO$41:$AO$46</c:f>
              <c:numCache>
                <c:formatCode>0.0%</c:formatCode>
                <c:ptCount val="6"/>
                <c:pt idx="0">
                  <c:v>0.0544240801940931</c:v>
                </c:pt>
                <c:pt idx="1">
                  <c:v>0.108840386293044</c:v>
                </c:pt>
                <c:pt idx="2">
                  <c:v>0.116001025117852</c:v>
                </c:pt>
                <c:pt idx="3">
                  <c:v>0.0333639302390552</c:v>
                </c:pt>
                <c:pt idx="4">
                  <c:v>0.0267000000000003</c:v>
                </c:pt>
                <c:pt idx="5">
                  <c:v>0.176099434033958</c:v>
                </c:pt>
              </c:numCache>
            </c:numRef>
          </c:yVal>
          <c:smooth val="0"/>
        </c:ser>
        <c:ser>
          <c:idx val="2"/>
          <c:order val="2"/>
          <c:tx>
            <c:v>Heavy Oil</c:v>
          </c:tx>
          <c:spPr>
            <a:ln w="4762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'Raw data'!$AP$47:$AP$52</c:f>
                <c:numCache>
                  <c:formatCode>General</c:formatCode>
                  <c:ptCount val="6"/>
                  <c:pt idx="0">
                    <c:v>0.0201598848026704</c:v>
                  </c:pt>
                  <c:pt idx="1">
                    <c:v>0.00840927195069715</c:v>
                  </c:pt>
                  <c:pt idx="2">
                    <c:v>0.0156802486287086</c:v>
                  </c:pt>
                  <c:pt idx="5">
                    <c:v>0.0255784652920826</c:v>
                  </c:pt>
                </c:numCache>
              </c:numRef>
            </c:plus>
            <c:minus>
              <c:numRef>
                <c:f>'Raw data'!$AP$47:$AP$52</c:f>
                <c:numCache>
                  <c:formatCode>General</c:formatCode>
                  <c:ptCount val="6"/>
                  <c:pt idx="0">
                    <c:v>0.0201598848026704</c:v>
                  </c:pt>
                  <c:pt idx="1">
                    <c:v>0.00840927195069715</c:v>
                  </c:pt>
                  <c:pt idx="2">
                    <c:v>0.0156802486287086</c:v>
                  </c:pt>
                  <c:pt idx="5">
                    <c:v>0.0255784652920826</c:v>
                  </c:pt>
                </c:numCache>
              </c:numRef>
            </c:minus>
          </c:errBars>
          <c:xVal>
            <c:numRef>
              <c:f>'Raw data'!$A$41:$A$46</c:f>
              <c:numCache>
                <c:formatCode>General</c:formatCode>
                <c:ptCount val="6"/>
                <c:pt idx="0">
                  <c:v>0.0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1.0</c:v>
                </c:pt>
              </c:numCache>
            </c:numRef>
          </c:xVal>
          <c:yVal>
            <c:numRef>
              <c:f>'Raw data'!$AP$41:$AP$46</c:f>
              <c:numCache>
                <c:formatCode>0.0%</c:formatCode>
                <c:ptCount val="6"/>
                <c:pt idx="0">
                  <c:v>0.0797581660058284</c:v>
                </c:pt>
                <c:pt idx="1">
                  <c:v>0.071413344457285</c:v>
                </c:pt>
                <c:pt idx="2">
                  <c:v>0.0861129265107273</c:v>
                </c:pt>
                <c:pt idx="3">
                  <c:v>0.0482699445264791</c:v>
                </c:pt>
                <c:pt idx="4">
                  <c:v>0.0360199999999999</c:v>
                </c:pt>
                <c:pt idx="5">
                  <c:v>0.106953582785033</c:v>
                </c:pt>
              </c:numCache>
            </c:numRef>
          </c:yVal>
          <c:smooth val="0"/>
        </c:ser>
        <c:ser>
          <c:idx val="3"/>
          <c:order val="3"/>
          <c:tx>
            <c:v>Water Residue</c:v>
          </c:tx>
          <c:spPr>
            <a:ln w="47625">
              <a:noFill/>
            </a:ln>
          </c:spPr>
          <c:marker>
            <c:symbol val="circle"/>
            <c:size val="9"/>
          </c:marker>
          <c:errBars>
            <c:errDir val="y"/>
            <c:errBarType val="both"/>
            <c:errValType val="cust"/>
            <c:noEndCap val="0"/>
            <c:plus>
              <c:numRef>
                <c:f>'Raw data'!$AR$47:$AR$52</c:f>
                <c:numCache>
                  <c:formatCode>General</c:formatCode>
                  <c:ptCount val="6"/>
                  <c:pt idx="0">
                    <c:v>0.00784151403580604</c:v>
                  </c:pt>
                  <c:pt idx="1">
                    <c:v>0.00183715743207127</c:v>
                  </c:pt>
                  <c:pt idx="2">
                    <c:v>0.006166993412765</c:v>
                  </c:pt>
                  <c:pt idx="5">
                    <c:v>0.0435094457844972</c:v>
                  </c:pt>
                </c:numCache>
              </c:numRef>
            </c:plus>
            <c:minus>
              <c:numRef>
                <c:f>'Raw data'!$AR$47:$AR$52</c:f>
                <c:numCache>
                  <c:formatCode>General</c:formatCode>
                  <c:ptCount val="6"/>
                  <c:pt idx="0">
                    <c:v>0.00784151403580604</c:v>
                  </c:pt>
                  <c:pt idx="1">
                    <c:v>0.00183715743207127</c:v>
                  </c:pt>
                  <c:pt idx="2">
                    <c:v>0.006166993412765</c:v>
                  </c:pt>
                  <c:pt idx="5">
                    <c:v>0.0435094457844972</c:v>
                  </c:pt>
                </c:numCache>
              </c:numRef>
            </c:minus>
          </c:errBars>
          <c:xVal>
            <c:numRef>
              <c:f>'Raw data'!$A$41:$A$46</c:f>
              <c:numCache>
                <c:formatCode>General</c:formatCode>
                <c:ptCount val="6"/>
                <c:pt idx="0">
                  <c:v>0.0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1.0</c:v>
                </c:pt>
              </c:numCache>
            </c:numRef>
          </c:xVal>
          <c:yVal>
            <c:numRef>
              <c:f>'Raw data'!$AR$41:$AR$46</c:f>
              <c:numCache>
                <c:formatCode>0.00%</c:formatCode>
                <c:ptCount val="6"/>
                <c:pt idx="0">
                  <c:v>0.476451867870324</c:v>
                </c:pt>
                <c:pt idx="1">
                  <c:v>0.474263059710718</c:v>
                </c:pt>
                <c:pt idx="2">
                  <c:v>0.432361730328023</c:v>
                </c:pt>
                <c:pt idx="3">
                  <c:v>0.478573319576419</c:v>
                </c:pt>
                <c:pt idx="5">
                  <c:v>0.308301209197482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091448"/>
        <c:axId val="-2130109352"/>
      </c:scatterChart>
      <c:valAx>
        <c:axId val="-2130091448"/>
        <c:scaling>
          <c:orientation val="minMax"/>
          <c:max val="1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IPA</a:t>
                </a:r>
                <a:r>
                  <a:rPr lang="en-US" baseline="0"/>
                  <a:t> to water ratio (volumetric)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30109352"/>
        <c:crosses val="autoZero"/>
        <c:crossBetween val="midCat"/>
      </c:valAx>
      <c:valAx>
        <c:axId val="-2130109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Yield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-2130091448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IC</c:v>
          </c:tx>
          <c:spPr>
            <a:ln w="47625">
              <a:noFill/>
            </a:ln>
          </c:spPr>
          <c:xVal>
            <c:numRef>
              <c:f>'Raw data'!$A$41:$A$46</c:f>
              <c:numCache>
                <c:formatCode>General</c:formatCode>
                <c:ptCount val="6"/>
                <c:pt idx="0">
                  <c:v>0.0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1.0</c:v>
                </c:pt>
              </c:numCache>
            </c:numRef>
          </c:xVal>
          <c:yVal>
            <c:numRef>
              <c:f>'Raw data'!$AU$41:$AU$46</c:f>
              <c:numCache>
                <c:formatCode>0.0%</c:formatCode>
                <c:ptCount val="6"/>
                <c:pt idx="0">
                  <c:v>0.00861409198898422</c:v>
                </c:pt>
                <c:pt idx="1">
                  <c:v>0.00668605441566112</c:v>
                </c:pt>
                <c:pt idx="2">
                  <c:v>0.0130116196454446</c:v>
                </c:pt>
                <c:pt idx="3">
                  <c:v>0.00529212772877839</c:v>
                </c:pt>
                <c:pt idx="4">
                  <c:v>0.0039519085</c:v>
                </c:pt>
                <c:pt idx="5">
                  <c:v>0.00759233564486131</c:v>
                </c:pt>
              </c:numCache>
            </c:numRef>
          </c:yVal>
          <c:smooth val="0"/>
        </c:ser>
        <c:ser>
          <c:idx val="2"/>
          <c:order val="1"/>
          <c:tx>
            <c:v>TN</c:v>
          </c:tx>
          <c:spPr>
            <a:ln w="47625">
              <a:noFill/>
            </a:ln>
          </c:spPr>
          <c:xVal>
            <c:numRef>
              <c:f>'Raw data'!$A$41:$A$46</c:f>
              <c:numCache>
                <c:formatCode>General</c:formatCode>
                <c:ptCount val="6"/>
                <c:pt idx="0">
                  <c:v>0.0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1.0</c:v>
                </c:pt>
              </c:numCache>
            </c:numRef>
          </c:xVal>
          <c:yVal>
            <c:numRef>
              <c:f>'Raw data'!$AV$41:$AV$46</c:f>
              <c:numCache>
                <c:formatCode>0.0%</c:formatCode>
                <c:ptCount val="6"/>
                <c:pt idx="0">
                  <c:v>0.0205057698155013</c:v>
                </c:pt>
                <c:pt idx="1">
                  <c:v>0.0186248241401952</c:v>
                </c:pt>
                <c:pt idx="2">
                  <c:v>0.0202193333875253</c:v>
                </c:pt>
                <c:pt idx="3">
                  <c:v>0.0199218228838249</c:v>
                </c:pt>
                <c:pt idx="4">
                  <c:v>0.0202819982</c:v>
                </c:pt>
                <c:pt idx="5">
                  <c:v>0.0137923585584865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140248"/>
        <c:axId val="-2130151912"/>
      </c:scatterChart>
      <c:scatterChart>
        <c:scatterStyle val="lineMarker"/>
        <c:varyColors val="0"/>
        <c:ser>
          <c:idx val="3"/>
          <c:order val="2"/>
          <c:tx>
            <c:v>TC</c:v>
          </c:tx>
          <c:spPr>
            <a:ln w="47625">
              <a:noFill/>
            </a:ln>
          </c:spPr>
          <c:xVal>
            <c:numRef>
              <c:f>'Raw data'!$A$41:$A$46</c:f>
              <c:numCache>
                <c:formatCode>General</c:formatCode>
                <c:ptCount val="6"/>
                <c:pt idx="0">
                  <c:v>0.0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1.0</c:v>
                </c:pt>
              </c:numCache>
            </c:numRef>
          </c:xVal>
          <c:yVal>
            <c:numRef>
              <c:f>'Raw data'!$AS$41:$AS$46</c:f>
              <c:numCache>
                <c:formatCode>0.0%</c:formatCode>
                <c:ptCount val="6"/>
                <c:pt idx="0">
                  <c:v>0.0931296332941469</c:v>
                </c:pt>
                <c:pt idx="1">
                  <c:v>0.295738812442833</c:v>
                </c:pt>
                <c:pt idx="2">
                  <c:v>0.421669553795906</c:v>
                </c:pt>
                <c:pt idx="3">
                  <c:v>0.448933619347887</c:v>
                </c:pt>
                <c:pt idx="4">
                  <c:v>0.436987306</c:v>
                </c:pt>
                <c:pt idx="5">
                  <c:v>0.317143606883587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154136"/>
        <c:axId val="-2130159576"/>
      </c:scatterChart>
      <c:valAx>
        <c:axId val="-213014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IPA to water ratio (volumetric)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-2130151912"/>
        <c:crosses val="autoZero"/>
        <c:crossBetween val="midCat"/>
      </c:valAx>
      <c:valAx>
        <c:axId val="-2130151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Inorganic Carbon/Nitrogen Yield in water phase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-2130140248"/>
        <c:crosses val="autoZero"/>
        <c:crossBetween val="midCat"/>
      </c:valAx>
      <c:valAx>
        <c:axId val="-21301595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carbon yield in water phase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-2130154136"/>
        <c:crosses val="max"/>
        <c:crossBetween val="midCat"/>
      </c:valAx>
      <c:valAx>
        <c:axId val="-2130154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30159576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'Algae cake work-up'!$I$77</c:f>
              <c:strCache>
                <c:ptCount val="1"/>
                <c:pt idx="0">
                  <c:v>Dry Cake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('Algae cake work-up'!$J$76:$K$76,'Algae cake work-up'!$M$76)</c:f>
              <c:strCache>
                <c:ptCount val="3"/>
                <c:pt idx="0">
                  <c:v>Carbon</c:v>
                </c:pt>
                <c:pt idx="1">
                  <c:v>Nitrogen</c:v>
                </c:pt>
                <c:pt idx="2">
                  <c:v>Sulphur</c:v>
                </c:pt>
              </c:strCache>
            </c:strRef>
          </c:cat>
          <c:val>
            <c:numRef>
              <c:f>('Algae cake work-up'!$J$77:$K$77,'Algae cake work-up'!$M$77)</c:f>
              <c:numCache>
                <c:formatCode>0.0%</c:formatCode>
                <c:ptCount val="3"/>
                <c:pt idx="0">
                  <c:v>0.435507106618401</c:v>
                </c:pt>
                <c:pt idx="1">
                  <c:v>0.391392117499791</c:v>
                </c:pt>
                <c:pt idx="2">
                  <c:v>0.244947330470866</c:v>
                </c:pt>
              </c:numCache>
            </c:numRef>
          </c:val>
        </c:ser>
        <c:ser>
          <c:idx val="1"/>
          <c:order val="1"/>
          <c:tx>
            <c:strRef>
              <c:f>'Algae cake work-up'!$I$78</c:f>
              <c:strCache>
                <c:ptCount val="1"/>
                <c:pt idx="0">
                  <c:v>Neutral Water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('Algae cake work-up'!$J$76:$K$76,'Algae cake work-up'!$M$76)</c:f>
              <c:strCache>
                <c:ptCount val="3"/>
                <c:pt idx="0">
                  <c:v>Carbon</c:v>
                </c:pt>
                <c:pt idx="1">
                  <c:v>Nitrogen</c:v>
                </c:pt>
                <c:pt idx="2">
                  <c:v>Sulphur</c:v>
                </c:pt>
              </c:strCache>
            </c:strRef>
          </c:cat>
          <c:val>
            <c:numRef>
              <c:f>('Algae cake work-up'!$J$78:$K$78,'Algae cake work-up'!$M$78)</c:f>
              <c:numCache>
                <c:formatCode>0.0%</c:formatCode>
                <c:ptCount val="3"/>
                <c:pt idx="0">
                  <c:v>0.241494669945594</c:v>
                </c:pt>
                <c:pt idx="1">
                  <c:v>0.244548629437978</c:v>
                </c:pt>
                <c:pt idx="2">
                  <c:v>0.320525979504236</c:v>
                </c:pt>
              </c:numCache>
            </c:numRef>
          </c:val>
        </c:ser>
        <c:ser>
          <c:idx val="2"/>
          <c:order val="2"/>
          <c:tx>
            <c:strRef>
              <c:f>'Algae cake work-up'!$I$79</c:f>
              <c:strCache>
                <c:ptCount val="1"/>
                <c:pt idx="0">
                  <c:v>Acid Water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('Algae cake work-up'!$J$76:$K$76,'Algae cake work-up'!$M$76)</c:f>
              <c:strCache>
                <c:ptCount val="3"/>
                <c:pt idx="0">
                  <c:v>Carbon</c:v>
                </c:pt>
                <c:pt idx="1">
                  <c:v>Nitrogen</c:v>
                </c:pt>
                <c:pt idx="2">
                  <c:v>Sulphur</c:v>
                </c:pt>
              </c:strCache>
            </c:strRef>
          </c:cat>
          <c:val>
            <c:numRef>
              <c:f>('Algae cake work-up'!$J$79:$K$79,'Algae cake work-up'!$M$79)</c:f>
              <c:numCache>
                <c:formatCode>0.0%</c:formatCode>
                <c:ptCount val="3"/>
                <c:pt idx="0">
                  <c:v>0.322998223436005</c:v>
                </c:pt>
                <c:pt idx="1">
                  <c:v>0.36405925306223</c:v>
                </c:pt>
                <c:pt idx="2">
                  <c:v>0.434526690024897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28605352"/>
        <c:axId val="-2128601896"/>
      </c:barChart>
      <c:catAx>
        <c:axId val="-212860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28601896"/>
        <c:crosses val="autoZero"/>
        <c:auto val="1"/>
        <c:lblAlgn val="ctr"/>
        <c:lblOffset val="100"/>
        <c:noMultiLvlLbl val="0"/>
      </c:catAx>
      <c:valAx>
        <c:axId val="-2128601896"/>
        <c:scaling>
          <c:orientation val="minMax"/>
          <c:max val="0.6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28605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</a:t>
            </a:r>
            <a:endParaRPr lang="en-US"/>
          </a:p>
        </c:rich>
      </c:tx>
      <c:layout>
        <c:manualLayout>
          <c:xMode val="edge"/>
          <c:yMode val="edge"/>
          <c:x val="0.00121259842519679"/>
          <c:y val="0.0"/>
        </c:manualLayout>
      </c:layout>
      <c:overlay val="1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'Catalysts yields'!$AL$4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'Catalysts yields'!$AL$163</c:f>
                <c:numCache>
                  <c:formatCode>General</c:formatCode>
                  <c:ptCount val="1"/>
                  <c:pt idx="0">
                    <c:v>0.00254984700917955</c:v>
                  </c:pt>
                </c:numCache>
              </c:numRef>
            </c:plus>
            <c:minus>
              <c:numRef>
                <c:f>'Catalysts yields'!$AL$163</c:f>
                <c:numCache>
                  <c:formatCode>General</c:formatCode>
                  <c:ptCount val="1"/>
                  <c:pt idx="0">
                    <c:v>0.00254984700917955</c:v>
                  </c:pt>
                </c:numCache>
              </c:numRef>
            </c:minus>
          </c:errBars>
          <c:cat>
            <c:multiLvlStrRef>
              <c:f>'Catalysts yields'!$C$97:$D$105</c:f>
              <c:multiLvlStrCache>
                <c:ptCount val="9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  <c:pt idx="6">
                    <c:v>Blank</c:v>
                  </c:pt>
                  <c:pt idx="7">
                    <c:v>LFR</c:v>
                  </c:pt>
                  <c:pt idx="8">
                    <c:v>EAFS</c:v>
                  </c:pt>
                </c:lvl>
                <c:lvl>
                  <c:pt idx="0">
                    <c:v>0% IPA</c:v>
                  </c:pt>
                  <c:pt idx="3">
                    <c:v>50% IPA</c:v>
                  </c:pt>
                  <c:pt idx="6">
                    <c:v>100% IPA</c:v>
                  </c:pt>
                </c:lvl>
              </c:multiLvlStrCache>
            </c:multiLvlStrRef>
          </c:cat>
          <c:val>
            <c:numRef>
              <c:f>'Catalysts yields'!$AL$96:$AL$104</c:f>
              <c:numCache>
                <c:formatCode>0.00%</c:formatCode>
                <c:ptCount val="9"/>
                <c:pt idx="0">
                  <c:v>0.154293623252363</c:v>
                </c:pt>
                <c:pt idx="1">
                  <c:v>0.184126794734121</c:v>
                </c:pt>
                <c:pt idx="2">
                  <c:v>0.182434052757794</c:v>
                </c:pt>
                <c:pt idx="3">
                  <c:v>0.123170196641537</c:v>
                </c:pt>
                <c:pt idx="4">
                  <c:v>0.182487578073554</c:v>
                </c:pt>
                <c:pt idx="5">
                  <c:v>0.118131922566327</c:v>
                </c:pt>
                <c:pt idx="6">
                  <c:v>0.310770583181828</c:v>
                </c:pt>
                <c:pt idx="7">
                  <c:v>0.457283723901153</c:v>
                </c:pt>
                <c:pt idx="8">
                  <c:v>0.298537327170498</c:v>
                </c:pt>
              </c:numCache>
            </c:numRef>
          </c:val>
        </c:ser>
        <c:ser>
          <c:idx val="2"/>
          <c:order val="1"/>
          <c:tx>
            <c:strRef>
              <c:f>'Catalysts yields'!$AN$5</c:f>
              <c:strCache>
                <c:ptCount val="1"/>
                <c:pt idx="0">
                  <c:v>Heavy Oil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'Catalysts yields'!$AN$163</c:f>
                <c:numCache>
                  <c:formatCode>General</c:formatCode>
                  <c:ptCount val="1"/>
                  <c:pt idx="0">
                    <c:v>0.0255784652920826</c:v>
                  </c:pt>
                </c:numCache>
              </c:numRef>
            </c:plus>
            <c:minus>
              <c:numRef>
                <c:f>'Catalysts yields'!$AN$163</c:f>
                <c:numCache>
                  <c:formatCode>General</c:formatCode>
                  <c:ptCount val="1"/>
                  <c:pt idx="0">
                    <c:v>0.0255784652920826</c:v>
                  </c:pt>
                </c:numCache>
              </c:numRef>
            </c:minus>
          </c:errBars>
          <c:cat>
            <c:multiLvlStrRef>
              <c:f>'Catalysts yields'!$C$97:$D$105</c:f>
              <c:multiLvlStrCache>
                <c:ptCount val="9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  <c:pt idx="6">
                    <c:v>Blank</c:v>
                  </c:pt>
                  <c:pt idx="7">
                    <c:v>LFR</c:v>
                  </c:pt>
                  <c:pt idx="8">
                    <c:v>EAFS</c:v>
                  </c:pt>
                </c:lvl>
                <c:lvl>
                  <c:pt idx="0">
                    <c:v>0% IPA</c:v>
                  </c:pt>
                  <c:pt idx="3">
                    <c:v>50% IPA</c:v>
                  </c:pt>
                  <c:pt idx="6">
                    <c:v>100% IPA</c:v>
                  </c:pt>
                </c:lvl>
              </c:multiLvlStrCache>
            </c:multiLvlStrRef>
          </c:cat>
          <c:val>
            <c:numRef>
              <c:f>'Catalysts yields'!$AN$96:$AN$104</c:f>
              <c:numCache>
                <c:formatCode>0.00%</c:formatCode>
                <c:ptCount val="9"/>
                <c:pt idx="0">
                  <c:v>0.0378713417447296</c:v>
                </c:pt>
                <c:pt idx="1">
                  <c:v>0.0222527144732129</c:v>
                </c:pt>
                <c:pt idx="2">
                  <c:v>0.0232014388489207</c:v>
                </c:pt>
                <c:pt idx="3">
                  <c:v>0.0794942363687132</c:v>
                </c:pt>
                <c:pt idx="4">
                  <c:v>0.0685450881008917</c:v>
                </c:pt>
                <c:pt idx="5">
                  <c:v>0.0350115912738513</c:v>
                </c:pt>
                <c:pt idx="6">
                  <c:v>0.12432821209518</c:v>
                </c:pt>
                <c:pt idx="7">
                  <c:v>0.0489041478701746</c:v>
                </c:pt>
                <c:pt idx="8">
                  <c:v>0.0594073273705906</c:v>
                </c:pt>
              </c:numCache>
            </c:numRef>
          </c:val>
        </c:ser>
        <c:ser>
          <c:idx val="3"/>
          <c:order val="2"/>
          <c:tx>
            <c:strRef>
              <c:f>'Catalysts yields'!$AM$5</c:f>
              <c:strCache>
                <c:ptCount val="1"/>
                <c:pt idx="0">
                  <c:v>Light Oil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'Catalysts yields'!$AM$163</c:f>
                <c:numCache>
                  <c:formatCode>General</c:formatCode>
                  <c:ptCount val="1"/>
                  <c:pt idx="0">
                    <c:v>0.014509129452233</c:v>
                  </c:pt>
                </c:numCache>
              </c:numRef>
            </c:plus>
            <c:minus>
              <c:numRef>
                <c:f>'Catalysts yields'!$AM$163</c:f>
                <c:numCache>
                  <c:formatCode>General</c:formatCode>
                  <c:ptCount val="1"/>
                  <c:pt idx="0">
                    <c:v>0.014509129452233</c:v>
                  </c:pt>
                </c:numCache>
              </c:numRef>
            </c:minus>
          </c:errBars>
          <c:cat>
            <c:multiLvlStrRef>
              <c:f>'Catalysts yields'!$C$97:$D$105</c:f>
              <c:multiLvlStrCache>
                <c:ptCount val="9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  <c:pt idx="6">
                    <c:v>Blank</c:v>
                  </c:pt>
                  <c:pt idx="7">
                    <c:v>LFR</c:v>
                  </c:pt>
                  <c:pt idx="8">
                    <c:v>EAFS</c:v>
                  </c:pt>
                </c:lvl>
                <c:lvl>
                  <c:pt idx="0">
                    <c:v>0% IPA</c:v>
                  </c:pt>
                  <c:pt idx="3">
                    <c:v>50% IPA</c:v>
                  </c:pt>
                  <c:pt idx="6">
                    <c:v>100% IPA</c:v>
                  </c:pt>
                </c:lvl>
              </c:multiLvlStrCache>
            </c:multiLvlStrRef>
          </c:cat>
          <c:val>
            <c:numRef>
              <c:f>'Catalysts yields'!$AM$96:$AM$104</c:f>
              <c:numCache>
                <c:formatCode>0.00%</c:formatCode>
                <c:ptCount val="9"/>
                <c:pt idx="0">
                  <c:v>0.0464164644053519</c:v>
                </c:pt>
                <c:pt idx="1">
                  <c:v>0.0373861512150497</c:v>
                </c:pt>
                <c:pt idx="2">
                  <c:v>0.0335131894484412</c:v>
                </c:pt>
                <c:pt idx="3">
                  <c:v>0.0651150731921342</c:v>
                </c:pt>
                <c:pt idx="4">
                  <c:v>0.0419252489374009</c:v>
                </c:pt>
                <c:pt idx="5">
                  <c:v>0.0897184410232023</c:v>
                </c:pt>
                <c:pt idx="6">
                  <c:v>0.063672507142429</c:v>
                </c:pt>
                <c:pt idx="7">
                  <c:v>0.0796638588366802</c:v>
                </c:pt>
                <c:pt idx="8">
                  <c:v>0.075294635532345</c:v>
                </c:pt>
              </c:numCache>
            </c:numRef>
          </c:val>
        </c:ser>
        <c:ser>
          <c:idx val="4"/>
          <c:order val="3"/>
          <c:tx>
            <c:strRef>
              <c:f>'Catalysts yields'!$AP$4</c:f>
              <c:strCache>
                <c:ptCount val="1"/>
                <c:pt idx="0">
                  <c:v>Residue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'Catalysts yields'!$AP$163</c:f>
                <c:numCache>
                  <c:formatCode>General</c:formatCode>
                  <c:ptCount val="1"/>
                  <c:pt idx="0">
                    <c:v>0.0435094457844972</c:v>
                  </c:pt>
                </c:numCache>
              </c:numRef>
            </c:plus>
            <c:minus>
              <c:numRef>
                <c:f>'Catalysts yields'!$AP$163</c:f>
                <c:numCache>
                  <c:formatCode>General</c:formatCode>
                  <c:ptCount val="1"/>
                  <c:pt idx="0">
                    <c:v>0.0435094457844972</c:v>
                  </c:pt>
                </c:numCache>
              </c:numRef>
            </c:minus>
          </c:errBars>
          <c:cat>
            <c:multiLvlStrRef>
              <c:f>'Catalysts yields'!$C$97:$D$105</c:f>
              <c:multiLvlStrCache>
                <c:ptCount val="9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  <c:pt idx="6">
                    <c:v>Blank</c:v>
                  </c:pt>
                  <c:pt idx="7">
                    <c:v>LFR</c:v>
                  </c:pt>
                  <c:pt idx="8">
                    <c:v>EAFS</c:v>
                  </c:pt>
                </c:lvl>
                <c:lvl>
                  <c:pt idx="0">
                    <c:v>0% IPA</c:v>
                  </c:pt>
                  <c:pt idx="3">
                    <c:v>50% IPA</c:v>
                  </c:pt>
                  <c:pt idx="6">
                    <c:v>100% IPA</c:v>
                  </c:pt>
                </c:lvl>
              </c:multiLvlStrCache>
            </c:multiLvlStrRef>
          </c:cat>
          <c:val>
            <c:numRef>
              <c:f>'Catalysts yields'!$AP$96:$AP$104</c:f>
              <c:numCache>
                <c:formatCode>0.00%</c:formatCode>
                <c:ptCount val="9"/>
                <c:pt idx="0">
                  <c:v>0.580784271355404</c:v>
                </c:pt>
                <c:pt idx="1">
                  <c:v>0.630727114010733</c:v>
                </c:pt>
                <c:pt idx="2">
                  <c:v>0.625765078859907</c:v>
                </c:pt>
                <c:pt idx="3">
                  <c:v>0.0887737229356624</c:v>
                </c:pt>
                <c:pt idx="4">
                  <c:v>0.413113475310942</c:v>
                </c:pt>
                <c:pt idx="5">
                  <c:v>0.452505437930793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6353832"/>
        <c:axId val="2133664584"/>
      </c:barChart>
      <c:catAx>
        <c:axId val="2116353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33664584"/>
        <c:crosses val="autoZero"/>
        <c:auto val="1"/>
        <c:lblAlgn val="ctr"/>
        <c:lblOffset val="100"/>
        <c:noMultiLvlLbl val="0"/>
      </c:catAx>
      <c:valAx>
        <c:axId val="2133664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 Phase Yield</a:t>
                </a:r>
              </a:p>
            </c:rich>
          </c:tx>
          <c:layout>
            <c:manualLayout>
              <c:xMode val="edge"/>
              <c:yMode val="edge"/>
              <c:x val="0.0361111111111111"/>
              <c:y val="0.0956521739130435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2116353832"/>
        <c:crosses val="autoZero"/>
        <c:crossBetween val="between"/>
        <c:majorUnit val="0.2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b</a:t>
            </a:r>
            <a:endParaRPr lang="en-US"/>
          </a:p>
        </c:rich>
      </c:tx>
      <c:layout>
        <c:manualLayout>
          <c:xMode val="edge"/>
          <c:yMode val="edge"/>
          <c:x val="0.00121259842519685"/>
          <c:y val="0.0"/>
        </c:manualLayout>
      </c:layout>
      <c:overlay val="1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'Catalysts yields'!$AL$4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'Catalysts yields'!$AL$163</c:f>
                <c:numCache>
                  <c:formatCode>General</c:formatCode>
                  <c:ptCount val="1"/>
                  <c:pt idx="0">
                    <c:v>0.00254984700917955</c:v>
                  </c:pt>
                </c:numCache>
              </c:numRef>
            </c:plus>
            <c:minus>
              <c:numRef>
                <c:f>'Catalysts yields'!$AL$163</c:f>
                <c:numCache>
                  <c:formatCode>General</c:formatCode>
                  <c:ptCount val="1"/>
                  <c:pt idx="0">
                    <c:v>0.00254984700917955</c:v>
                  </c:pt>
                </c:numCache>
              </c:numRef>
            </c:minus>
          </c:errBars>
          <c:cat>
            <c:multiLvlStrRef>
              <c:f>'Catalysts yields'!$C$107:$D$112</c:f>
              <c:multiLvlStrCache>
                <c:ptCount val="6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</c:lvl>
                <c:lvl>
                  <c:pt idx="0">
                    <c:v>0% IPA</c:v>
                  </c:pt>
                  <c:pt idx="3">
                    <c:v>50% IPA</c:v>
                  </c:pt>
                </c:lvl>
              </c:multiLvlStrCache>
            </c:multiLvlStrRef>
          </c:cat>
          <c:val>
            <c:numRef>
              <c:f>'Catalysts yields'!$AL$107:$AL$112</c:f>
              <c:numCache>
                <c:formatCode>0.00%</c:formatCode>
                <c:ptCount val="6"/>
                <c:pt idx="0">
                  <c:v>0.0459898857911449</c:v>
                </c:pt>
                <c:pt idx="1">
                  <c:v>0.29741827192071</c:v>
                </c:pt>
                <c:pt idx="2">
                  <c:v>0.201163856670254</c:v>
                </c:pt>
                <c:pt idx="3">
                  <c:v>0.0437473751574913</c:v>
                </c:pt>
                <c:pt idx="4">
                  <c:v>0.347482546858434</c:v>
                </c:pt>
                <c:pt idx="5">
                  <c:v>0.242090344731221</c:v>
                </c:pt>
              </c:numCache>
            </c:numRef>
          </c:val>
        </c:ser>
        <c:ser>
          <c:idx val="2"/>
          <c:order val="1"/>
          <c:tx>
            <c:strRef>
              <c:f>'Catalysts yields'!$AN$5</c:f>
              <c:strCache>
                <c:ptCount val="1"/>
                <c:pt idx="0">
                  <c:v>Heavy Oil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'Catalysts yields'!$AN$163</c:f>
                <c:numCache>
                  <c:formatCode>General</c:formatCode>
                  <c:ptCount val="1"/>
                  <c:pt idx="0">
                    <c:v>0.0255784652920826</c:v>
                  </c:pt>
                </c:numCache>
              </c:numRef>
            </c:plus>
            <c:minus>
              <c:numRef>
                <c:f>'Catalysts yields'!$AN$163</c:f>
                <c:numCache>
                  <c:formatCode>General</c:formatCode>
                  <c:ptCount val="1"/>
                  <c:pt idx="0">
                    <c:v>0.0255784652920826</c:v>
                  </c:pt>
                </c:numCache>
              </c:numRef>
            </c:minus>
          </c:errBars>
          <c:cat>
            <c:multiLvlStrRef>
              <c:f>'Catalysts yields'!$C$107:$D$112</c:f>
              <c:multiLvlStrCache>
                <c:ptCount val="6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</c:lvl>
                <c:lvl>
                  <c:pt idx="0">
                    <c:v>0% IPA</c:v>
                  </c:pt>
                  <c:pt idx="3">
                    <c:v>50% IPA</c:v>
                  </c:pt>
                </c:lvl>
              </c:multiLvlStrCache>
            </c:multiLvlStrRef>
          </c:cat>
          <c:val>
            <c:numRef>
              <c:f>'Catalysts yields'!$AN$107:$AN$112</c:f>
              <c:numCache>
                <c:formatCode>0.00%</c:formatCode>
                <c:ptCount val="6"/>
                <c:pt idx="0">
                  <c:v>0.0797581660058284</c:v>
                </c:pt>
                <c:pt idx="1">
                  <c:v>0.0575093917352724</c:v>
                </c:pt>
                <c:pt idx="2">
                  <c:v>0.0733389134680541</c:v>
                </c:pt>
                <c:pt idx="3">
                  <c:v>0.106953582785033</c:v>
                </c:pt>
                <c:pt idx="4">
                  <c:v>0.0955972074973491</c:v>
                </c:pt>
                <c:pt idx="5">
                  <c:v>0.0753538136016131</c:v>
                </c:pt>
              </c:numCache>
            </c:numRef>
          </c:val>
        </c:ser>
        <c:ser>
          <c:idx val="3"/>
          <c:order val="2"/>
          <c:tx>
            <c:strRef>
              <c:f>'Catalysts yields'!$AM$5</c:f>
              <c:strCache>
                <c:ptCount val="1"/>
                <c:pt idx="0">
                  <c:v>Light Oil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'Catalysts yields'!$AM$163</c:f>
                <c:numCache>
                  <c:formatCode>General</c:formatCode>
                  <c:ptCount val="1"/>
                  <c:pt idx="0">
                    <c:v>0.014509129452233</c:v>
                  </c:pt>
                </c:numCache>
              </c:numRef>
            </c:plus>
            <c:minus>
              <c:numRef>
                <c:f>'Catalysts yields'!$AM$163</c:f>
                <c:numCache>
                  <c:formatCode>General</c:formatCode>
                  <c:ptCount val="1"/>
                  <c:pt idx="0">
                    <c:v>0.014509129452233</c:v>
                  </c:pt>
                </c:numCache>
              </c:numRef>
            </c:minus>
          </c:errBars>
          <c:cat>
            <c:multiLvlStrRef>
              <c:f>'Catalysts yields'!$C$107:$D$112</c:f>
              <c:multiLvlStrCache>
                <c:ptCount val="6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</c:lvl>
                <c:lvl>
                  <c:pt idx="0">
                    <c:v>0% IPA</c:v>
                  </c:pt>
                  <c:pt idx="3">
                    <c:v>50% IPA</c:v>
                  </c:pt>
                </c:lvl>
              </c:multiLvlStrCache>
            </c:multiLvlStrRef>
          </c:cat>
          <c:val>
            <c:numRef>
              <c:f>'Catalysts yields'!$AM$107:$AM$112</c:f>
              <c:numCache>
                <c:formatCode>0.00%</c:formatCode>
                <c:ptCount val="6"/>
                <c:pt idx="0">
                  <c:v>0.0544240801940931</c:v>
                </c:pt>
                <c:pt idx="1">
                  <c:v>0.0584885300935177</c:v>
                </c:pt>
                <c:pt idx="2">
                  <c:v>0.0324444975885841</c:v>
                </c:pt>
                <c:pt idx="3">
                  <c:v>0.176099434033958</c:v>
                </c:pt>
                <c:pt idx="4">
                  <c:v>0.0499489908183474</c:v>
                </c:pt>
                <c:pt idx="5">
                  <c:v>0.101283509990618</c:v>
                </c:pt>
              </c:numCache>
            </c:numRef>
          </c:val>
        </c:ser>
        <c:ser>
          <c:idx val="4"/>
          <c:order val="3"/>
          <c:tx>
            <c:strRef>
              <c:f>'Catalysts yields'!$AP$4</c:f>
              <c:strCache>
                <c:ptCount val="1"/>
                <c:pt idx="0">
                  <c:v>Residue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'Catalysts yields'!$AP$163</c:f>
                <c:numCache>
                  <c:formatCode>General</c:formatCode>
                  <c:ptCount val="1"/>
                  <c:pt idx="0">
                    <c:v>0.0435094457844972</c:v>
                  </c:pt>
                </c:numCache>
              </c:numRef>
            </c:plus>
            <c:minus>
              <c:numRef>
                <c:f>'Catalysts yields'!$AP$163</c:f>
                <c:numCache>
                  <c:formatCode>General</c:formatCode>
                  <c:ptCount val="1"/>
                  <c:pt idx="0">
                    <c:v>0.0435094457844972</c:v>
                  </c:pt>
                </c:numCache>
              </c:numRef>
            </c:minus>
          </c:errBars>
          <c:cat>
            <c:multiLvlStrRef>
              <c:f>'Catalysts yields'!$C$107:$D$112</c:f>
              <c:multiLvlStrCache>
                <c:ptCount val="6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</c:lvl>
                <c:lvl>
                  <c:pt idx="0">
                    <c:v>0% IPA</c:v>
                  </c:pt>
                  <c:pt idx="3">
                    <c:v>50% IPA</c:v>
                  </c:pt>
                </c:lvl>
              </c:multiLvlStrCache>
            </c:multiLvlStrRef>
          </c:cat>
          <c:val>
            <c:numRef>
              <c:f>'Catalysts yields'!$AP$107:$AP$112</c:f>
              <c:numCache>
                <c:formatCode>0.00%</c:formatCode>
                <c:ptCount val="6"/>
                <c:pt idx="0">
                  <c:v>0.476451867870324</c:v>
                </c:pt>
                <c:pt idx="1">
                  <c:v>0.4855358623598</c:v>
                </c:pt>
                <c:pt idx="2">
                  <c:v>0.410182001824408</c:v>
                </c:pt>
                <c:pt idx="3">
                  <c:v>0.308301209197482</c:v>
                </c:pt>
                <c:pt idx="4">
                  <c:v>0.44580160527264</c:v>
                </c:pt>
                <c:pt idx="5">
                  <c:v>0.434944811579119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29855928"/>
        <c:axId val="-2130138264"/>
      </c:barChart>
      <c:catAx>
        <c:axId val="-2129855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30138264"/>
        <c:crosses val="autoZero"/>
        <c:auto val="1"/>
        <c:lblAlgn val="ctr"/>
        <c:lblOffset val="100"/>
        <c:noMultiLvlLbl val="0"/>
      </c:catAx>
      <c:valAx>
        <c:axId val="-2130138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Product Phase Yield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-212985592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rgbClr val="FFFFFF"/>
      </a:solidFill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</a:t>
            </a:r>
          </a:p>
        </c:rich>
      </c:tx>
      <c:layout>
        <c:manualLayout>
          <c:xMode val="edge"/>
          <c:yMode val="edge"/>
          <c:x val="0.00154768153980756"/>
          <c:y val="0.0"/>
        </c:manualLayout>
      </c:layout>
      <c:overlay val="1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'Catalysts yields'!$AX$116</c:f>
              <c:strCache>
                <c:ptCount val="1"/>
                <c:pt idx="0">
                  <c:v>Solids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'Catalysts yields'!$C$117:$D$125</c:f>
              <c:multiLvlStrCache>
                <c:ptCount val="9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  <c:pt idx="6">
                    <c:v>Blank</c:v>
                  </c:pt>
                  <c:pt idx="7">
                    <c:v>LFR</c:v>
                  </c:pt>
                  <c:pt idx="8">
                    <c:v>EAFS</c:v>
                  </c:pt>
                </c:lvl>
                <c:lvl>
                  <c:pt idx="0">
                    <c:v>Carbon</c:v>
                  </c:pt>
                  <c:pt idx="3">
                    <c:v>Hydrogen</c:v>
                  </c:pt>
                  <c:pt idx="6">
                    <c:v>Nitrogen</c:v>
                  </c:pt>
                </c:lvl>
              </c:multiLvlStrCache>
            </c:multiLvlStrRef>
          </c:cat>
          <c:val>
            <c:numRef>
              <c:f>'Catalysts yields'!$AX$117:$AX$125</c:f>
              <c:numCache>
                <c:formatCode>0.00%</c:formatCode>
                <c:ptCount val="9"/>
                <c:pt idx="0">
                  <c:v>0.433307034338357</c:v>
                </c:pt>
                <c:pt idx="1">
                  <c:v>0.703211129219796</c:v>
                </c:pt>
                <c:pt idx="2">
                  <c:v>0.526830182248715</c:v>
                </c:pt>
              </c:numCache>
            </c:numRef>
          </c:val>
        </c:ser>
        <c:ser>
          <c:idx val="0"/>
          <c:order val="1"/>
          <c:tx>
            <c:strRef>
              <c:f>'Catalysts yields'!$AU$116</c:f>
              <c:strCache>
                <c:ptCount val="1"/>
                <c:pt idx="0">
                  <c:v>Heavy Oil</c:v>
                </c:pt>
              </c:strCache>
            </c:strRef>
          </c:tx>
          <c:spPr>
            <a:solidFill>
              <a:srgbClr val="984807"/>
            </a:solidFill>
          </c:spPr>
          <c:invertIfNegative val="0"/>
          <c:cat>
            <c:multiLvlStrRef>
              <c:f>'Catalysts yields'!$C$117:$D$125</c:f>
              <c:multiLvlStrCache>
                <c:ptCount val="9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  <c:pt idx="6">
                    <c:v>Blank</c:v>
                  </c:pt>
                  <c:pt idx="7">
                    <c:v>LFR</c:v>
                  </c:pt>
                  <c:pt idx="8">
                    <c:v>EAFS</c:v>
                  </c:pt>
                </c:lvl>
                <c:lvl>
                  <c:pt idx="0">
                    <c:v>Carbon</c:v>
                  </c:pt>
                  <c:pt idx="3">
                    <c:v>Hydrogen</c:v>
                  </c:pt>
                  <c:pt idx="6">
                    <c:v>Nitrogen</c:v>
                  </c:pt>
                </c:lvl>
              </c:multiLvlStrCache>
            </c:multiLvlStrRef>
          </c:cat>
          <c:val>
            <c:numRef>
              <c:f>'Catalysts yields'!$AU$117:$AU$125</c:f>
              <c:numCache>
                <c:formatCode>0.0%</c:formatCode>
                <c:ptCount val="9"/>
                <c:pt idx="0">
                  <c:v>0.193700978717224</c:v>
                </c:pt>
                <c:pt idx="1">
                  <c:v>0.103596282937162</c:v>
                </c:pt>
                <c:pt idx="2">
                  <c:v>0.135267094970478</c:v>
                </c:pt>
                <c:pt idx="3">
                  <c:v>0.162981520077877</c:v>
                </c:pt>
                <c:pt idx="4">
                  <c:v>0.0918547377192816</c:v>
                </c:pt>
                <c:pt idx="5">
                  <c:v>0.132653582680528</c:v>
                </c:pt>
                <c:pt idx="6">
                  <c:v>0.325314192737939</c:v>
                </c:pt>
                <c:pt idx="7">
                  <c:v>0.0283586743700956</c:v>
                </c:pt>
                <c:pt idx="8">
                  <c:v>0.0252711412830253</c:v>
                </c:pt>
              </c:numCache>
            </c:numRef>
          </c:val>
        </c:ser>
        <c:ser>
          <c:idx val="1"/>
          <c:order val="2"/>
          <c:tx>
            <c:strRef>
              <c:f>'Catalysts yields'!$AV$116</c:f>
              <c:strCache>
                <c:ptCount val="1"/>
                <c:pt idx="0">
                  <c:v>Light Oil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multiLvlStrRef>
              <c:f>'Catalysts yields'!$C$117:$D$125</c:f>
              <c:multiLvlStrCache>
                <c:ptCount val="9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  <c:pt idx="6">
                    <c:v>Blank</c:v>
                  </c:pt>
                  <c:pt idx="7">
                    <c:v>LFR</c:v>
                  </c:pt>
                  <c:pt idx="8">
                    <c:v>EAFS</c:v>
                  </c:pt>
                </c:lvl>
                <c:lvl>
                  <c:pt idx="0">
                    <c:v>Carbon</c:v>
                  </c:pt>
                  <c:pt idx="3">
                    <c:v>Hydrogen</c:v>
                  </c:pt>
                  <c:pt idx="6">
                    <c:v>Nitrogen</c:v>
                  </c:pt>
                </c:lvl>
              </c:multiLvlStrCache>
            </c:multiLvlStrRef>
          </c:cat>
          <c:val>
            <c:numRef>
              <c:f>'Catalysts yields'!$AV$117:$AV$125</c:f>
              <c:numCache>
                <c:formatCode>0.0%</c:formatCode>
                <c:ptCount val="9"/>
                <c:pt idx="0">
                  <c:v>0.155430692188125</c:v>
                </c:pt>
                <c:pt idx="1">
                  <c:v>0.142732714115692</c:v>
                </c:pt>
                <c:pt idx="2">
                  <c:v>0.14498455597078</c:v>
                </c:pt>
                <c:pt idx="3">
                  <c:v>0.132272243064779</c:v>
                </c:pt>
                <c:pt idx="4">
                  <c:v>0.0965838171296355</c:v>
                </c:pt>
                <c:pt idx="5">
                  <c:v>0.124483468974903</c:v>
                </c:pt>
                <c:pt idx="6">
                  <c:v>0.0312580172727551</c:v>
                </c:pt>
                <c:pt idx="7">
                  <c:v>0.122560039743095</c:v>
                </c:pt>
                <c:pt idx="8">
                  <c:v>0.159074283661996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3324824"/>
        <c:axId val="2133631992"/>
      </c:barChart>
      <c:catAx>
        <c:axId val="2133324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33631992"/>
        <c:crosses val="autoZero"/>
        <c:auto val="1"/>
        <c:lblAlgn val="ctr"/>
        <c:lblOffset val="100"/>
        <c:noMultiLvlLbl val="0"/>
      </c:catAx>
      <c:valAx>
        <c:axId val="2133631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Elemental retention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21333248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77544181977253"/>
          <c:y val="0.152548442314276"/>
          <c:w val="0.200233595800525"/>
          <c:h val="0.277511811023622"/>
        </c:manualLayout>
      </c:layout>
      <c:overlay val="1"/>
    </c:legend>
    <c:plotVisOnly val="1"/>
    <c:dispBlanksAs val="gap"/>
    <c:showDLblsOverMax val="0"/>
  </c:chart>
  <c:spPr>
    <a:ln>
      <a:solidFill>
        <a:srgbClr val="FFFFFF"/>
      </a:solidFill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</a:t>
            </a:r>
          </a:p>
        </c:rich>
      </c:tx>
      <c:layout>
        <c:manualLayout>
          <c:xMode val="edge"/>
          <c:yMode val="edge"/>
          <c:x val="0.00154768153980756"/>
          <c:y val="0.0"/>
        </c:manualLayout>
      </c:layout>
      <c:overlay val="1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'Catalysts yields'!$AX$131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rgbClr val="4F6228"/>
            </a:solidFill>
          </c:spPr>
          <c:invertIfNegative val="0"/>
          <c:cat>
            <c:multiLvlStrRef>
              <c:f>'Catalysts yields'!$C$132:$D$140</c:f>
              <c:multiLvlStrCache>
                <c:ptCount val="9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  <c:pt idx="6">
                    <c:v>Blank</c:v>
                  </c:pt>
                  <c:pt idx="7">
                    <c:v>LFR</c:v>
                  </c:pt>
                  <c:pt idx="8">
                    <c:v>EAFS</c:v>
                  </c:pt>
                </c:lvl>
                <c:lvl>
                  <c:pt idx="0">
                    <c:v>Carbon</c:v>
                  </c:pt>
                  <c:pt idx="3">
                    <c:v>Hydrogen</c:v>
                  </c:pt>
                  <c:pt idx="6">
                    <c:v>Nitrogen</c:v>
                  </c:pt>
                </c:lvl>
              </c:multiLvlStrCache>
            </c:multiLvlStrRef>
          </c:cat>
          <c:val>
            <c:numRef>
              <c:f>'Catalysts yields'!$AX$132:$AX$140</c:f>
              <c:numCache>
                <c:formatCode>0.0%</c:formatCode>
                <c:ptCount val="9"/>
                <c:pt idx="0">
                  <c:v>0.0879079144248701</c:v>
                </c:pt>
                <c:pt idx="1">
                  <c:v>0.437950968028409</c:v>
                </c:pt>
                <c:pt idx="2">
                  <c:v>0.499339706630711</c:v>
                </c:pt>
              </c:numCache>
            </c:numRef>
          </c:val>
        </c:ser>
        <c:ser>
          <c:idx val="0"/>
          <c:order val="1"/>
          <c:tx>
            <c:strRef>
              <c:f>'Catalysts yields'!$AU$131</c:f>
              <c:strCache>
                <c:ptCount val="1"/>
                <c:pt idx="0">
                  <c:v>Heavy Oil</c:v>
                </c:pt>
              </c:strCache>
            </c:strRef>
          </c:tx>
          <c:spPr>
            <a:solidFill>
              <a:srgbClr val="984807"/>
            </a:solidFill>
          </c:spPr>
          <c:invertIfNegative val="0"/>
          <c:cat>
            <c:multiLvlStrRef>
              <c:f>'Catalysts yields'!$C$132:$D$140</c:f>
              <c:multiLvlStrCache>
                <c:ptCount val="9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  <c:pt idx="6">
                    <c:v>Blank</c:v>
                  </c:pt>
                  <c:pt idx="7">
                    <c:v>LFR</c:v>
                  </c:pt>
                  <c:pt idx="8">
                    <c:v>EAFS</c:v>
                  </c:pt>
                </c:lvl>
                <c:lvl>
                  <c:pt idx="0">
                    <c:v>Carbon</c:v>
                  </c:pt>
                  <c:pt idx="3">
                    <c:v>Hydrogen</c:v>
                  </c:pt>
                  <c:pt idx="6">
                    <c:v>Nitrogen</c:v>
                  </c:pt>
                </c:lvl>
              </c:multiLvlStrCache>
            </c:multiLvlStrRef>
          </c:cat>
          <c:val>
            <c:numRef>
              <c:f>'Catalysts yields'!$AU$132:$AU$140</c:f>
              <c:numCache>
                <c:formatCode>0.0%</c:formatCode>
                <c:ptCount val="9"/>
                <c:pt idx="0">
                  <c:v>0.208704457748399</c:v>
                </c:pt>
                <c:pt idx="1">
                  <c:v>0.131662634501073</c:v>
                </c:pt>
                <c:pt idx="2">
                  <c:v>0.145463554621606</c:v>
                </c:pt>
                <c:pt idx="3">
                  <c:v>0.119646835945997</c:v>
                </c:pt>
                <c:pt idx="4">
                  <c:v>0.0931223849640652</c:v>
                </c:pt>
                <c:pt idx="5">
                  <c:v>0.107876674864392</c:v>
                </c:pt>
                <c:pt idx="6">
                  <c:v>0.158670058766905</c:v>
                </c:pt>
                <c:pt idx="7">
                  <c:v>0.120067001249079</c:v>
                </c:pt>
                <c:pt idx="8">
                  <c:v>0.104945237879575</c:v>
                </c:pt>
              </c:numCache>
            </c:numRef>
          </c:val>
        </c:ser>
        <c:ser>
          <c:idx val="1"/>
          <c:order val="2"/>
          <c:tx>
            <c:strRef>
              <c:f>'Catalysts yields'!$AV$131</c:f>
              <c:strCache>
                <c:ptCount val="1"/>
                <c:pt idx="0">
                  <c:v>Light Oil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multiLvlStrRef>
              <c:f>'Catalysts yields'!$C$132:$D$140</c:f>
              <c:multiLvlStrCache>
                <c:ptCount val="9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  <c:pt idx="6">
                    <c:v>Blank</c:v>
                  </c:pt>
                  <c:pt idx="7">
                    <c:v>LFR</c:v>
                  </c:pt>
                  <c:pt idx="8">
                    <c:v>EAFS</c:v>
                  </c:pt>
                </c:lvl>
                <c:lvl>
                  <c:pt idx="0">
                    <c:v>Carbon</c:v>
                  </c:pt>
                  <c:pt idx="3">
                    <c:v>Hydrogen</c:v>
                  </c:pt>
                  <c:pt idx="6">
                    <c:v>Nitrogen</c:v>
                  </c:pt>
                </c:lvl>
              </c:multiLvlStrCache>
            </c:multiLvlStrRef>
          </c:cat>
          <c:val>
            <c:numRef>
              <c:f>'Catalysts yields'!$AV$132:$AV$140</c:f>
              <c:numCache>
                <c:formatCode>0.0%</c:formatCode>
                <c:ptCount val="9"/>
                <c:pt idx="0">
                  <c:v>0.119012462198093</c:v>
                </c:pt>
                <c:pt idx="1">
                  <c:v>0.136500072174013</c:v>
                </c:pt>
                <c:pt idx="2">
                  <c:v>0.0715261643654258</c:v>
                </c:pt>
                <c:pt idx="3">
                  <c:v>0.0817136789249223</c:v>
                </c:pt>
                <c:pt idx="4">
                  <c:v>0.121131527050352</c:v>
                </c:pt>
                <c:pt idx="5">
                  <c:v>0.0517715711489405</c:v>
                </c:pt>
                <c:pt idx="6">
                  <c:v>0.0506320307565047</c:v>
                </c:pt>
                <c:pt idx="7">
                  <c:v>0.0538872289490039</c:v>
                </c:pt>
                <c:pt idx="8">
                  <c:v>0.0279610072006584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3738888"/>
        <c:axId val="2133741960"/>
      </c:barChart>
      <c:catAx>
        <c:axId val="2133738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33741960"/>
        <c:crosses val="autoZero"/>
        <c:auto val="1"/>
        <c:lblAlgn val="ctr"/>
        <c:lblOffset val="100"/>
        <c:noMultiLvlLbl val="0"/>
      </c:catAx>
      <c:valAx>
        <c:axId val="21337419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Elemental retention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213373888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71988626421697"/>
          <c:y val="0.184355591914647"/>
          <c:w val="0.200233595800525"/>
          <c:h val="0.276310461192351"/>
        </c:manualLayout>
      </c:layout>
      <c:overlay val="1"/>
    </c:legend>
    <c:plotVisOnly val="1"/>
    <c:dispBlanksAs val="gap"/>
    <c:showDLblsOverMax val="0"/>
  </c:chart>
  <c:spPr>
    <a:ln>
      <a:solidFill>
        <a:srgbClr val="FFFFFF"/>
      </a:solidFill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</a:t>
            </a:r>
          </a:p>
        </c:rich>
      </c:tx>
      <c:layout>
        <c:manualLayout>
          <c:xMode val="edge"/>
          <c:yMode val="edge"/>
          <c:x val="0.00154768153980756"/>
          <c:y val="0.0"/>
        </c:manualLayout>
      </c:layout>
      <c:overlay val="1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'Catalysts yields'!$AX$145</c:f>
              <c:strCache>
                <c:ptCount val="1"/>
                <c:pt idx="0">
                  <c:v>Solid</c:v>
                </c:pt>
              </c:strCache>
            </c:strRef>
          </c:tx>
          <c:spPr>
            <a:solidFill>
              <a:srgbClr val="4F6228"/>
            </a:solidFill>
          </c:spPr>
          <c:invertIfNegative val="0"/>
          <c:cat>
            <c:multiLvlStrRef>
              <c:f>'Catalysts yields'!$C$146:$D$154</c:f>
              <c:multiLvlStrCache>
                <c:ptCount val="9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  <c:pt idx="6">
                    <c:v>Blank</c:v>
                  </c:pt>
                  <c:pt idx="7">
                    <c:v>LFR</c:v>
                  </c:pt>
                  <c:pt idx="8">
                    <c:v>EAFS</c:v>
                  </c:pt>
                </c:lvl>
                <c:lvl>
                  <c:pt idx="0">
                    <c:v>Carbon</c:v>
                  </c:pt>
                  <c:pt idx="3">
                    <c:v>Hydrogen</c:v>
                  </c:pt>
                  <c:pt idx="6">
                    <c:v>Nitrogen</c:v>
                  </c:pt>
                </c:lvl>
              </c:multiLvlStrCache>
            </c:multiLvlStrRef>
          </c:cat>
          <c:val>
            <c:numRef>
              <c:f>'Catalysts yields'!$AX$146:$AX$154</c:f>
              <c:numCache>
                <c:formatCode>0.0%</c:formatCode>
                <c:ptCount val="9"/>
                <c:pt idx="0">
                  <c:v>0.0642459742039206</c:v>
                </c:pt>
                <c:pt idx="1">
                  <c:v>0.303988324739958</c:v>
                </c:pt>
                <c:pt idx="2">
                  <c:v>0.320599099768803</c:v>
                </c:pt>
              </c:numCache>
            </c:numRef>
          </c:val>
        </c:ser>
        <c:ser>
          <c:idx val="0"/>
          <c:order val="1"/>
          <c:tx>
            <c:strRef>
              <c:f>'Catalysts yields'!$AU$145</c:f>
              <c:strCache>
                <c:ptCount val="1"/>
                <c:pt idx="0">
                  <c:v>Heavy Oil</c:v>
                </c:pt>
              </c:strCache>
            </c:strRef>
          </c:tx>
          <c:spPr>
            <a:solidFill>
              <a:srgbClr val="984807"/>
            </a:solidFill>
          </c:spPr>
          <c:invertIfNegative val="0"/>
          <c:cat>
            <c:multiLvlStrRef>
              <c:f>'Catalysts yields'!$C$146:$D$154</c:f>
              <c:multiLvlStrCache>
                <c:ptCount val="9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  <c:pt idx="6">
                    <c:v>Blank</c:v>
                  </c:pt>
                  <c:pt idx="7">
                    <c:v>LFR</c:v>
                  </c:pt>
                  <c:pt idx="8">
                    <c:v>EAFS</c:v>
                  </c:pt>
                </c:lvl>
                <c:lvl>
                  <c:pt idx="0">
                    <c:v>Carbon</c:v>
                  </c:pt>
                  <c:pt idx="3">
                    <c:v>Hydrogen</c:v>
                  </c:pt>
                  <c:pt idx="6">
                    <c:v>Nitrogen</c:v>
                  </c:pt>
                </c:lvl>
              </c:multiLvlStrCache>
            </c:multiLvlStrRef>
          </c:cat>
          <c:val>
            <c:numRef>
              <c:f>'Catalysts yields'!$AU$146:$AU$154</c:f>
              <c:numCache>
                <c:formatCode>0.0%</c:formatCode>
                <c:ptCount val="9"/>
                <c:pt idx="0">
                  <c:v>0.247507721282922</c:v>
                </c:pt>
                <c:pt idx="1">
                  <c:v>0.190908989775387</c:v>
                </c:pt>
                <c:pt idx="2">
                  <c:v>0.145636160907976</c:v>
                </c:pt>
                <c:pt idx="3">
                  <c:v>0.139077189966424</c:v>
                </c:pt>
                <c:pt idx="4">
                  <c:v>0.112822024939825</c:v>
                </c:pt>
                <c:pt idx="5">
                  <c:v>0.0900154367548328</c:v>
                </c:pt>
                <c:pt idx="6">
                  <c:v>0.223721785300471</c:v>
                </c:pt>
                <c:pt idx="7">
                  <c:v>0.121504952750909</c:v>
                </c:pt>
                <c:pt idx="8">
                  <c:v>0.109604730104591</c:v>
                </c:pt>
              </c:numCache>
            </c:numRef>
          </c:val>
        </c:ser>
        <c:ser>
          <c:idx val="1"/>
          <c:order val="2"/>
          <c:tx>
            <c:strRef>
              <c:f>'Catalysts yields'!$AV$145</c:f>
              <c:strCache>
                <c:ptCount val="1"/>
                <c:pt idx="0">
                  <c:v>Light Oil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multiLvlStrRef>
              <c:f>'Catalysts yields'!$C$146:$D$154</c:f>
              <c:multiLvlStrCache>
                <c:ptCount val="9"/>
                <c:lvl>
                  <c:pt idx="0">
                    <c:v>Blank</c:v>
                  </c:pt>
                  <c:pt idx="1">
                    <c:v>LFR</c:v>
                  </c:pt>
                  <c:pt idx="2">
                    <c:v>EAFS</c:v>
                  </c:pt>
                  <c:pt idx="3">
                    <c:v>Blank</c:v>
                  </c:pt>
                  <c:pt idx="4">
                    <c:v>LFR</c:v>
                  </c:pt>
                  <c:pt idx="5">
                    <c:v>EAFS</c:v>
                  </c:pt>
                  <c:pt idx="6">
                    <c:v>Blank</c:v>
                  </c:pt>
                  <c:pt idx="7">
                    <c:v>LFR</c:v>
                  </c:pt>
                  <c:pt idx="8">
                    <c:v>EAFS</c:v>
                  </c:pt>
                </c:lvl>
                <c:lvl>
                  <c:pt idx="0">
                    <c:v>Carbon</c:v>
                  </c:pt>
                  <c:pt idx="3">
                    <c:v>Hydrogen</c:v>
                  </c:pt>
                  <c:pt idx="6">
                    <c:v>Nitrogen</c:v>
                  </c:pt>
                </c:lvl>
              </c:multiLvlStrCache>
            </c:multiLvlStrRef>
          </c:cat>
          <c:val>
            <c:numRef>
              <c:f>'Catalysts yields'!$AV$146:$AV$154</c:f>
              <c:numCache>
                <c:formatCode>0.0%</c:formatCode>
                <c:ptCount val="9"/>
                <c:pt idx="0">
                  <c:v>0.314642671534126</c:v>
                </c:pt>
                <c:pt idx="1">
                  <c:v>0.107608533317095</c:v>
                </c:pt>
                <c:pt idx="2">
                  <c:v>0.214978250419093</c:v>
                </c:pt>
                <c:pt idx="3">
                  <c:v>0.214404216178659</c:v>
                </c:pt>
                <c:pt idx="4">
                  <c:v>0.0606699254062146</c:v>
                </c:pt>
                <c:pt idx="5">
                  <c:v>0.141430623162099</c:v>
                </c:pt>
                <c:pt idx="6">
                  <c:v>0.185853871800158</c:v>
                </c:pt>
                <c:pt idx="7">
                  <c:v>0.0561570047162722</c:v>
                </c:pt>
                <c:pt idx="8">
                  <c:v>0.100095557602789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3720280"/>
        <c:axId val="2133812840"/>
      </c:barChart>
      <c:catAx>
        <c:axId val="2133720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33812840"/>
        <c:crosses val="autoZero"/>
        <c:auto val="1"/>
        <c:lblAlgn val="ctr"/>
        <c:lblOffset val="100"/>
        <c:noMultiLvlLbl val="0"/>
      </c:catAx>
      <c:valAx>
        <c:axId val="2133812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Elemental retention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crossAx val="213372028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74766404199475"/>
          <c:y val="0.148200616227319"/>
          <c:w val="0.200233595800525"/>
          <c:h val="0.277511811023622"/>
        </c:manualLayout>
      </c:layout>
      <c:overlay val="1"/>
    </c:legend>
    <c:plotVisOnly val="1"/>
    <c:dispBlanksAs val="gap"/>
    <c:showDLblsOverMax val="0"/>
  </c:chart>
  <c:spPr>
    <a:ln>
      <a:solidFill>
        <a:srgbClr val="FFFFFF"/>
      </a:solidFill>
    </a:ln>
  </c:spPr>
  <c:txPr>
    <a:bodyPr/>
    <a:lstStyle/>
    <a:p>
      <a:pPr>
        <a:defRPr sz="1200">
          <a:latin typeface="Arial" charset="0"/>
          <a:ea typeface="Arial" charset="0"/>
          <a:cs typeface="Arial" charset="0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'Catalysts yields'!$BZ$73:$BZ$75</c:f>
              <c:numCache>
                <c:formatCode>0.000</c:formatCode>
                <c:ptCount val="3"/>
                <c:pt idx="0">
                  <c:v>0.176890756232754</c:v>
                </c:pt>
                <c:pt idx="1">
                  <c:v>0.14184487614966</c:v>
                </c:pt>
                <c:pt idx="2">
                  <c:v>0.123735800304589</c:v>
                </c:pt>
              </c:numCache>
            </c:numRef>
          </c:xVal>
          <c:yVal>
            <c:numRef>
              <c:f>'Catalysts yields'!$CA$73:$CA$75</c:f>
              <c:numCache>
                <c:formatCode>0.000</c:formatCode>
                <c:ptCount val="3"/>
                <c:pt idx="0">
                  <c:v>0.0669697511929099</c:v>
                </c:pt>
                <c:pt idx="1">
                  <c:v>0.0623592283139002</c:v>
                </c:pt>
                <c:pt idx="2">
                  <c:v>0.0592039180828945</c:v>
                </c:pt>
              </c:numCache>
            </c:numRef>
          </c:yVal>
          <c:smooth val="0"/>
        </c:ser>
        <c:ser>
          <c:idx val="1"/>
          <c:order val="1"/>
          <c:spPr>
            <a:ln w="4762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'Catalysts yields'!$BZ$73:$BZ$75</c:f>
              <c:numCache>
                <c:formatCode>0.000</c:formatCode>
                <c:ptCount val="3"/>
                <c:pt idx="0">
                  <c:v>0.176890756232754</c:v>
                </c:pt>
                <c:pt idx="1">
                  <c:v>0.14184487614966</c:v>
                </c:pt>
                <c:pt idx="2">
                  <c:v>0.123735800304589</c:v>
                </c:pt>
              </c:numCache>
            </c:numRef>
          </c:xVal>
          <c:yVal>
            <c:numRef>
              <c:f>'Catalysts yields'!$CB$73:$CB$75</c:f>
              <c:numCache>
                <c:formatCode>0.000</c:formatCode>
                <c:ptCount val="3"/>
                <c:pt idx="0">
                  <c:v>0.150033252864492</c:v>
                </c:pt>
                <c:pt idx="1">
                  <c:v>0.197198928221081</c:v>
                </c:pt>
                <c:pt idx="2">
                  <c:v>0.235063445175645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400584"/>
        <c:axId val="-2129798344"/>
      </c:scatterChart>
      <c:valAx>
        <c:axId val="-2130400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9798344"/>
        <c:crosses val="autoZero"/>
        <c:crossBetween val="midCat"/>
      </c:valAx>
      <c:valAx>
        <c:axId val="-212979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0400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'Catalysts yields'!$BZ$68:$BZ$70</c:f>
              <c:numCache>
                <c:formatCode>0.000</c:formatCode>
                <c:ptCount val="3"/>
                <c:pt idx="0">
                  <c:v>0.16304025766456</c:v>
                </c:pt>
                <c:pt idx="1">
                  <c:v>0.118457921159293</c:v>
                </c:pt>
                <c:pt idx="2">
                  <c:v>0.121227936772216</c:v>
                </c:pt>
              </c:numCache>
            </c:numRef>
          </c:xVal>
          <c:yVal>
            <c:numRef>
              <c:f>'Catalysts yields'!$CA$68:$CA$70</c:f>
              <c:numCache>
                <c:formatCode>0.000</c:formatCode>
                <c:ptCount val="3"/>
                <c:pt idx="0">
                  <c:v>0.103980702479656</c:v>
                </c:pt>
                <c:pt idx="1">
                  <c:v>0.0650233290814975</c:v>
                </c:pt>
                <c:pt idx="2">
                  <c:v>0.0741781707791011</c:v>
                </c:pt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'Catalysts yields'!$BZ$68:$BZ$70</c:f>
              <c:numCache>
                <c:formatCode>0.000</c:formatCode>
                <c:ptCount val="3"/>
                <c:pt idx="0">
                  <c:v>0.16304025766456</c:v>
                </c:pt>
                <c:pt idx="1">
                  <c:v>0.118457921159293</c:v>
                </c:pt>
                <c:pt idx="2">
                  <c:v>0.121227936772216</c:v>
                </c:pt>
              </c:numCache>
            </c:numRef>
          </c:xVal>
          <c:yVal>
            <c:numRef>
              <c:f>'Catalysts yields'!$CB$68:$CB$70</c:f>
              <c:numCache>
                <c:formatCode>0.000</c:formatCode>
                <c:ptCount val="3"/>
                <c:pt idx="0">
                  <c:v>0.295979729655957</c:v>
                </c:pt>
                <c:pt idx="1">
                  <c:v>0.186646798810896</c:v>
                </c:pt>
                <c:pt idx="2">
                  <c:v>0.29098171028092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8564440"/>
        <c:axId val="-2129702024"/>
      </c:scatterChart>
      <c:valAx>
        <c:axId val="-2128564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9702024"/>
        <c:crosses val="autoZero"/>
        <c:crossBetween val="midCat"/>
      </c:valAx>
      <c:valAx>
        <c:axId val="-2129702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85644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4" Type="http://schemas.openxmlformats.org/officeDocument/2006/relationships/chart" Target="../charts/chart6.xml"/><Relationship Id="rId5" Type="http://schemas.openxmlformats.org/officeDocument/2006/relationships/chart" Target="../charts/chart7.xml"/><Relationship Id="rId6" Type="http://schemas.openxmlformats.org/officeDocument/2006/relationships/chart" Target="../charts/chart8.xml"/><Relationship Id="rId7" Type="http://schemas.openxmlformats.org/officeDocument/2006/relationships/chart" Target="../charts/chart9.xml"/><Relationship Id="rId8" Type="http://schemas.openxmlformats.org/officeDocument/2006/relationships/chart" Target="../charts/chart10.xml"/><Relationship Id="rId9" Type="http://schemas.openxmlformats.org/officeDocument/2006/relationships/chart" Target="../charts/chart11.xml"/><Relationship Id="rId10" Type="http://schemas.openxmlformats.org/officeDocument/2006/relationships/chart" Target="../charts/chart12.xml"/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Relationship Id="rId3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254000</xdr:colOff>
      <xdr:row>20</xdr:row>
      <xdr:rowOff>152400</xdr:rowOff>
    </xdr:from>
    <xdr:to>
      <xdr:col>18</xdr:col>
      <xdr:colOff>381000</xdr:colOff>
      <xdr:row>41</xdr:row>
      <xdr:rowOff>113030</xdr:rowOff>
    </xdr:to>
    <xdr:pic>
      <xdr:nvPicPr>
        <xdr:cNvPr id="9" name="Picture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3962400"/>
          <a:ext cx="5270500" cy="39611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82550</xdr:colOff>
      <xdr:row>82</xdr:row>
      <xdr:rowOff>139700</xdr:rowOff>
    </xdr:from>
    <xdr:to>
      <xdr:col>13</xdr:col>
      <xdr:colOff>527050</xdr:colOff>
      <xdr:row>96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96</xdr:row>
      <xdr:rowOff>127000</xdr:rowOff>
    </xdr:from>
    <xdr:to>
      <xdr:col>11</xdr:col>
      <xdr:colOff>444500</xdr:colOff>
      <xdr:row>110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</xdr:colOff>
      <xdr:row>93</xdr:row>
      <xdr:rowOff>38100</xdr:rowOff>
    </xdr:from>
    <xdr:to>
      <xdr:col>8</xdr:col>
      <xdr:colOff>444500</xdr:colOff>
      <xdr:row>107</xdr:row>
      <xdr:rowOff>114300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685802</xdr:colOff>
      <xdr:row>76</xdr:row>
      <xdr:rowOff>101600</xdr:rowOff>
    </xdr:from>
    <xdr:to>
      <xdr:col>8</xdr:col>
      <xdr:colOff>177799</xdr:colOff>
      <xdr:row>90</xdr:row>
      <xdr:rowOff>177800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660400</xdr:colOff>
      <xdr:row>113</xdr:row>
      <xdr:rowOff>165100</xdr:rowOff>
    </xdr:from>
    <xdr:to>
      <xdr:col>10</xdr:col>
      <xdr:colOff>304800</xdr:colOff>
      <xdr:row>128</xdr:row>
      <xdr:rowOff>38100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38100</xdr:colOff>
      <xdr:row>130</xdr:row>
      <xdr:rowOff>127000</xdr:rowOff>
    </xdr:from>
    <xdr:to>
      <xdr:col>10</xdr:col>
      <xdr:colOff>457200</xdr:colOff>
      <xdr:row>145</xdr:row>
      <xdr:rowOff>12700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38100</xdr:colOff>
      <xdr:row>146</xdr:row>
      <xdr:rowOff>12700</xdr:rowOff>
    </xdr:from>
    <xdr:to>
      <xdr:col>10</xdr:col>
      <xdr:colOff>457200</xdr:colOff>
      <xdr:row>160</xdr:row>
      <xdr:rowOff>88900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69</xdr:col>
      <xdr:colOff>463550</xdr:colOff>
      <xdr:row>66</xdr:row>
      <xdr:rowOff>25400</xdr:rowOff>
    </xdr:from>
    <xdr:to>
      <xdr:col>75</xdr:col>
      <xdr:colOff>82550</xdr:colOff>
      <xdr:row>79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69</xdr:col>
      <xdr:colOff>330200</xdr:colOff>
      <xdr:row>74</xdr:row>
      <xdr:rowOff>114300</xdr:rowOff>
    </xdr:from>
    <xdr:to>
      <xdr:col>74</xdr:col>
      <xdr:colOff>774700</xdr:colOff>
      <xdr:row>88</xdr:row>
      <xdr:rowOff>12700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64</xdr:col>
      <xdr:colOff>787400</xdr:colOff>
      <xdr:row>75</xdr:row>
      <xdr:rowOff>76200</xdr:rowOff>
    </xdr:from>
    <xdr:to>
      <xdr:col>70</xdr:col>
      <xdr:colOff>406400</xdr:colOff>
      <xdr:row>88</xdr:row>
      <xdr:rowOff>177800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81</xdr:col>
      <xdr:colOff>0</xdr:colOff>
      <xdr:row>63</xdr:row>
      <xdr:rowOff>0</xdr:rowOff>
    </xdr:from>
    <xdr:to>
      <xdr:col>86</xdr:col>
      <xdr:colOff>444500</xdr:colOff>
      <xdr:row>76</xdr:row>
      <xdr:rowOff>101600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80</xdr:col>
      <xdr:colOff>0</xdr:colOff>
      <xdr:row>81</xdr:row>
      <xdr:rowOff>0</xdr:rowOff>
    </xdr:from>
    <xdr:to>
      <xdr:col>85</xdr:col>
      <xdr:colOff>444500</xdr:colOff>
      <xdr:row>94</xdr:row>
      <xdr:rowOff>101600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203200</xdr:colOff>
      <xdr:row>45</xdr:row>
      <xdr:rowOff>88900</xdr:rowOff>
    </xdr:from>
    <xdr:to>
      <xdr:col>18</xdr:col>
      <xdr:colOff>368300</xdr:colOff>
      <xdr:row>59</xdr:row>
      <xdr:rowOff>139700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304803</xdr:colOff>
      <xdr:row>59</xdr:row>
      <xdr:rowOff>76200</xdr:rowOff>
    </xdr:from>
    <xdr:to>
      <xdr:col>17</xdr:col>
      <xdr:colOff>139697</xdr:colOff>
      <xdr:row>73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635000</xdr:colOff>
      <xdr:row>28</xdr:row>
      <xdr:rowOff>38100</xdr:rowOff>
    </xdr:from>
    <xdr:to>
      <xdr:col>16</xdr:col>
      <xdr:colOff>165100</xdr:colOff>
      <xdr:row>42</xdr:row>
      <xdr:rowOff>114300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679450</xdr:colOff>
      <xdr:row>51</xdr:row>
      <xdr:rowOff>50800</xdr:rowOff>
    </xdr:from>
    <xdr:to>
      <xdr:col>35</xdr:col>
      <xdr:colOff>298450</xdr:colOff>
      <xdr:row>65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749300</xdr:colOff>
      <xdr:row>54</xdr:row>
      <xdr:rowOff>50800</xdr:rowOff>
    </xdr:from>
    <xdr:to>
      <xdr:col>43</xdr:col>
      <xdr:colOff>368300</xdr:colOff>
      <xdr:row>68</xdr:row>
      <xdr:rowOff>127000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0</xdr:colOff>
      <xdr:row>48</xdr:row>
      <xdr:rowOff>0</xdr:rowOff>
    </xdr:from>
    <xdr:to>
      <xdr:col>52</xdr:col>
      <xdr:colOff>444500</xdr:colOff>
      <xdr:row>62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1"/>
  <sheetViews>
    <sheetView workbookViewId="0">
      <pane xSplit="1" ySplit="4" topLeftCell="B93" activePane="bottomRight" state="frozen"/>
      <selection pane="topRight" activeCell="F1" sqref="F1"/>
      <selection pane="bottomLeft" activeCell="A4" sqref="A4"/>
      <selection pane="bottomRight" activeCell="M104" sqref="M104"/>
    </sheetView>
  </sheetViews>
  <sheetFormatPr baseColWidth="10" defaultRowHeight="15" x14ac:dyDescent="0"/>
  <cols>
    <col min="1" max="1" width="10.83203125" style="15"/>
    <col min="15" max="16" width="11" bestFit="1" customWidth="1"/>
    <col min="17" max="17" width="12.83203125" bestFit="1" customWidth="1"/>
    <col min="18" max="18" width="11" bestFit="1" customWidth="1"/>
    <col min="20" max="21" width="11" bestFit="1" customWidth="1"/>
    <col min="22" max="22" width="12.83203125" bestFit="1" customWidth="1"/>
    <col min="23" max="24" width="11" bestFit="1" customWidth="1"/>
    <col min="25" max="26" width="12.83203125" bestFit="1" customWidth="1"/>
    <col min="27" max="28" width="11" bestFit="1" customWidth="1"/>
    <col min="29" max="29" width="12.83203125" bestFit="1" customWidth="1"/>
    <col min="32" max="32" width="9" bestFit="1" customWidth="1"/>
    <col min="35" max="35" width="11.1640625" bestFit="1" customWidth="1"/>
  </cols>
  <sheetData>
    <row r="1" spans="1:28">
      <c r="A1" s="16"/>
    </row>
    <row r="2" spans="1:28">
      <c r="A2" s="16"/>
      <c r="H2" t="s">
        <v>178</v>
      </c>
    </row>
    <row r="3" spans="1:28" s="75" customFormat="1">
      <c r="A3" s="158"/>
      <c r="B3" s="157" t="s">
        <v>67</v>
      </c>
      <c r="C3" s="156" t="s">
        <v>81</v>
      </c>
      <c r="D3" s="156" t="s">
        <v>141</v>
      </c>
      <c r="E3" s="156" t="s">
        <v>142</v>
      </c>
      <c r="F3" s="156" t="s">
        <v>176</v>
      </c>
      <c r="G3" s="156" t="s">
        <v>177</v>
      </c>
      <c r="H3" s="156" t="s">
        <v>67</v>
      </c>
      <c r="I3" s="156" t="s">
        <v>81</v>
      </c>
      <c r="J3" s="156" t="s">
        <v>141</v>
      </c>
      <c r="K3" s="156" t="s">
        <v>179</v>
      </c>
      <c r="L3" s="156" t="s">
        <v>82</v>
      </c>
      <c r="M3" s="156" t="s">
        <v>180</v>
      </c>
      <c r="N3" s="156" t="s">
        <v>185</v>
      </c>
      <c r="O3" s="156" t="s">
        <v>190</v>
      </c>
      <c r="P3" s="156" t="s">
        <v>143</v>
      </c>
      <c r="Q3" s="75" t="s">
        <v>67</v>
      </c>
      <c r="R3" s="75" t="s">
        <v>81</v>
      </c>
      <c r="S3" s="75" t="s">
        <v>141</v>
      </c>
      <c r="T3" s="75" t="s">
        <v>142</v>
      </c>
      <c r="U3" s="75" t="s">
        <v>67</v>
      </c>
      <c r="V3" s="75" t="s">
        <v>81</v>
      </c>
      <c r="W3" s="75" t="s">
        <v>141</v>
      </c>
      <c r="X3" s="75" t="s">
        <v>142</v>
      </c>
      <c r="Y3" s="162" t="s">
        <v>67</v>
      </c>
      <c r="Z3" s="163" t="s">
        <v>81</v>
      </c>
      <c r="AA3" s="163" t="s">
        <v>141</v>
      </c>
      <c r="AB3" s="163" t="s">
        <v>142</v>
      </c>
    </row>
    <row r="4" spans="1:28" s="76" customFormat="1">
      <c r="A4" s="77"/>
      <c r="B4" s="83"/>
    </row>
    <row r="5" spans="1:28" s="153" customFormat="1">
      <c r="A5" s="179" t="s">
        <v>218</v>
      </c>
    </row>
    <row r="6" spans="1:28" s="153" customFormat="1">
      <c r="A6" s="149" t="s">
        <v>171</v>
      </c>
      <c r="B6" s="153">
        <v>77.034999999999997</v>
      </c>
      <c r="C6" s="153">
        <v>13.3</v>
      </c>
      <c r="F6" s="153">
        <v>0.53</v>
      </c>
      <c r="G6" s="153">
        <v>0</v>
      </c>
      <c r="H6" s="154">
        <f t="shared" ref="H6:J10" si="0">B6/(100-$F6-$G6)*100</f>
        <v>77.445460942997897</v>
      </c>
      <c r="I6" s="154">
        <f t="shared" si="0"/>
        <v>13.370865587614356</v>
      </c>
      <c r="J6" s="154">
        <f t="shared" si="0"/>
        <v>0</v>
      </c>
      <c r="L6" s="154">
        <f>100-SUM(H6:J6)</f>
        <v>9.1836734693877418</v>
      </c>
      <c r="M6" s="154">
        <f t="shared" ref="M6:M11" si="1">H6/I6</f>
        <v>5.7921052631578958</v>
      </c>
      <c r="N6" s="154">
        <f>H6/L6</f>
        <v>8.4329501915708942</v>
      </c>
    </row>
    <row r="7" spans="1:28" s="153" customFormat="1">
      <c r="A7" s="149" t="s">
        <v>172</v>
      </c>
      <c r="B7" s="153">
        <v>39.484999999999999</v>
      </c>
      <c r="C7" s="153">
        <v>7.0749999999999993</v>
      </c>
      <c r="F7" s="153">
        <v>0</v>
      </c>
      <c r="G7" s="153">
        <v>11.8</v>
      </c>
      <c r="H7" s="154">
        <f t="shared" si="0"/>
        <v>44.767573696145121</v>
      </c>
      <c r="I7" s="154">
        <f t="shared" si="0"/>
        <v>8.0215419501133773</v>
      </c>
      <c r="J7" s="154">
        <f t="shared" si="0"/>
        <v>0</v>
      </c>
      <c r="L7" s="154">
        <f>100-SUM(H7:J7)</f>
        <v>47.210884353741505</v>
      </c>
      <c r="M7" s="154">
        <f t="shared" si="1"/>
        <v>5.5809187279151944</v>
      </c>
      <c r="N7" s="154">
        <f>H7/L7</f>
        <v>0.94824687800192098</v>
      </c>
    </row>
    <row r="8" spans="1:28" s="153" customFormat="1">
      <c r="A8" s="149" t="s">
        <v>173</v>
      </c>
      <c r="B8" s="153">
        <v>47.260000000000005</v>
      </c>
      <c r="C8" s="153">
        <v>7.3800000000000008</v>
      </c>
      <c r="D8" s="153">
        <v>13.32</v>
      </c>
      <c r="F8" s="153">
        <v>4.5</v>
      </c>
      <c r="G8" s="153">
        <v>6.8</v>
      </c>
      <c r="H8" s="154">
        <f t="shared" si="0"/>
        <v>53.280721533258181</v>
      </c>
      <c r="I8" s="154">
        <f t="shared" si="0"/>
        <v>8.3201803833145451</v>
      </c>
      <c r="J8" s="154">
        <f t="shared" si="0"/>
        <v>15.016910935738444</v>
      </c>
      <c r="K8" s="154">
        <f>H8/J8</f>
        <v>3.5480480480480483</v>
      </c>
      <c r="L8" s="154">
        <f>100-SUM(H8:J8)</f>
        <v>23.382187147688825</v>
      </c>
      <c r="M8" s="154">
        <f t="shared" si="1"/>
        <v>6.4037940379403793</v>
      </c>
      <c r="N8" s="154">
        <f>H8/L8</f>
        <v>2.2786885245901658</v>
      </c>
    </row>
    <row r="9" spans="1:28" s="153" customFormat="1">
      <c r="A9" s="149" t="s">
        <v>174</v>
      </c>
      <c r="B9" s="153">
        <v>46.254999999999995</v>
      </c>
      <c r="C9" s="153">
        <v>7.4350000000000005</v>
      </c>
      <c r="D9" s="153">
        <v>10.59</v>
      </c>
      <c r="F9" s="153">
        <v>9.32</v>
      </c>
      <c r="G9" s="153">
        <v>6</v>
      </c>
      <c r="H9" s="154">
        <f t="shared" si="0"/>
        <v>54.623287671232866</v>
      </c>
      <c r="I9" s="154">
        <f t="shared" si="0"/>
        <v>8.7801133679735486</v>
      </c>
      <c r="J9" s="154">
        <f t="shared" si="0"/>
        <v>12.505904581955596</v>
      </c>
      <c r="K9" s="154">
        <f>H9/J9</f>
        <v>4.3677998111425875</v>
      </c>
      <c r="L9" s="154">
        <f>100-SUM(H9:J9)</f>
        <v>24.090694378837995</v>
      </c>
      <c r="M9" s="154">
        <f t="shared" si="1"/>
        <v>6.2212508406186933</v>
      </c>
      <c r="N9" s="154">
        <f>H9/L9</f>
        <v>2.2674019607843117</v>
      </c>
    </row>
    <row r="10" spans="1:28" s="153" customFormat="1">
      <c r="A10" s="149" t="s">
        <v>220</v>
      </c>
      <c r="B10" s="154">
        <v>34.128029823303223</v>
      </c>
      <c r="C10" s="154">
        <v>6.5796058177947998</v>
      </c>
      <c r="D10" s="154">
        <v>3.4746072292327881</v>
      </c>
      <c r="E10" s="154">
        <v>8.7143206596374512</v>
      </c>
      <c r="F10" s="154">
        <v>53</v>
      </c>
      <c r="G10" s="153">
        <v>0</v>
      </c>
      <c r="H10" s="154">
        <f t="shared" si="0"/>
        <v>72.612829411283457</v>
      </c>
      <c r="I10" s="154">
        <f t="shared" si="0"/>
        <v>13.99916131445702</v>
      </c>
      <c r="J10" s="154">
        <f t="shared" si="0"/>
        <v>7.3927813387931671</v>
      </c>
      <c r="K10" s="154">
        <f>H10/J10</f>
        <v>9.8221259474092761</v>
      </c>
      <c r="L10" s="154">
        <f>100-SUM(H10:J10)</f>
        <v>5.9952279354663602</v>
      </c>
      <c r="M10" s="154">
        <f t="shared" si="1"/>
        <v>5.1869414017178119</v>
      </c>
      <c r="N10" s="154">
        <f>H10/L10</f>
        <v>12.111771260892853</v>
      </c>
    </row>
    <row r="11" spans="1:28">
      <c r="A11" s="15" t="s">
        <v>181</v>
      </c>
      <c r="B11" s="3">
        <f>6*12/(6*12+14)*100</f>
        <v>83.720930232558146</v>
      </c>
      <c r="C11" s="3">
        <f>14/(6*12+14)*100</f>
        <v>16.279069767441861</v>
      </c>
      <c r="H11" s="3">
        <f>6*12/(6*12+14)*100</f>
        <v>83.720930232558146</v>
      </c>
      <c r="I11" s="3">
        <f>14/(6*12+14)*100</f>
        <v>16.279069767441861</v>
      </c>
      <c r="M11" s="154">
        <f t="shared" si="1"/>
        <v>5.1428571428571432</v>
      </c>
      <c r="N11" s="154"/>
    </row>
    <row r="12" spans="1:28">
      <c r="N12" s="154"/>
    </row>
    <row r="13" spans="1:28">
      <c r="A13" s="170" t="s">
        <v>219</v>
      </c>
      <c r="N13" s="154"/>
    </row>
    <row r="14" spans="1:28">
      <c r="A14" s="15" t="s">
        <v>182</v>
      </c>
      <c r="H14" s="3">
        <f>J14*K8</f>
        <v>26.229943398751132</v>
      </c>
      <c r="I14" s="5">
        <f>H14/M8</f>
        <v>4.0960004714935119</v>
      </c>
      <c r="J14" s="3">
        <f>J10</f>
        <v>7.3927813387931671</v>
      </c>
      <c r="L14" s="3">
        <f>H14/N8</f>
        <v>11.510982354847609</v>
      </c>
      <c r="N14" s="154"/>
      <c r="O14" s="3">
        <f>SUM(H14:J14,L14)</f>
        <v>49.229707563885427</v>
      </c>
    </row>
    <row r="15" spans="1:28">
      <c r="A15" s="15" t="s">
        <v>184</v>
      </c>
      <c r="H15" s="3"/>
      <c r="I15" s="5"/>
      <c r="J15" s="3"/>
      <c r="N15" s="154">
        <f>H15/L14</f>
        <v>0</v>
      </c>
    </row>
    <row r="16" spans="1:28">
      <c r="A16" s="15" t="s">
        <v>183</v>
      </c>
      <c r="H16" s="3">
        <f>H10-H14</f>
        <v>46.382886012532325</v>
      </c>
      <c r="I16" s="3">
        <f>I10-I14</f>
        <v>9.9031608429635085</v>
      </c>
      <c r="J16" s="3">
        <f>J10-J14</f>
        <v>0</v>
      </c>
      <c r="L16" s="3">
        <f>L10-L14</f>
        <v>-5.5157544193812491</v>
      </c>
      <c r="M16" s="154">
        <f>H16/I16</f>
        <v>4.6836446209483462</v>
      </c>
      <c r="N16" s="154"/>
    </row>
    <row r="17" spans="2:29">
      <c r="H17" s="3">
        <f>H14/H16</f>
        <v>0.56550908435632896</v>
      </c>
    </row>
    <row r="19" spans="2:29">
      <c r="C19" s="171" t="s">
        <v>221</v>
      </c>
    </row>
    <row r="20" spans="2:29">
      <c r="C20" t="s">
        <v>222</v>
      </c>
      <c r="E20">
        <f>E37+E31+E22-E29-E30*40</f>
        <v>7139.26</v>
      </c>
      <c r="F20" t="s">
        <v>20</v>
      </c>
      <c r="G20" t="s">
        <v>15</v>
      </c>
      <c r="H20" s="3">
        <f>H30/8*100</f>
        <v>6436.4343749999989</v>
      </c>
      <c r="J20" t="s">
        <v>191</v>
      </c>
      <c r="L20" s="3">
        <f>E39</f>
        <v>977.38582367235006</v>
      </c>
      <c r="AA20" s="3"/>
      <c r="AB20" s="3"/>
      <c r="AC20" s="3"/>
    </row>
    <row r="21" spans="2:29">
      <c r="C21" t="s">
        <v>6</v>
      </c>
      <c r="D21" t="s">
        <v>12</v>
      </c>
      <c r="E21">
        <v>1000</v>
      </c>
      <c r="J21" t="s">
        <v>192</v>
      </c>
      <c r="L21">
        <f>E37</f>
        <v>3499.2599999999998</v>
      </c>
      <c r="P21" s="3"/>
      <c r="V21" s="3"/>
      <c r="W21" s="3"/>
      <c r="X21" s="3"/>
      <c r="Y21" s="3"/>
      <c r="Z21" s="3"/>
      <c r="AA21" s="3"/>
      <c r="AB21" s="3"/>
      <c r="AC21" s="3"/>
    </row>
    <row r="22" spans="2:29">
      <c r="C22" t="s">
        <v>1</v>
      </c>
      <c r="D22" t="s">
        <v>12</v>
      </c>
      <c r="E22">
        <v>2860</v>
      </c>
      <c r="J22" t="s">
        <v>194</v>
      </c>
      <c r="L22">
        <f>E31</f>
        <v>3300</v>
      </c>
      <c r="P22" s="3"/>
      <c r="V22" s="3"/>
      <c r="W22" s="3"/>
      <c r="X22" s="3"/>
      <c r="Y22" s="3"/>
      <c r="Z22" s="3"/>
      <c r="AA22" s="3"/>
      <c r="AB22" s="3"/>
      <c r="AC22" s="3"/>
    </row>
    <row r="23" spans="2:29">
      <c r="B23" t="s">
        <v>223</v>
      </c>
      <c r="C23" t="s">
        <v>2</v>
      </c>
      <c r="D23" t="s">
        <v>13</v>
      </c>
      <c r="E23">
        <v>86500</v>
      </c>
      <c r="F23" t="s">
        <v>18</v>
      </c>
      <c r="G23" t="s">
        <v>15</v>
      </c>
      <c r="H23" s="3">
        <f>E23*E22/1000/1000</f>
        <v>247.39</v>
      </c>
      <c r="J23" t="s">
        <v>193</v>
      </c>
      <c r="L23">
        <f>L21+L22</f>
        <v>6799.26</v>
      </c>
    </row>
    <row r="24" spans="2:29">
      <c r="C24" t="s">
        <v>3</v>
      </c>
      <c r="D24" t="s">
        <v>13</v>
      </c>
      <c r="E24">
        <v>0</v>
      </c>
      <c r="F24" t="s">
        <v>18</v>
      </c>
      <c r="G24" t="s">
        <v>15</v>
      </c>
      <c r="H24" s="3">
        <f>E24*E22/1000/1000</f>
        <v>0</v>
      </c>
      <c r="J24" t="s">
        <v>195</v>
      </c>
      <c r="L24">
        <f>E30*40+E29</f>
        <v>2520</v>
      </c>
    </row>
    <row r="25" spans="2:29">
      <c r="C25" t="s">
        <v>4</v>
      </c>
      <c r="D25" t="s">
        <v>13</v>
      </c>
      <c r="E25">
        <f>E23-E24</f>
        <v>86500</v>
      </c>
      <c r="F25" t="s">
        <v>18</v>
      </c>
      <c r="G25" t="s">
        <v>15</v>
      </c>
      <c r="H25" s="3">
        <f>E25*E22/1000/1000</f>
        <v>247.39</v>
      </c>
      <c r="J25" t="s">
        <v>196</v>
      </c>
      <c r="L25">
        <f>L23-L24</f>
        <v>4279.26</v>
      </c>
    </row>
    <row r="26" spans="2:29">
      <c r="C26" t="s">
        <v>5</v>
      </c>
      <c r="D26" t="s">
        <v>13</v>
      </c>
      <c r="E26">
        <v>11045</v>
      </c>
      <c r="F26" t="s">
        <v>18</v>
      </c>
      <c r="G26" t="s">
        <v>15</v>
      </c>
      <c r="H26" s="3">
        <f>E26*E22/1000/1000</f>
        <v>31.588699999999999</v>
      </c>
      <c r="J26" t="s">
        <v>194</v>
      </c>
      <c r="L26">
        <f>E22</f>
        <v>2860</v>
      </c>
    </row>
    <row r="27" spans="2:29">
      <c r="C27" t="s">
        <v>41</v>
      </c>
      <c r="D27" t="s">
        <v>13</v>
      </c>
      <c r="E27" s="3">
        <f>(1.717+1.726+1.736)/3/((0.545+0.547+0.549)/3)*100*10*10</f>
        <v>31560.024375380868</v>
      </c>
      <c r="F27" t="s">
        <v>18</v>
      </c>
      <c r="G27" t="s">
        <v>15</v>
      </c>
      <c r="H27" s="3">
        <f>E27*E22/1000/1000</f>
        <v>90.261669713589271</v>
      </c>
      <c r="J27" t="s">
        <v>197</v>
      </c>
      <c r="L27">
        <f>L25+L26</f>
        <v>7139.26</v>
      </c>
    </row>
    <row r="28" spans="2:29">
      <c r="C28" t="s">
        <v>7</v>
      </c>
      <c r="E28">
        <v>0.08</v>
      </c>
      <c r="H28" s="3"/>
    </row>
    <row r="29" spans="2:29">
      <c r="C29" t="s">
        <v>8</v>
      </c>
      <c r="D29" t="s">
        <v>12</v>
      </c>
      <c r="E29">
        <v>2100</v>
      </c>
      <c r="H29" s="3"/>
    </row>
    <row r="30" spans="2:29">
      <c r="C30" t="s">
        <v>9</v>
      </c>
      <c r="D30" t="s">
        <v>14</v>
      </c>
      <c r="E30">
        <f>E29*5/1000</f>
        <v>10.5</v>
      </c>
      <c r="F30" t="s">
        <v>19</v>
      </c>
      <c r="G30" t="s">
        <v>15</v>
      </c>
      <c r="H30" s="3">
        <f>98.079*E30/2</f>
        <v>514.91474999999991</v>
      </c>
    </row>
    <row r="31" spans="2:29">
      <c r="C31" t="s">
        <v>1</v>
      </c>
      <c r="D31" t="s">
        <v>12</v>
      </c>
      <c r="E31">
        <v>3300</v>
      </c>
      <c r="H31" s="3"/>
    </row>
    <row r="32" spans="2:29">
      <c r="B32" t="s">
        <v>211</v>
      </c>
      <c r="C32" t="s">
        <v>2</v>
      </c>
      <c r="D32" t="s">
        <v>13</v>
      </c>
      <c r="E32">
        <v>56050</v>
      </c>
      <c r="F32" t="s">
        <v>18</v>
      </c>
      <c r="G32" t="s">
        <v>15</v>
      </c>
      <c r="H32" s="3">
        <f>E32*E31/1000/1000</f>
        <v>184.965</v>
      </c>
      <c r="J32" t="s">
        <v>191</v>
      </c>
      <c r="L32" s="3">
        <f>L20/$L$20</f>
        <v>1</v>
      </c>
      <c r="AA32" s="3"/>
      <c r="AB32" s="3"/>
      <c r="AC32" s="3"/>
    </row>
    <row r="33" spans="3:30">
      <c r="C33" t="s">
        <v>3</v>
      </c>
      <c r="D33" t="s">
        <v>13</v>
      </c>
      <c r="E33">
        <v>1.9</v>
      </c>
      <c r="F33" t="s">
        <v>18</v>
      </c>
      <c r="G33" t="s">
        <v>15</v>
      </c>
      <c r="H33" s="3">
        <f>E33*E31/1000/1000</f>
        <v>6.2699999999999995E-3</v>
      </c>
      <c r="J33" t="s">
        <v>192</v>
      </c>
      <c r="L33" s="3">
        <f t="shared" ref="L33:L39" si="2">L21/$L$20</f>
        <v>3.5802238125903694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167"/>
    </row>
    <row r="34" spans="3:30">
      <c r="C34" t="s">
        <v>4</v>
      </c>
      <c r="D34" t="s">
        <v>13</v>
      </c>
      <c r="E34">
        <f>E32-E33</f>
        <v>56048.1</v>
      </c>
      <c r="F34" t="s">
        <v>18</v>
      </c>
      <c r="G34" t="s">
        <v>15</v>
      </c>
      <c r="H34" s="3">
        <f>E34*E31/1000/1000</f>
        <v>184.95873</v>
      </c>
      <c r="J34" t="s">
        <v>194</v>
      </c>
      <c r="L34" s="3">
        <f t="shared" si="2"/>
        <v>3.376353452315124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167"/>
    </row>
    <row r="35" spans="3:30">
      <c r="C35" t="s">
        <v>5</v>
      </c>
      <c r="D35" t="s">
        <v>13</v>
      </c>
      <c r="E35">
        <v>6430</v>
      </c>
      <c r="F35" t="s">
        <v>18</v>
      </c>
      <c r="G35" t="s">
        <v>15</v>
      </c>
      <c r="H35" s="3">
        <f>E35*E31/1000/1000</f>
        <v>21.219000000000001</v>
      </c>
      <c r="J35" t="s">
        <v>193</v>
      </c>
      <c r="L35" s="3">
        <f t="shared" si="2"/>
        <v>6.9565772649054942</v>
      </c>
      <c r="T35" s="3"/>
      <c r="U35" s="3"/>
    </row>
    <row r="36" spans="3:30">
      <c r="C36" t="s">
        <v>41</v>
      </c>
      <c r="D36" t="s">
        <v>13</v>
      </c>
      <c r="E36" s="3">
        <f>(0.889+0.887)/2/((0.545+0.547+0.549)/3)*100*10*10</f>
        <v>16234.003656307126</v>
      </c>
      <c r="F36" t="s">
        <v>18</v>
      </c>
      <c r="G36" t="s">
        <v>15</v>
      </c>
      <c r="H36" s="3">
        <f>E36*E31/1000/1000</f>
        <v>53.572212065813517</v>
      </c>
      <c r="J36" t="s">
        <v>195</v>
      </c>
      <c r="L36" s="3">
        <f t="shared" si="2"/>
        <v>2.5783062726770036</v>
      </c>
    </row>
    <row r="37" spans="3:30">
      <c r="C37" t="s">
        <v>224</v>
      </c>
      <c r="D37" t="s">
        <v>15</v>
      </c>
      <c r="E37">
        <f>1774.84-49.97+1824.28-49.89</f>
        <v>3499.2599999999998</v>
      </c>
      <c r="J37" t="s">
        <v>196</v>
      </c>
      <c r="L37" s="3">
        <f t="shared" si="2"/>
        <v>4.3782709922284901</v>
      </c>
    </row>
    <row r="38" spans="3:30">
      <c r="C38" t="s">
        <v>11</v>
      </c>
      <c r="D38" t="s">
        <v>16</v>
      </c>
      <c r="E38" s="1">
        <f>1-(20.7681-12.538)/(42.0036-12.538)</f>
        <v>0.7206878529539531</v>
      </c>
      <c r="J38" t="s">
        <v>194</v>
      </c>
      <c r="L38" s="3">
        <f t="shared" si="2"/>
        <v>2.9261729920064408</v>
      </c>
    </row>
    <row r="39" spans="3:30">
      <c r="C39" t="s">
        <v>225</v>
      </c>
      <c r="D39" t="s">
        <v>15</v>
      </c>
      <c r="E39" s="3">
        <f>E37*(1-E38)</f>
        <v>977.38582367235006</v>
      </c>
      <c r="J39" t="s">
        <v>197</v>
      </c>
      <c r="L39" s="3">
        <f t="shared" si="2"/>
        <v>7.3044439842349309</v>
      </c>
      <c r="R39" s="3"/>
      <c r="S39" s="3"/>
      <c r="T39" s="6"/>
      <c r="U39" s="6"/>
    </row>
    <row r="40" spans="3:30">
      <c r="C40" t="s">
        <v>186</v>
      </c>
      <c r="E40" s="3">
        <f>H32+H23</f>
        <v>432.35500000000002</v>
      </c>
      <c r="R40" s="3"/>
      <c r="S40" s="3"/>
      <c r="T40" s="6"/>
      <c r="U40" s="6"/>
    </row>
    <row r="41" spans="3:30">
      <c r="C41" t="s">
        <v>187</v>
      </c>
      <c r="E41" s="3">
        <f>H26+H35</f>
        <v>52.807699999999997</v>
      </c>
      <c r="R41" s="3"/>
      <c r="S41" s="3"/>
      <c r="T41" s="6"/>
      <c r="U41" s="6"/>
    </row>
    <row r="42" spans="3:30">
      <c r="C42" t="s">
        <v>188</v>
      </c>
      <c r="E42" s="3">
        <f>H36+H27</f>
        <v>143.83388177940279</v>
      </c>
      <c r="R42" s="3"/>
      <c r="S42" s="3"/>
      <c r="T42" s="6"/>
      <c r="U42" s="6"/>
    </row>
    <row r="44" spans="3:30">
      <c r="C44" t="s">
        <v>189</v>
      </c>
      <c r="E44" s="3">
        <f>E39*B10/100</f>
        <v>333.56252539163745</v>
      </c>
      <c r="J44">
        <f>L32/L33</f>
        <v>0.2793121470460469</v>
      </c>
      <c r="R44" s="3"/>
      <c r="S44" s="3"/>
      <c r="T44" s="155"/>
      <c r="U44" s="155"/>
    </row>
    <row r="45" spans="3:30">
      <c r="C45" t="s">
        <v>157</v>
      </c>
      <c r="E45" s="3">
        <f>E39*D10/100</f>
        <v>33.960318486815908</v>
      </c>
      <c r="J45">
        <f>1-J44</f>
        <v>0.7206878529539531</v>
      </c>
    </row>
    <row r="46" spans="3:30">
      <c r="C46" t="s">
        <v>156</v>
      </c>
      <c r="E46" s="3">
        <f>E39*C10/100</f>
        <v>64.30813451664757</v>
      </c>
    </row>
    <row r="47" spans="3:30">
      <c r="C47" t="s">
        <v>198</v>
      </c>
      <c r="E47">
        <f>E39*E10/100</f>
        <v>85.172534756647281</v>
      </c>
    </row>
    <row r="49" spans="2:36">
      <c r="AD49" s="155"/>
      <c r="AE49" s="155"/>
      <c r="AG49" s="5"/>
    </row>
    <row r="50" spans="2:36">
      <c r="AD50" s="155"/>
      <c r="AE50" s="155"/>
      <c r="AG50" s="5"/>
      <c r="AI50" s="161"/>
      <c r="AJ50" s="161"/>
    </row>
    <row r="51" spans="2:36">
      <c r="AD51" s="155"/>
      <c r="AE51" s="155"/>
      <c r="AG51" s="5"/>
      <c r="AI51" s="161"/>
      <c r="AJ51" s="161"/>
    </row>
    <row r="52" spans="2:36">
      <c r="R52" t="s">
        <v>238</v>
      </c>
    </row>
    <row r="53" spans="2:36">
      <c r="U53" t="s">
        <v>180</v>
      </c>
      <c r="AD53" s="168"/>
      <c r="AE53" s="168"/>
      <c r="AG53" s="5"/>
    </row>
    <row r="54" spans="2:36">
      <c r="R54" s="180" t="s">
        <v>41</v>
      </c>
      <c r="S54" t="s">
        <v>239</v>
      </c>
      <c r="T54">
        <f>6*12+12+6*16</f>
        <v>180</v>
      </c>
      <c r="U54">
        <f>12*6/12</f>
        <v>6</v>
      </c>
      <c r="AF54" s="3"/>
    </row>
    <row r="55" spans="2:36">
      <c r="R55" s="180" t="s">
        <v>158</v>
      </c>
      <c r="S55" t="s">
        <v>142</v>
      </c>
      <c r="T55">
        <v>32.064999999999998</v>
      </c>
    </row>
    <row r="56" spans="2:36">
      <c r="F56">
        <f>I64/E64*1000</f>
        <v>33.773506845085905</v>
      </c>
      <c r="R56" s="180" t="s">
        <v>240</v>
      </c>
      <c r="S56" t="s">
        <v>199</v>
      </c>
      <c r="T56">
        <v>142.04</v>
      </c>
    </row>
    <row r="57" spans="2:36">
      <c r="R57" s="180" t="s">
        <v>241</v>
      </c>
      <c r="S57" t="s">
        <v>212</v>
      </c>
      <c r="T57">
        <v>132.13999999999999</v>
      </c>
    </row>
    <row r="61" spans="2:36">
      <c r="D61" t="s">
        <v>200</v>
      </c>
      <c r="E61" t="s">
        <v>1</v>
      </c>
      <c r="F61" s="182" t="s">
        <v>227</v>
      </c>
      <c r="G61" s="182"/>
      <c r="H61" s="182"/>
      <c r="I61" s="182"/>
      <c r="J61" s="182"/>
      <c r="K61" s="182" t="s">
        <v>41</v>
      </c>
      <c r="L61" s="182"/>
      <c r="M61" s="182" t="s">
        <v>231</v>
      </c>
      <c r="N61" s="182"/>
      <c r="O61" s="182"/>
      <c r="P61" t="s">
        <v>201</v>
      </c>
      <c r="Q61" t="s">
        <v>202</v>
      </c>
      <c r="R61" t="s">
        <v>156</v>
      </c>
      <c r="S61" t="s">
        <v>157</v>
      </c>
      <c r="T61" t="s">
        <v>158</v>
      </c>
      <c r="U61" t="s">
        <v>207</v>
      </c>
      <c r="V61" t="s">
        <v>175</v>
      </c>
      <c r="W61" t="s">
        <v>179</v>
      </c>
      <c r="X61" s="182" t="s">
        <v>210</v>
      </c>
      <c r="Y61" s="182"/>
      <c r="Z61" s="182"/>
      <c r="AA61" s="182"/>
      <c r="AB61" s="182" t="s">
        <v>213</v>
      </c>
      <c r="AC61" s="182"/>
      <c r="AD61" s="182"/>
      <c r="AE61" s="182"/>
    </row>
    <row r="62" spans="2:36">
      <c r="F62" t="s">
        <v>155</v>
      </c>
      <c r="G62" t="s">
        <v>156</v>
      </c>
      <c r="H62" t="s">
        <v>157</v>
      </c>
      <c r="I62" t="s">
        <v>158</v>
      </c>
      <c r="J62" t="s">
        <v>228</v>
      </c>
      <c r="K62" t="s">
        <v>38</v>
      </c>
      <c r="L62" t="s">
        <v>229</v>
      </c>
      <c r="M62" t="s">
        <v>230</v>
      </c>
      <c r="N62" t="s">
        <v>179</v>
      </c>
      <c r="O62" t="s">
        <v>180</v>
      </c>
      <c r="X62" t="s">
        <v>232</v>
      </c>
      <c r="Y62" t="s">
        <v>233</v>
      </c>
      <c r="Z62" t="s">
        <v>234</v>
      </c>
      <c r="AA62" t="s">
        <v>235</v>
      </c>
      <c r="AB62" t="s">
        <v>235</v>
      </c>
      <c r="AC62" t="s">
        <v>232</v>
      </c>
      <c r="AD62" t="s">
        <v>236</v>
      </c>
      <c r="AE62" t="s">
        <v>237</v>
      </c>
    </row>
    <row r="63" spans="2:36">
      <c r="B63" t="s">
        <v>191</v>
      </c>
      <c r="D63" s="2">
        <f>E39</f>
        <v>977.38582367235006</v>
      </c>
      <c r="E63" s="2">
        <v>0</v>
      </c>
      <c r="F63" s="2">
        <f>D63*Q63</f>
        <v>333.56252539163751</v>
      </c>
      <c r="G63" s="2">
        <f>D63*R63</f>
        <v>64.30813451664757</v>
      </c>
      <c r="H63" s="2">
        <f>D63*S63</f>
        <v>33.960318486815908</v>
      </c>
      <c r="I63" s="2">
        <f>D63*T63</f>
        <v>85.172534756647266</v>
      </c>
      <c r="J63" s="2">
        <f>J65</f>
        <v>104.6110917442218</v>
      </c>
      <c r="K63" s="2">
        <f>K65</f>
        <v>40.940114599249597</v>
      </c>
      <c r="L63" s="2">
        <f>K63*6*12/(6*12+12+6*16)</f>
        <v>16.376045839699838</v>
      </c>
      <c r="M63" s="3">
        <f>I63/32/(J63/23)</f>
        <v>0.58519377186140109</v>
      </c>
      <c r="N63" s="3">
        <f>F63/12/(H63/14)</f>
        <v>11.459146938644158</v>
      </c>
      <c r="O63" s="3">
        <f>F63/12/(G63/1)</f>
        <v>0.43224511680981759</v>
      </c>
      <c r="P63">
        <v>0</v>
      </c>
      <c r="Q63" s="6">
        <f>B10/100</f>
        <v>0.34128029823303224</v>
      </c>
      <c r="R63" s="6">
        <f>C10/100</f>
        <v>6.5796058177947994E-2</v>
      </c>
      <c r="S63" s="6">
        <f>D10/100</f>
        <v>3.474607229232788E-2</v>
      </c>
      <c r="T63" s="6">
        <f>E10/100</f>
        <v>8.7143206596374506E-2</v>
      </c>
      <c r="U63" s="6"/>
      <c r="V63" s="6">
        <v>0.52939999999999998</v>
      </c>
      <c r="W63" s="3">
        <f>F63/H63</f>
        <v>9.8221259474092779</v>
      </c>
      <c r="X63" s="3">
        <f>J63/23/2*T56</f>
        <v>323.02085807281003</v>
      </c>
      <c r="Y63" s="6">
        <f>X63/D63</f>
        <v>0.33049472403755326</v>
      </c>
      <c r="Z63" s="6">
        <f>Y63/V63</f>
        <v>0.62428168499726722</v>
      </c>
      <c r="AA63" s="6">
        <f>X63/T56*T55/I63</f>
        <v>0.85615337874556519</v>
      </c>
      <c r="AB63" s="6">
        <f>1-AA63</f>
        <v>0.14384662125443481</v>
      </c>
      <c r="AC63" s="2">
        <f>AB63*I63*T57/T55</f>
        <v>50.489642519263036</v>
      </c>
      <c r="AD63" s="5">
        <f>AC63*28/T57</f>
        <v>10.698577194939951</v>
      </c>
      <c r="AE63" s="6">
        <f>AD63/H63</f>
        <v>0.31503170970240923</v>
      </c>
      <c r="AH63" s="6"/>
    </row>
    <row r="64" spans="2:36">
      <c r="C64" t="s">
        <v>209</v>
      </c>
      <c r="D64" s="2">
        <f>E64+SUM(F64:J64)</f>
        <v>2896.4758305469322</v>
      </c>
      <c r="E64" s="2">
        <f>E65</f>
        <v>2521.8741763276498</v>
      </c>
      <c r="F64" s="2">
        <f>F66/$E$66*$E$64</f>
        <v>141.35104758316479</v>
      </c>
      <c r="G64" s="2">
        <f>G66/$E$66*$E$64</f>
        <v>27.251329181461763</v>
      </c>
      <c r="H64" s="2">
        <f t="shared" ref="H64:L64" si="3">H66/$E$66*$E$64</f>
        <v>16.215650953786788</v>
      </c>
      <c r="I64" s="2">
        <f>I66/$E$66*$E$64</f>
        <v>85.172534756647266</v>
      </c>
      <c r="J64" s="2">
        <f t="shared" si="3"/>
        <v>104.61109174422178</v>
      </c>
      <c r="K64" s="2">
        <f t="shared" si="3"/>
        <v>40.94011459924959</v>
      </c>
      <c r="L64" s="2">
        <f t="shared" si="3"/>
        <v>16.376045839699835</v>
      </c>
      <c r="M64" s="3"/>
      <c r="N64" s="3">
        <f>F64/12/(H64/14)</f>
        <v>10.169777086573356</v>
      </c>
      <c r="O64" s="3"/>
      <c r="Q64" s="6">
        <f>F64/$D$63</f>
        <v>0.14462154469569022</v>
      </c>
      <c r="R64" s="6">
        <f>G64/$D$63</f>
        <v>2.7881854352122516E-2</v>
      </c>
      <c r="S64" s="6">
        <f>H64/$D$63</f>
        <v>1.6590839114956075E-2</v>
      </c>
      <c r="T64" s="6">
        <f>I64/$D$63</f>
        <v>8.7143206596374506E-2</v>
      </c>
      <c r="U64" s="6"/>
      <c r="V64" s="6"/>
      <c r="W64" s="3"/>
    </row>
    <row r="65" spans="1:23">
      <c r="B65" t="s">
        <v>192</v>
      </c>
      <c r="D65" s="2">
        <f>E37</f>
        <v>3499.2599999999998</v>
      </c>
      <c r="E65" s="2">
        <f>D65-D63</f>
        <v>2521.8741763276498</v>
      </c>
      <c r="F65" s="2">
        <f>F63</f>
        <v>333.56252539163751</v>
      </c>
      <c r="G65" s="2">
        <f>G63</f>
        <v>64.30813451664757</v>
      </c>
      <c r="H65" s="2">
        <f>H63</f>
        <v>33.960318486815908</v>
      </c>
      <c r="I65" s="2">
        <f>I63</f>
        <v>85.172534756647266</v>
      </c>
      <c r="J65" s="2">
        <f>J67-J66</f>
        <v>104.6110917442218</v>
      </c>
      <c r="K65" s="2">
        <f>K67-K66</f>
        <v>40.940114599249597</v>
      </c>
      <c r="L65" s="2">
        <f t="shared" ref="L65:L70" si="4">K65*6*12/(6*12+12+6*16)</f>
        <v>16.376045839699838</v>
      </c>
      <c r="M65" s="3">
        <f>I65/32/(J65/23)</f>
        <v>0.58519377186140109</v>
      </c>
      <c r="N65" s="3">
        <f>F65/12/(H65/14)</f>
        <v>11.459146938644158</v>
      </c>
      <c r="O65" s="3">
        <f>F65/12/(G65/1)</f>
        <v>0.43224511680981759</v>
      </c>
      <c r="P65" s="168">
        <f>E38</f>
        <v>0.7206878529539531</v>
      </c>
      <c r="Q65" s="6">
        <f t="shared" ref="Q65:Q71" si="5">F65/D65</f>
        <v>9.5323732843983447E-2</v>
      </c>
      <c r="R65" s="6">
        <f t="shared" ref="R65:R71" si="6">G65/D65</f>
        <v>1.8377638276849271E-2</v>
      </c>
      <c r="S65" s="6">
        <f t="shared" ref="S65:S71" si="7">H65/D65</f>
        <v>9.7050000533872617E-3</v>
      </c>
      <c r="T65" s="6">
        <f t="shared" ref="T65:T71" si="8">I65/D65</f>
        <v>2.4340156134910602E-2</v>
      </c>
      <c r="W65" s="3">
        <f t="shared" ref="W65:W71" si="9">F65/H65</f>
        <v>9.8221259474092779</v>
      </c>
    </row>
    <row r="66" spans="1:23">
      <c r="B66" t="s">
        <v>203</v>
      </c>
      <c r="D66" s="2">
        <f>E66+SUM(F66:J66)</f>
        <v>3790.1852243571338</v>
      </c>
      <c r="E66" s="2">
        <f>E31</f>
        <v>3300</v>
      </c>
      <c r="F66" s="2">
        <f>E66*E32/1000/1000</f>
        <v>184.965</v>
      </c>
      <c r="G66" s="2">
        <f>F66/12/$O$63</f>
        <v>35.659743512572419</v>
      </c>
      <c r="H66" s="2">
        <f>E66*E35/1000/1000</f>
        <v>21.219000000000001</v>
      </c>
      <c r="I66" s="2">
        <f>I65/E65*E66</f>
        <v>111.45257258878348</v>
      </c>
      <c r="J66" s="2">
        <f>J67*E66/E67</f>
        <v>136.8889082557782</v>
      </c>
      <c r="K66" s="2">
        <f>E36/1000*E66/1000</f>
        <v>53.572212065813517</v>
      </c>
      <c r="L66" s="2">
        <f t="shared" si="4"/>
        <v>21.428884826325408</v>
      </c>
      <c r="M66" s="3">
        <f>I66/32/(J66/23)</f>
        <v>0.58519377186140098</v>
      </c>
      <c r="N66" s="3">
        <f>F66/12/(H66/14)</f>
        <v>10.169777086573353</v>
      </c>
      <c r="O66" s="3">
        <f>F66/12/(G66/1)</f>
        <v>0.43224511680981759</v>
      </c>
      <c r="P66" s="1">
        <f t="shared" ref="P66:P71" si="10">E66/D66</f>
        <v>0.87066984979862672</v>
      </c>
      <c r="Q66" s="1">
        <f t="shared" si="5"/>
        <v>4.8801045081213031E-2</v>
      </c>
      <c r="R66" s="1">
        <f t="shared" si="6"/>
        <v>9.4084434933178734E-3</v>
      </c>
      <c r="S66" s="1">
        <f t="shared" si="7"/>
        <v>5.5984071342051701E-3</v>
      </c>
      <c r="T66" s="1">
        <f t="shared" si="8"/>
        <v>2.9405574131983834E-2</v>
      </c>
      <c r="W66" s="3">
        <f t="shared" si="9"/>
        <v>8.7169517884914463</v>
      </c>
    </row>
    <row r="67" spans="1:23">
      <c r="B67" t="s">
        <v>204</v>
      </c>
      <c r="D67" s="2">
        <f>D66+D65</f>
        <v>7289.4452243571341</v>
      </c>
      <c r="E67" s="2">
        <f>E66+E65</f>
        <v>5821.8741763276503</v>
      </c>
      <c r="F67" s="2">
        <f>F66+F65</f>
        <v>518.52752539163748</v>
      </c>
      <c r="G67" s="2">
        <f>F67/12/$O$63</f>
        <v>99.967878029219989</v>
      </c>
      <c r="H67" s="2">
        <f>H66+H65</f>
        <v>55.179318486815909</v>
      </c>
      <c r="I67" s="2">
        <f>I66+I65</f>
        <v>196.62510734543076</v>
      </c>
      <c r="J67" s="2">
        <f>E30*23</f>
        <v>241.5</v>
      </c>
      <c r="K67" s="2">
        <f>K66*E67/E66</f>
        <v>94.512326665063114</v>
      </c>
      <c r="L67" s="2">
        <f t="shared" si="4"/>
        <v>37.804930666025243</v>
      </c>
      <c r="M67" s="3">
        <f>I67/32/(J67/23)</f>
        <v>0.58519377186140109</v>
      </c>
      <c r="N67" s="3">
        <f>F67/12/(H67/14)</f>
        <v>10.963324597206082</v>
      </c>
      <c r="O67" s="3">
        <f>F67/12/(G67/1)</f>
        <v>0.43224511680981759</v>
      </c>
      <c r="P67" s="1">
        <f t="shared" si="10"/>
        <v>0.79867177777456844</v>
      </c>
      <c r="Q67" s="1">
        <f t="shared" si="5"/>
        <v>7.1134017669687216E-2</v>
      </c>
      <c r="R67" s="1">
        <f t="shared" si="6"/>
        <v>1.371405847116936E-2</v>
      </c>
      <c r="S67" s="1">
        <f t="shared" si="7"/>
        <v>7.5697555559424961E-3</v>
      </c>
      <c r="T67" s="1">
        <f t="shared" si="8"/>
        <v>2.6973946753646318E-2</v>
      </c>
      <c r="W67" s="3">
        <f t="shared" si="9"/>
        <v>9.3971353690337835</v>
      </c>
    </row>
    <row r="68" spans="1:23">
      <c r="A68" s="15">
        <f>J67/E67*1000</f>
        <v>41.481487350235817</v>
      </c>
      <c r="B68" t="s">
        <v>226</v>
      </c>
      <c r="D68" s="2">
        <f>E68+J68/23*40</f>
        <v>2520</v>
      </c>
      <c r="E68" s="2">
        <f>E29</f>
        <v>2100</v>
      </c>
      <c r="F68" s="2">
        <v>0</v>
      </c>
      <c r="G68" s="2"/>
      <c r="H68" s="2"/>
      <c r="I68" s="2"/>
      <c r="J68" s="2">
        <f>E68*5*23/1000</f>
        <v>241.5</v>
      </c>
      <c r="K68" s="2"/>
      <c r="L68" s="2"/>
      <c r="M68" s="3">
        <f>I68/32/(J68/23)</f>
        <v>0</v>
      </c>
      <c r="N68" s="3"/>
      <c r="O68" s="3"/>
      <c r="P68" s="1">
        <f t="shared" si="10"/>
        <v>0.83333333333333337</v>
      </c>
      <c r="Q68" s="1">
        <f t="shared" si="5"/>
        <v>0</v>
      </c>
      <c r="R68" s="1">
        <f t="shared" si="6"/>
        <v>0</v>
      </c>
      <c r="S68" s="1">
        <f t="shared" si="7"/>
        <v>0</v>
      </c>
      <c r="T68" s="1">
        <f t="shared" si="8"/>
        <v>0</v>
      </c>
      <c r="W68" s="3" t="e">
        <f t="shared" si="9"/>
        <v>#DIV/0!</v>
      </c>
    </row>
    <row r="69" spans="1:23">
      <c r="B69" t="s">
        <v>196</v>
      </c>
      <c r="D69" s="2">
        <f>D67-D68</f>
        <v>4769.4452243571341</v>
      </c>
      <c r="E69" s="2">
        <f>E67-E68</f>
        <v>3721.8741763276503</v>
      </c>
      <c r="F69" s="2">
        <f>F67</f>
        <v>518.52752539163748</v>
      </c>
      <c r="G69" s="2">
        <f>F69/12/$O$63</f>
        <v>99.967878029219989</v>
      </c>
      <c r="H69" s="2">
        <f>H67</f>
        <v>55.179318486815909</v>
      </c>
      <c r="I69" s="2">
        <f>I67</f>
        <v>196.62510734543076</v>
      </c>
      <c r="J69" s="2">
        <v>0</v>
      </c>
      <c r="K69" s="2">
        <f>K70*E69/E70</f>
        <v>117.46243972700123</v>
      </c>
      <c r="L69" s="2">
        <f t="shared" si="4"/>
        <v>46.984975890800492</v>
      </c>
      <c r="M69" s="3"/>
      <c r="N69" s="3">
        <f>F69/12/(H69/14)</f>
        <v>10.963324597206082</v>
      </c>
      <c r="O69" s="3">
        <f>F69/12/(G69/1)</f>
        <v>0.43224511680981759</v>
      </c>
      <c r="P69" s="1">
        <f t="shared" si="10"/>
        <v>0.78035788257308603</v>
      </c>
      <c r="Q69" s="1">
        <f t="shared" si="5"/>
        <v>0.10871862470367903</v>
      </c>
      <c r="R69" s="1">
        <f t="shared" si="6"/>
        <v>2.0960064184969124E-2</v>
      </c>
      <c r="S69" s="1">
        <f t="shared" si="7"/>
        <v>1.1569336870674187E-2</v>
      </c>
      <c r="T69" s="1">
        <f t="shared" si="8"/>
        <v>4.1225991304247249E-2</v>
      </c>
      <c r="W69" s="3">
        <f t="shared" si="9"/>
        <v>9.3971353690337835</v>
      </c>
    </row>
    <row r="70" spans="1:23">
      <c r="B70" t="s">
        <v>205</v>
      </c>
      <c r="D70" s="2">
        <f>SUM(E70:I70)</f>
        <v>3337.7661176167744</v>
      </c>
      <c r="E70" s="2">
        <f>E22</f>
        <v>2860</v>
      </c>
      <c r="F70" s="2">
        <f>E70*E23/1000/1000</f>
        <v>247.39</v>
      </c>
      <c r="G70" s="2">
        <f>F70/12/$O$63</f>
        <v>47.694774403672533</v>
      </c>
      <c r="H70" s="2">
        <f>E70*E26/1000/1000</f>
        <v>31.588699999999999</v>
      </c>
      <c r="I70" s="2">
        <f>I69/E69*E70</f>
        <v>151.09264321310212</v>
      </c>
      <c r="J70" s="2"/>
      <c r="K70" s="2">
        <f>E70/1000*E27/1000</f>
        <v>90.261669713589271</v>
      </c>
      <c r="L70" s="2">
        <f t="shared" si="4"/>
        <v>36.104667885435703</v>
      </c>
      <c r="M70" s="3"/>
      <c r="N70" s="3">
        <f>F70/12/(H70/14)</f>
        <v>9.1368643428398979</v>
      </c>
      <c r="O70" s="3">
        <f>F70/12/(G70/1)</f>
        <v>0.43224511680981759</v>
      </c>
      <c r="P70" s="1">
        <f t="shared" si="10"/>
        <v>0.85686051665060703</v>
      </c>
      <c r="Q70" s="1">
        <f t="shared" si="5"/>
        <v>7.4118434690277499E-2</v>
      </c>
      <c r="R70" s="1">
        <f t="shared" si="6"/>
        <v>1.4289429733239508E-2</v>
      </c>
      <c r="S70" s="1">
        <f t="shared" si="7"/>
        <v>9.4640244064059537E-3</v>
      </c>
      <c r="T70" s="1">
        <f t="shared" si="8"/>
        <v>4.5267594519470107E-2</v>
      </c>
      <c r="W70" s="3">
        <f t="shared" si="9"/>
        <v>7.8315980081484833</v>
      </c>
    </row>
    <row r="71" spans="1:23">
      <c r="A71" s="15">
        <f>D70/D71</f>
        <v>0.41170335604006958</v>
      </c>
      <c r="B71" t="s">
        <v>206</v>
      </c>
      <c r="D71" s="2">
        <f>D70+D69</f>
        <v>8107.2113419739089</v>
      </c>
      <c r="E71" s="2">
        <f t="shared" ref="E71:J71" si="11">E70+E69</f>
        <v>6581.8741763276503</v>
      </c>
      <c r="F71" s="2">
        <f t="shared" si="11"/>
        <v>765.91752539163747</v>
      </c>
      <c r="G71" s="2">
        <f>F71/12/$O$63</f>
        <v>147.66265243289251</v>
      </c>
      <c r="H71" s="2">
        <f t="shared" si="11"/>
        <v>86.768018486815905</v>
      </c>
      <c r="I71" s="2">
        <f t="shared" si="11"/>
        <v>347.71775055853288</v>
      </c>
      <c r="J71" s="2">
        <f t="shared" si="11"/>
        <v>0</v>
      </c>
      <c r="K71" s="2">
        <f>K69+K70</f>
        <v>207.7241094405905</v>
      </c>
      <c r="L71" s="2">
        <f>L69+L70</f>
        <v>83.089643776236187</v>
      </c>
      <c r="M71" s="3"/>
      <c r="N71" s="3">
        <f>F71/12/(H71/14)</f>
        <v>10.298384841253677</v>
      </c>
      <c r="O71" s="3">
        <f>F71/12/(G71/1)</f>
        <v>0.43224511680981759</v>
      </c>
      <c r="P71" s="1">
        <f t="shared" si="10"/>
        <v>0.81185427376870678</v>
      </c>
      <c r="Q71" s="1">
        <f t="shared" si="5"/>
        <v>9.4473610355537516E-2</v>
      </c>
      <c r="R71" s="1">
        <f t="shared" si="6"/>
        <v>1.821374159427553E-2</v>
      </c>
      <c r="S71" s="1">
        <f t="shared" si="7"/>
        <v>1.0702572663621965E-2</v>
      </c>
      <c r="T71" s="1">
        <f t="shared" si="8"/>
        <v>4.2889932911736831E-2</v>
      </c>
      <c r="U71" s="6">
        <f>T71/32*(2+32+4*16)</f>
        <v>0.13135041954219404</v>
      </c>
      <c r="W71" s="3">
        <f t="shared" si="9"/>
        <v>8.8271870067888667</v>
      </c>
    </row>
    <row r="72" spans="1:23">
      <c r="A72" s="15">
        <f>E70/E71</f>
        <v>0.43452669002489713</v>
      </c>
      <c r="F72" s="2">
        <f>SUM(F71:H71)</f>
        <v>1000.3481963113459</v>
      </c>
      <c r="G72" s="2">
        <f>I71/32.066*(32.066+2+64)</f>
        <v>1063.4094968587626</v>
      </c>
      <c r="M72">
        <f>L70/F70</f>
        <v>0.14594230925031612</v>
      </c>
      <c r="O72" s="3">
        <f>F72/12/(G72/1)</f>
        <v>7.839157910368369E-2</v>
      </c>
    </row>
    <row r="73" spans="1:23">
      <c r="M73">
        <f>L66/F66</f>
        <v>0.11585372814492151</v>
      </c>
    </row>
    <row r="75" spans="1:23">
      <c r="C75" s="171" t="s">
        <v>242</v>
      </c>
      <c r="J75" s="182" t="s">
        <v>243</v>
      </c>
      <c r="K75" s="182"/>
    </row>
    <row r="76" spans="1:23">
      <c r="D76" t="s">
        <v>155</v>
      </c>
      <c r="E76" t="s">
        <v>157</v>
      </c>
      <c r="F76" t="s">
        <v>156</v>
      </c>
      <c r="G76" t="s">
        <v>158</v>
      </c>
      <c r="H76" t="s">
        <v>175</v>
      </c>
      <c r="J76" t="s">
        <v>155</v>
      </c>
      <c r="K76" t="s">
        <v>157</v>
      </c>
      <c r="L76" t="s">
        <v>156</v>
      </c>
      <c r="M76" t="s">
        <v>158</v>
      </c>
    </row>
    <row r="77" spans="1:23">
      <c r="C77" t="s">
        <v>208</v>
      </c>
      <c r="D77" s="2">
        <f>F63/D63*1000</f>
        <v>341.28029823303223</v>
      </c>
      <c r="E77" s="2">
        <f>H63/D63*1000</f>
        <v>34.746072292327881</v>
      </c>
      <c r="F77" s="2">
        <f>G63/D63*1000</f>
        <v>65.796058177947998</v>
      </c>
      <c r="G77" s="2">
        <f>I63/D63*1000</f>
        <v>87.143206596374512</v>
      </c>
      <c r="H77">
        <f>V63*1000</f>
        <v>529.4</v>
      </c>
      <c r="I77" t="s">
        <v>208</v>
      </c>
      <c r="J77" s="6">
        <f>D77/D$80</f>
        <v>0.43550710661840064</v>
      </c>
      <c r="K77" s="6">
        <f>E77/E$80</f>
        <v>0.39139211749979119</v>
      </c>
      <c r="L77" s="6">
        <f>F77/F$80</f>
        <v>0.43550710661840075</v>
      </c>
      <c r="M77" s="6">
        <f>G77/G$80</f>
        <v>0.24494733047086648</v>
      </c>
    </row>
    <row r="78" spans="1:23">
      <c r="C78" t="s">
        <v>203</v>
      </c>
      <c r="D78" s="2">
        <f>F66/D63*1000</f>
        <v>189.2446110022627</v>
      </c>
      <c r="E78" s="2">
        <f>H66/D63*1000</f>
        <v>21.709952698386246</v>
      </c>
      <c r="F78" s="2">
        <f>G66/D63*1000</f>
        <v>36.484817611316892</v>
      </c>
      <c r="G78" s="2">
        <f>I66/D63*1000</f>
        <v>114.03129643319426</v>
      </c>
      <c r="I78" t="s">
        <v>203</v>
      </c>
      <c r="J78" s="6">
        <f t="shared" ref="J78:M81" si="12">D78/D$80</f>
        <v>0.24149466994559451</v>
      </c>
      <c r="K78" s="6">
        <f t="shared" si="12"/>
        <v>0.24454862943797837</v>
      </c>
      <c r="L78" s="6">
        <f t="shared" ref="L78:M79" si="13">F78/F$80</f>
        <v>0.24149466994559457</v>
      </c>
      <c r="M78" s="6">
        <f t="shared" si="13"/>
        <v>0.32052597950423634</v>
      </c>
    </row>
    <row r="79" spans="1:23">
      <c r="C79" t="s">
        <v>205</v>
      </c>
      <c r="D79" s="2">
        <f>F70/D63*1000</f>
        <v>253.11396380855712</v>
      </c>
      <c r="E79" s="2">
        <f>H70/D63*1000</f>
        <v>32.319580696711135</v>
      </c>
      <c r="F79" s="2">
        <f>G70/D63*1000</f>
        <v>48.798307944009323</v>
      </c>
      <c r="G79" s="2">
        <f>I70/D63*1000</f>
        <v>154.58853561574989</v>
      </c>
      <c r="I79" t="s">
        <v>205</v>
      </c>
      <c r="J79" s="6">
        <f t="shared" si="12"/>
        <v>0.32299822343600476</v>
      </c>
      <c r="K79" s="6">
        <f t="shared" si="12"/>
        <v>0.36405925306223036</v>
      </c>
      <c r="L79" s="6">
        <f t="shared" si="13"/>
        <v>0.32299822343600482</v>
      </c>
      <c r="M79" s="6">
        <f t="shared" si="13"/>
        <v>0.43452669002489719</v>
      </c>
    </row>
    <row r="80" spans="1:23">
      <c r="C80" t="s">
        <v>38</v>
      </c>
      <c r="D80" s="2">
        <f>SUM(D77:D79)</f>
        <v>783.63887304385207</v>
      </c>
      <c r="E80" s="2">
        <f>SUM(E77:E79)</f>
        <v>88.775605687425269</v>
      </c>
      <c r="F80" s="2">
        <f>SUM(F77:F79)</f>
        <v>151.07918373327419</v>
      </c>
      <c r="G80" s="2">
        <f>SUM(G77:G79)</f>
        <v>355.76303864531866</v>
      </c>
      <c r="H80" s="2"/>
      <c r="J80" s="6">
        <f t="shared" si="12"/>
        <v>1</v>
      </c>
      <c r="K80" s="6">
        <f t="shared" si="12"/>
        <v>1</v>
      </c>
      <c r="L80" s="6">
        <f t="shared" si="12"/>
        <v>1</v>
      </c>
      <c r="M80" s="6">
        <f t="shared" si="12"/>
        <v>1</v>
      </c>
    </row>
    <row r="81" spans="3:11">
      <c r="D81" s="2">
        <f>D79+D78</f>
        <v>442.35857481081985</v>
      </c>
      <c r="E81" s="2">
        <f>E79+E78</f>
        <v>54.029533395097381</v>
      </c>
      <c r="F81" s="2">
        <f>F79+F78</f>
        <v>85.283125555326222</v>
      </c>
      <c r="G81" s="2">
        <f>G79+G78</f>
        <v>268.61983204894415</v>
      </c>
      <c r="J81" s="6">
        <f t="shared" si="12"/>
        <v>0.56449289338159936</v>
      </c>
      <c r="K81" s="6">
        <f>E81/E$80</f>
        <v>0.6086078825002087</v>
      </c>
    </row>
    <row r="82" spans="3:11">
      <c r="C82" t="s">
        <v>214</v>
      </c>
      <c r="D82" s="2">
        <f>F64</f>
        <v>141.35104758316479</v>
      </c>
      <c r="E82" s="2">
        <f>H64</f>
        <v>16.215650953786788</v>
      </c>
      <c r="J82" s="6">
        <f>D82/D77</f>
        <v>0.41417875076588156</v>
      </c>
      <c r="K82" s="6">
        <f>E82/E77</f>
        <v>0.46669018637157705</v>
      </c>
    </row>
    <row r="90" spans="3:11">
      <c r="D90" s="6"/>
    </row>
    <row r="91" spans="3:11">
      <c r="D91" s="155"/>
    </row>
  </sheetData>
  <mergeCells count="6">
    <mergeCell ref="AB61:AE61"/>
    <mergeCell ref="J75:K75"/>
    <mergeCell ref="F61:J61"/>
    <mergeCell ref="K61:L61"/>
    <mergeCell ref="M61:O61"/>
    <mergeCell ref="X61:AA61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63"/>
  <sheetViews>
    <sheetView tabSelected="1" workbookViewId="0">
      <pane xSplit="10" ySplit="6" topLeftCell="AL137" activePane="bottomRight" state="frozen"/>
      <selection pane="topRight" activeCell="F1" sqref="F1"/>
      <selection pane="bottomLeft" activeCell="A4" sqref="A4"/>
      <selection pane="bottomRight" activeCell="AN122" sqref="AN122"/>
    </sheetView>
  </sheetViews>
  <sheetFormatPr baseColWidth="10" defaultRowHeight="15" x14ac:dyDescent="0"/>
  <cols>
    <col min="1" max="2" width="10.83203125" style="15"/>
    <col min="3" max="3" width="10.1640625" style="16" bestFit="1" customWidth="1"/>
    <col min="4" max="4" width="10.1640625" style="16" customWidth="1"/>
    <col min="5" max="5" width="8.5" style="17" bestFit="1" customWidth="1"/>
    <col min="6" max="6" width="6.6640625" style="15" customWidth="1"/>
    <col min="7" max="7" width="10.1640625" style="16" bestFit="1" customWidth="1"/>
    <col min="8" max="8" width="10.1640625" style="16" customWidth="1"/>
    <col min="9" max="9" width="10.5" style="16" bestFit="1" customWidth="1"/>
    <col min="10" max="10" width="8.5" style="17" bestFit="1" customWidth="1"/>
    <col min="11" max="11" width="6.1640625" style="15" customWidth="1"/>
    <col min="12" max="17" width="6.1640625" style="16" customWidth="1"/>
    <col min="18" max="18" width="6.1640625" style="17" customWidth="1"/>
    <col min="19" max="19" width="10.83203125" style="15"/>
    <col min="20" max="21" width="10.83203125" style="16"/>
    <col min="22" max="22" width="11.83203125" style="16" bestFit="1" customWidth="1"/>
    <col min="23" max="26" width="10.83203125" style="16"/>
    <col min="27" max="27" width="10.83203125" style="17"/>
    <col min="28" max="28" width="10.83203125" style="15"/>
    <col min="29" max="32" width="10.83203125" style="16"/>
    <col min="33" max="33" width="10.83203125" style="17"/>
    <col min="34" max="34" width="10.83203125" style="15"/>
    <col min="35" max="36" width="10.83203125" style="16"/>
    <col min="37" max="37" width="10.83203125" style="17"/>
    <col min="38" max="38" width="10.83203125" style="15"/>
    <col min="39" max="45" width="10.83203125" style="16"/>
    <col min="46" max="46" width="10.83203125" style="17"/>
  </cols>
  <sheetData>
    <row r="1" spans="1:76">
      <c r="A1" s="16"/>
      <c r="B1" s="15" t="s">
        <v>131</v>
      </c>
      <c r="D1" s="16">
        <v>52.94</v>
      </c>
    </row>
    <row r="2" spans="1:76" ht="17" thickBot="1">
      <c r="A2" s="16"/>
      <c r="B2" s="15" t="s">
        <v>132</v>
      </c>
      <c r="D2" s="16">
        <v>2.1</v>
      </c>
    </row>
    <row r="3" spans="1:76" s="75" customFormat="1">
      <c r="A3" s="148" t="s">
        <v>37</v>
      </c>
      <c r="B3" s="183" t="s">
        <v>118</v>
      </c>
      <c r="C3" s="184"/>
      <c r="D3" s="185"/>
      <c r="E3" s="186"/>
      <c r="F3" s="187" t="s">
        <v>48</v>
      </c>
      <c r="G3" s="188"/>
      <c r="H3" s="188"/>
      <c r="I3" s="188"/>
      <c r="J3" s="189"/>
      <c r="K3" s="187" t="s">
        <v>47</v>
      </c>
      <c r="L3" s="188"/>
      <c r="M3" s="188"/>
      <c r="N3" s="188"/>
      <c r="O3" s="188"/>
      <c r="P3" s="188"/>
      <c r="Q3" s="188"/>
      <c r="R3" s="189"/>
      <c r="S3" s="187" t="s">
        <v>76</v>
      </c>
      <c r="T3" s="188"/>
      <c r="U3" s="188"/>
      <c r="V3" s="188"/>
      <c r="W3" s="188"/>
      <c r="X3" s="188"/>
      <c r="Y3" s="188"/>
      <c r="Z3" s="188"/>
      <c r="AA3" s="189"/>
      <c r="AB3" s="187" t="s">
        <v>58</v>
      </c>
      <c r="AC3" s="188"/>
      <c r="AD3" s="188"/>
      <c r="AE3" s="188"/>
      <c r="AF3" s="188"/>
      <c r="AG3" s="189"/>
      <c r="AH3" s="187" t="s">
        <v>63</v>
      </c>
      <c r="AI3" s="188"/>
      <c r="AJ3" s="188"/>
      <c r="AK3" s="189"/>
      <c r="AL3" s="187" t="s">
        <v>69</v>
      </c>
      <c r="AM3" s="188"/>
      <c r="AN3" s="188"/>
      <c r="AO3" s="188"/>
      <c r="AP3" s="188"/>
      <c r="AQ3" s="188"/>
      <c r="AR3" s="188"/>
      <c r="AS3" s="188"/>
      <c r="AT3" s="189"/>
      <c r="AU3" s="190" t="s">
        <v>139</v>
      </c>
      <c r="AV3" s="191"/>
      <c r="AW3" s="191"/>
      <c r="AX3" s="191"/>
      <c r="AY3" s="191"/>
      <c r="AZ3" s="191"/>
      <c r="BA3" s="191"/>
      <c r="BB3" s="191"/>
      <c r="BC3" s="192"/>
    </row>
    <row r="4" spans="1:76" s="75" customFormat="1" ht="15" customHeight="1">
      <c r="A4" s="148"/>
      <c r="B4" s="146" t="s">
        <v>117</v>
      </c>
      <c r="C4" s="144" t="s">
        <v>75</v>
      </c>
      <c r="D4" s="148" t="s">
        <v>121</v>
      </c>
      <c r="E4" s="145" t="s">
        <v>119</v>
      </c>
      <c r="F4" s="146" t="s">
        <v>49</v>
      </c>
      <c r="G4" s="144" t="s">
        <v>21</v>
      </c>
      <c r="H4" s="144" t="s">
        <v>110</v>
      </c>
      <c r="I4" s="144" t="s">
        <v>22</v>
      </c>
      <c r="J4" s="145" t="s">
        <v>23</v>
      </c>
      <c r="K4" s="146" t="s">
        <v>45</v>
      </c>
      <c r="L4" s="193" t="s">
        <v>35</v>
      </c>
      <c r="M4" s="193"/>
      <c r="N4" s="193"/>
      <c r="O4" s="193" t="s">
        <v>74</v>
      </c>
      <c r="P4" s="193"/>
      <c r="Q4" s="193"/>
      <c r="R4" s="145" t="s">
        <v>64</v>
      </c>
      <c r="S4" s="146" t="s">
        <v>24</v>
      </c>
      <c r="T4" s="193" t="s">
        <v>50</v>
      </c>
      <c r="U4" s="193"/>
      <c r="V4" s="193" t="s">
        <v>53</v>
      </c>
      <c r="W4" s="193"/>
      <c r="X4" s="193" t="s">
        <v>56</v>
      </c>
      <c r="Y4" s="193"/>
      <c r="Z4" s="193" t="s">
        <v>57</v>
      </c>
      <c r="AA4" s="194"/>
      <c r="AB4" s="195" t="s">
        <v>44</v>
      </c>
      <c r="AC4" s="193"/>
      <c r="AD4" s="193"/>
      <c r="AE4" s="193" t="s">
        <v>61</v>
      </c>
      <c r="AF4" s="193"/>
      <c r="AG4" s="194"/>
      <c r="AH4" s="146" t="s">
        <v>64</v>
      </c>
      <c r="AI4" s="144" t="s">
        <v>65</v>
      </c>
      <c r="AJ4" s="193" t="s">
        <v>78</v>
      </c>
      <c r="AK4" s="194"/>
      <c r="AL4" s="144" t="s">
        <v>25</v>
      </c>
      <c r="AM4" s="193" t="s">
        <v>26</v>
      </c>
      <c r="AN4" s="193"/>
      <c r="AO4" s="144" t="s">
        <v>27</v>
      </c>
      <c r="AP4" s="131" t="s">
        <v>44</v>
      </c>
      <c r="AQ4" s="200" t="s">
        <v>120</v>
      </c>
      <c r="AR4" s="200"/>
      <c r="AS4" s="200"/>
      <c r="AT4" s="202"/>
      <c r="AU4" s="203" t="s">
        <v>140</v>
      </c>
      <c r="AV4" s="200"/>
      <c r="AW4" s="200"/>
      <c r="AX4" s="200"/>
      <c r="AY4" s="201"/>
      <c r="AZ4" s="199" t="s">
        <v>144</v>
      </c>
      <c r="BA4" s="200"/>
      <c r="BB4" s="200"/>
      <c r="BC4" s="200"/>
      <c r="BD4" s="201"/>
      <c r="BE4" s="199" t="s">
        <v>150</v>
      </c>
      <c r="BF4" s="200"/>
      <c r="BG4" s="200"/>
      <c r="BH4" s="200"/>
      <c r="BI4" s="201"/>
      <c r="BJ4" s="75" t="s">
        <v>145</v>
      </c>
      <c r="BN4" s="75" t="s">
        <v>159</v>
      </c>
      <c r="BR4" s="75" t="s">
        <v>160</v>
      </c>
      <c r="BV4" s="75" t="s">
        <v>153</v>
      </c>
      <c r="BW4" s="75" t="s">
        <v>154</v>
      </c>
      <c r="BX4" s="75" t="s">
        <v>169</v>
      </c>
    </row>
    <row r="5" spans="1:76" s="75" customFormat="1">
      <c r="A5" s="148"/>
      <c r="B5" s="146"/>
      <c r="C5" s="144"/>
      <c r="D5" s="148"/>
      <c r="E5" s="145"/>
      <c r="F5" s="146"/>
      <c r="G5" s="144"/>
      <c r="H5" s="144"/>
      <c r="I5" s="144"/>
      <c r="J5" s="145"/>
      <c r="K5" s="146"/>
      <c r="L5" s="144" t="s">
        <v>71</v>
      </c>
      <c r="M5" s="144" t="s">
        <v>72</v>
      </c>
      <c r="N5" s="144" t="s">
        <v>73</v>
      </c>
      <c r="O5" s="144" t="s">
        <v>71</v>
      </c>
      <c r="P5" s="144" t="s">
        <v>72</v>
      </c>
      <c r="Q5" s="144" t="s">
        <v>73</v>
      </c>
      <c r="R5" s="145" t="s">
        <v>71</v>
      </c>
      <c r="S5" s="146"/>
      <c r="T5" s="144" t="s">
        <v>51</v>
      </c>
      <c r="U5" s="144" t="s">
        <v>52</v>
      </c>
      <c r="V5" s="144" t="s">
        <v>54</v>
      </c>
      <c r="W5" s="144" t="s">
        <v>55</v>
      </c>
      <c r="X5" s="144" t="s">
        <v>51</v>
      </c>
      <c r="Y5" s="144" t="s">
        <v>52</v>
      </c>
      <c r="Z5" s="144" t="s">
        <v>51</v>
      </c>
      <c r="AA5" s="145" t="s">
        <v>52</v>
      </c>
      <c r="AB5" s="146" t="s">
        <v>51</v>
      </c>
      <c r="AC5" s="144" t="s">
        <v>59</v>
      </c>
      <c r="AD5" s="144" t="s">
        <v>60</v>
      </c>
      <c r="AE5" s="144" t="s">
        <v>28</v>
      </c>
      <c r="AF5" s="144" t="s">
        <v>29</v>
      </c>
      <c r="AG5" s="145" t="s">
        <v>30</v>
      </c>
      <c r="AH5" s="146"/>
      <c r="AI5" s="144"/>
      <c r="AJ5" s="144" t="s">
        <v>36</v>
      </c>
      <c r="AK5" s="145" t="s">
        <v>37</v>
      </c>
      <c r="AL5" s="144"/>
      <c r="AM5" s="144" t="s">
        <v>140</v>
      </c>
      <c r="AN5" s="144" t="s">
        <v>144</v>
      </c>
      <c r="AO5" s="144"/>
      <c r="AP5" s="144"/>
      <c r="AQ5" s="144" t="s">
        <v>28</v>
      </c>
      <c r="AR5" s="144" t="s">
        <v>80</v>
      </c>
      <c r="AS5" s="144" t="s">
        <v>34</v>
      </c>
      <c r="AT5" s="145" t="s">
        <v>30</v>
      </c>
      <c r="AU5" s="147" t="s">
        <v>67</v>
      </c>
      <c r="AV5" s="144" t="s">
        <v>81</v>
      </c>
      <c r="AW5" s="144" t="s">
        <v>141</v>
      </c>
      <c r="AX5" s="144" t="s">
        <v>142</v>
      </c>
      <c r="AY5" s="144" t="s">
        <v>143</v>
      </c>
      <c r="AZ5" s="144" t="s">
        <v>67</v>
      </c>
      <c r="BA5" s="144" t="s">
        <v>81</v>
      </c>
      <c r="BB5" s="144" t="s">
        <v>141</v>
      </c>
      <c r="BC5" s="144" t="s">
        <v>142</v>
      </c>
      <c r="BD5" s="144" t="s">
        <v>143</v>
      </c>
      <c r="BE5" s="144" t="s">
        <v>67</v>
      </c>
      <c r="BF5" s="144" t="s">
        <v>81</v>
      </c>
      <c r="BG5" s="144" t="s">
        <v>141</v>
      </c>
      <c r="BH5" s="144" t="s">
        <v>142</v>
      </c>
      <c r="BI5" s="144" t="s">
        <v>143</v>
      </c>
      <c r="BJ5" s="75" t="s">
        <v>67</v>
      </c>
      <c r="BK5" s="75" t="s">
        <v>81</v>
      </c>
      <c r="BL5" s="75" t="s">
        <v>141</v>
      </c>
      <c r="BM5" s="75" t="s">
        <v>142</v>
      </c>
      <c r="BN5" s="75" t="s">
        <v>67</v>
      </c>
      <c r="BO5" s="75" t="s">
        <v>81</v>
      </c>
      <c r="BP5" s="75" t="s">
        <v>141</v>
      </c>
      <c r="BQ5" s="75" t="s">
        <v>142</v>
      </c>
      <c r="BR5" s="162" t="s">
        <v>67</v>
      </c>
      <c r="BS5" s="163" t="s">
        <v>81</v>
      </c>
      <c r="BT5" s="163" t="s">
        <v>141</v>
      </c>
      <c r="BU5" s="163" t="s">
        <v>142</v>
      </c>
    </row>
    <row r="6" spans="1:76" s="76" customFormat="1">
      <c r="A6" s="77"/>
      <c r="B6" s="84"/>
      <c r="D6" s="77"/>
      <c r="E6" s="85"/>
      <c r="F6" s="84"/>
      <c r="G6" s="76" t="s">
        <v>15</v>
      </c>
      <c r="H6" s="76" t="s">
        <v>15</v>
      </c>
      <c r="I6" s="76" t="s">
        <v>15</v>
      </c>
      <c r="J6" s="85" t="s">
        <v>15</v>
      </c>
      <c r="K6" s="84" t="s">
        <v>46</v>
      </c>
      <c r="R6" s="85"/>
      <c r="S6" s="84" t="s">
        <v>62</v>
      </c>
      <c r="T6" s="76" t="s">
        <v>15</v>
      </c>
      <c r="U6" s="76" t="s">
        <v>15</v>
      </c>
      <c r="V6" s="76" t="s">
        <v>15</v>
      </c>
      <c r="W6" s="76" t="s">
        <v>15</v>
      </c>
      <c r="X6" s="76" t="s">
        <v>15</v>
      </c>
      <c r="Y6" s="76" t="s">
        <v>15</v>
      </c>
      <c r="Z6" s="76" t="s">
        <v>15</v>
      </c>
      <c r="AA6" s="85" t="s">
        <v>15</v>
      </c>
      <c r="AB6" s="84" t="s">
        <v>15</v>
      </c>
      <c r="AC6" s="76" t="s">
        <v>15</v>
      </c>
      <c r="AD6" s="76" t="s">
        <v>15</v>
      </c>
      <c r="AE6" s="76" t="s">
        <v>77</v>
      </c>
      <c r="AF6" s="76" t="s">
        <v>77</v>
      </c>
      <c r="AG6" s="85" t="s">
        <v>77</v>
      </c>
      <c r="AH6" s="84" t="s">
        <v>67</v>
      </c>
      <c r="AI6" s="76" t="s">
        <v>68</v>
      </c>
      <c r="AJ6" s="76" t="s">
        <v>66</v>
      </c>
      <c r="AK6" s="85" t="s">
        <v>66</v>
      </c>
      <c r="AT6" s="85"/>
      <c r="AU6" s="83"/>
    </row>
    <row r="7" spans="1:76" s="153" customFormat="1">
      <c r="A7" s="149"/>
      <c r="B7" s="150"/>
      <c r="C7" s="151"/>
      <c r="D7" s="149"/>
      <c r="E7" s="152"/>
      <c r="F7" s="150"/>
      <c r="G7" s="151"/>
      <c r="H7" s="151"/>
      <c r="I7" s="151"/>
      <c r="J7" s="152"/>
      <c r="K7" s="150"/>
      <c r="L7" s="151"/>
      <c r="M7" s="151"/>
      <c r="N7" s="151"/>
      <c r="O7" s="151"/>
      <c r="P7" s="151"/>
      <c r="Q7" s="151"/>
      <c r="R7" s="152"/>
      <c r="S7" s="150"/>
      <c r="T7" s="151"/>
      <c r="U7" s="151"/>
      <c r="V7" s="151"/>
      <c r="W7" s="151"/>
      <c r="X7" s="151"/>
      <c r="Y7" s="151"/>
      <c r="Z7" s="151"/>
      <c r="AA7" s="152"/>
      <c r="AB7" s="150"/>
      <c r="AC7" s="151"/>
      <c r="AD7" s="151"/>
      <c r="AE7" s="151"/>
      <c r="AF7" s="151"/>
      <c r="AG7" s="152"/>
      <c r="AH7" s="150"/>
      <c r="AI7" s="151"/>
      <c r="AJ7" s="151"/>
      <c r="AK7" s="152"/>
      <c r="AL7" s="151"/>
      <c r="AM7" s="151"/>
      <c r="AN7" s="151"/>
      <c r="AO7" s="151"/>
      <c r="AP7" s="151"/>
      <c r="AQ7" s="151"/>
      <c r="AR7" s="151"/>
      <c r="AS7" s="151"/>
      <c r="AT7" s="152"/>
    </row>
    <row r="8" spans="1:76" s="153" customFormat="1">
      <c r="A8" s="149" t="s">
        <v>171</v>
      </c>
      <c r="B8" s="150"/>
      <c r="C8" s="151"/>
      <c r="D8" s="149"/>
      <c r="E8" s="152"/>
      <c r="F8" s="150"/>
      <c r="G8" s="151"/>
      <c r="H8" s="151"/>
      <c r="I8" s="151"/>
      <c r="J8" s="152"/>
      <c r="K8" s="150"/>
      <c r="L8" s="151"/>
      <c r="M8" s="151"/>
      <c r="N8" s="151"/>
      <c r="O8" s="151"/>
      <c r="P8" s="151"/>
      <c r="Q8" s="151"/>
      <c r="R8" s="152"/>
      <c r="S8" s="150"/>
      <c r="T8" s="151"/>
      <c r="U8" s="151"/>
      <c r="V8" s="151"/>
      <c r="W8" s="151"/>
      <c r="X8" s="151"/>
      <c r="Y8" s="151"/>
      <c r="Z8" s="151"/>
      <c r="AA8" s="152"/>
      <c r="AB8" s="150"/>
      <c r="AC8" s="151"/>
      <c r="AD8" s="151"/>
      <c r="AE8" s="151"/>
      <c r="AF8" s="151"/>
      <c r="AG8" s="152"/>
      <c r="AH8" s="150"/>
      <c r="AI8" s="151"/>
      <c r="AJ8" s="151"/>
      <c r="AK8" s="152"/>
      <c r="AL8" s="151"/>
      <c r="AM8" s="151"/>
      <c r="AN8" s="151"/>
      <c r="AO8" s="151"/>
      <c r="AP8" s="151"/>
      <c r="AQ8" s="151"/>
      <c r="AR8" s="151"/>
      <c r="AS8" s="151"/>
      <c r="AT8" s="152"/>
      <c r="AU8" s="153">
        <v>77.034999999999997</v>
      </c>
      <c r="AV8" s="153">
        <v>13.3</v>
      </c>
    </row>
    <row r="9" spans="1:76" s="153" customFormat="1">
      <c r="A9" s="149" t="s">
        <v>172</v>
      </c>
      <c r="B9" s="150"/>
      <c r="C9" s="151"/>
      <c r="D9" s="149"/>
      <c r="E9" s="152"/>
      <c r="F9" s="150"/>
      <c r="G9" s="151"/>
      <c r="H9" s="151"/>
      <c r="I9" s="151"/>
      <c r="J9" s="152"/>
      <c r="K9" s="150"/>
      <c r="L9" s="151"/>
      <c r="M9" s="151"/>
      <c r="N9" s="151"/>
      <c r="O9" s="151"/>
      <c r="P9" s="151"/>
      <c r="Q9" s="151"/>
      <c r="R9" s="152"/>
      <c r="S9" s="150"/>
      <c r="T9" s="151"/>
      <c r="U9" s="151"/>
      <c r="V9" s="151"/>
      <c r="W9" s="151"/>
      <c r="X9" s="151"/>
      <c r="Y9" s="151"/>
      <c r="Z9" s="151"/>
      <c r="AA9" s="152"/>
      <c r="AB9" s="150"/>
      <c r="AC9" s="151"/>
      <c r="AD9" s="151"/>
      <c r="AE9" s="151"/>
      <c r="AF9" s="151"/>
      <c r="AG9" s="152"/>
      <c r="AH9" s="150"/>
      <c r="AI9" s="151"/>
      <c r="AJ9" s="151"/>
      <c r="AK9" s="152"/>
      <c r="AL9" s="151"/>
      <c r="AM9" s="151"/>
      <c r="AN9" s="151"/>
      <c r="AO9" s="151"/>
      <c r="AP9" s="151"/>
      <c r="AQ9" s="151"/>
      <c r="AR9" s="151"/>
      <c r="AS9" s="151"/>
      <c r="AT9" s="152"/>
      <c r="AU9" s="153">
        <v>39.484999999999999</v>
      </c>
      <c r="AV9" s="153">
        <v>7.0749999999999993</v>
      </c>
    </row>
    <row r="10" spans="1:76" s="153" customFormat="1">
      <c r="A10" s="149" t="s">
        <v>173</v>
      </c>
      <c r="B10" s="150"/>
      <c r="C10" s="151"/>
      <c r="D10" s="149"/>
      <c r="E10" s="152"/>
      <c r="F10" s="150"/>
      <c r="G10" s="151"/>
      <c r="H10" s="151"/>
      <c r="I10" s="151"/>
      <c r="J10" s="152"/>
      <c r="K10" s="150"/>
      <c r="L10" s="151"/>
      <c r="M10" s="151"/>
      <c r="N10" s="151"/>
      <c r="O10" s="151"/>
      <c r="P10" s="151"/>
      <c r="Q10" s="151"/>
      <c r="R10" s="152"/>
      <c r="S10" s="150"/>
      <c r="T10" s="151"/>
      <c r="U10" s="151"/>
      <c r="V10" s="151"/>
      <c r="W10" s="151"/>
      <c r="X10" s="151"/>
      <c r="Y10" s="151"/>
      <c r="Z10" s="151"/>
      <c r="AA10" s="152"/>
      <c r="AB10" s="150"/>
      <c r="AC10" s="151"/>
      <c r="AD10" s="151"/>
      <c r="AE10" s="151"/>
      <c r="AF10" s="151"/>
      <c r="AG10" s="152"/>
      <c r="AH10" s="150"/>
      <c r="AI10" s="151"/>
      <c r="AJ10" s="151"/>
      <c r="AK10" s="152"/>
      <c r="AL10" s="151"/>
      <c r="AM10" s="151"/>
      <c r="AN10" s="151"/>
      <c r="AO10" s="151"/>
      <c r="AP10" s="151"/>
      <c r="AQ10" s="151"/>
      <c r="AR10" s="151"/>
      <c r="AS10" s="151"/>
      <c r="AT10" s="152"/>
      <c r="AU10" s="153">
        <v>47.260000000000005</v>
      </c>
      <c r="AV10" s="153">
        <v>7.3800000000000008</v>
      </c>
      <c r="AW10" s="153">
        <v>13.32</v>
      </c>
    </row>
    <row r="11" spans="1:76" s="153" customFormat="1">
      <c r="A11" s="149" t="s">
        <v>174</v>
      </c>
      <c r="B11" s="150"/>
      <c r="C11" s="151"/>
      <c r="D11" s="149"/>
      <c r="E11" s="152"/>
      <c r="F11" s="150"/>
      <c r="G11" s="151"/>
      <c r="H11" s="151"/>
      <c r="I11" s="151"/>
      <c r="J11" s="152"/>
      <c r="K11" s="150"/>
      <c r="L11" s="151"/>
      <c r="M11" s="151"/>
      <c r="N11" s="151"/>
      <c r="O11" s="151"/>
      <c r="P11" s="151"/>
      <c r="Q11" s="151"/>
      <c r="R11" s="152"/>
      <c r="S11" s="150"/>
      <c r="T11" s="151"/>
      <c r="U11" s="151"/>
      <c r="V11" s="151"/>
      <c r="W11" s="151"/>
      <c r="X11" s="151"/>
      <c r="Y11" s="151"/>
      <c r="Z11" s="151"/>
      <c r="AA11" s="152"/>
      <c r="AB11" s="150"/>
      <c r="AC11" s="151"/>
      <c r="AD11" s="151"/>
      <c r="AE11" s="151"/>
      <c r="AF11" s="151"/>
      <c r="AG11" s="152"/>
      <c r="AH11" s="150"/>
      <c r="AI11" s="151"/>
      <c r="AJ11" s="151"/>
      <c r="AK11" s="152"/>
      <c r="AL11" s="151"/>
      <c r="AM11" s="151"/>
      <c r="AN11" s="151"/>
      <c r="AO11" s="151"/>
      <c r="AP11" s="151"/>
      <c r="AQ11" s="151"/>
      <c r="AR11" s="151"/>
      <c r="AS11" s="151"/>
      <c r="AT11" s="152"/>
      <c r="AU11" s="153">
        <v>46.254999999999995</v>
      </c>
      <c r="AV11" s="153">
        <v>7.4350000000000005</v>
      </c>
      <c r="AW11" s="153">
        <v>10.59</v>
      </c>
    </row>
    <row r="12" spans="1:76" s="153" customFormat="1">
      <c r="A12" s="149" t="s">
        <v>49</v>
      </c>
      <c r="B12" s="150"/>
      <c r="C12" s="151"/>
      <c r="D12" s="149"/>
      <c r="E12" s="152"/>
      <c r="F12" s="150"/>
      <c r="G12" s="151"/>
      <c r="H12" s="151"/>
      <c r="I12" s="151"/>
      <c r="J12" s="152"/>
      <c r="K12" s="150"/>
      <c r="L12" s="151"/>
      <c r="M12" s="151"/>
      <c r="N12" s="151"/>
      <c r="O12" s="151"/>
      <c r="P12" s="151"/>
      <c r="Q12" s="151"/>
      <c r="R12" s="152"/>
      <c r="S12" s="150"/>
      <c r="T12" s="151"/>
      <c r="U12" s="151"/>
      <c r="V12" s="151"/>
      <c r="W12" s="151"/>
      <c r="X12" s="151"/>
      <c r="Y12" s="151"/>
      <c r="Z12" s="151"/>
      <c r="AA12" s="152"/>
      <c r="AB12" s="150"/>
      <c r="AC12" s="151"/>
      <c r="AD12" s="151"/>
      <c r="AE12" s="151"/>
      <c r="AF12" s="151"/>
      <c r="AG12" s="152"/>
      <c r="AH12" s="150"/>
      <c r="AI12" s="151"/>
      <c r="AJ12" s="151"/>
      <c r="AK12" s="152"/>
      <c r="AL12" s="151"/>
      <c r="AM12" s="151"/>
      <c r="AN12" s="151"/>
      <c r="AO12" s="151"/>
      <c r="AP12" s="151"/>
      <c r="AQ12" s="151"/>
      <c r="AR12" s="151"/>
      <c r="AS12" s="151"/>
      <c r="AT12" s="152"/>
      <c r="AU12" s="154">
        <v>34.128029823303223</v>
      </c>
      <c r="AV12" s="154">
        <v>6.5796058177947998</v>
      </c>
      <c r="AW12" s="154">
        <v>3.4746072292327881</v>
      </c>
      <c r="AX12" s="154">
        <v>8.7143206596374512</v>
      </c>
      <c r="AY12" s="154"/>
    </row>
    <row r="13" spans="1:76">
      <c r="A13" s="78">
        <v>27</v>
      </c>
      <c r="B13" s="86" t="s">
        <v>111</v>
      </c>
      <c r="C13" s="70">
        <v>220</v>
      </c>
      <c r="D13" s="132" t="s">
        <v>122</v>
      </c>
      <c r="E13" s="87">
        <v>0</v>
      </c>
      <c r="F13" s="96" t="s">
        <v>42</v>
      </c>
      <c r="G13" s="69">
        <v>4.9969000000000001</v>
      </c>
      <c r="H13" s="69">
        <v>5.0048000000000004</v>
      </c>
      <c r="I13" s="69">
        <v>49.569299999999998</v>
      </c>
      <c r="J13" s="97">
        <v>0</v>
      </c>
      <c r="K13" s="106">
        <v>0</v>
      </c>
      <c r="L13" s="71">
        <v>0.40069444444444446</v>
      </c>
      <c r="M13" s="71">
        <v>0.42083333333333334</v>
      </c>
      <c r="N13" s="71">
        <v>0.46249999999999997</v>
      </c>
      <c r="O13" s="68">
        <v>10</v>
      </c>
      <c r="P13" s="68">
        <v>21</v>
      </c>
      <c r="Q13" s="68">
        <v>21</v>
      </c>
      <c r="R13" s="107">
        <v>22</v>
      </c>
      <c r="S13" s="96"/>
      <c r="T13" s="69">
        <v>101.455</v>
      </c>
      <c r="U13" s="69">
        <v>148.50880000000001</v>
      </c>
      <c r="V13" s="69">
        <v>49.525199999999998</v>
      </c>
      <c r="W13" s="69">
        <v>55.435000000000002</v>
      </c>
      <c r="X13" s="69">
        <v>23.306799999999999</v>
      </c>
      <c r="Y13" s="69">
        <v>23.529199999999999</v>
      </c>
      <c r="Z13" s="69">
        <v>23.446899999999999</v>
      </c>
      <c r="AA13" s="97">
        <v>23.4983</v>
      </c>
      <c r="AB13" s="86">
        <v>12.535299999999999</v>
      </c>
      <c r="AC13" s="69">
        <v>23.351199999999999</v>
      </c>
      <c r="AD13" s="69">
        <v>13.241</v>
      </c>
      <c r="AE13" s="72"/>
      <c r="AF13" s="72"/>
      <c r="AG13" s="116"/>
      <c r="AH13" s="96">
        <f t="shared" ref="AH13:AH38" si="0">C13</f>
        <v>220</v>
      </c>
      <c r="AI13" s="68">
        <f t="shared" ref="AI13:AI38" si="1">MAX(O13:Q13)</f>
        <v>21</v>
      </c>
      <c r="AJ13" s="70">
        <f t="shared" ref="AJ13:AK38" si="2">(M13-L13)*24*60</f>
        <v>28.999999999999979</v>
      </c>
      <c r="AK13" s="121">
        <f t="shared" si="2"/>
        <v>59.999999999999943</v>
      </c>
      <c r="AL13" s="74">
        <f>(W13-V13-H13)/G13</f>
        <v>0.18111228961956488</v>
      </c>
      <c r="AM13" s="74">
        <f>(Y13-X13)/(G13*(100)/100)</f>
        <v>4.4507594708719483E-2</v>
      </c>
      <c r="AN13" s="74">
        <f>(AA13-Z13)/(G13*(100)/100)</f>
        <v>1.0286377554083731E-2</v>
      </c>
      <c r="AO13" s="74"/>
      <c r="AP13" s="74">
        <f>(AD13-AB13)/(AC13-AB13)*(U13-T13)/G13</f>
        <v>0.61440041179343674</v>
      </c>
      <c r="AQ13" s="73">
        <f>AE13*(U13-T13-J13)/1000/G13</f>
        <v>0</v>
      </c>
      <c r="AR13" s="73"/>
      <c r="AS13" s="73">
        <f>(AF13)*(U13-T13-J13)/1000/G13</f>
        <v>0</v>
      </c>
      <c r="AT13" s="126">
        <f>(AG13)*(U13-T13-J13)/1000/G13</f>
        <v>0</v>
      </c>
    </row>
    <row r="14" spans="1:76">
      <c r="A14" s="79">
        <v>24</v>
      </c>
      <c r="B14" s="88" t="s">
        <v>111</v>
      </c>
      <c r="C14" s="42">
        <v>220</v>
      </c>
      <c r="D14" s="133" t="s">
        <v>122</v>
      </c>
      <c r="E14" s="89">
        <v>0.5</v>
      </c>
      <c r="F14" s="98" t="s">
        <v>42</v>
      </c>
      <c r="G14" s="41">
        <v>5.0045999999999999</v>
      </c>
      <c r="H14" s="41">
        <v>4.9988999999999999</v>
      </c>
      <c r="I14" s="41">
        <v>25.0822</v>
      </c>
      <c r="J14" s="99">
        <v>19.587800000000001</v>
      </c>
      <c r="K14" s="108">
        <v>0</v>
      </c>
      <c r="L14" s="43">
        <v>0.64027777777777783</v>
      </c>
      <c r="M14" s="43">
        <v>0.66249999999999998</v>
      </c>
      <c r="N14" s="43">
        <v>0.70416666666666661</v>
      </c>
      <c r="O14" s="40">
        <v>10</v>
      </c>
      <c r="P14" s="40">
        <v>36</v>
      </c>
      <c r="Q14" s="40">
        <v>38</v>
      </c>
      <c r="R14" s="109">
        <v>25</v>
      </c>
      <c r="S14" s="98">
        <v>580</v>
      </c>
      <c r="T14" s="41">
        <v>101.31870000000001</v>
      </c>
      <c r="U14" s="41">
        <v>140.25290000000001</v>
      </c>
      <c r="V14" s="41">
        <v>48.860199999999999</v>
      </c>
      <c r="W14" s="41">
        <v>54.627200000000002</v>
      </c>
      <c r="X14" s="41">
        <v>23.294</v>
      </c>
      <c r="Y14" s="41">
        <v>23.343299999999999</v>
      </c>
      <c r="Z14" s="41">
        <v>23.056899999999999</v>
      </c>
      <c r="AA14" s="99">
        <v>23.0809</v>
      </c>
      <c r="AB14" s="88">
        <v>18.770499999999998</v>
      </c>
      <c r="AC14" s="41">
        <v>31.622</v>
      </c>
      <c r="AD14" s="41">
        <v>19.659300000000002</v>
      </c>
      <c r="AE14" s="44"/>
      <c r="AF14" s="44"/>
      <c r="AG14" s="117"/>
      <c r="AH14" s="98">
        <f t="shared" si="0"/>
        <v>220</v>
      </c>
      <c r="AI14" s="40">
        <f t="shared" si="1"/>
        <v>38</v>
      </c>
      <c r="AJ14" s="42">
        <f t="shared" si="2"/>
        <v>31.999999999999886</v>
      </c>
      <c r="AK14" s="122">
        <f t="shared" si="2"/>
        <v>59.999999999999943</v>
      </c>
      <c r="AL14" s="46">
        <f t="shared" ref="AL14:AL58" si="3">(W14-V14-H14)/G14</f>
        <v>0.15347879950445653</v>
      </c>
      <c r="AM14" s="74">
        <f t="shared" ref="AM14:AM22" si="4">(Y14-X14)/(G14*(100)/100)</f>
        <v>9.8509371378329522E-3</v>
      </c>
      <c r="AN14" s="74">
        <f t="shared" ref="AN14:AN22" si="5">(AA14-Z14)/(G14*(100)/100)</f>
        <v>4.795588058985915E-3</v>
      </c>
      <c r="AO14" s="46">
        <f>(100*S14/1000/8.314/298*44)/G14</f>
        <v>0.2058187869436218</v>
      </c>
      <c r="AP14" s="46">
        <f t="shared" ref="AP14:AP33" si="6">(AD14-AB14)/(AC14-AB14)*(U14-T14)/G14</f>
        <v>0.53803695884383707</v>
      </c>
      <c r="AQ14" s="45">
        <f>AE14*(U14-T14-J14)/1000/G14</f>
        <v>0</v>
      </c>
      <c r="AR14" s="45"/>
      <c r="AS14" s="45">
        <f>(AF14)*(U14-T14-J14)/1000/G14</f>
        <v>0</v>
      </c>
      <c r="AT14" s="127">
        <f>(AG14)*(U14-T14-J14)/1000/G14</f>
        <v>0</v>
      </c>
    </row>
    <row r="15" spans="1:76">
      <c r="A15" s="79">
        <v>25</v>
      </c>
      <c r="B15" s="88" t="s">
        <v>111</v>
      </c>
      <c r="C15" s="42">
        <v>220</v>
      </c>
      <c r="D15" s="133" t="s">
        <v>122</v>
      </c>
      <c r="E15" s="89">
        <v>1</v>
      </c>
      <c r="F15" s="98" t="s">
        <v>42</v>
      </c>
      <c r="G15" s="41">
        <v>5.0038</v>
      </c>
      <c r="H15" s="41">
        <v>4.9977999999999998</v>
      </c>
      <c r="I15" s="41">
        <v>0</v>
      </c>
      <c r="J15" s="99">
        <v>38.965899999999998</v>
      </c>
      <c r="K15" s="108">
        <v>0</v>
      </c>
      <c r="L15" s="43">
        <v>0.4284722222222222</v>
      </c>
      <c r="M15" s="43">
        <v>0.44861111111111113</v>
      </c>
      <c r="N15" s="43">
        <v>0.49027777777777781</v>
      </c>
      <c r="O15" s="40">
        <v>10</v>
      </c>
      <c r="P15" s="40">
        <v>36</v>
      </c>
      <c r="Q15" s="40">
        <v>38</v>
      </c>
      <c r="R15" s="109">
        <v>23</v>
      </c>
      <c r="S15" s="98">
        <v>830</v>
      </c>
      <c r="T15" s="41">
        <v>101.4383</v>
      </c>
      <c r="U15" s="41">
        <v>134.35990000000001</v>
      </c>
      <c r="V15" s="41">
        <v>49.897199999999998</v>
      </c>
      <c r="W15" s="41">
        <v>58.244100000000003</v>
      </c>
      <c r="X15" s="41">
        <v>23.6873</v>
      </c>
      <c r="Y15" s="41">
        <v>23.732500000000002</v>
      </c>
      <c r="Z15" s="41">
        <v>23.3386</v>
      </c>
      <c r="AA15" s="99">
        <v>23.385400000000001</v>
      </c>
      <c r="AB15" s="88">
        <v>12.472899999999999</v>
      </c>
      <c r="AC15" s="41">
        <v>22.042100000000001</v>
      </c>
      <c r="AD15" s="41">
        <v>12.6746</v>
      </c>
      <c r="AE15" s="44"/>
      <c r="AF15" s="44"/>
      <c r="AG15" s="117"/>
      <c r="AH15" s="98">
        <f t="shared" si="0"/>
        <v>220</v>
      </c>
      <c r="AI15" s="40">
        <f t="shared" si="1"/>
        <v>38</v>
      </c>
      <c r="AJ15" s="42">
        <f t="shared" si="2"/>
        <v>29.000000000000057</v>
      </c>
      <c r="AK15" s="122">
        <f t="shared" si="2"/>
        <v>60.000000000000028</v>
      </c>
      <c r="AL15" s="46">
        <f t="shared" si="3"/>
        <v>0.6693113233942215</v>
      </c>
      <c r="AM15" s="74">
        <f t="shared" si="4"/>
        <v>9.0331348175389185E-3</v>
      </c>
      <c r="AN15" s="74">
        <f t="shared" si="5"/>
        <v>9.3528918022305167E-3</v>
      </c>
      <c r="AO15" s="46"/>
      <c r="AP15" s="46">
        <f t="shared" si="6"/>
        <v>0.13867917766604773</v>
      </c>
      <c r="AQ15" s="45">
        <f>AE15*(U15-T15-J15)/1000/G15</f>
        <v>0</v>
      </c>
      <c r="AR15" s="45"/>
      <c r="AS15" s="45">
        <f>(AF15)*(U15-T15-J15)/1000/G15</f>
        <v>0</v>
      </c>
      <c r="AT15" s="127">
        <f>(AG15)*(U15-T15-J15)/1000/G15</f>
        <v>0</v>
      </c>
    </row>
    <row r="16" spans="1:76">
      <c r="A16" s="79">
        <v>28</v>
      </c>
      <c r="B16" s="88" t="s">
        <v>111</v>
      </c>
      <c r="C16" s="42">
        <v>310</v>
      </c>
      <c r="D16" s="133" t="s">
        <v>122</v>
      </c>
      <c r="E16" s="89">
        <v>0</v>
      </c>
      <c r="F16" s="98" t="s">
        <v>42</v>
      </c>
      <c r="G16" s="41">
        <v>5.0608000000000004</v>
      </c>
      <c r="H16" s="41">
        <v>5.0199999999999996</v>
      </c>
      <c r="I16" s="41">
        <v>49.585900000000002</v>
      </c>
      <c r="J16" s="99">
        <v>0</v>
      </c>
      <c r="K16" s="108">
        <v>0</v>
      </c>
      <c r="L16" s="43">
        <v>0.54583333333333328</v>
      </c>
      <c r="M16" s="43">
        <v>0.58819444444444446</v>
      </c>
      <c r="N16" s="43">
        <v>0.62986111111111109</v>
      </c>
      <c r="O16" s="40">
        <v>10</v>
      </c>
      <c r="P16" s="40">
        <v>91</v>
      </c>
      <c r="Q16" s="40">
        <v>95</v>
      </c>
      <c r="R16" s="109">
        <v>24</v>
      </c>
      <c r="S16" s="98">
        <v>0</v>
      </c>
      <c r="T16" s="41">
        <v>101.3194</v>
      </c>
      <c r="U16" s="41">
        <v>144.86619999999999</v>
      </c>
      <c r="V16" s="41">
        <v>49.881</v>
      </c>
      <c r="W16" s="41">
        <v>56.4587</v>
      </c>
      <c r="X16" s="41">
        <v>23.0944</v>
      </c>
      <c r="Y16" s="41">
        <v>23.2362</v>
      </c>
      <c r="Z16" s="41">
        <v>26.164999999999999</v>
      </c>
      <c r="AA16" s="99">
        <v>26.398099999999999</v>
      </c>
      <c r="AB16" s="88">
        <v>12.5381</v>
      </c>
      <c r="AC16" s="41">
        <v>29.718499999999999</v>
      </c>
      <c r="AD16" s="41">
        <v>13.4375</v>
      </c>
      <c r="AE16" s="44"/>
      <c r="AF16" s="44"/>
      <c r="AG16" s="117"/>
      <c r="AH16" s="98">
        <f t="shared" si="0"/>
        <v>310</v>
      </c>
      <c r="AI16" s="40">
        <f t="shared" si="1"/>
        <v>95</v>
      </c>
      <c r="AJ16" s="42">
        <f t="shared" si="2"/>
        <v>61.000000000000099</v>
      </c>
      <c r="AK16" s="122">
        <f t="shared" si="2"/>
        <v>59.999999999999943</v>
      </c>
      <c r="AL16" s="46">
        <f t="shared" si="3"/>
        <v>0.30779718621561819</v>
      </c>
      <c r="AM16" s="74">
        <f t="shared" si="4"/>
        <v>2.8019285488460305E-2</v>
      </c>
      <c r="AN16" s="74">
        <f t="shared" si="5"/>
        <v>4.6059911476446468E-2</v>
      </c>
      <c r="AO16" s="46"/>
      <c r="AP16" s="46">
        <f t="shared" si="6"/>
        <v>0.45046046873124013</v>
      </c>
      <c r="AQ16" s="45">
        <f>AE16*(U16-T16-J16)/1000/G16</f>
        <v>0</v>
      </c>
      <c r="AR16" s="45"/>
      <c r="AS16" s="45">
        <f>(AF16)*(U16-T16-J16)/1000/G16</f>
        <v>0</v>
      </c>
      <c r="AT16" s="127">
        <f>(AG16)*(U16-T16-J16)/1000/G16</f>
        <v>0</v>
      </c>
    </row>
    <row r="17" spans="1:76">
      <c r="A17" s="79">
        <v>26</v>
      </c>
      <c r="B17" s="88" t="s">
        <v>111</v>
      </c>
      <c r="C17" s="42">
        <v>310</v>
      </c>
      <c r="D17" s="133" t="s">
        <v>122</v>
      </c>
      <c r="E17" s="89">
        <v>0.5</v>
      </c>
      <c r="F17" s="98" t="s">
        <v>42</v>
      </c>
      <c r="G17" s="41">
        <v>4.9960000000000004</v>
      </c>
      <c r="H17" s="41">
        <v>5.0057999999999998</v>
      </c>
      <c r="I17" s="41">
        <v>25.863</v>
      </c>
      <c r="J17" s="99">
        <v>18.835799999999999</v>
      </c>
      <c r="K17" s="108">
        <v>0</v>
      </c>
      <c r="L17" s="43">
        <v>0.59444444444444444</v>
      </c>
      <c r="M17" s="43">
        <v>0.63611111111111118</v>
      </c>
      <c r="N17" s="43">
        <v>0.6777777777777777</v>
      </c>
      <c r="O17" s="40">
        <v>10</v>
      </c>
      <c r="P17" s="40">
        <v>137</v>
      </c>
      <c r="Q17" s="40">
        <v>140</v>
      </c>
      <c r="R17" s="109">
        <v>25</v>
      </c>
      <c r="S17" s="98"/>
      <c r="T17" s="41">
        <v>101.35299999999999</v>
      </c>
      <c r="U17" s="41">
        <v>139.28870000000001</v>
      </c>
      <c r="V17" s="41">
        <v>48.209299999999999</v>
      </c>
      <c r="W17" s="41">
        <v>54.782899999999998</v>
      </c>
      <c r="X17" s="41">
        <v>23.080200000000001</v>
      </c>
      <c r="Y17" s="41">
        <v>23.143699999999999</v>
      </c>
      <c r="Z17" s="41">
        <v>23.296700000000001</v>
      </c>
      <c r="AA17" s="99">
        <v>23.3614</v>
      </c>
      <c r="AB17" s="88">
        <v>12.1137</v>
      </c>
      <c r="AC17" s="41">
        <v>24.607600000000001</v>
      </c>
      <c r="AD17" s="41">
        <v>12.710900000000001</v>
      </c>
      <c r="AE17" s="44"/>
      <c r="AF17" s="44"/>
      <c r="AG17" s="117"/>
      <c r="AH17" s="98">
        <f t="shared" si="0"/>
        <v>310</v>
      </c>
      <c r="AI17" s="40">
        <f t="shared" si="1"/>
        <v>140</v>
      </c>
      <c r="AJ17" s="42">
        <f t="shared" si="2"/>
        <v>60.000000000000107</v>
      </c>
      <c r="AK17" s="122">
        <f t="shared" si="2"/>
        <v>59.999999999999787</v>
      </c>
      <c r="AL17" s="46">
        <f t="shared" si="3"/>
        <v>0.31381104883907107</v>
      </c>
      <c r="AM17" s="74">
        <f t="shared" si="4"/>
        <v>1.2710168134507139E-2</v>
      </c>
      <c r="AN17" s="74">
        <f t="shared" si="5"/>
        <v>1.2950360288230269E-2</v>
      </c>
      <c r="AO17" s="46"/>
      <c r="AP17" s="46">
        <f t="shared" si="6"/>
        <v>0.36295053923864945</v>
      </c>
      <c r="AQ17" s="45">
        <f>AE17*(U17-T17-J17)/1000/G17</f>
        <v>0</v>
      </c>
      <c r="AR17" s="45"/>
      <c r="AS17" s="45">
        <f>(AF17)*(U17-T17-J17)/1000/G17</f>
        <v>0</v>
      </c>
      <c r="AT17" s="127">
        <f>(AG17)*(U17-T17-J17)/1000/G17</f>
        <v>0</v>
      </c>
    </row>
    <row r="18" spans="1:76">
      <c r="A18" s="79">
        <v>50</v>
      </c>
      <c r="B18" s="88" t="s">
        <v>111</v>
      </c>
      <c r="C18" s="42">
        <v>220</v>
      </c>
      <c r="D18" s="133" t="s">
        <v>123</v>
      </c>
      <c r="E18" s="89">
        <v>0</v>
      </c>
      <c r="F18" s="98" t="s">
        <v>42</v>
      </c>
      <c r="G18" s="41">
        <v>5.0286</v>
      </c>
      <c r="H18" s="41">
        <v>5.0048000000000004</v>
      </c>
      <c r="I18" s="41">
        <v>49.730800000000002</v>
      </c>
      <c r="J18" s="99">
        <v>0</v>
      </c>
      <c r="K18" s="108">
        <v>180</v>
      </c>
      <c r="L18" s="43">
        <v>0.38958333333333334</v>
      </c>
      <c r="M18" s="43">
        <v>0.41111111111111115</v>
      </c>
      <c r="N18" s="43">
        <v>0.45277777777777778</v>
      </c>
      <c r="O18" s="40">
        <v>10</v>
      </c>
      <c r="P18" s="40">
        <v>21</v>
      </c>
      <c r="Q18" s="40">
        <v>22</v>
      </c>
      <c r="R18" s="109">
        <v>22</v>
      </c>
      <c r="S18" s="98"/>
      <c r="T18" s="41">
        <f>60.8428+AB18</f>
        <v>73.398799999999994</v>
      </c>
      <c r="U18" s="41">
        <f>91.2144+AC18</f>
        <v>120.35469999999999</v>
      </c>
      <c r="V18" s="41">
        <v>32.822299999999998</v>
      </c>
      <c r="W18" s="41">
        <v>38.753</v>
      </c>
      <c r="X18" s="41">
        <v>25.957100000000001</v>
      </c>
      <c r="Y18" s="41">
        <v>26.145099999999999</v>
      </c>
      <c r="Z18" s="41">
        <v>23.086300000000001</v>
      </c>
      <c r="AA18" s="99">
        <v>23.1982</v>
      </c>
      <c r="AB18" s="88">
        <v>12.555999999999999</v>
      </c>
      <c r="AC18" s="41">
        <v>29.1403</v>
      </c>
      <c r="AD18" s="41">
        <v>13.6762</v>
      </c>
      <c r="AE18" s="44"/>
      <c r="AF18" s="44"/>
      <c r="AG18" s="117"/>
      <c r="AH18" s="98">
        <f t="shared" si="0"/>
        <v>220</v>
      </c>
      <c r="AI18" s="40">
        <f t="shared" si="1"/>
        <v>22</v>
      </c>
      <c r="AJ18" s="42">
        <f t="shared" si="2"/>
        <v>31.00000000000005</v>
      </c>
      <c r="AK18" s="122">
        <f t="shared" si="2"/>
        <v>59.999999999999943</v>
      </c>
      <c r="AL18" s="46">
        <f t="shared" si="3"/>
        <v>0.18412679473412108</v>
      </c>
      <c r="AM18" s="74">
        <f t="shared" si="4"/>
        <v>3.7386151215049686E-2</v>
      </c>
      <c r="AN18" s="74">
        <f t="shared" si="5"/>
        <v>2.2252714473212934E-2</v>
      </c>
      <c r="AO18" s="46"/>
      <c r="AP18" s="46">
        <f>(AD18-AB18)/(AC18-AB18)*(U18-T18)/G18</f>
        <v>0.63072711401073334</v>
      </c>
      <c r="AQ18" s="45"/>
      <c r="AR18" s="45"/>
      <c r="AS18" s="45"/>
      <c r="AT18" s="127"/>
    </row>
    <row r="19" spans="1:76">
      <c r="A19" s="79">
        <v>41</v>
      </c>
      <c r="B19" s="88" t="s">
        <v>111</v>
      </c>
      <c r="C19" s="42">
        <v>220</v>
      </c>
      <c r="D19" s="133" t="s">
        <v>123</v>
      </c>
      <c r="E19" s="89">
        <v>0.5</v>
      </c>
      <c r="F19" s="98" t="s">
        <v>42</v>
      </c>
      <c r="G19" s="41">
        <v>5.0113000000000003</v>
      </c>
      <c r="H19" s="41">
        <v>5.0030999999999999</v>
      </c>
      <c r="I19" s="41">
        <v>25.254300000000001</v>
      </c>
      <c r="J19" s="99">
        <v>19.4815</v>
      </c>
      <c r="K19" s="108">
        <v>180</v>
      </c>
      <c r="L19" s="43">
        <v>0.39583333333333331</v>
      </c>
      <c r="M19" s="43">
        <v>0.41736111111111113</v>
      </c>
      <c r="N19" s="43">
        <v>0.45902777777777781</v>
      </c>
      <c r="O19" s="40">
        <v>10</v>
      </c>
      <c r="P19" s="40">
        <v>36</v>
      </c>
      <c r="Q19" s="40">
        <v>35</v>
      </c>
      <c r="R19" s="109">
        <v>23</v>
      </c>
      <c r="S19" s="98"/>
      <c r="T19" s="41">
        <v>35.032299999999999</v>
      </c>
      <c r="U19" s="41">
        <v>60.577100000000002</v>
      </c>
      <c r="V19" s="41">
        <v>48.901699999999998</v>
      </c>
      <c r="W19" s="41">
        <v>54.819299999999998</v>
      </c>
      <c r="X19" s="41">
        <v>25.479500000000002</v>
      </c>
      <c r="Y19" s="41">
        <v>25.689599999999999</v>
      </c>
      <c r="Z19" s="41">
        <v>25.9056</v>
      </c>
      <c r="AA19" s="99">
        <v>26.249099999999999</v>
      </c>
      <c r="AB19" s="88">
        <v>12.5388</v>
      </c>
      <c r="AC19" s="41">
        <v>21.916499999999999</v>
      </c>
      <c r="AD19" s="41">
        <v>13.2988</v>
      </c>
      <c r="AE19" s="44"/>
      <c r="AF19" s="44"/>
      <c r="AG19" s="117"/>
      <c r="AH19" s="98">
        <f t="shared" si="0"/>
        <v>220</v>
      </c>
      <c r="AI19" s="40">
        <f t="shared" si="1"/>
        <v>36</v>
      </c>
      <c r="AJ19" s="42">
        <f t="shared" si="2"/>
        <v>31.00000000000005</v>
      </c>
      <c r="AK19" s="122">
        <f t="shared" si="2"/>
        <v>60.000000000000028</v>
      </c>
      <c r="AL19" s="46">
        <f t="shared" si="3"/>
        <v>0.18248757807355381</v>
      </c>
      <c r="AM19" s="74">
        <f t="shared" si="4"/>
        <v>4.1925248937400884E-2</v>
      </c>
      <c r="AN19" s="74">
        <f t="shared" si="5"/>
        <v>6.8545088100891743E-2</v>
      </c>
      <c r="AO19" s="46">
        <f>(100*S19/1000/8.314/298*44)/G19</f>
        <v>0</v>
      </c>
      <c r="AP19" s="46">
        <f>(AD19-AB19)/(AC19-AB19)*(U19-T19)/G19</f>
        <v>0.41311347531094217</v>
      </c>
      <c r="AQ19" s="45">
        <f>AE19*(U19-T19-J19)/1000/G19</f>
        <v>0</v>
      </c>
      <c r="AR19" s="45"/>
      <c r="AS19" s="45">
        <f>(AF19)*(U19-T19-J19)/1000/G19</f>
        <v>0</v>
      </c>
      <c r="AT19" s="127">
        <f>(AG19)*(U19-T19-J19)/1000/G19</f>
        <v>0</v>
      </c>
      <c r="AU19" s="3"/>
      <c r="AV19" s="4"/>
      <c r="AW19" s="5"/>
    </row>
    <row r="20" spans="1:76">
      <c r="A20" s="79">
        <v>44</v>
      </c>
      <c r="B20" s="88" t="s">
        <v>111</v>
      </c>
      <c r="C20" s="42">
        <v>220</v>
      </c>
      <c r="D20" s="133" t="s">
        <v>123</v>
      </c>
      <c r="E20" s="89">
        <v>1</v>
      </c>
      <c r="F20" s="98" t="s">
        <v>42</v>
      </c>
      <c r="G20" s="41">
        <v>5.0098000000000003</v>
      </c>
      <c r="H20" s="41">
        <v>4.9962999999999997</v>
      </c>
      <c r="I20" s="41">
        <v>0</v>
      </c>
      <c r="J20" s="99">
        <v>39.093800000000002</v>
      </c>
      <c r="K20" s="108">
        <v>180</v>
      </c>
      <c r="L20" s="43">
        <v>0.38680555555555557</v>
      </c>
      <c r="M20" s="43">
        <v>0.41111111111111115</v>
      </c>
      <c r="N20" s="43">
        <v>0.45277777777777778</v>
      </c>
      <c r="O20" s="40">
        <v>10</v>
      </c>
      <c r="P20" s="40">
        <v>36</v>
      </c>
      <c r="Q20" s="40">
        <v>37</v>
      </c>
      <c r="R20" s="109">
        <v>20</v>
      </c>
      <c r="S20" s="98"/>
      <c r="T20" s="41">
        <v>101.5274</v>
      </c>
      <c r="U20" s="41">
        <v>132.67500000000001</v>
      </c>
      <c r="V20" s="41">
        <v>48.2226</v>
      </c>
      <c r="W20" s="41">
        <v>55.509799999999998</v>
      </c>
      <c r="X20" s="41">
        <v>26.066700000000001</v>
      </c>
      <c r="Y20" s="41">
        <v>26.465800000000002</v>
      </c>
      <c r="Z20" s="41">
        <v>25.9053</v>
      </c>
      <c r="AA20" s="99">
        <v>26.150300000000001</v>
      </c>
      <c r="AB20" s="88"/>
      <c r="AC20" s="41"/>
      <c r="AD20" s="41"/>
      <c r="AE20" s="44"/>
      <c r="AF20" s="44"/>
      <c r="AG20" s="117"/>
      <c r="AH20" s="98">
        <f t="shared" si="0"/>
        <v>220</v>
      </c>
      <c r="AI20" s="40">
        <f t="shared" si="1"/>
        <v>37</v>
      </c>
      <c r="AJ20" s="42">
        <f t="shared" si="2"/>
        <v>35.000000000000036</v>
      </c>
      <c r="AK20" s="122">
        <f t="shared" si="2"/>
        <v>59.999999999999943</v>
      </c>
      <c r="AL20" s="46">
        <f t="shared" si="3"/>
        <v>0.45728372390115346</v>
      </c>
      <c r="AM20" s="74">
        <f t="shared" si="4"/>
        <v>7.9663858836680243E-2</v>
      </c>
      <c r="AN20" s="74">
        <f t="shared" si="5"/>
        <v>4.8904147870174657E-2</v>
      </c>
      <c r="AO20" s="46">
        <f>(100*S20/1000/8.314/298*44)/G20</f>
        <v>0</v>
      </c>
      <c r="AP20" s="46" t="e">
        <f t="shared" si="6"/>
        <v>#DIV/0!</v>
      </c>
      <c r="AQ20" s="45">
        <f>AE20*(U20-T20-J20)/1000/G20</f>
        <v>0</v>
      </c>
      <c r="AR20" s="45"/>
      <c r="AS20" s="45">
        <f>(AF20)*(U20-T20-J20)/1000/G20</f>
        <v>0</v>
      </c>
      <c r="AT20" s="127">
        <f>(AG20)*(U20-T20-J20)/1000/G20</f>
        <v>0</v>
      </c>
      <c r="AU20" s="3">
        <v>61.146753311157227</v>
      </c>
      <c r="AV20" s="3">
        <v>7.9770607948303223</v>
      </c>
      <c r="AW20" s="3">
        <v>5.3455607891082764</v>
      </c>
      <c r="AX20" s="3">
        <v>2.0768769383430481</v>
      </c>
      <c r="AY20" s="3">
        <f>100-SUM(AU20:AX20)</f>
        <v>23.453748166561127</v>
      </c>
      <c r="AZ20" s="3">
        <v>72.295238494873047</v>
      </c>
      <c r="BA20" s="3">
        <v>12.358214855194092</v>
      </c>
      <c r="BB20" s="3">
        <v>2.014864981174469</v>
      </c>
      <c r="BC20" s="3">
        <v>2.2185912132263184</v>
      </c>
      <c r="BD20" s="3">
        <f>100-SUM(AZ20:BC20)</f>
        <v>11.113090455532074</v>
      </c>
      <c r="BE20" s="3">
        <f t="shared" ref="BE20:BI22" si="7">(AU20*$AM20+AZ20*$AN20)/($AM20+$AN20)</f>
        <v>65.387366368152072</v>
      </c>
      <c r="BF20" s="3">
        <f t="shared" si="7"/>
        <v>9.6435454164560408</v>
      </c>
      <c r="BG20" s="3">
        <f t="shared" si="7"/>
        <v>4.0786449795386694</v>
      </c>
      <c r="BH20" s="3">
        <f t="shared" si="7"/>
        <v>2.1307816074105861</v>
      </c>
      <c r="BI20" s="3">
        <f t="shared" si="7"/>
        <v>18.759661628442633</v>
      </c>
      <c r="BJ20" s="6">
        <f t="shared" ref="BJ20:BM22" si="8">BE20*($AM20+$AN20)/AU$12</f>
        <v>0.24632899705285344</v>
      </c>
      <c r="BK20" s="6">
        <f t="shared" si="8"/>
        <v>0.18843855484891717</v>
      </c>
      <c r="BL20" s="6">
        <f t="shared" si="8"/>
        <v>0.15091871411319038</v>
      </c>
      <c r="BM20" s="6">
        <f t="shared" si="8"/>
        <v>3.1436798655031899E-2</v>
      </c>
      <c r="BN20" s="6">
        <f t="shared" ref="BN20:BQ22" si="9">AZ20*($AN20)/AU$12</f>
        <v>0.10359628293716173</v>
      </c>
      <c r="BO20" s="6">
        <f t="shared" si="9"/>
        <v>9.1854737719281654E-2</v>
      </c>
      <c r="BP20" s="6">
        <f t="shared" si="9"/>
        <v>2.8358674370095642E-2</v>
      </c>
      <c r="BQ20" s="6">
        <f t="shared" si="9"/>
        <v>1.2450576125529446E-2</v>
      </c>
      <c r="BR20" s="6">
        <f t="shared" ref="BR20:BU22" si="10">AU20*($AM20)/AU$12</f>
        <v>0.14273271411569172</v>
      </c>
      <c r="BS20" s="6">
        <f t="shared" si="10"/>
        <v>9.6583817129635555E-2</v>
      </c>
      <c r="BT20" s="6">
        <f t="shared" si="10"/>
        <v>0.12256003974309473</v>
      </c>
      <c r="BU20" s="6">
        <f t="shared" si="10"/>
        <v>1.8986222529502453E-2</v>
      </c>
      <c r="BV20" s="6">
        <f>AG20*(U20-T20-J20)/1000/(G20*$AW$12/100)</f>
        <v>0</v>
      </c>
      <c r="BW20" s="6">
        <f>AF20*(U20-T20-J20)/1000/(G20*$AU$12/100)</f>
        <v>0</v>
      </c>
      <c r="BX20" s="6">
        <f>AE20*(U20-T20-J20)/1000/(G20*$AU$12/100)</f>
        <v>0</v>
      </c>
    </row>
    <row r="21" spans="1:76">
      <c r="A21" s="79">
        <v>46</v>
      </c>
      <c r="B21" s="88" t="s">
        <v>111</v>
      </c>
      <c r="C21" s="42">
        <v>310</v>
      </c>
      <c r="D21" s="133" t="s">
        <v>123</v>
      </c>
      <c r="E21" s="89">
        <v>0</v>
      </c>
      <c r="F21" s="98" t="s">
        <v>42</v>
      </c>
      <c r="G21" s="41">
        <v>5.0044000000000004</v>
      </c>
      <c r="H21" s="41">
        <v>4.9988000000000001</v>
      </c>
      <c r="I21" s="41">
        <v>49.844799999999999</v>
      </c>
      <c r="J21" s="99">
        <v>0</v>
      </c>
      <c r="K21" s="108">
        <v>180</v>
      </c>
      <c r="L21" s="43">
        <v>0.64027777777777783</v>
      </c>
      <c r="M21" s="43">
        <v>0.68333333333333324</v>
      </c>
      <c r="N21" s="43">
        <v>0.72499999999999998</v>
      </c>
      <c r="O21" s="40">
        <v>10</v>
      </c>
      <c r="P21" s="40">
        <v>96</v>
      </c>
      <c r="Q21" s="40">
        <v>98</v>
      </c>
      <c r="R21" s="109">
        <v>25</v>
      </c>
      <c r="S21" s="98"/>
      <c r="T21" s="41">
        <f>35.2671+AB21</f>
        <v>47.805199999999999</v>
      </c>
      <c r="U21" s="41">
        <f>68.3047+AC21</f>
        <v>92.573800000000006</v>
      </c>
      <c r="V21" s="41">
        <v>49.057600000000001</v>
      </c>
      <c r="W21" s="41">
        <v>55.544800000000002</v>
      </c>
      <c r="X21" s="41">
        <v>25.905200000000001</v>
      </c>
      <c r="Y21" s="41">
        <v>26.197900000000001</v>
      </c>
      <c r="Z21" s="41">
        <v>25.915700000000001</v>
      </c>
      <c r="AA21" s="99">
        <v>26.203499999999998</v>
      </c>
      <c r="AB21" s="88">
        <v>12.5381</v>
      </c>
      <c r="AC21" s="41">
        <v>24.269100000000002</v>
      </c>
      <c r="AD21" s="41">
        <v>13.174799999999999</v>
      </c>
      <c r="AE21" s="44"/>
      <c r="AF21" s="44"/>
      <c r="AG21" s="117"/>
      <c r="AH21" s="98">
        <f t="shared" si="0"/>
        <v>310</v>
      </c>
      <c r="AI21" s="40">
        <f t="shared" si="1"/>
        <v>98</v>
      </c>
      <c r="AJ21" s="42">
        <f t="shared" si="2"/>
        <v>61.99999999999978</v>
      </c>
      <c r="AK21" s="122">
        <f t="shared" si="2"/>
        <v>60.000000000000107</v>
      </c>
      <c r="AL21" s="46">
        <f t="shared" si="3"/>
        <v>0.29741827192071002</v>
      </c>
      <c r="AM21" s="74">
        <f t="shared" si="4"/>
        <v>5.8488530093517691E-2</v>
      </c>
      <c r="AN21" s="74">
        <f t="shared" si="5"/>
        <v>5.7509391735272392E-2</v>
      </c>
      <c r="AO21" s="46"/>
      <c r="AP21" s="46">
        <f>(AD21-AB21)/(AC21-AB21)*(U21-T21)/G21</f>
        <v>0.48553586235979984</v>
      </c>
      <c r="AQ21" s="45">
        <f>AE21*(U21-T21-J21)/1000/G21</f>
        <v>0</v>
      </c>
      <c r="AR21" s="45"/>
      <c r="AS21" s="45">
        <f>(AF21)*(U21-T21-J21)/1000/G21</f>
        <v>0</v>
      </c>
      <c r="AT21" s="127">
        <f>(AG21)*(U21-T21-J21)/1000/G21</f>
        <v>0</v>
      </c>
      <c r="AU21" s="3">
        <v>79.647727966308594</v>
      </c>
      <c r="AV21" s="3">
        <v>13.626564025878906</v>
      </c>
      <c r="AW21" s="3">
        <v>3.2012593746185303</v>
      </c>
      <c r="AX21" s="3">
        <v>2.4975574016571045</v>
      </c>
      <c r="AY21" s="3">
        <f>100-SUM(AU21:AX21)</f>
        <v>1.0268912315368652</v>
      </c>
      <c r="AZ21" s="3">
        <v>78.133087158203125</v>
      </c>
      <c r="BA21" s="3">
        <v>10.654061317443848</v>
      </c>
      <c r="BB21" s="3">
        <v>7.2542181015014648</v>
      </c>
      <c r="BC21" s="3">
        <v>2.0883772373199463</v>
      </c>
      <c r="BD21" s="3">
        <f>100-SUM(AZ21:BC21)</f>
        <v>1.8702561855316162</v>
      </c>
      <c r="BE21" s="3">
        <f t="shared" si="7"/>
        <v>78.896800103134169</v>
      </c>
      <c r="BF21" s="3">
        <f t="shared" si="7"/>
        <v>12.152858118062186</v>
      </c>
      <c r="BG21" s="3">
        <f t="shared" si="7"/>
        <v>5.2106332274986382</v>
      </c>
      <c r="BH21" s="3">
        <f t="shared" si="7"/>
        <v>2.2946942641958925</v>
      </c>
      <c r="BI21" s="3">
        <f t="shared" si="7"/>
        <v>1.4450142871091103</v>
      </c>
      <c r="BJ21" s="6">
        <f t="shared" si="8"/>
        <v>0.26816270667508557</v>
      </c>
      <c r="BK21" s="6">
        <f t="shared" si="8"/>
        <v>0.21425391201441718</v>
      </c>
      <c r="BL21" s="6">
        <f t="shared" si="8"/>
        <v>0.17395423019808284</v>
      </c>
      <c r="BM21" s="6">
        <f t="shared" si="8"/>
        <v>3.0545096545740634E-2</v>
      </c>
      <c r="BN21" s="6">
        <f t="shared" si="9"/>
        <v>0.13166263450107279</v>
      </c>
      <c r="BO21" s="6">
        <f t="shared" si="9"/>
        <v>9.3122384964065219E-2</v>
      </c>
      <c r="BP21" s="6">
        <f t="shared" si="9"/>
        <v>0.12006700124907889</v>
      </c>
      <c r="BQ21" s="6">
        <f t="shared" si="9"/>
        <v>1.3782061657237131E-2</v>
      </c>
      <c r="BR21" s="6">
        <f t="shared" si="10"/>
        <v>0.13650007217401278</v>
      </c>
      <c r="BS21" s="6">
        <f t="shared" si="10"/>
        <v>0.12113152705035196</v>
      </c>
      <c r="BT21" s="6">
        <f t="shared" si="10"/>
        <v>5.3887228949003954E-2</v>
      </c>
      <c r="BU21" s="6">
        <f t="shared" si="10"/>
        <v>1.67630348885035E-2</v>
      </c>
      <c r="BV21" s="6">
        <f>AG21*(U21-T21-J21)/1000/(G21*$AW$12/100)</f>
        <v>0</v>
      </c>
      <c r="BW21" s="6">
        <f>AF21*(U21-T21-J21)/1000/(G21*$AU$12/100)</f>
        <v>0</v>
      </c>
      <c r="BX21" s="6">
        <f>AE21*(U21-T21-J21)/1000/(G21*$AU$12/100)</f>
        <v>0</v>
      </c>
    </row>
    <row r="22" spans="1:76">
      <c r="A22" s="79">
        <v>39</v>
      </c>
      <c r="B22" s="88" t="s">
        <v>111</v>
      </c>
      <c r="C22" s="42">
        <v>310</v>
      </c>
      <c r="D22" s="133" t="s">
        <v>123</v>
      </c>
      <c r="E22" s="89">
        <v>0.5</v>
      </c>
      <c r="F22" s="98" t="s">
        <v>42</v>
      </c>
      <c r="G22" s="41">
        <v>4.9991000000000003</v>
      </c>
      <c r="H22" s="41">
        <v>5.0098000000000003</v>
      </c>
      <c r="I22" s="41">
        <v>25.246600000000001</v>
      </c>
      <c r="J22" s="99">
        <v>19.944800000000001</v>
      </c>
      <c r="K22" s="108">
        <v>180</v>
      </c>
      <c r="L22" s="43">
        <v>0.39999999999999997</v>
      </c>
      <c r="M22" s="43">
        <v>0.45694444444444443</v>
      </c>
      <c r="N22" s="43">
        <v>0.49861111111111112</v>
      </c>
      <c r="O22" s="40">
        <v>10</v>
      </c>
      <c r="P22" s="40">
        <v>130</v>
      </c>
      <c r="Q22" s="40">
        <v>132</v>
      </c>
      <c r="R22" s="109">
        <v>23</v>
      </c>
      <c r="S22" s="98"/>
      <c r="T22" s="41">
        <v>101.375</v>
      </c>
      <c r="U22" s="41">
        <v>136.10939999999999</v>
      </c>
      <c r="V22" s="41">
        <v>48.227600000000002</v>
      </c>
      <c r="W22" s="41">
        <v>54.974499999999999</v>
      </c>
      <c r="X22" s="41">
        <v>26.168099999999999</v>
      </c>
      <c r="Y22" s="41">
        <v>26.4178</v>
      </c>
      <c r="Z22" s="41">
        <v>26.127700000000001</v>
      </c>
      <c r="AA22" s="99">
        <v>26.605599999999999</v>
      </c>
      <c r="AB22" s="88">
        <v>12.5548</v>
      </c>
      <c r="AC22" s="41">
        <v>24.566700000000001</v>
      </c>
      <c r="AD22" s="41">
        <v>13.3255</v>
      </c>
      <c r="AE22" s="44"/>
      <c r="AF22" s="44"/>
      <c r="AG22" s="117"/>
      <c r="AH22" s="98">
        <f t="shared" si="0"/>
        <v>310</v>
      </c>
      <c r="AI22" s="40">
        <f t="shared" si="1"/>
        <v>132</v>
      </c>
      <c r="AJ22" s="42">
        <f t="shared" si="2"/>
        <v>82.000000000000028</v>
      </c>
      <c r="AK22" s="122">
        <f t="shared" si="2"/>
        <v>60.000000000000028</v>
      </c>
      <c r="AL22" s="46">
        <f t="shared" si="3"/>
        <v>0.34748254685843377</v>
      </c>
      <c r="AM22" s="74">
        <f t="shared" si="4"/>
        <v>4.9948990818347437E-2</v>
      </c>
      <c r="AN22" s="74">
        <f t="shared" si="5"/>
        <v>9.5597207497349165E-2</v>
      </c>
      <c r="AO22" s="46"/>
      <c r="AP22" s="46">
        <f t="shared" si="6"/>
        <v>0.4458016052726399</v>
      </c>
      <c r="AQ22" s="45">
        <f>AE22*(U22-T22-J22)/1000/G22</f>
        <v>0</v>
      </c>
      <c r="AR22" s="45"/>
      <c r="AS22" s="45">
        <f>(AF22)*(U22-T22-J22)/1000/G22</f>
        <v>0</v>
      </c>
      <c r="AT22" s="127">
        <f>(AG22)*(U22-T22-J22)/1000/G22</f>
        <v>0</v>
      </c>
      <c r="AU22" s="3">
        <v>73.52435302734375</v>
      </c>
      <c r="AV22" s="3">
        <v>7.9918370246887207</v>
      </c>
      <c r="AW22" s="3">
        <v>3.9064559936523438</v>
      </c>
      <c r="AX22" s="3">
        <v>3.4402334690093994</v>
      </c>
      <c r="AY22" s="3">
        <f>100-SUM(AU22:AX22)</f>
        <v>11.137120485305786</v>
      </c>
      <c r="AZ22" s="3">
        <v>68.154163360595703</v>
      </c>
      <c r="BA22" s="3">
        <v>7.7651269435882568</v>
      </c>
      <c r="BB22" s="3">
        <v>4.4162585735321045</v>
      </c>
      <c r="BC22" s="3">
        <v>1.7892103791236877</v>
      </c>
      <c r="BD22" s="3">
        <f>100-SUM(AZ22:BC22)</f>
        <v>17.875240743160248</v>
      </c>
      <c r="BE22" s="3">
        <f t="shared" si="7"/>
        <v>69.997121524129227</v>
      </c>
      <c r="BF22" s="3">
        <f t="shared" si="7"/>
        <v>7.8429300046805963</v>
      </c>
      <c r="BG22" s="3">
        <f t="shared" si="7"/>
        <v>4.2413029602885963</v>
      </c>
      <c r="BH22" s="3">
        <f t="shared" si="7"/>
        <v>2.3558135478214122</v>
      </c>
      <c r="BI22" s="3">
        <f t="shared" si="7"/>
        <v>15.562831963080169</v>
      </c>
      <c r="BJ22" s="6">
        <f t="shared" si="8"/>
        <v>0.29851752309248181</v>
      </c>
      <c r="BK22" s="6">
        <f t="shared" si="8"/>
        <v>0.1734919503460397</v>
      </c>
      <c r="BL22" s="6">
        <f t="shared" si="8"/>
        <v>0.17766195746718097</v>
      </c>
      <c r="BM22" s="6">
        <f t="shared" si="8"/>
        <v>3.9346693703176762E-2</v>
      </c>
      <c r="BN22" s="6">
        <f t="shared" si="9"/>
        <v>0.19090898977538706</v>
      </c>
      <c r="BO22" s="6">
        <f t="shared" si="9"/>
        <v>0.11282202493982513</v>
      </c>
      <c r="BP22" s="6">
        <f t="shared" si="9"/>
        <v>0.12150495275090874</v>
      </c>
      <c r="BQ22" s="6">
        <f t="shared" si="9"/>
        <v>1.9627865733898069E-2</v>
      </c>
      <c r="BR22" s="6">
        <f t="shared" si="10"/>
        <v>0.10760853331709476</v>
      </c>
      <c r="BS22" s="6">
        <f t="shared" si="10"/>
        <v>6.0669925406214582E-2</v>
      </c>
      <c r="BT22" s="6">
        <f t="shared" si="10"/>
        <v>5.6157004716272226E-2</v>
      </c>
      <c r="BU22" s="6">
        <f t="shared" si="10"/>
        <v>1.9718827969278686E-2</v>
      </c>
      <c r="BV22" s="6">
        <f>AG22*(U22-T22-J22)/1000/(G22*$AW$12/100)</f>
        <v>0</v>
      </c>
      <c r="BW22" s="6">
        <f>AF22*(U22-T22-J22)/1000/(G22*$AU$12/100)</f>
        <v>0</v>
      </c>
      <c r="BX22" s="6">
        <f>AE22*(U22-T22-J22)/1000/(G22*$AU$12/100)</f>
        <v>0</v>
      </c>
    </row>
    <row r="23" spans="1:76">
      <c r="A23" s="80">
        <v>35</v>
      </c>
      <c r="B23" s="90" t="s">
        <v>113</v>
      </c>
      <c r="C23" s="49">
        <v>220</v>
      </c>
      <c r="D23" s="134" t="s">
        <v>122</v>
      </c>
      <c r="E23" s="91">
        <v>0</v>
      </c>
      <c r="F23" s="100" t="s">
        <v>42</v>
      </c>
      <c r="G23" s="48">
        <v>4.9983000000000004</v>
      </c>
      <c r="H23" s="48">
        <v>5.0033000000000003</v>
      </c>
      <c r="I23" s="48">
        <v>49.752200000000002</v>
      </c>
      <c r="J23" s="101">
        <v>0</v>
      </c>
      <c r="K23" s="110">
        <v>180</v>
      </c>
      <c r="L23" s="50">
        <v>0.37986111111111115</v>
      </c>
      <c r="M23" s="50">
        <v>0.40416666666666662</v>
      </c>
      <c r="N23" s="50">
        <v>0.4458333333333333</v>
      </c>
      <c r="O23" s="47">
        <v>10</v>
      </c>
      <c r="P23" s="47">
        <v>22</v>
      </c>
      <c r="Q23" s="47">
        <v>22</v>
      </c>
      <c r="R23" s="111">
        <v>21</v>
      </c>
      <c r="S23" s="100"/>
      <c r="T23" s="48">
        <v>101.3185</v>
      </c>
      <c r="U23" s="48">
        <v>144.83009999999999</v>
      </c>
      <c r="V23" s="48">
        <v>48.915500000000002</v>
      </c>
      <c r="W23" s="48">
        <v>54.9636</v>
      </c>
      <c r="X23" s="48">
        <v>25.452200000000001</v>
      </c>
      <c r="Y23" s="48">
        <v>25.539899999999999</v>
      </c>
      <c r="Z23" s="48">
        <v>25.464200000000002</v>
      </c>
      <c r="AA23" s="101">
        <v>25.547899999999998</v>
      </c>
      <c r="AB23" s="90">
        <v>12.558299999999999</v>
      </c>
      <c r="AC23" s="48">
        <v>27.415800000000001</v>
      </c>
      <c r="AD23" s="48">
        <v>13.5657</v>
      </c>
      <c r="AE23" s="51"/>
      <c r="AF23" s="51"/>
      <c r="AG23" s="118"/>
      <c r="AH23" s="100">
        <f t="shared" si="0"/>
        <v>220</v>
      </c>
      <c r="AI23" s="47">
        <f t="shared" si="1"/>
        <v>22</v>
      </c>
      <c r="AJ23" s="49">
        <f t="shared" si="2"/>
        <v>34.999999999999872</v>
      </c>
      <c r="AK23" s="123">
        <f t="shared" si="2"/>
        <v>60.000000000000028</v>
      </c>
      <c r="AL23" s="53">
        <f t="shared" si="3"/>
        <v>0.20903107056399128</v>
      </c>
      <c r="AM23" s="53">
        <f>(Y23-X23)/(G23*(100)/100)</f>
        <v>1.7545965628313249E-2</v>
      </c>
      <c r="AN23" s="53">
        <f>(AA23-Z23)/(G23*(100)/100)</f>
        <v>1.6745693535801527E-2</v>
      </c>
      <c r="AO23" s="53"/>
      <c r="AP23" s="53">
        <f t="shared" si="6"/>
        <v>0.59025400407971118</v>
      </c>
      <c r="AQ23" s="52"/>
      <c r="AR23" s="52"/>
      <c r="AS23" s="52"/>
      <c r="AT23" s="128"/>
    </row>
    <row r="24" spans="1:76">
      <c r="A24" s="80">
        <v>31</v>
      </c>
      <c r="B24" s="90" t="s">
        <v>113</v>
      </c>
      <c r="C24" s="49">
        <v>220</v>
      </c>
      <c r="D24" s="134" t="s">
        <v>122</v>
      </c>
      <c r="E24" s="91">
        <v>0.5</v>
      </c>
      <c r="F24" s="100" t="s">
        <v>42</v>
      </c>
      <c r="G24" s="48">
        <v>5.0010000000000003</v>
      </c>
      <c r="H24" s="48">
        <v>5.0038999999999998</v>
      </c>
      <c r="I24" s="48">
        <v>25.088899999999999</v>
      </c>
      <c r="J24" s="101">
        <v>19.614699999999999</v>
      </c>
      <c r="K24" s="110">
        <v>180</v>
      </c>
      <c r="L24" s="50">
        <v>0.41597222222222219</v>
      </c>
      <c r="M24" s="50">
        <v>0.44166666666666665</v>
      </c>
      <c r="N24" s="50">
        <v>0.48333333333333334</v>
      </c>
      <c r="O24" s="47">
        <v>10</v>
      </c>
      <c r="P24" s="47">
        <v>35</v>
      </c>
      <c r="Q24" s="47">
        <v>35</v>
      </c>
      <c r="R24" s="111">
        <v>23</v>
      </c>
      <c r="S24" s="100"/>
      <c r="T24" s="48">
        <v>101.4791</v>
      </c>
      <c r="U24" s="48">
        <v>140.03120000000001</v>
      </c>
      <c r="V24" s="48">
        <v>32.220999999999997</v>
      </c>
      <c r="W24" s="48">
        <v>37.712299999999999</v>
      </c>
      <c r="X24" s="48"/>
      <c r="Y24" s="48"/>
      <c r="Z24" s="48"/>
      <c r="AA24" s="101"/>
      <c r="AB24" s="90">
        <v>12.556100000000001</v>
      </c>
      <c r="AC24" s="48">
        <v>21.7209</v>
      </c>
      <c r="AD24" s="48">
        <v>13.2171</v>
      </c>
      <c r="AE24" s="51"/>
      <c r="AF24" s="51"/>
      <c r="AG24" s="118"/>
      <c r="AH24" s="100">
        <f t="shared" si="0"/>
        <v>220</v>
      </c>
      <c r="AI24" s="47">
        <f t="shared" si="1"/>
        <v>35</v>
      </c>
      <c r="AJ24" s="49">
        <f t="shared" si="2"/>
        <v>37.000000000000028</v>
      </c>
      <c r="AK24" s="123">
        <f t="shared" si="2"/>
        <v>60.000000000000028</v>
      </c>
      <c r="AL24" s="53">
        <f t="shared" si="3"/>
        <v>9.7460507898420853E-2</v>
      </c>
      <c r="AM24" s="53">
        <f t="shared" ref="AM24:AM33" si="11">(Y24-X24)/(G24*(100)/100)</f>
        <v>0</v>
      </c>
      <c r="AN24" s="53">
        <f t="shared" ref="AN24:AN33" si="12">(AA24-Z24)/(G24*(100)/100)</f>
        <v>0</v>
      </c>
      <c r="AO24" s="53"/>
      <c r="AP24" s="53">
        <f t="shared" si="6"/>
        <v>0.55599342116562689</v>
      </c>
      <c r="AQ24" s="52">
        <f>AE24*(U24-T24-J24)/1000/G24</f>
        <v>0</v>
      </c>
      <c r="AR24" s="52"/>
      <c r="AS24" s="52">
        <f>(AF24)*(U24-T24-J24)/1000/G24</f>
        <v>0</v>
      </c>
      <c r="AT24" s="128">
        <f>(AG24)*(U24-T24-J24)/1000/G24</f>
        <v>0</v>
      </c>
    </row>
    <row r="25" spans="1:76">
      <c r="A25" s="80">
        <v>34</v>
      </c>
      <c r="B25" s="90" t="s">
        <v>113</v>
      </c>
      <c r="C25" s="49">
        <v>220</v>
      </c>
      <c r="D25" s="134" t="s">
        <v>122</v>
      </c>
      <c r="E25" s="91">
        <v>0.5</v>
      </c>
      <c r="F25" s="100" t="s">
        <v>42</v>
      </c>
      <c r="G25" s="48">
        <v>5.0077999999999996</v>
      </c>
      <c r="H25" s="48">
        <v>5.0010000000000003</v>
      </c>
      <c r="I25" s="48">
        <v>25.143599999999999</v>
      </c>
      <c r="J25" s="101">
        <v>19.8504</v>
      </c>
      <c r="K25" s="110">
        <v>180</v>
      </c>
      <c r="L25" s="50">
        <v>0.57430555555555551</v>
      </c>
      <c r="M25" s="50">
        <v>0.60486111111111118</v>
      </c>
      <c r="N25" s="50">
        <v>0.64722222222222225</v>
      </c>
      <c r="O25" s="47">
        <v>10</v>
      </c>
      <c r="P25" s="47">
        <v>35</v>
      </c>
      <c r="Q25" s="47">
        <v>35</v>
      </c>
      <c r="R25" s="111">
        <v>25</v>
      </c>
      <c r="S25" s="100">
        <v>0</v>
      </c>
      <c r="T25" s="48">
        <v>101.4139</v>
      </c>
      <c r="U25" s="48">
        <v>141.7201</v>
      </c>
      <c r="V25" s="48">
        <v>49.5349</v>
      </c>
      <c r="W25" s="48">
        <v>54.9925</v>
      </c>
      <c r="X25" s="48">
        <v>26.184999999999999</v>
      </c>
      <c r="Y25" s="48">
        <v>26.221800000000002</v>
      </c>
      <c r="Z25" s="48">
        <v>25.852599999999999</v>
      </c>
      <c r="AA25" s="101">
        <v>25.869700000000002</v>
      </c>
      <c r="AB25" s="90">
        <v>12.5383</v>
      </c>
      <c r="AC25" s="48">
        <v>24.095400000000001</v>
      </c>
      <c r="AD25" s="48">
        <v>13.335699999999999</v>
      </c>
      <c r="AE25" s="51"/>
      <c r="AF25" s="51"/>
      <c r="AG25" s="118"/>
      <c r="AH25" s="100">
        <f t="shared" si="0"/>
        <v>220</v>
      </c>
      <c r="AI25" s="47">
        <f t="shared" si="1"/>
        <v>35</v>
      </c>
      <c r="AJ25" s="49">
        <f t="shared" si="2"/>
        <v>44.000000000000163</v>
      </c>
      <c r="AK25" s="123">
        <f t="shared" si="2"/>
        <v>60.999999999999943</v>
      </c>
      <c r="AL25" s="53">
        <f t="shared" si="3"/>
        <v>9.1177762690203099E-2</v>
      </c>
      <c r="AM25" s="53">
        <f t="shared" si="11"/>
        <v>7.3485362833985097E-3</v>
      </c>
      <c r="AN25" s="53">
        <f t="shared" si="12"/>
        <v>3.4146731099490356E-3</v>
      </c>
      <c r="AO25" s="53"/>
      <c r="AP25" s="53">
        <f t="shared" si="6"/>
        <v>0.55533141218510917</v>
      </c>
      <c r="AQ25" s="52"/>
      <c r="AR25" s="52"/>
      <c r="AS25" s="52"/>
      <c r="AT25" s="128"/>
    </row>
    <row r="26" spans="1:76">
      <c r="A26" s="80">
        <v>33</v>
      </c>
      <c r="B26" s="90" t="s">
        <v>113</v>
      </c>
      <c r="C26" s="49">
        <v>220</v>
      </c>
      <c r="D26" s="134" t="s">
        <v>122</v>
      </c>
      <c r="E26" s="91">
        <v>1</v>
      </c>
      <c r="F26" s="100" t="s">
        <v>42</v>
      </c>
      <c r="G26" s="48">
        <v>5.0015999999999998</v>
      </c>
      <c r="H26" s="48">
        <v>5.0015999999999998</v>
      </c>
      <c r="I26" s="48">
        <v>0</v>
      </c>
      <c r="J26" s="101">
        <v>39.011499999999998</v>
      </c>
      <c r="K26" s="110">
        <v>180</v>
      </c>
      <c r="L26" s="50">
        <v>0.40625</v>
      </c>
      <c r="M26" s="50">
        <v>0.42777777777777781</v>
      </c>
      <c r="N26" s="50">
        <v>0.4694444444444445</v>
      </c>
      <c r="O26" s="47">
        <v>10</v>
      </c>
      <c r="P26" s="47">
        <v>38</v>
      </c>
      <c r="Q26" s="47">
        <v>37</v>
      </c>
      <c r="R26" s="111">
        <v>21</v>
      </c>
      <c r="S26" s="100"/>
      <c r="T26" s="48">
        <v>101.4551</v>
      </c>
      <c r="U26" s="48">
        <v>132.74430000000001</v>
      </c>
      <c r="V26" s="48">
        <v>49.889699999999998</v>
      </c>
      <c r="W26" s="48">
        <v>57.218000000000004</v>
      </c>
      <c r="X26" s="48">
        <v>26.258299999999998</v>
      </c>
      <c r="Y26" s="48">
        <v>26.306799999999999</v>
      </c>
      <c r="Z26" s="48">
        <v>25.831600000000002</v>
      </c>
      <c r="AA26" s="101">
        <v>25.973099999999999</v>
      </c>
      <c r="AB26" s="90">
        <v>12.5349</v>
      </c>
      <c r="AC26" s="48">
        <v>21.1221</v>
      </c>
      <c r="AD26" s="48">
        <v>12.725099999999999</v>
      </c>
      <c r="AE26" s="51"/>
      <c r="AF26" s="51"/>
      <c r="AG26" s="118"/>
      <c r="AH26" s="100">
        <f t="shared" si="0"/>
        <v>220</v>
      </c>
      <c r="AI26" s="47">
        <f t="shared" si="1"/>
        <v>38</v>
      </c>
      <c r="AJ26" s="49">
        <f t="shared" si="2"/>
        <v>31.00000000000005</v>
      </c>
      <c r="AK26" s="123">
        <f t="shared" si="2"/>
        <v>60.000000000000028</v>
      </c>
      <c r="AL26" s="53">
        <f t="shared" si="3"/>
        <v>0.46519113883557384</v>
      </c>
      <c r="AM26" s="53">
        <f t="shared" si="11"/>
        <v>9.6968969929623824E-3</v>
      </c>
      <c r="AN26" s="53">
        <f t="shared" si="12"/>
        <v>2.8290946896992377E-2</v>
      </c>
      <c r="AO26" s="53"/>
      <c r="AP26" s="53">
        <f t="shared" si="6"/>
        <v>0.13856209389183211</v>
      </c>
      <c r="AQ26" s="52">
        <f>AE26*(U26-T26-J26)/1000/G26</f>
        <v>0</v>
      </c>
      <c r="AR26" s="52"/>
      <c r="AS26" s="52">
        <f>(AF26)*(U26-T26-J26)/1000/G26</f>
        <v>0</v>
      </c>
      <c r="AT26" s="128">
        <f>(AG26)*(U26-T26-J26)/1000/G26</f>
        <v>0</v>
      </c>
    </row>
    <row r="27" spans="1:76">
      <c r="A27" s="80">
        <v>32</v>
      </c>
      <c r="B27" s="90" t="s">
        <v>113</v>
      </c>
      <c r="C27" s="49">
        <v>310</v>
      </c>
      <c r="D27" s="134" t="s">
        <v>122</v>
      </c>
      <c r="E27" s="91">
        <v>0</v>
      </c>
      <c r="F27" s="100" t="s">
        <v>42</v>
      </c>
      <c r="G27" s="48">
        <v>5.0229999999999997</v>
      </c>
      <c r="H27" s="48">
        <v>5.0136000000000003</v>
      </c>
      <c r="I27" s="48">
        <v>49.651800000000001</v>
      </c>
      <c r="J27" s="101">
        <v>0</v>
      </c>
      <c r="K27" s="110">
        <v>180</v>
      </c>
      <c r="L27" s="50">
        <v>0.55625000000000002</v>
      </c>
      <c r="M27" s="50">
        <v>0.60277777777777775</v>
      </c>
      <c r="N27" s="50">
        <v>0.64513888888888882</v>
      </c>
      <c r="O27" s="47">
        <v>10</v>
      </c>
      <c r="P27" s="47">
        <v>96</v>
      </c>
      <c r="Q27" s="47">
        <v>96</v>
      </c>
      <c r="R27" s="111">
        <v>25</v>
      </c>
      <c r="S27" s="100"/>
      <c r="T27" s="48">
        <v>101.3194</v>
      </c>
      <c r="U27" s="48">
        <v>136.57669999999999</v>
      </c>
      <c r="V27" s="48">
        <v>48.215600000000002</v>
      </c>
      <c r="W27" s="48">
        <v>54.138800000000003</v>
      </c>
      <c r="X27" s="48">
        <v>26.2273</v>
      </c>
      <c r="Y27" s="48">
        <v>26.4039</v>
      </c>
      <c r="Z27" s="48">
        <v>25.476099999999999</v>
      </c>
      <c r="AA27" s="101">
        <v>25.651499999999999</v>
      </c>
      <c r="AB27" s="90">
        <v>11.4489</v>
      </c>
      <c r="AC27" s="48">
        <v>22.622199999999999</v>
      </c>
      <c r="AD27" s="48">
        <v>12.0816</v>
      </c>
      <c r="AE27" s="51"/>
      <c r="AF27" s="51"/>
      <c r="AG27" s="118"/>
      <c r="AH27" s="100">
        <f t="shared" si="0"/>
        <v>310</v>
      </c>
      <c r="AI27" s="47">
        <f t="shared" si="1"/>
        <v>96</v>
      </c>
      <c r="AJ27" s="49">
        <f t="shared" si="2"/>
        <v>66.999999999999915</v>
      </c>
      <c r="AK27" s="123">
        <f t="shared" si="2"/>
        <v>60.999999999999943</v>
      </c>
      <c r="AL27" s="53">
        <f t="shared" si="3"/>
        <v>0.181086999800916</v>
      </c>
      <c r="AM27" s="53">
        <f t="shared" si="11"/>
        <v>3.515827194903455E-2</v>
      </c>
      <c r="AN27" s="53">
        <f t="shared" si="12"/>
        <v>3.4919370893888073E-2</v>
      </c>
      <c r="AO27" s="53"/>
      <c r="AP27" s="53">
        <f t="shared" si="6"/>
        <v>0.39746807156181985</v>
      </c>
      <c r="AQ27" s="52">
        <f>AE27*(U27-T27-J27)/1000/G27</f>
        <v>0</v>
      </c>
      <c r="AR27" s="52"/>
      <c r="AS27" s="52">
        <f>(AF27)*(U27-T27-J27)/1000/G27</f>
        <v>0</v>
      </c>
      <c r="AT27" s="128">
        <f>(AG27)*(U27-T27-J27)/1000/G27</f>
        <v>0</v>
      </c>
      <c r="AU27" s="39"/>
      <c r="AV27" s="39"/>
      <c r="AW27" s="39"/>
      <c r="AX27" s="39"/>
      <c r="AY27" s="39"/>
      <c r="AZ27" s="39"/>
      <c r="BA27" s="39"/>
      <c r="BB27" s="39"/>
      <c r="BC27" s="39"/>
      <c r="BD27" s="39"/>
    </row>
    <row r="28" spans="1:76">
      <c r="A28" s="80">
        <v>30</v>
      </c>
      <c r="B28" s="90" t="s">
        <v>113</v>
      </c>
      <c r="C28" s="49">
        <v>310</v>
      </c>
      <c r="D28" s="134" t="s">
        <v>122</v>
      </c>
      <c r="E28" s="91">
        <v>0.5</v>
      </c>
      <c r="F28" s="100" t="s">
        <v>42</v>
      </c>
      <c r="G28" s="48">
        <v>5.0046999999999997</v>
      </c>
      <c r="H28" s="48">
        <v>5.0167000000000002</v>
      </c>
      <c r="I28" s="48">
        <v>25.043800000000001</v>
      </c>
      <c r="J28" s="101">
        <v>19.5182</v>
      </c>
      <c r="K28" s="110">
        <v>180</v>
      </c>
      <c r="L28" s="50">
        <v>0.52013888888888882</v>
      </c>
      <c r="M28" s="50">
        <v>0.57500000000000007</v>
      </c>
      <c r="N28" s="50">
        <v>0.65833333333333333</v>
      </c>
      <c r="O28" s="47">
        <v>10</v>
      </c>
      <c r="P28" s="47">
        <v>135</v>
      </c>
      <c r="Q28" s="47">
        <v>135</v>
      </c>
      <c r="R28" s="111">
        <v>25</v>
      </c>
      <c r="S28" s="100"/>
      <c r="T28" s="48">
        <v>101.3192</v>
      </c>
      <c r="U28" s="48">
        <v>128.87280000000001</v>
      </c>
      <c r="V28" s="48">
        <v>49.530999999999999</v>
      </c>
      <c r="W28" s="48">
        <v>55.903799999999997</v>
      </c>
      <c r="X28" s="48">
        <v>25.8233</v>
      </c>
      <c r="Y28" s="48">
        <v>25.8947</v>
      </c>
      <c r="Z28" s="48">
        <v>25.7744</v>
      </c>
      <c r="AA28" s="101">
        <v>25.846499999999999</v>
      </c>
      <c r="AB28" s="90">
        <v>12.5351</v>
      </c>
      <c r="AC28" s="48">
        <v>28.2301</v>
      </c>
      <c r="AD28" s="48">
        <v>13.4971</v>
      </c>
      <c r="AE28" s="51"/>
      <c r="AF28" s="51"/>
      <c r="AG28" s="118"/>
      <c r="AH28" s="100">
        <f t="shared" si="0"/>
        <v>310</v>
      </c>
      <c r="AI28" s="47">
        <f t="shared" si="1"/>
        <v>135</v>
      </c>
      <c r="AJ28" s="49">
        <f t="shared" si="2"/>
        <v>79.000000000000199</v>
      </c>
      <c r="AK28" s="123">
        <f t="shared" si="2"/>
        <v>119.99999999999989</v>
      </c>
      <c r="AL28" s="53">
        <f t="shared" si="3"/>
        <v>0.27096529262493213</v>
      </c>
      <c r="AM28" s="53">
        <f t="shared" si="11"/>
        <v>1.4266589405958515E-2</v>
      </c>
      <c r="AN28" s="53">
        <f t="shared" si="12"/>
        <v>1.4406457929546016E-2</v>
      </c>
      <c r="AO28" s="53"/>
      <c r="AP28" s="53">
        <f t="shared" si="6"/>
        <v>0.33745358942078374</v>
      </c>
      <c r="AQ28" s="52">
        <f>AE28*(U28-T28-J28)/1000/G28</f>
        <v>0</v>
      </c>
      <c r="AR28" s="52"/>
      <c r="AS28" s="52">
        <f>(AF28)*(U28-T28-J28)/1000/G28</f>
        <v>0</v>
      </c>
      <c r="AT28" s="128">
        <f>(AG28)*(U28-T28-J28)/1000/G28</f>
        <v>0</v>
      </c>
    </row>
    <row r="29" spans="1:76">
      <c r="A29" s="80">
        <v>48</v>
      </c>
      <c r="B29" s="90" t="s">
        <v>113</v>
      </c>
      <c r="C29" s="49">
        <v>220</v>
      </c>
      <c r="D29" s="134" t="s">
        <v>123</v>
      </c>
      <c r="E29" s="91">
        <v>0</v>
      </c>
      <c r="F29" s="100" t="s">
        <v>42</v>
      </c>
      <c r="G29" s="48">
        <v>5.0039999999999996</v>
      </c>
      <c r="H29" s="48">
        <v>5.0080999999999998</v>
      </c>
      <c r="I29" s="48">
        <v>49.585700000000003</v>
      </c>
      <c r="J29" s="101">
        <v>0</v>
      </c>
      <c r="K29" s="110">
        <v>180</v>
      </c>
      <c r="L29" s="50">
        <v>0.49444444444444446</v>
      </c>
      <c r="M29" s="50">
        <v>0.51527777777777783</v>
      </c>
      <c r="N29" s="50">
        <v>0.55694444444444446</v>
      </c>
      <c r="O29" s="47">
        <v>10</v>
      </c>
      <c r="P29" s="47">
        <v>22</v>
      </c>
      <c r="Q29" s="47">
        <v>22</v>
      </c>
      <c r="R29" s="111">
        <v>26</v>
      </c>
      <c r="S29" s="100"/>
      <c r="T29" s="48">
        <f>34.8467+12.5584</f>
        <v>47.405099999999997</v>
      </c>
      <c r="U29" s="48">
        <f>63.0647+29.5574</f>
        <v>92.622100000000003</v>
      </c>
      <c r="V29" s="48">
        <v>49.488900000000001</v>
      </c>
      <c r="W29" s="48">
        <v>55.4099</v>
      </c>
      <c r="X29" s="48">
        <v>23.373799999999999</v>
      </c>
      <c r="Y29" s="48">
        <v>23.541499999999999</v>
      </c>
      <c r="Z29" s="48">
        <v>23.3657</v>
      </c>
      <c r="AA29" s="101">
        <v>23.4818</v>
      </c>
      <c r="AB29" s="90">
        <v>12.558400000000001</v>
      </c>
      <c r="AC29" s="48">
        <v>29.557400000000001</v>
      </c>
      <c r="AD29" s="48">
        <v>13.7356</v>
      </c>
      <c r="AE29" s="51"/>
      <c r="AF29" s="51"/>
      <c r="AG29" s="118"/>
      <c r="AH29" s="100">
        <f t="shared" si="0"/>
        <v>220</v>
      </c>
      <c r="AI29" s="47">
        <f t="shared" si="1"/>
        <v>22</v>
      </c>
      <c r="AJ29" s="49">
        <f t="shared" si="2"/>
        <v>30.000000000000053</v>
      </c>
      <c r="AK29" s="123">
        <f t="shared" si="2"/>
        <v>59.999999999999943</v>
      </c>
      <c r="AL29" s="53">
        <f t="shared" si="3"/>
        <v>0.1824340527577937</v>
      </c>
      <c r="AM29" s="53">
        <f t="shared" si="11"/>
        <v>3.3513189448441241E-2</v>
      </c>
      <c r="AN29" s="53">
        <f t="shared" si="12"/>
        <v>2.3201438848920751E-2</v>
      </c>
      <c r="AO29" s="53"/>
      <c r="AP29" s="53">
        <f t="shared" si="6"/>
        <v>0.62576507885990718</v>
      </c>
      <c r="AQ29" s="52"/>
      <c r="AR29" s="52"/>
      <c r="AS29" s="52"/>
      <c r="AT29" s="128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30" spans="1:76">
      <c r="A30" s="80">
        <v>42</v>
      </c>
      <c r="B30" s="90" t="s">
        <v>113</v>
      </c>
      <c r="C30" s="49">
        <v>220</v>
      </c>
      <c r="D30" s="134" t="s">
        <v>123</v>
      </c>
      <c r="E30" s="91">
        <v>0.5</v>
      </c>
      <c r="F30" s="100" t="s">
        <v>42</v>
      </c>
      <c r="G30" s="48">
        <v>5.0468999999999999</v>
      </c>
      <c r="H30" s="48">
        <v>5.0190999999999999</v>
      </c>
      <c r="I30" s="48">
        <v>25.232800000000001</v>
      </c>
      <c r="J30" s="101">
        <v>19.819700000000001</v>
      </c>
      <c r="K30" s="110">
        <v>180</v>
      </c>
      <c r="L30" s="50">
        <v>0.53680555555555554</v>
      </c>
      <c r="M30" s="50">
        <v>0.56388888888888888</v>
      </c>
      <c r="N30" s="50">
        <v>0.60555555555555551</v>
      </c>
      <c r="O30" s="47">
        <v>10</v>
      </c>
      <c r="P30" s="47">
        <v>35</v>
      </c>
      <c r="Q30" s="47">
        <v>35</v>
      </c>
      <c r="R30" s="111">
        <v>26</v>
      </c>
      <c r="S30" s="100"/>
      <c r="T30" s="48">
        <v>35.032299999999999</v>
      </c>
      <c r="U30" s="48">
        <v>60.577100000000002</v>
      </c>
      <c r="V30" s="48">
        <v>49.895200000000003</v>
      </c>
      <c r="W30" s="48">
        <v>55.5105</v>
      </c>
      <c r="X30" s="48">
        <v>25.746300000000002</v>
      </c>
      <c r="Y30" s="48">
        <v>26.199100000000001</v>
      </c>
      <c r="Z30" s="48">
        <v>25.8278</v>
      </c>
      <c r="AA30" s="101">
        <v>26.0045</v>
      </c>
      <c r="AB30" s="90">
        <v>11.4483</v>
      </c>
      <c r="AC30" s="48">
        <v>19.6204</v>
      </c>
      <c r="AD30" s="48">
        <v>12.178900000000001</v>
      </c>
      <c r="AE30" s="51"/>
      <c r="AF30" s="51"/>
      <c r="AG30" s="118"/>
      <c r="AH30" s="100">
        <f t="shared" si="0"/>
        <v>220</v>
      </c>
      <c r="AI30" s="47">
        <f t="shared" si="1"/>
        <v>35</v>
      </c>
      <c r="AJ30" s="49">
        <f t="shared" si="2"/>
        <v>39.000000000000021</v>
      </c>
      <c r="AK30" s="123">
        <f t="shared" si="2"/>
        <v>59.999999999999943</v>
      </c>
      <c r="AL30" s="53">
        <f t="shared" si="3"/>
        <v>0.11813192256632742</v>
      </c>
      <c r="AM30" s="53">
        <f t="shared" si="11"/>
        <v>8.9718441023202339E-2</v>
      </c>
      <c r="AN30" s="53">
        <f t="shared" si="12"/>
        <v>3.5011591273851332E-2</v>
      </c>
      <c r="AO30" s="53">
        <f>(100*S30/1000/8.314/298*44)/G30</f>
        <v>0</v>
      </c>
      <c r="AP30" s="53">
        <f t="shared" si="6"/>
        <v>0.4525054379307934</v>
      </c>
      <c r="AQ30" s="52">
        <f>AE30*(U30-T30-J30)/1000/G30</f>
        <v>0</v>
      </c>
      <c r="AR30" s="52"/>
      <c r="AS30" s="52">
        <f>(AF30)*(U30-T30-J30)/1000/G30</f>
        <v>0</v>
      </c>
      <c r="AT30" s="128">
        <f>(AG30)*(U30-T30-J30)/1000/G30</f>
        <v>0</v>
      </c>
      <c r="AU30" s="3"/>
      <c r="AV30" s="3"/>
      <c r="AW30" s="3"/>
      <c r="AX30" s="3"/>
      <c r="AY30" s="3"/>
      <c r="AZ30" s="3"/>
      <c r="BA30" s="3"/>
      <c r="BB30" s="3"/>
      <c r="BC30" s="3"/>
      <c r="BD30" s="3"/>
    </row>
    <row r="31" spans="1:76">
      <c r="A31" s="80">
        <v>45</v>
      </c>
      <c r="B31" s="90" t="s">
        <v>113</v>
      </c>
      <c r="C31" s="49">
        <v>220</v>
      </c>
      <c r="D31" s="134" t="s">
        <v>123</v>
      </c>
      <c r="E31" s="91">
        <v>1</v>
      </c>
      <c r="F31" s="100" t="s">
        <v>42</v>
      </c>
      <c r="G31" s="48">
        <v>4.9977</v>
      </c>
      <c r="H31" s="48">
        <v>5.0202</v>
      </c>
      <c r="I31" s="48">
        <v>0</v>
      </c>
      <c r="J31" s="101">
        <v>39.862400000000001</v>
      </c>
      <c r="K31" s="110">
        <v>180</v>
      </c>
      <c r="L31" s="50">
        <v>0.51597222222222217</v>
      </c>
      <c r="M31" s="50">
        <v>0.53611111111111109</v>
      </c>
      <c r="N31" s="50">
        <v>0.57777777777777783</v>
      </c>
      <c r="O31" s="47">
        <v>10</v>
      </c>
      <c r="P31" s="47">
        <v>36</v>
      </c>
      <c r="Q31" s="47">
        <v>38</v>
      </c>
      <c r="R31" s="111">
        <v>26</v>
      </c>
      <c r="S31" s="100"/>
      <c r="T31" s="48">
        <v>101.4324</v>
      </c>
      <c r="U31" s="48">
        <v>134.471</v>
      </c>
      <c r="V31" s="48">
        <v>48.841799999999999</v>
      </c>
      <c r="W31" s="48">
        <v>55.353999999999999</v>
      </c>
      <c r="X31" s="48">
        <v>25.863499999999998</v>
      </c>
      <c r="Y31" s="48">
        <v>26.239799999999999</v>
      </c>
      <c r="Z31" s="48">
        <v>25.9054</v>
      </c>
      <c r="AA31" s="101">
        <v>26.202300000000001</v>
      </c>
      <c r="AB31" s="90"/>
      <c r="AC31" s="48"/>
      <c r="AD31" s="48"/>
      <c r="AE31" s="51"/>
      <c r="AF31" s="51"/>
      <c r="AG31" s="118"/>
      <c r="AH31" s="100">
        <f t="shared" si="0"/>
        <v>220</v>
      </c>
      <c r="AI31" s="47">
        <f t="shared" si="1"/>
        <v>38</v>
      </c>
      <c r="AJ31" s="49">
        <f t="shared" si="2"/>
        <v>29.000000000000057</v>
      </c>
      <c r="AK31" s="123">
        <f t="shared" si="2"/>
        <v>60.000000000000107</v>
      </c>
      <c r="AL31" s="53">
        <f t="shared" si="3"/>
        <v>0.29853732717049841</v>
      </c>
      <c r="AM31" s="53">
        <f t="shared" si="11"/>
        <v>7.5294635532344986E-2</v>
      </c>
      <c r="AN31" s="53">
        <f t="shared" si="12"/>
        <v>5.9407327370590637E-2</v>
      </c>
      <c r="AO31" s="53">
        <f>(100*S31/1000/8.314/298*44)/G31</f>
        <v>0</v>
      </c>
      <c r="AP31" s="53" t="e">
        <f t="shared" si="6"/>
        <v>#DIV/0!</v>
      </c>
      <c r="AQ31" s="52">
        <f>AE31*(U31-T31-J31)/1000/G31</f>
        <v>0</v>
      </c>
      <c r="AR31" s="52"/>
      <c r="AS31" s="52">
        <f>(AF31)*(U31-T31-J31)/1000/G31</f>
        <v>0</v>
      </c>
      <c r="AT31" s="128">
        <f>(AG31)*(U31-T31-J31)/1000/G31</f>
        <v>0</v>
      </c>
      <c r="AU31" s="3">
        <v>65.715667724609375</v>
      </c>
      <c r="AV31" s="3">
        <v>10.8779616355896</v>
      </c>
      <c r="AW31" s="3">
        <v>7.3407707214355469</v>
      </c>
      <c r="AX31" s="3">
        <v>1.1951770782470703</v>
      </c>
      <c r="AY31" s="3">
        <f>100-SUM(AU31:AX31)</f>
        <v>14.870422840118408</v>
      </c>
      <c r="AZ31" s="3">
        <v>77.707576751708984</v>
      </c>
      <c r="BA31" s="3">
        <v>14.691929817199707</v>
      </c>
      <c r="BB31" s="3">
        <v>1.4780548810958862</v>
      </c>
      <c r="BC31" s="3">
        <v>0.81466767191886902</v>
      </c>
      <c r="BD31" s="3">
        <f>100-SUM(AZ31:BC31)</f>
        <v>5.3077708780765533</v>
      </c>
      <c r="BE31" s="3">
        <f t="shared" ref="BE31:BI33" si="13">(AU31*$AM31+AZ31*$AN31)/($AM31+$AN31)</f>
        <v>71.004434495473717</v>
      </c>
      <c r="BF31" s="3">
        <f t="shared" si="13"/>
        <v>12.560028113783364</v>
      </c>
      <c r="BG31" s="3">
        <f t="shared" si="13"/>
        <v>4.7551493117551455</v>
      </c>
      <c r="BH31" s="3">
        <f t="shared" si="13"/>
        <v>1.0273618038281116</v>
      </c>
      <c r="BI31" s="3">
        <f t="shared" si="13"/>
        <v>10.653026275159661</v>
      </c>
      <c r="BJ31" s="6">
        <f t="shared" ref="BJ31:BM33" si="14">BE31*($AM31+$AN31)/AU$12</f>
        <v>0.28025165094125815</v>
      </c>
      <c r="BK31" s="6">
        <f t="shared" si="14"/>
        <v>0.25713705165543094</v>
      </c>
      <c r="BL31" s="6">
        <f t="shared" si="14"/>
        <v>0.18434542494502132</v>
      </c>
      <c r="BM31" s="6">
        <f t="shared" si="14"/>
        <v>1.5880486499438129E-2</v>
      </c>
      <c r="BN31" s="6">
        <f t="shared" ref="BN31:BQ33" si="15">AZ31*($AN31)/AU$12</f>
        <v>0.13526709497047831</v>
      </c>
      <c r="BO31" s="6">
        <f t="shared" si="15"/>
        <v>0.1326535826805279</v>
      </c>
      <c r="BP31" s="6">
        <f t="shared" si="15"/>
        <v>2.527114128302526E-2</v>
      </c>
      <c r="BQ31" s="6">
        <f t="shared" si="15"/>
        <v>5.5537581154300429E-3</v>
      </c>
      <c r="BR31" s="6">
        <f t="shared" ref="BR31:BU33" si="16">AU31*($AM31)/AU$12</f>
        <v>0.14498455597077983</v>
      </c>
      <c r="BS31" s="6">
        <f t="shared" si="16"/>
        <v>0.12448346897490301</v>
      </c>
      <c r="BT31" s="6">
        <f t="shared" si="16"/>
        <v>0.15907428366199605</v>
      </c>
      <c r="BU31" s="6">
        <f t="shared" si="16"/>
        <v>1.0326728384008086E-2</v>
      </c>
      <c r="BV31" s="6"/>
      <c r="BW31" s="6"/>
      <c r="BX31" s="6"/>
    </row>
    <row r="32" spans="1:76">
      <c r="A32" s="80">
        <v>49</v>
      </c>
      <c r="B32" s="90" t="s">
        <v>113</v>
      </c>
      <c r="C32" s="49">
        <v>310</v>
      </c>
      <c r="D32" s="134" t="s">
        <v>123</v>
      </c>
      <c r="E32" s="91">
        <v>0</v>
      </c>
      <c r="F32" s="100" t="s">
        <v>42</v>
      </c>
      <c r="G32" s="48">
        <v>5.0178000000000003</v>
      </c>
      <c r="H32" s="48">
        <v>5.0079000000000002</v>
      </c>
      <c r="I32" s="48">
        <v>49.6145</v>
      </c>
      <c r="J32" s="101">
        <v>0</v>
      </c>
      <c r="K32" s="110">
        <v>180</v>
      </c>
      <c r="L32" s="50">
        <v>0.6381944444444444</v>
      </c>
      <c r="M32" s="50">
        <v>0.68125000000000002</v>
      </c>
      <c r="N32" s="50">
        <v>0.72291666666666676</v>
      </c>
      <c r="O32" s="47">
        <v>10</v>
      </c>
      <c r="P32" s="47">
        <v>95</v>
      </c>
      <c r="Q32" s="47">
        <v>97</v>
      </c>
      <c r="R32" s="111">
        <v>39</v>
      </c>
      <c r="S32" s="100"/>
      <c r="T32" s="48">
        <f>35.1788+AB32</f>
        <v>46.627099999999999</v>
      </c>
      <c r="U32" s="48">
        <f>63.8997+AC32</f>
        <v>88.796599999999998</v>
      </c>
      <c r="V32" s="48">
        <v>50.820399999999999</v>
      </c>
      <c r="W32" s="48">
        <v>56.837699999999998</v>
      </c>
      <c r="X32" s="48">
        <v>25.827000000000002</v>
      </c>
      <c r="Y32" s="48">
        <v>25.989799999999999</v>
      </c>
      <c r="Z32" s="48">
        <v>25.777899999999999</v>
      </c>
      <c r="AA32" s="101">
        <v>26.145900000000001</v>
      </c>
      <c r="AB32" s="90">
        <v>11.4483</v>
      </c>
      <c r="AC32" s="48">
        <v>24.896899999999999</v>
      </c>
      <c r="AD32" s="48">
        <v>12.104699999999999</v>
      </c>
      <c r="AE32" s="51"/>
      <c r="AF32" s="51"/>
      <c r="AG32" s="118"/>
      <c r="AH32" s="100">
        <f t="shared" si="0"/>
        <v>310</v>
      </c>
      <c r="AI32" s="47">
        <f t="shared" si="1"/>
        <v>97</v>
      </c>
      <c r="AJ32" s="49">
        <f t="shared" si="2"/>
        <v>62.000000000000099</v>
      </c>
      <c r="AK32" s="123">
        <f t="shared" si="2"/>
        <v>60.000000000000107</v>
      </c>
      <c r="AL32" s="53">
        <f t="shared" si="3"/>
        <v>0.2011638566702536</v>
      </c>
      <c r="AM32" s="53">
        <f t="shared" si="11"/>
        <v>3.2444497588584073E-2</v>
      </c>
      <c r="AN32" s="53">
        <f t="shared" si="12"/>
        <v>7.3338913468054143E-2</v>
      </c>
      <c r="AO32" s="53"/>
      <c r="AP32" s="53">
        <f t="shared" si="6"/>
        <v>0.41018200182440828</v>
      </c>
      <c r="AQ32" s="52"/>
      <c r="AR32" s="52"/>
      <c r="AS32" s="52"/>
      <c r="AT32" s="128"/>
      <c r="AU32" s="3">
        <v>75.237628936767578</v>
      </c>
      <c r="AV32" s="3">
        <v>10.499053955078125</v>
      </c>
      <c r="AW32" s="3">
        <v>2.9944528341293335</v>
      </c>
      <c r="AX32" s="3">
        <v>2.3423639535903931</v>
      </c>
      <c r="AY32" s="3">
        <f>100-SUM(AU32:AX32)</f>
        <v>8.9265003204345703</v>
      </c>
      <c r="AZ32" s="3">
        <v>67.691001892089844</v>
      </c>
      <c r="BA32" s="3">
        <v>9.6781635284423828</v>
      </c>
      <c r="BB32" s="3">
        <v>4.9720327854156494</v>
      </c>
      <c r="BC32" s="3">
        <v>1.6955525279045105</v>
      </c>
      <c r="BD32" s="3">
        <f>100-SUM(AZ32:BC32)</f>
        <v>15.963249266147614</v>
      </c>
      <c r="BE32" s="3">
        <f t="shared" si="13"/>
        <v>70.005604158241908</v>
      </c>
      <c r="BF32" s="3">
        <f t="shared" si="13"/>
        <v>9.9299362516079768</v>
      </c>
      <c r="BG32" s="3">
        <f t="shared" si="13"/>
        <v>4.3654954529563295</v>
      </c>
      <c r="BH32" s="3">
        <f t="shared" si="13"/>
        <v>1.8939340277192429</v>
      </c>
      <c r="BI32" s="3">
        <f t="shared" si="13"/>
        <v>13.805030109474545</v>
      </c>
      <c r="BJ32" s="6">
        <f t="shared" si="14"/>
        <v>0.21698971898703176</v>
      </c>
      <c r="BK32" s="6">
        <f t="shared" si="14"/>
        <v>0.1596482460133328</v>
      </c>
      <c r="BL32" s="6">
        <f t="shared" si="14"/>
        <v>0.13290624508023363</v>
      </c>
      <c r="BM32" s="6">
        <f t="shared" si="14"/>
        <v>2.2990524401556082E-2</v>
      </c>
      <c r="BN32" s="6">
        <f t="shared" si="15"/>
        <v>0.14546355462160598</v>
      </c>
      <c r="BO32" s="6">
        <f t="shared" si="15"/>
        <v>0.10787667486439227</v>
      </c>
      <c r="BP32" s="6">
        <f t="shared" si="15"/>
        <v>0.10494523787957517</v>
      </c>
      <c r="BQ32" s="6">
        <f t="shared" si="15"/>
        <v>1.4269612627463584E-2</v>
      </c>
      <c r="BR32" s="6">
        <f t="shared" si="16"/>
        <v>7.1526164365425776E-2</v>
      </c>
      <c r="BS32" s="6">
        <f t="shared" si="16"/>
        <v>5.1771571148940501E-2</v>
      </c>
      <c r="BT32" s="6">
        <f t="shared" si="16"/>
        <v>2.7961007200658455E-2</v>
      </c>
      <c r="BU32" s="6">
        <f t="shared" si="16"/>
        <v>8.720911774092498E-3</v>
      </c>
      <c r="BV32" s="6"/>
      <c r="BW32" s="6"/>
      <c r="BX32" s="6"/>
    </row>
    <row r="33" spans="1:76">
      <c r="A33" s="80">
        <v>40</v>
      </c>
      <c r="B33" s="90" t="s">
        <v>113</v>
      </c>
      <c r="C33" s="49">
        <v>310</v>
      </c>
      <c r="D33" s="134" t="s">
        <v>123</v>
      </c>
      <c r="E33" s="91">
        <v>0.5</v>
      </c>
      <c r="F33" s="100" t="s">
        <v>42</v>
      </c>
      <c r="G33" s="48">
        <v>5.0096999999999996</v>
      </c>
      <c r="H33" s="48">
        <v>5.0217000000000001</v>
      </c>
      <c r="I33" s="48">
        <v>25.0748</v>
      </c>
      <c r="J33" s="101">
        <v>19.577100000000002</v>
      </c>
      <c r="K33" s="110">
        <v>180</v>
      </c>
      <c r="L33" s="50">
        <v>0.58888888888888891</v>
      </c>
      <c r="M33" s="50">
        <v>0.64236111111111105</v>
      </c>
      <c r="N33" s="50">
        <v>0.68402777777777779</v>
      </c>
      <c r="O33" s="47">
        <v>10</v>
      </c>
      <c r="P33" s="47">
        <v>130</v>
      </c>
      <c r="Q33" s="47">
        <v>131</v>
      </c>
      <c r="R33" s="111">
        <v>26</v>
      </c>
      <c r="S33" s="100"/>
      <c r="T33" s="48">
        <v>101.3389</v>
      </c>
      <c r="U33" s="48">
        <v>138.26740000000001</v>
      </c>
      <c r="V33" s="48">
        <v>32.215600000000002</v>
      </c>
      <c r="W33" s="48">
        <v>38.450099999999999</v>
      </c>
      <c r="X33" s="48">
        <v>25.479099999999999</v>
      </c>
      <c r="Y33" s="48">
        <v>25.986499999999999</v>
      </c>
      <c r="Z33" s="48">
        <v>23.2864</v>
      </c>
      <c r="AA33" s="101">
        <v>23.663900000000002</v>
      </c>
      <c r="AB33" s="90">
        <v>12.5586</v>
      </c>
      <c r="AC33" s="48">
        <v>22.869700000000002</v>
      </c>
      <c r="AD33" s="48">
        <v>13.167</v>
      </c>
      <c r="AE33" s="51"/>
      <c r="AF33" s="51"/>
      <c r="AG33" s="118"/>
      <c r="AH33" s="100">
        <f t="shared" si="0"/>
        <v>310</v>
      </c>
      <c r="AI33" s="47">
        <f t="shared" si="1"/>
        <v>131</v>
      </c>
      <c r="AJ33" s="49">
        <f t="shared" si="2"/>
        <v>76.999999999999886</v>
      </c>
      <c r="AK33" s="123">
        <f t="shared" si="2"/>
        <v>60.000000000000107</v>
      </c>
      <c r="AL33" s="53">
        <f t="shared" si="3"/>
        <v>0.24209034473122085</v>
      </c>
      <c r="AM33" s="53">
        <f t="shared" si="11"/>
        <v>0.10128350999061832</v>
      </c>
      <c r="AN33" s="53">
        <f t="shared" si="12"/>
        <v>7.5353813601613126E-2</v>
      </c>
      <c r="AO33" s="53">
        <f t="shared" ref="AO33:AO43" si="17">(100*S33/1000/8.314/298*44)/G33</f>
        <v>0</v>
      </c>
      <c r="AP33" s="53">
        <f t="shared" si="6"/>
        <v>0.4349448115791188</v>
      </c>
      <c r="AQ33" s="52">
        <f t="shared" ref="AQ33:AQ44" si="18">AE33*(U33-T33-J33)/1000/G33</f>
        <v>0</v>
      </c>
      <c r="AR33" s="52"/>
      <c r="AS33" s="52">
        <f t="shared" ref="AS33:AS44" si="19">(AF33)*(U33-T33-J33)/1000/G33</f>
        <v>0</v>
      </c>
      <c r="AT33" s="128">
        <f t="shared" ref="AT33:AT44" si="20">(AG33)*(U33-T33-J33)/1000/G33</f>
        <v>0</v>
      </c>
      <c r="AU33" s="3">
        <v>72.438091278076172</v>
      </c>
      <c r="AV33" s="3">
        <v>9.1876530647277832</v>
      </c>
      <c r="AW33" s="3">
        <v>3.4338536262512207</v>
      </c>
      <c r="AX33" s="3">
        <v>1.2242113351821899</v>
      </c>
      <c r="AY33" s="3">
        <f>100-SUM(AU33:AX33)</f>
        <v>13.716190695762634</v>
      </c>
      <c r="AZ33" s="3">
        <v>65.959173202514648</v>
      </c>
      <c r="BA33" s="3">
        <v>7.8598024845123291</v>
      </c>
      <c r="BB33" s="3">
        <v>5.0539364814758301</v>
      </c>
      <c r="BC33" s="3">
        <v>1.1716831922531128</v>
      </c>
      <c r="BD33" s="3">
        <f>100-SUM(AZ33:BC33)</f>
        <v>19.95540463924408</v>
      </c>
      <c r="BE33" s="3">
        <f t="shared" si="13"/>
        <v>69.67417267312139</v>
      </c>
      <c r="BF33" s="3">
        <f t="shared" si="13"/>
        <v>8.6211895162688226</v>
      </c>
      <c r="BG33" s="3">
        <f t="shared" si="13"/>
        <v>4.1249840114329253</v>
      </c>
      <c r="BH33" s="3">
        <f t="shared" si="13"/>
        <v>1.2018027308701471</v>
      </c>
      <c r="BI33" s="3">
        <f t="shared" si="13"/>
        <v>16.377851068306704</v>
      </c>
      <c r="BJ33" s="6">
        <f t="shared" si="14"/>
        <v>0.36061441132706917</v>
      </c>
      <c r="BK33" s="6">
        <f t="shared" si="14"/>
        <v>0.23144605991693196</v>
      </c>
      <c r="BL33" s="6">
        <f t="shared" si="14"/>
        <v>0.20970028770738014</v>
      </c>
      <c r="BM33" s="6">
        <f t="shared" si="14"/>
        <v>2.4360271575727097E-2</v>
      </c>
      <c r="BN33" s="6">
        <f t="shared" si="15"/>
        <v>0.14563616090797635</v>
      </c>
      <c r="BO33" s="6">
        <f t="shared" si="15"/>
        <v>9.0015436754832798E-2</v>
      </c>
      <c r="BP33" s="6">
        <f t="shared" si="15"/>
        <v>0.10960473010459149</v>
      </c>
      <c r="BQ33" s="6">
        <f t="shared" si="15"/>
        <v>1.0131690158950076E-2</v>
      </c>
      <c r="BR33" s="6">
        <f t="shared" si="16"/>
        <v>0.21497825041909285</v>
      </c>
      <c r="BS33" s="6">
        <f t="shared" si="16"/>
        <v>0.14143062316209914</v>
      </c>
      <c r="BT33" s="6">
        <f t="shared" si="16"/>
        <v>0.10009555760278867</v>
      </c>
      <c r="BU33" s="6">
        <f t="shared" si="16"/>
        <v>1.4228581416777021E-2</v>
      </c>
      <c r="BV33" s="6"/>
      <c r="BW33" s="6"/>
      <c r="BX33" s="6"/>
    </row>
    <row r="34" spans="1:76">
      <c r="A34" s="81">
        <v>22</v>
      </c>
      <c r="B34" s="92" t="s">
        <v>89</v>
      </c>
      <c r="C34" s="56">
        <v>220</v>
      </c>
      <c r="D34" s="135" t="s">
        <v>122</v>
      </c>
      <c r="E34" s="93">
        <v>0</v>
      </c>
      <c r="F34" s="102" t="s">
        <v>42</v>
      </c>
      <c r="G34" s="55">
        <v>4.9898999999999996</v>
      </c>
      <c r="H34" s="55">
        <v>0</v>
      </c>
      <c r="I34" s="55">
        <v>49.606499999999997</v>
      </c>
      <c r="J34" s="103">
        <v>0</v>
      </c>
      <c r="K34" s="112">
        <v>0</v>
      </c>
      <c r="L34" s="57">
        <v>0.59930555555555554</v>
      </c>
      <c r="M34" s="57">
        <v>0.61736111111111114</v>
      </c>
      <c r="N34" s="57">
        <v>0.65902777777777777</v>
      </c>
      <c r="O34" s="54">
        <v>10</v>
      </c>
      <c r="P34" s="54">
        <v>22</v>
      </c>
      <c r="Q34" s="54">
        <v>23</v>
      </c>
      <c r="R34" s="113">
        <v>25</v>
      </c>
      <c r="S34" s="102"/>
      <c r="T34" s="55">
        <v>101.3449</v>
      </c>
      <c r="U34" s="55">
        <v>147.17420000000001</v>
      </c>
      <c r="V34" s="55">
        <v>49.532400000000003</v>
      </c>
      <c r="W34" s="55">
        <v>50.338999999999999</v>
      </c>
      <c r="X34" s="55">
        <v>23.44</v>
      </c>
      <c r="Y34" s="55">
        <v>23.809100000000001</v>
      </c>
      <c r="Z34" s="55">
        <v>22.761700000000001</v>
      </c>
      <c r="AA34" s="103">
        <v>22.8691</v>
      </c>
      <c r="AB34" s="92">
        <v>12.534599999999999</v>
      </c>
      <c r="AC34" s="55">
        <v>28.665700000000001</v>
      </c>
      <c r="AD34" s="55">
        <v>13.520899999999999</v>
      </c>
      <c r="AE34" s="58">
        <f>420.9/20</f>
        <v>21.044999999999998</v>
      </c>
      <c r="AF34" s="58">
        <f>1.777/10</f>
        <v>0.1777</v>
      </c>
      <c r="AG34" s="119">
        <f>57.71/20</f>
        <v>2.8855</v>
      </c>
      <c r="AH34" s="102">
        <f t="shared" si="0"/>
        <v>220</v>
      </c>
      <c r="AI34" s="54">
        <f t="shared" si="1"/>
        <v>23</v>
      </c>
      <c r="AJ34" s="56">
        <f t="shared" si="2"/>
        <v>26.000000000000068</v>
      </c>
      <c r="AK34" s="124">
        <f t="shared" si="2"/>
        <v>59.999999999999943</v>
      </c>
      <c r="AL34" s="60">
        <f t="shared" si="3"/>
        <v>0.16164652598248383</v>
      </c>
      <c r="AM34" s="60">
        <f>(Y34-X34)/(G34*(100)/100)</f>
        <v>7.3969418224814037E-2</v>
      </c>
      <c r="AN34" s="60">
        <f>(AA34-Z34)/(G34*(100)/100)</f>
        <v>2.1523477424396961E-2</v>
      </c>
      <c r="AO34" s="60">
        <f t="shared" si="17"/>
        <v>0</v>
      </c>
      <c r="AP34" s="60">
        <f t="shared" ref="AP34:AP58" si="21">(AD34-AB34)/(AC34-AB34)*(U34-T34-J34)/G34</f>
        <v>0.56156034379831055</v>
      </c>
      <c r="AQ34" s="59">
        <f t="shared" si="18"/>
        <v>0.19328596134191073</v>
      </c>
      <c r="AR34" s="59"/>
      <c r="AS34" s="59">
        <f t="shared" si="19"/>
        <v>1.6320701036092915E-3</v>
      </c>
      <c r="AT34" s="129">
        <f t="shared" si="20"/>
        <v>2.6501622307060275E-2</v>
      </c>
      <c r="AU34" s="3"/>
      <c r="AV34" s="3"/>
      <c r="AW34" s="3"/>
      <c r="AX34" s="3"/>
      <c r="AY34" s="3"/>
      <c r="AZ34" s="3"/>
      <c r="BA34" s="3"/>
      <c r="BB34" s="3"/>
      <c r="BC34" s="3"/>
      <c r="BV34" s="6">
        <f>AG34*(U34-T34-J34)/1000/(G34*$AW$12/100)</f>
        <v>0.76272282185149243</v>
      </c>
      <c r="BW34" s="6">
        <f>AF34*(U34-T34-J34)/1000/(G34*$AU$12/100)</f>
        <v>4.7821984218230059E-3</v>
      </c>
      <c r="BX34" s="6">
        <f>AE34*(U34-T34-J34)/1000/(G34*$AU$12/100)</f>
        <v>0.56635546306845885</v>
      </c>
    </row>
    <row r="35" spans="1:76">
      <c r="A35" s="81">
        <v>23</v>
      </c>
      <c r="B35" s="92" t="s">
        <v>89</v>
      </c>
      <c r="C35" s="56">
        <v>220</v>
      </c>
      <c r="D35" s="135" t="s">
        <v>122</v>
      </c>
      <c r="E35" s="93">
        <v>0.5</v>
      </c>
      <c r="F35" s="102" t="s">
        <v>42</v>
      </c>
      <c r="G35" s="55">
        <v>5.0038999999999998</v>
      </c>
      <c r="H35" s="55">
        <v>0</v>
      </c>
      <c r="I35" s="55">
        <v>25.109000000000002</v>
      </c>
      <c r="J35" s="103">
        <v>19.787800000000001</v>
      </c>
      <c r="K35" s="112">
        <v>0</v>
      </c>
      <c r="L35" s="57">
        <v>0.40902777777777777</v>
      </c>
      <c r="M35" s="57">
        <v>0.4284722222222222</v>
      </c>
      <c r="N35" s="57">
        <v>0.47013888888888888</v>
      </c>
      <c r="O35" s="54">
        <v>10</v>
      </c>
      <c r="P35" s="54">
        <v>35</v>
      </c>
      <c r="Q35" s="54">
        <v>35</v>
      </c>
      <c r="R35" s="113">
        <v>23</v>
      </c>
      <c r="S35" s="102"/>
      <c r="T35" s="55">
        <v>101.56359999999999</v>
      </c>
      <c r="U35" s="55">
        <v>142.46780000000001</v>
      </c>
      <c r="V35" s="55">
        <v>48.214700000000001</v>
      </c>
      <c r="W35" s="55">
        <v>49.243899999999996</v>
      </c>
      <c r="X35" s="55">
        <v>23.119800000000001</v>
      </c>
      <c r="Y35" s="55">
        <v>23.214099999999998</v>
      </c>
      <c r="Z35" s="55">
        <v>23.275200000000002</v>
      </c>
      <c r="AA35" s="103">
        <v>23.368600000000001</v>
      </c>
      <c r="AB35" s="92">
        <v>12.1144</v>
      </c>
      <c r="AC35" s="55">
        <v>22.213699999999999</v>
      </c>
      <c r="AD35" s="55">
        <v>12.773099999999999</v>
      </c>
      <c r="AE35" s="58">
        <f>1775/20</f>
        <v>88.75</v>
      </c>
      <c r="AF35" s="58">
        <f>0</f>
        <v>0</v>
      </c>
      <c r="AG35" s="119">
        <f>79.7/20</f>
        <v>3.9850000000000003</v>
      </c>
      <c r="AH35" s="102">
        <f t="shared" si="0"/>
        <v>220</v>
      </c>
      <c r="AI35" s="54">
        <f t="shared" si="1"/>
        <v>35</v>
      </c>
      <c r="AJ35" s="56">
        <f t="shared" si="2"/>
        <v>27.999999999999979</v>
      </c>
      <c r="AK35" s="124">
        <f t="shared" si="2"/>
        <v>60.000000000000028</v>
      </c>
      <c r="AL35" s="60">
        <f t="shared" si="3"/>
        <v>0.20567956993544953</v>
      </c>
      <c r="AM35" s="60">
        <f t="shared" ref="AM35:AM58" si="22">(Y35-X35)/(G35*(100)/100)</f>
        <v>1.8845300665480316E-2</v>
      </c>
      <c r="AN35" s="60">
        <f t="shared" ref="AN35:AN58" si="23">(AA35-Z35)/(G35*(100)/100)</f>
        <v>1.8665440956054085E-2</v>
      </c>
      <c r="AO35" s="60">
        <f t="shared" si="17"/>
        <v>0</v>
      </c>
      <c r="AP35" s="60">
        <f t="shared" si="21"/>
        <v>0.27523752785195738</v>
      </c>
      <c r="AQ35" s="59">
        <f t="shared" si="18"/>
        <v>0.37452397130238441</v>
      </c>
      <c r="AR35" s="59"/>
      <c r="AS35" s="59">
        <f t="shared" si="19"/>
        <v>0</v>
      </c>
      <c r="AT35" s="129">
        <f t="shared" si="20"/>
        <v>1.6816653810028191E-2</v>
      </c>
      <c r="AU35" s="3"/>
      <c r="AV35" s="3"/>
      <c r="AW35" s="3"/>
      <c r="AX35" s="3"/>
      <c r="AY35" s="3"/>
      <c r="AZ35" s="3"/>
      <c r="BA35" s="3"/>
      <c r="BB35" s="3"/>
      <c r="BC35" s="3"/>
      <c r="BV35" s="6">
        <f>AG35*(U35-T35-J35)/1000/(G35*$AW$12/100)</f>
        <v>0.48398718763218018</v>
      </c>
      <c r="BW35" s="6">
        <f>AF35*(U35-T35-J35)/1000/(G35*$AU$12/100)</f>
        <v>0</v>
      </c>
      <c r="BX35" s="6">
        <f>AE35*(U35-T35-J35)/1000/(G35*$AU$12/100)</f>
        <v>1.097408708447192</v>
      </c>
    </row>
    <row r="36" spans="1:76">
      <c r="A36" s="81">
        <v>21</v>
      </c>
      <c r="B36" s="92" t="s">
        <v>89</v>
      </c>
      <c r="C36" s="56">
        <v>220</v>
      </c>
      <c r="D36" s="135" t="s">
        <v>122</v>
      </c>
      <c r="E36" s="93">
        <v>1</v>
      </c>
      <c r="F36" s="102" t="s">
        <v>42</v>
      </c>
      <c r="G36" s="55">
        <v>5.0010000000000003</v>
      </c>
      <c r="H36" s="55">
        <v>0</v>
      </c>
      <c r="I36" s="55">
        <v>0</v>
      </c>
      <c r="J36" s="103">
        <v>39.006500000000003</v>
      </c>
      <c r="K36" s="112">
        <v>0</v>
      </c>
      <c r="L36" s="57">
        <v>0.46180555555555558</v>
      </c>
      <c r="M36" s="57">
        <v>0.48194444444444445</v>
      </c>
      <c r="N36" s="57">
        <v>0.52430555555555558</v>
      </c>
      <c r="O36" s="54">
        <v>10</v>
      </c>
      <c r="P36" s="54">
        <v>36</v>
      </c>
      <c r="Q36" s="54">
        <v>36</v>
      </c>
      <c r="R36" s="113">
        <v>23</v>
      </c>
      <c r="S36" s="102"/>
      <c r="T36" s="55">
        <v>101.565</v>
      </c>
      <c r="U36" s="55">
        <v>132.91040000000001</v>
      </c>
      <c r="V36" s="55">
        <v>50.924300000000002</v>
      </c>
      <c r="W36" s="55">
        <v>53.921700000000001</v>
      </c>
      <c r="X36" s="55">
        <v>23.255700000000001</v>
      </c>
      <c r="Y36" s="55">
        <v>23.3154</v>
      </c>
      <c r="Z36" s="55">
        <v>23.344200000000001</v>
      </c>
      <c r="AA36" s="103">
        <v>23.449100000000001</v>
      </c>
      <c r="AB36" s="92">
        <v>12.4733</v>
      </c>
      <c r="AC36" s="55">
        <v>20.286100000000001</v>
      </c>
      <c r="AD36" s="55">
        <v>12.696300000000001</v>
      </c>
      <c r="AE36" s="58">
        <f>1949/20</f>
        <v>97.45</v>
      </c>
      <c r="AF36" s="58">
        <f>0</f>
        <v>0</v>
      </c>
      <c r="AG36" s="119">
        <f>30.59/20</f>
        <v>1.5295000000000001</v>
      </c>
      <c r="AH36" s="102">
        <f t="shared" si="0"/>
        <v>220</v>
      </c>
      <c r="AI36" s="54">
        <f t="shared" si="1"/>
        <v>36</v>
      </c>
      <c r="AJ36" s="56">
        <f t="shared" si="2"/>
        <v>28.999999999999979</v>
      </c>
      <c r="AK36" s="124">
        <f t="shared" si="2"/>
        <v>61.000000000000021</v>
      </c>
      <c r="AL36" s="60">
        <f t="shared" si="3"/>
        <v>0.59936012797440485</v>
      </c>
      <c r="AM36" s="60">
        <f t="shared" si="22"/>
        <v>1.1937612477504382E-2</v>
      </c>
      <c r="AN36" s="60">
        <f t="shared" si="23"/>
        <v>2.0975804839032323E-2</v>
      </c>
      <c r="AO36" s="60">
        <f t="shared" si="17"/>
        <v>0</v>
      </c>
      <c r="AP36" s="60">
        <f t="shared" si="21"/>
        <v>-4.3725263241433304E-2</v>
      </c>
      <c r="AQ36" s="59">
        <f t="shared" si="18"/>
        <v>-0.1492849820035991</v>
      </c>
      <c r="AR36" s="59">
        <f t="shared" ref="AR36:AR42" si="24">(AE36-AU36)*(U36-T36)/G36/1000</f>
        <v>0.61079968606278767</v>
      </c>
      <c r="AS36" s="59">
        <f t="shared" si="19"/>
        <v>0</v>
      </c>
      <c r="AT36" s="129">
        <f t="shared" si="20"/>
        <v>-2.3430618776244722E-3</v>
      </c>
      <c r="AU36" s="3"/>
      <c r="AV36" s="3"/>
      <c r="AW36" s="3"/>
      <c r="AX36" s="3"/>
      <c r="AY36" s="3"/>
      <c r="AZ36" s="3"/>
      <c r="BA36" s="3"/>
      <c r="BB36" s="3"/>
      <c r="BC36" s="3"/>
      <c r="BV36" s="6"/>
      <c r="BW36" s="6"/>
      <c r="BX36" s="6"/>
    </row>
    <row r="37" spans="1:76">
      <c r="A37" s="81">
        <v>20</v>
      </c>
      <c r="B37" s="92" t="s">
        <v>89</v>
      </c>
      <c r="C37" s="56">
        <v>310</v>
      </c>
      <c r="D37" s="135" t="s">
        <v>122</v>
      </c>
      <c r="E37" s="93">
        <v>0</v>
      </c>
      <c r="F37" s="102" t="s">
        <v>42</v>
      </c>
      <c r="G37" s="55">
        <v>5.0080999999999998</v>
      </c>
      <c r="H37" s="55">
        <v>0</v>
      </c>
      <c r="I37" s="55">
        <v>49.706299999999999</v>
      </c>
      <c r="J37" s="103">
        <v>0</v>
      </c>
      <c r="K37" s="112">
        <v>180</v>
      </c>
      <c r="L37" s="57">
        <v>0.55902777777777779</v>
      </c>
      <c r="M37" s="57">
        <v>0.60277777777777775</v>
      </c>
      <c r="N37" s="57">
        <v>0.64444444444444449</v>
      </c>
      <c r="O37" s="54">
        <v>10</v>
      </c>
      <c r="P37" s="54">
        <v>94</v>
      </c>
      <c r="Q37" s="54">
        <v>95</v>
      </c>
      <c r="R37" s="113">
        <v>24</v>
      </c>
      <c r="S37" s="102"/>
      <c r="T37" s="55">
        <v>101.3203</v>
      </c>
      <c r="U37" s="55">
        <v>130.84049999999999</v>
      </c>
      <c r="V37" s="55">
        <v>48.856999999999999</v>
      </c>
      <c r="W37" s="55">
        <v>49.223799999999997</v>
      </c>
      <c r="X37" s="55">
        <v>23.212299999999999</v>
      </c>
      <c r="Y37" s="55">
        <v>23.278400000000001</v>
      </c>
      <c r="Z37" s="55">
        <v>23.799099999999999</v>
      </c>
      <c r="AA37" s="103">
        <v>24.0624</v>
      </c>
      <c r="AB37" s="92">
        <v>18.770700000000001</v>
      </c>
      <c r="AC37" s="55">
        <v>31.4312</v>
      </c>
      <c r="AD37" s="55">
        <v>19.8872</v>
      </c>
      <c r="AE37" s="58">
        <f>347/20</f>
        <v>17.350000000000001</v>
      </c>
      <c r="AF37" s="58">
        <f>6.303/20</f>
        <v>0.31514999999999999</v>
      </c>
      <c r="AG37" s="119">
        <f>43.84/20</f>
        <v>2.1920000000000002</v>
      </c>
      <c r="AH37" s="102">
        <f t="shared" si="0"/>
        <v>310</v>
      </c>
      <c r="AI37" s="54">
        <f t="shared" si="1"/>
        <v>95</v>
      </c>
      <c r="AJ37" s="56">
        <f t="shared" si="2"/>
        <v>62.999999999999936</v>
      </c>
      <c r="AK37" s="124">
        <f t="shared" si="2"/>
        <v>60.000000000000107</v>
      </c>
      <c r="AL37" s="60">
        <f t="shared" si="3"/>
        <v>7.3241349014595919E-2</v>
      </c>
      <c r="AM37" s="60">
        <f t="shared" si="22"/>
        <v>1.3198618238454158E-2</v>
      </c>
      <c r="AN37" s="60">
        <f t="shared" si="23"/>
        <v>5.2574828777380844E-2</v>
      </c>
      <c r="AO37" s="60">
        <f t="shared" si="17"/>
        <v>0</v>
      </c>
      <c r="AP37" s="60">
        <f t="shared" si="21"/>
        <v>0.51982142233164197</v>
      </c>
      <c r="AQ37" s="59">
        <f t="shared" si="18"/>
        <v>0.10226941754357935</v>
      </c>
      <c r="AR37" s="59">
        <f t="shared" si="24"/>
        <v>0.10226941754357936</v>
      </c>
      <c r="AS37" s="59">
        <f t="shared" si="19"/>
        <v>1.857648814919829E-3</v>
      </c>
      <c r="AT37" s="129">
        <f t="shared" si="20"/>
        <v>1.2920724106946745E-2</v>
      </c>
      <c r="AU37" s="3"/>
      <c r="AV37" s="3"/>
      <c r="AW37" s="3"/>
      <c r="AX37" s="3"/>
      <c r="AY37" s="3"/>
      <c r="AZ37" s="3"/>
      <c r="BA37" s="3"/>
      <c r="BB37" s="3"/>
      <c r="BC37" s="3"/>
      <c r="BD37" s="39"/>
      <c r="BV37" s="6">
        <f>AG37*(U37-T37-J37)/1000/(G37*$AW$12/100)</f>
        <v>0.37186142935066963</v>
      </c>
      <c r="BW37" s="6">
        <f>AF37*(U37-T37-J37)/1000/(G37*$AU$12/100)</f>
        <v>5.4431762528858122E-3</v>
      </c>
      <c r="BX37" s="6">
        <f>AE37*(U37-T37-J37)/1000/(G37*$AU$12/100)</f>
        <v>0.29966399488360734</v>
      </c>
    </row>
    <row r="38" spans="1:76">
      <c r="A38" s="81">
        <v>16</v>
      </c>
      <c r="B38" s="92" t="s">
        <v>89</v>
      </c>
      <c r="C38" s="56">
        <v>310</v>
      </c>
      <c r="D38" s="135" t="s">
        <v>122</v>
      </c>
      <c r="E38" s="93">
        <v>0.3</v>
      </c>
      <c r="F38" s="102" t="s">
        <v>42</v>
      </c>
      <c r="G38" s="55">
        <v>5.0114000000000001</v>
      </c>
      <c r="H38" s="55">
        <v>0</v>
      </c>
      <c r="I38" s="55">
        <v>35.0062</v>
      </c>
      <c r="J38" s="103">
        <f>7.699+3.753</f>
        <v>11.452</v>
      </c>
      <c r="K38" s="112">
        <v>180</v>
      </c>
      <c r="L38" s="57">
        <v>0.40069444444444446</v>
      </c>
      <c r="M38" s="57">
        <v>0.45</v>
      </c>
      <c r="N38" s="57">
        <v>0.49305555555555558</v>
      </c>
      <c r="O38" s="54">
        <v>10</v>
      </c>
      <c r="P38" s="54">
        <v>112</v>
      </c>
      <c r="Q38" s="54">
        <v>114</v>
      </c>
      <c r="R38" s="113">
        <v>21</v>
      </c>
      <c r="S38" s="102">
        <v>880</v>
      </c>
      <c r="T38" s="55">
        <v>101.479</v>
      </c>
      <c r="U38" s="55">
        <v>144.48480000000001</v>
      </c>
      <c r="V38" s="55">
        <v>48.8352</v>
      </c>
      <c r="W38" s="55">
        <v>49.025199999999998</v>
      </c>
      <c r="X38" s="55">
        <v>22.442</v>
      </c>
      <c r="Y38" s="55">
        <v>22.609200000000001</v>
      </c>
      <c r="Z38" s="55">
        <v>23.206700000000001</v>
      </c>
      <c r="AA38" s="103">
        <v>23.448599999999999</v>
      </c>
      <c r="AB38" s="92">
        <v>12.4732</v>
      </c>
      <c r="AC38" s="55">
        <v>23.444500000000001</v>
      </c>
      <c r="AD38" s="55">
        <v>13.3071</v>
      </c>
      <c r="AE38" s="58">
        <f>1426*50/1000</f>
        <v>71.3</v>
      </c>
      <c r="AF38" s="58">
        <f>16.81*50/1000</f>
        <v>0.84049999999999991</v>
      </c>
      <c r="AG38" s="119">
        <f>63.28*50/1000</f>
        <v>3.1640000000000001</v>
      </c>
      <c r="AH38" s="102">
        <f t="shared" si="0"/>
        <v>310</v>
      </c>
      <c r="AI38" s="54">
        <f t="shared" si="1"/>
        <v>114</v>
      </c>
      <c r="AJ38" s="56">
        <f t="shared" si="2"/>
        <v>70.999999999999986</v>
      </c>
      <c r="AK38" s="124">
        <f t="shared" si="2"/>
        <v>62.000000000000021</v>
      </c>
      <c r="AL38" s="60">
        <f t="shared" si="3"/>
        <v>3.7913557089834724E-2</v>
      </c>
      <c r="AM38" s="60">
        <f t="shared" si="22"/>
        <v>3.3363930239055178E-2</v>
      </c>
      <c r="AN38" s="60">
        <f t="shared" si="23"/>
        <v>4.826994452647914E-2</v>
      </c>
      <c r="AO38" s="60">
        <f t="shared" si="17"/>
        <v>0.31185304987438428</v>
      </c>
      <c r="AP38" s="60">
        <f t="shared" si="21"/>
        <v>0.47857331957641874</v>
      </c>
      <c r="AQ38" s="59">
        <f t="shared" si="18"/>
        <v>0.44893361934788695</v>
      </c>
      <c r="AR38" s="59">
        <f t="shared" si="24"/>
        <v>0.61186764975855057</v>
      </c>
      <c r="AS38" s="59">
        <f t="shared" si="19"/>
        <v>5.2921277287783864E-3</v>
      </c>
      <c r="AT38" s="129">
        <f t="shared" si="20"/>
        <v>1.9921822883824887E-2</v>
      </c>
      <c r="AU38" s="3"/>
      <c r="AV38" s="3"/>
      <c r="AW38" s="3"/>
      <c r="AX38" s="3"/>
      <c r="AY38" s="3"/>
      <c r="AZ38" s="3"/>
      <c r="BA38" s="3"/>
      <c r="BB38" s="3"/>
      <c r="BC38" s="3"/>
      <c r="BV38" s="6">
        <f>AG38*(U38-T38-J38)/1000/(G38*$AW$12/100)</f>
        <v>0.57335467203939861</v>
      </c>
      <c r="BW38" s="6">
        <f>AF38*(U38-T38-J38)/1000/(G38*$AU$12/100)</f>
        <v>1.5506689827037212E-2</v>
      </c>
      <c r="BX38" s="6">
        <f>AE38*(U38-T38-J38)/1000/(G38*$AU$12/100)</f>
        <v>1.315439601032425</v>
      </c>
    </row>
    <row r="39" spans="1:76">
      <c r="A39" s="81">
        <v>38</v>
      </c>
      <c r="B39" s="92" t="s">
        <v>89</v>
      </c>
      <c r="C39" s="56">
        <v>310</v>
      </c>
      <c r="D39" s="135" t="s">
        <v>122</v>
      </c>
      <c r="E39" s="93">
        <v>0.3</v>
      </c>
      <c r="F39" s="102" t="s">
        <v>42</v>
      </c>
      <c r="G39" s="55">
        <v>4.9992999999999999</v>
      </c>
      <c r="H39" s="55">
        <v>0</v>
      </c>
      <c r="I39" s="55">
        <v>33.696100000000001</v>
      </c>
      <c r="J39" s="103">
        <v>11.7928</v>
      </c>
      <c r="K39" s="112">
        <v>180</v>
      </c>
      <c r="L39" s="57">
        <v>0.57916666666666672</v>
      </c>
      <c r="M39" s="57">
        <v>0.63680555555555551</v>
      </c>
      <c r="N39" s="57">
        <v>0.67847222222222225</v>
      </c>
      <c r="O39" s="54">
        <v>10</v>
      </c>
      <c r="P39" s="54">
        <v>115</v>
      </c>
      <c r="Q39" s="54">
        <v>116</v>
      </c>
      <c r="R39" s="113">
        <v>26</v>
      </c>
      <c r="S39" s="102"/>
      <c r="T39" s="55">
        <v>101.3557</v>
      </c>
      <c r="U39" s="55">
        <v>144.75880000000001</v>
      </c>
      <c r="V39" s="55">
        <v>49.525500000000001</v>
      </c>
      <c r="W39" s="55">
        <v>49.696100000000001</v>
      </c>
      <c r="X39" s="55">
        <v>25.7867</v>
      </c>
      <c r="Y39" s="55">
        <v>25.8782</v>
      </c>
      <c r="Z39" s="55">
        <v>25.836200000000002</v>
      </c>
      <c r="AA39" s="103">
        <v>26.1374</v>
      </c>
      <c r="AB39" s="92">
        <v>11.4483</v>
      </c>
      <c r="AC39" s="55">
        <v>25.796199999999999</v>
      </c>
      <c r="AD39" s="55">
        <v>12.4755</v>
      </c>
      <c r="AE39" s="58"/>
      <c r="AF39" s="58"/>
      <c r="AG39" s="119"/>
      <c r="AH39" s="102"/>
      <c r="AI39" s="54"/>
      <c r="AJ39" s="56"/>
      <c r="AK39" s="124"/>
      <c r="AL39" s="60">
        <f t="shared" si="3"/>
        <v>3.41247774688457E-2</v>
      </c>
      <c r="AM39" s="60">
        <f t="shared" si="22"/>
        <v>1.8302562358730207E-2</v>
      </c>
      <c r="AN39" s="60">
        <f t="shared" si="23"/>
        <v>6.0248434780868908E-2</v>
      </c>
      <c r="AO39" s="60">
        <f t="shared" si="17"/>
        <v>0</v>
      </c>
      <c r="AP39" s="60">
        <f t="shared" si="21"/>
        <v>0.45267456018686364</v>
      </c>
      <c r="AQ39" s="59">
        <f t="shared" si="18"/>
        <v>0</v>
      </c>
      <c r="AR39" s="59">
        <f t="shared" si="24"/>
        <v>0</v>
      </c>
      <c r="AS39" s="59">
        <f t="shared" si="19"/>
        <v>0</v>
      </c>
      <c r="AT39" s="129">
        <f t="shared" si="20"/>
        <v>0</v>
      </c>
      <c r="AU39" s="3"/>
      <c r="AV39" s="3"/>
      <c r="AW39" s="3"/>
      <c r="AX39" s="3"/>
      <c r="AY39" s="3"/>
      <c r="AZ39" s="3"/>
      <c r="BA39" s="3"/>
      <c r="BB39" s="3"/>
      <c r="BC39" s="3"/>
      <c r="BD39" s="3"/>
      <c r="BV39" s="6"/>
      <c r="BW39" s="6"/>
      <c r="BX39" s="6"/>
    </row>
    <row r="40" spans="1:76">
      <c r="A40" s="81">
        <v>17</v>
      </c>
      <c r="B40" s="92" t="s">
        <v>89</v>
      </c>
      <c r="C40" s="56">
        <v>310</v>
      </c>
      <c r="D40" s="135" t="s">
        <v>122</v>
      </c>
      <c r="E40" s="93">
        <v>0.4</v>
      </c>
      <c r="F40" s="102" t="s">
        <v>42</v>
      </c>
      <c r="G40" s="55">
        <v>5</v>
      </c>
      <c r="H40" s="55">
        <v>0</v>
      </c>
      <c r="I40" s="55">
        <v>29.9314</v>
      </c>
      <c r="J40" s="103">
        <f>7.6695+7.6258</f>
        <v>15.295300000000001</v>
      </c>
      <c r="K40" s="112">
        <v>180</v>
      </c>
      <c r="L40" s="57">
        <v>0.57291666666666663</v>
      </c>
      <c r="M40" s="57">
        <v>0.62152777777777779</v>
      </c>
      <c r="N40" s="57">
        <v>0.66319444444444442</v>
      </c>
      <c r="O40" s="54">
        <v>10</v>
      </c>
      <c r="P40" s="54">
        <v>121</v>
      </c>
      <c r="Q40" s="54">
        <v>126</v>
      </c>
      <c r="R40" s="113">
        <v>26</v>
      </c>
      <c r="S40" s="102">
        <v>320</v>
      </c>
      <c r="T40" s="55">
        <v>102.3455</v>
      </c>
      <c r="U40" s="55">
        <v>144.43340000000001</v>
      </c>
      <c r="V40" s="55">
        <v>48.223100000000002</v>
      </c>
      <c r="W40" s="55">
        <v>48.433199999999999</v>
      </c>
      <c r="X40" s="55">
        <v>23.2166</v>
      </c>
      <c r="Y40" s="55">
        <v>23.350100000000001</v>
      </c>
      <c r="Z40" s="55">
        <v>23.089400000000001</v>
      </c>
      <c r="AA40" s="103">
        <v>23.269500000000001</v>
      </c>
      <c r="AB40" s="92">
        <v>12.535399999999999</v>
      </c>
      <c r="AC40" s="55">
        <v>23.405999999999999</v>
      </c>
      <c r="AD40" s="55">
        <v>13.2607</v>
      </c>
      <c r="AE40" s="58">
        <f>1631*50/1000</f>
        <v>81.55</v>
      </c>
      <c r="AF40" s="58">
        <f>14.75*50/1000</f>
        <v>0.73750000000000004</v>
      </c>
      <c r="AG40" s="119">
        <f>75.7*50/1000</f>
        <v>3.7850000000000001</v>
      </c>
      <c r="AH40" s="102">
        <f>C40</f>
        <v>310</v>
      </c>
      <c r="AI40" s="54">
        <f>MAX(O40:Q40)</f>
        <v>126</v>
      </c>
      <c r="AJ40" s="56">
        <f>(M40-L40)*24*60</f>
        <v>70.000000000000071</v>
      </c>
      <c r="AK40" s="124">
        <f>(N40-M40)*24*60</f>
        <v>59.999999999999943</v>
      </c>
      <c r="AL40" s="60">
        <f t="shared" si="3"/>
        <v>4.2019999999999412E-2</v>
      </c>
      <c r="AM40" s="60">
        <f t="shared" si="22"/>
        <v>2.67000000000003E-2</v>
      </c>
      <c r="AN40" s="60">
        <f t="shared" si="23"/>
        <v>3.6019999999999899E-2</v>
      </c>
      <c r="AO40" s="60">
        <f t="shared" si="17"/>
        <v>0.11365966357385375</v>
      </c>
      <c r="AP40" s="60">
        <f t="shared" si="21"/>
        <v>0.35752714256802792</v>
      </c>
      <c r="AQ40" s="59">
        <f t="shared" si="18"/>
        <v>0.43698730600000008</v>
      </c>
      <c r="AR40" s="59">
        <f t="shared" si="24"/>
        <v>0.68645364900000005</v>
      </c>
      <c r="AS40" s="59">
        <f t="shared" si="19"/>
        <v>3.9519085000000011E-3</v>
      </c>
      <c r="AT40" s="129">
        <f t="shared" si="20"/>
        <v>2.0281998200000005E-2</v>
      </c>
      <c r="AU40" s="3"/>
      <c r="AV40" s="3"/>
      <c r="AW40" s="3"/>
      <c r="AX40" s="3"/>
      <c r="AY40" s="3"/>
      <c r="AZ40" s="3"/>
      <c r="BA40" s="3"/>
      <c r="BB40" s="3"/>
      <c r="BC40" s="3"/>
      <c r="BD40" s="3"/>
      <c r="BV40" s="6">
        <f>AG40*(U40-T40-J40)/1000/(G40*$AW$12/100)</f>
        <v>0.58372060097504541</v>
      </c>
      <c r="BW40" s="6">
        <f>AF40*(U40-T40-J40)/1000/(G40*$AU$12/100)</f>
        <v>1.1579656137377048E-2</v>
      </c>
      <c r="BX40" s="6">
        <f>AE40*(U40-T40-J40)/1000/(G40*$AU$12/100)</f>
        <v>1.2804351972923367</v>
      </c>
    </row>
    <row r="41" spans="1:76">
      <c r="A41" s="81">
        <v>37</v>
      </c>
      <c r="B41" s="92" t="s">
        <v>89</v>
      </c>
      <c r="C41" s="56">
        <v>310</v>
      </c>
      <c r="D41" s="135" t="s">
        <v>122</v>
      </c>
      <c r="E41" s="93">
        <v>0.4</v>
      </c>
      <c r="F41" s="102" t="s">
        <v>42</v>
      </c>
      <c r="G41" s="55">
        <v>5.0110999999999999</v>
      </c>
      <c r="H41" s="55">
        <v>0</v>
      </c>
      <c r="I41" s="55">
        <v>29.820499999999999</v>
      </c>
      <c r="J41" s="103">
        <v>16.342700000000001</v>
      </c>
      <c r="K41" s="112">
        <v>180</v>
      </c>
      <c r="L41" s="57">
        <v>0.40069444444444446</v>
      </c>
      <c r="M41" s="57">
        <v>0.45902777777777781</v>
      </c>
      <c r="N41" s="57">
        <v>0.50069444444444444</v>
      </c>
      <c r="O41" s="54">
        <v>10</v>
      </c>
      <c r="P41" s="54">
        <v>122</v>
      </c>
      <c r="Q41" s="54">
        <v>123</v>
      </c>
      <c r="R41" s="113">
        <v>23</v>
      </c>
      <c r="S41" s="102"/>
      <c r="T41" s="55">
        <v>101.47020000000001</v>
      </c>
      <c r="U41" s="55">
        <v>144.87899999999999</v>
      </c>
      <c r="V41" s="55">
        <v>49.892200000000003</v>
      </c>
      <c r="W41" s="55">
        <v>50.067399999999999</v>
      </c>
      <c r="X41" s="55">
        <v>26.174199999999999</v>
      </c>
      <c r="Y41" s="55">
        <v>26.190300000000001</v>
      </c>
      <c r="Z41" s="55">
        <v>26.1097</v>
      </c>
      <c r="AA41" s="103">
        <v>26.232700000000001</v>
      </c>
      <c r="AB41" s="92">
        <v>12.646000000000001</v>
      </c>
      <c r="AC41" s="55">
        <v>24.763400000000001</v>
      </c>
      <c r="AD41" s="55">
        <v>13.6091</v>
      </c>
      <c r="AE41" s="58"/>
      <c r="AF41" s="58"/>
      <c r="AG41" s="119"/>
      <c r="AH41" s="102"/>
      <c r="AI41" s="54"/>
      <c r="AJ41" s="56"/>
      <c r="AK41" s="124"/>
      <c r="AL41" s="60">
        <f t="shared" si="3"/>
        <v>3.4962383508610223E-2</v>
      </c>
      <c r="AM41" s="60">
        <f t="shared" si="22"/>
        <v>3.212867434296174E-3</v>
      </c>
      <c r="AN41" s="60">
        <f t="shared" si="23"/>
        <v>2.454550897008663E-2</v>
      </c>
      <c r="AO41" s="60">
        <f t="shared" si="17"/>
        <v>0</v>
      </c>
      <c r="AP41" s="60">
        <f t="shared" si="21"/>
        <v>0.42929373553053912</v>
      </c>
      <c r="AQ41" s="59">
        <f t="shared" si="18"/>
        <v>0</v>
      </c>
      <c r="AR41" s="59">
        <f t="shared" si="24"/>
        <v>0</v>
      </c>
      <c r="AS41" s="59">
        <f t="shared" si="19"/>
        <v>0</v>
      </c>
      <c r="AT41" s="129">
        <f t="shared" si="20"/>
        <v>0</v>
      </c>
      <c r="AU41" s="3"/>
      <c r="AV41" s="3"/>
      <c r="AW41" s="3"/>
      <c r="AX41" s="3"/>
      <c r="AY41" s="3"/>
      <c r="AZ41" s="3"/>
      <c r="BA41" s="3"/>
      <c r="BB41" s="3"/>
      <c r="BC41" s="3"/>
      <c r="BD41" s="39"/>
      <c r="BV41" s="6"/>
      <c r="BW41" s="6"/>
      <c r="BX41" s="6"/>
    </row>
    <row r="42" spans="1:76">
      <c r="A42" s="81">
        <v>19</v>
      </c>
      <c r="B42" s="92" t="s">
        <v>89</v>
      </c>
      <c r="C42" s="56">
        <v>310</v>
      </c>
      <c r="D42" s="135" t="s">
        <v>122</v>
      </c>
      <c r="E42" s="93">
        <v>0.5</v>
      </c>
      <c r="F42" s="102" t="s">
        <v>42</v>
      </c>
      <c r="G42" s="55">
        <v>5.0004999999999997</v>
      </c>
      <c r="H42" s="55">
        <v>0</v>
      </c>
      <c r="I42" s="55">
        <v>25.0121</v>
      </c>
      <c r="J42" s="103">
        <v>19.971299999999999</v>
      </c>
      <c r="K42" s="112">
        <v>180</v>
      </c>
      <c r="L42" s="57">
        <v>0.39374999999999999</v>
      </c>
      <c r="M42" s="57">
        <v>0.43472222222222223</v>
      </c>
      <c r="N42" s="57">
        <v>0.47638888888888892</v>
      </c>
      <c r="O42" s="54">
        <v>10</v>
      </c>
      <c r="P42" s="54">
        <v>128</v>
      </c>
      <c r="Q42" s="54">
        <v>130</v>
      </c>
      <c r="R42" s="113">
        <v>21</v>
      </c>
      <c r="S42" s="102">
        <v>850</v>
      </c>
      <c r="T42" s="55">
        <v>101.3428</v>
      </c>
      <c r="U42" s="55">
        <v>137.93209999999999</v>
      </c>
      <c r="V42" s="55">
        <v>49.538699999999999</v>
      </c>
      <c r="W42" s="55">
        <v>49.777799999999999</v>
      </c>
      <c r="X42" s="55">
        <v>25.854199999999999</v>
      </c>
      <c r="Y42" s="55">
        <v>25.904399999999999</v>
      </c>
      <c r="Z42" s="55">
        <v>25.4435</v>
      </c>
      <c r="AA42" s="103">
        <v>25.496099999999998</v>
      </c>
      <c r="AB42" s="92">
        <v>12.1143</v>
      </c>
      <c r="AC42" s="55">
        <v>24.994700000000002</v>
      </c>
      <c r="AD42" s="55">
        <v>12.805899999999999</v>
      </c>
      <c r="AE42" s="58">
        <f>1612/20</f>
        <v>80.599999999999994</v>
      </c>
      <c r="AF42" s="58">
        <f>23.79/20</f>
        <v>1.1895</v>
      </c>
      <c r="AG42" s="119">
        <f>80.99/20</f>
        <v>4.0495000000000001</v>
      </c>
      <c r="AH42" s="102">
        <f>C42</f>
        <v>310</v>
      </c>
      <c r="AI42" s="54">
        <f>MAX(O42:Q42)</f>
        <v>130</v>
      </c>
      <c r="AJ42" s="56">
        <f>(M42-L42)*24*60</f>
        <v>59.000000000000028</v>
      </c>
      <c r="AK42" s="124">
        <f>(N42-M42)*24*60</f>
        <v>60.000000000000028</v>
      </c>
      <c r="AL42" s="60">
        <f t="shared" si="3"/>
        <v>4.7815218478152295E-2</v>
      </c>
      <c r="AM42" s="60">
        <f t="shared" si="22"/>
        <v>1.003899610039001E-2</v>
      </c>
      <c r="AN42" s="60">
        <f t="shared" si="23"/>
        <v>1.0518948105189123E-2</v>
      </c>
      <c r="AO42" s="60">
        <f t="shared" si="17"/>
        <v>0.30187829353869516</v>
      </c>
      <c r="AP42" s="60">
        <f t="shared" si="21"/>
        <v>0.17843948346384553</v>
      </c>
      <c r="AQ42" s="59">
        <f t="shared" si="18"/>
        <v>0.26785537446255364</v>
      </c>
      <c r="AR42" s="59">
        <f t="shared" si="24"/>
        <v>0.58976053994600519</v>
      </c>
      <c r="AS42" s="59">
        <f t="shared" si="19"/>
        <v>3.9530268973102679E-3</v>
      </c>
      <c r="AT42" s="129">
        <f t="shared" si="20"/>
        <v>1.3457572442755722E-2</v>
      </c>
      <c r="AU42" s="3"/>
      <c r="AV42" s="3"/>
      <c r="AW42" s="3"/>
      <c r="AX42" s="3"/>
      <c r="AY42" s="3"/>
      <c r="AZ42" s="3"/>
      <c r="BA42" s="3"/>
      <c r="BB42" s="3"/>
      <c r="BC42" s="3"/>
      <c r="BD42" s="4"/>
      <c r="BV42" s="6">
        <f>AG42*(U42-T42-J42)/1000/(G42*$AW$12/100)</f>
        <v>0.38731204866937513</v>
      </c>
      <c r="BW42" s="6">
        <f>AF42*(U42-T42-J42)/1000/(G42*$AU$12/100)</f>
        <v>1.1582933201174921E-2</v>
      </c>
      <c r="BX42" s="6">
        <f>AE42*(U42-T42-J42)/1000/(G42*$AU$12/100)</f>
        <v>0.78485449013425679</v>
      </c>
    </row>
    <row r="43" spans="1:76">
      <c r="A43" s="81">
        <v>36</v>
      </c>
      <c r="B43" s="92" t="s">
        <v>89</v>
      </c>
      <c r="C43" s="56">
        <v>310</v>
      </c>
      <c r="D43" s="135" t="s">
        <v>122</v>
      </c>
      <c r="E43" s="93">
        <v>0.5</v>
      </c>
      <c r="F43" s="102" t="s">
        <v>42</v>
      </c>
      <c r="G43" s="55">
        <v>4.9991000000000003</v>
      </c>
      <c r="H43" s="55">
        <v>0</v>
      </c>
      <c r="I43" s="55">
        <v>24.992999999999999</v>
      </c>
      <c r="J43" s="103">
        <v>19.945699999999999</v>
      </c>
      <c r="K43" s="112">
        <v>180</v>
      </c>
      <c r="L43" s="57">
        <v>0.55625000000000002</v>
      </c>
      <c r="M43" s="57">
        <v>0.60902777777777783</v>
      </c>
      <c r="N43" s="57">
        <v>0.65069444444444446</v>
      </c>
      <c r="O43" s="54">
        <v>10</v>
      </c>
      <c r="P43" s="54">
        <v>127</v>
      </c>
      <c r="Q43" s="54">
        <v>128</v>
      </c>
      <c r="R43" s="113">
        <v>24</v>
      </c>
      <c r="S43" s="102"/>
      <c r="T43" s="55">
        <v>101.37269999999999</v>
      </c>
      <c r="U43" s="55">
        <v>143.6439</v>
      </c>
      <c r="V43" s="55">
        <v>32.219900000000003</v>
      </c>
      <c r="W43" s="55">
        <v>32.407899999999998</v>
      </c>
      <c r="X43" s="55">
        <v>26.186299999999999</v>
      </c>
      <c r="Y43" s="55">
        <v>26.225899999999999</v>
      </c>
      <c r="Z43" s="55">
        <v>26.1206</v>
      </c>
      <c r="AA43" s="103">
        <v>26.217400000000001</v>
      </c>
      <c r="AB43" s="92">
        <v>12.5549</v>
      </c>
      <c r="AC43" s="55">
        <v>24.385400000000001</v>
      </c>
      <c r="AD43" s="55">
        <v>13.1677</v>
      </c>
      <c r="AE43" s="58"/>
      <c r="AF43" s="58"/>
      <c r="AG43" s="119"/>
      <c r="AH43" s="102"/>
      <c r="AI43" s="54"/>
      <c r="AJ43" s="56"/>
      <c r="AK43" s="124"/>
      <c r="AL43" s="60">
        <f t="shared" si="3"/>
        <v>3.7606769218458375E-2</v>
      </c>
      <c r="AM43" s="60">
        <f t="shared" si="22"/>
        <v>7.9214258566542139E-3</v>
      </c>
      <c r="AN43" s="60">
        <f t="shared" si="23"/>
        <v>1.9363485427377283E-2</v>
      </c>
      <c r="AO43" s="60">
        <f t="shared" si="17"/>
        <v>0</v>
      </c>
      <c r="AP43" s="60">
        <f t="shared" si="21"/>
        <v>0.23132630802245646</v>
      </c>
      <c r="AQ43" s="59">
        <f t="shared" si="18"/>
        <v>0</v>
      </c>
      <c r="AR43" s="59">
        <f>(AE43-AU43)*(U43-T43)/G43/1000</f>
        <v>0</v>
      </c>
      <c r="AS43" s="59">
        <f t="shared" si="19"/>
        <v>0</v>
      </c>
      <c r="AT43" s="129">
        <f t="shared" si="20"/>
        <v>0</v>
      </c>
      <c r="AU43" s="3"/>
      <c r="AV43" s="3"/>
      <c r="AW43" s="3"/>
      <c r="AX43" s="3"/>
      <c r="AY43" s="3"/>
      <c r="AZ43" s="3"/>
      <c r="BA43" s="3"/>
      <c r="BB43" s="3"/>
      <c r="BC43" s="3"/>
      <c r="BV43" s="6"/>
      <c r="BW43" s="6"/>
      <c r="BX43" s="6"/>
    </row>
    <row r="44" spans="1:76" s="39" customFormat="1">
      <c r="A44" s="81">
        <v>29</v>
      </c>
      <c r="B44" s="92" t="s">
        <v>89</v>
      </c>
      <c r="C44" s="56">
        <v>310</v>
      </c>
      <c r="D44" s="135" t="s">
        <v>122</v>
      </c>
      <c r="E44" s="93">
        <v>1</v>
      </c>
      <c r="F44" s="102" t="s">
        <v>42</v>
      </c>
      <c r="G44" s="55">
        <v>5.0038999999999998</v>
      </c>
      <c r="H44" s="55">
        <v>0</v>
      </c>
      <c r="I44" s="55">
        <v>0</v>
      </c>
      <c r="J44" s="103">
        <v>38.840600000000002</v>
      </c>
      <c r="K44" s="112">
        <v>180</v>
      </c>
      <c r="L44" s="57">
        <v>0.41041666666666665</v>
      </c>
      <c r="M44" s="57">
        <v>0.45416666666666666</v>
      </c>
      <c r="N44" s="57">
        <v>0.49583333333333335</v>
      </c>
      <c r="O44" s="54">
        <v>10</v>
      </c>
      <c r="P44" s="54">
        <v>136</v>
      </c>
      <c r="Q44" s="54">
        <v>161</v>
      </c>
      <c r="R44" s="113">
        <v>23</v>
      </c>
      <c r="S44" s="102">
        <f>1000+890+740</f>
        <v>2630</v>
      </c>
      <c r="T44" s="55">
        <v>101.41289999999999</v>
      </c>
      <c r="U44" s="55">
        <v>132.27340000000001</v>
      </c>
      <c r="V44" s="55">
        <v>32.2057</v>
      </c>
      <c r="W44" s="55">
        <v>34.933100000000003</v>
      </c>
      <c r="X44" s="55">
        <v>23.379300000000001</v>
      </c>
      <c r="Y44" s="55">
        <v>23.4633</v>
      </c>
      <c r="Z44" s="55">
        <v>23.667100000000001</v>
      </c>
      <c r="AA44" s="103">
        <v>23.727499999999999</v>
      </c>
      <c r="AB44" s="92">
        <v>13.0601</v>
      </c>
      <c r="AC44" s="55">
        <v>23.645399999999999</v>
      </c>
      <c r="AD44" s="55">
        <v>13.4421</v>
      </c>
      <c r="AE44" s="58"/>
      <c r="AF44" s="58"/>
      <c r="AG44" s="119"/>
      <c r="AH44" s="102">
        <f>C44</f>
        <v>310</v>
      </c>
      <c r="AI44" s="54">
        <f>MAX(O44:Q44)</f>
        <v>161</v>
      </c>
      <c r="AJ44" s="56">
        <f>(M44-L44)*24*60</f>
        <v>63.000000000000014</v>
      </c>
      <c r="AK44" s="124">
        <f>(N44-M44)*24*60</f>
        <v>60.000000000000028</v>
      </c>
      <c r="AL44" s="60">
        <f t="shared" si="3"/>
        <v>0.5450548572113757</v>
      </c>
      <c r="AM44" s="60">
        <f t="shared" si="22"/>
        <v>1.6786906213153666E-2</v>
      </c>
      <c r="AN44" s="60">
        <f t="shared" si="23"/>
        <v>1.2070584943743438E-2</v>
      </c>
      <c r="AO44" s="60"/>
      <c r="AP44" s="60">
        <f t="shared" si="21"/>
        <v>-5.7551931501307697E-2</v>
      </c>
      <c r="AQ44" s="59">
        <f t="shared" si="18"/>
        <v>0</v>
      </c>
      <c r="AR44" s="59"/>
      <c r="AS44" s="59">
        <f t="shared" si="19"/>
        <v>0</v>
      </c>
      <c r="AT44" s="129">
        <f t="shared" si="20"/>
        <v>0</v>
      </c>
      <c r="AU44" s="3"/>
      <c r="AV44" s="3"/>
      <c r="AW44" s="3"/>
      <c r="AX44" s="3"/>
      <c r="AY44" s="3"/>
      <c r="AZ44" s="3"/>
      <c r="BA44" s="3"/>
      <c r="BB44" s="3"/>
      <c r="BC44" s="3"/>
      <c r="BD44"/>
      <c r="BV44" s="6"/>
      <c r="BW44" s="6"/>
      <c r="BX44" s="6"/>
    </row>
    <row r="45" spans="1:76" s="39" customFormat="1">
      <c r="A45" s="81">
        <v>51</v>
      </c>
      <c r="B45" s="92" t="s">
        <v>89</v>
      </c>
      <c r="C45" s="56">
        <v>220</v>
      </c>
      <c r="D45" s="135" t="s">
        <v>123</v>
      </c>
      <c r="E45" s="93">
        <v>0</v>
      </c>
      <c r="F45" s="102" t="s">
        <v>42</v>
      </c>
      <c r="G45" s="55">
        <v>4.9852999999999996</v>
      </c>
      <c r="H45" s="55">
        <v>0</v>
      </c>
      <c r="I45" s="55">
        <v>49.970399999999998</v>
      </c>
      <c r="J45" s="103">
        <v>0</v>
      </c>
      <c r="K45" s="112">
        <v>180</v>
      </c>
      <c r="L45" s="57">
        <v>0.49722222222222223</v>
      </c>
      <c r="M45" s="57">
        <v>0.51597222222222217</v>
      </c>
      <c r="N45" s="57">
        <v>0.55763888888888891</v>
      </c>
      <c r="O45" s="54">
        <v>10</v>
      </c>
      <c r="P45" s="54">
        <v>26</v>
      </c>
      <c r="Q45" s="54">
        <v>25</v>
      </c>
      <c r="R45" s="113">
        <v>23</v>
      </c>
      <c r="S45" s="102"/>
      <c r="T45" s="55">
        <f>53.3736+AB45</f>
        <v>72.143600000000006</v>
      </c>
      <c r="U45" s="55">
        <f>84.9421+AC45</f>
        <v>121.6876</v>
      </c>
      <c r="V45" s="55">
        <v>51.270499999999998</v>
      </c>
      <c r="W45" s="55">
        <v>52.039700000000003</v>
      </c>
      <c r="X45" s="55">
        <v>26.155899999999999</v>
      </c>
      <c r="Y45" s="55">
        <v>26.3873</v>
      </c>
      <c r="Z45" s="55">
        <v>25.413799999999998</v>
      </c>
      <c r="AA45" s="103">
        <v>25.602599999999999</v>
      </c>
      <c r="AB45" s="92">
        <v>18.77</v>
      </c>
      <c r="AC45" s="55">
        <v>36.7455</v>
      </c>
      <c r="AD45" s="55">
        <v>19.820499999999999</v>
      </c>
      <c r="AE45" s="58"/>
      <c r="AF45" s="58"/>
      <c r="AG45" s="119"/>
      <c r="AH45" s="102"/>
      <c r="AI45" s="54"/>
      <c r="AJ45" s="56"/>
      <c r="AK45" s="124"/>
      <c r="AL45" s="60">
        <f t="shared" si="3"/>
        <v>0.15429362325236295</v>
      </c>
      <c r="AM45" s="60">
        <f t="shared" si="22"/>
        <v>4.6416464405351882E-2</v>
      </c>
      <c r="AN45" s="60">
        <f t="shared" si="23"/>
        <v>3.7871341744729614E-2</v>
      </c>
      <c r="AO45" s="60"/>
      <c r="AP45" s="60">
        <f t="shared" si="21"/>
        <v>0.58078427135540367</v>
      </c>
      <c r="AQ45" s="59"/>
      <c r="AR45" s="59"/>
      <c r="AS45" s="59"/>
      <c r="AT45" s="129"/>
      <c r="AU45" s="3"/>
      <c r="AV45" s="3"/>
      <c r="AW45" s="3"/>
      <c r="AX45" s="3"/>
      <c r="AY45" s="3"/>
      <c r="AZ45" s="3"/>
      <c r="BA45" s="3"/>
      <c r="BB45" s="3"/>
      <c r="BC45" s="3"/>
      <c r="BD45"/>
      <c r="BV45" s="6"/>
      <c r="BW45" s="6"/>
      <c r="BX45" s="6"/>
    </row>
    <row r="46" spans="1:76">
      <c r="A46" s="81">
        <v>43</v>
      </c>
      <c r="B46" s="92" t="s">
        <v>89</v>
      </c>
      <c r="C46" s="56">
        <v>220</v>
      </c>
      <c r="D46" s="135" t="s">
        <v>123</v>
      </c>
      <c r="E46" s="93">
        <v>0.5</v>
      </c>
      <c r="F46" s="102" t="s">
        <v>42</v>
      </c>
      <c r="G46" s="55">
        <v>5.0141999999999998</v>
      </c>
      <c r="H46" s="55">
        <v>0</v>
      </c>
      <c r="I46" s="55">
        <v>25.2014</v>
      </c>
      <c r="J46" s="103">
        <v>19.605899999999998</v>
      </c>
      <c r="K46" s="112">
        <v>180</v>
      </c>
      <c r="L46" s="57">
        <v>0.67152777777777783</v>
      </c>
      <c r="M46" s="57">
        <v>0.69374999999999998</v>
      </c>
      <c r="N46" s="57">
        <v>0.73541666666666661</v>
      </c>
      <c r="O46" s="54">
        <v>10</v>
      </c>
      <c r="P46" s="54">
        <v>35</v>
      </c>
      <c r="Q46" s="54">
        <v>35</v>
      </c>
      <c r="R46" s="113">
        <v>26</v>
      </c>
      <c r="S46" s="102"/>
      <c r="T46" s="55">
        <v>33.944400000000002</v>
      </c>
      <c r="U46" s="55">
        <v>59.374299999999998</v>
      </c>
      <c r="V46" s="55">
        <v>49.526200000000003</v>
      </c>
      <c r="W46" s="55">
        <v>50.143799999999999</v>
      </c>
      <c r="X46" s="55">
        <v>25.857700000000001</v>
      </c>
      <c r="Y46" s="55">
        <v>26.184200000000001</v>
      </c>
      <c r="Z46" s="55">
        <v>25.8447</v>
      </c>
      <c r="AA46" s="103">
        <v>26.243300000000001</v>
      </c>
      <c r="AB46" s="92">
        <v>12.646000000000001</v>
      </c>
      <c r="AC46" s="55">
        <v>21.8688</v>
      </c>
      <c r="AD46" s="55">
        <v>13.350899999999999</v>
      </c>
      <c r="AE46" s="58"/>
      <c r="AF46" s="58"/>
      <c r="AG46" s="119"/>
      <c r="AH46" s="102">
        <f t="shared" ref="AH46:AH58" si="25">C46</f>
        <v>220</v>
      </c>
      <c r="AI46" s="54">
        <f>MAX(O46:Q46)</f>
        <v>35</v>
      </c>
      <c r="AJ46" s="56">
        <f>(M46-L46)*24*60</f>
        <v>31.999999999999886</v>
      </c>
      <c r="AK46" s="124">
        <f>(N46-M46)*24*60</f>
        <v>59.999999999999943</v>
      </c>
      <c r="AL46" s="60">
        <f t="shared" si="3"/>
        <v>0.12317019664153722</v>
      </c>
      <c r="AM46" s="60">
        <f t="shared" si="22"/>
        <v>6.5115073192134207E-2</v>
      </c>
      <c r="AN46" s="60">
        <f t="shared" si="23"/>
        <v>7.9494236368713223E-2</v>
      </c>
      <c r="AO46" s="60">
        <f t="shared" ref="AO46:AO58" si="26">(100*S46/1000/8.314/298*44)/G46</f>
        <v>0</v>
      </c>
      <c r="AP46" s="60">
        <f t="shared" si="21"/>
        <v>8.8773722935662436E-2</v>
      </c>
      <c r="AQ46" s="59">
        <f t="shared" ref="AQ46:AQ52" si="27">AE46*(U46-T46-J46)/1000/G46</f>
        <v>0</v>
      </c>
      <c r="AR46" s="59"/>
      <c r="AS46" s="59">
        <f t="shared" ref="AS46:AS52" si="28">(AF46)*(U46-T46-J46)/1000/G46</f>
        <v>0</v>
      </c>
      <c r="AT46" s="129">
        <f t="shared" ref="AT46:AT52" si="29">(AG46)*(U46-T46-J46)/1000/G46</f>
        <v>0</v>
      </c>
      <c r="AU46" s="3"/>
      <c r="AV46" s="3"/>
      <c r="AW46" s="3"/>
      <c r="AX46" s="3"/>
      <c r="AY46" s="3"/>
      <c r="AZ46" s="3"/>
      <c r="BA46" s="3"/>
      <c r="BB46" s="3"/>
      <c r="BC46" s="3"/>
      <c r="BV46" s="6"/>
      <c r="BW46" s="6"/>
      <c r="BX46" s="6"/>
    </row>
    <row r="47" spans="1:76">
      <c r="A47" s="81">
        <v>47</v>
      </c>
      <c r="B47" s="92" t="s">
        <v>89</v>
      </c>
      <c r="C47" s="56">
        <v>220</v>
      </c>
      <c r="D47" s="135" t="s">
        <v>123</v>
      </c>
      <c r="E47" s="93">
        <v>1</v>
      </c>
      <c r="F47" s="102" t="s">
        <v>42</v>
      </c>
      <c r="G47" s="55">
        <v>5.0053000000000001</v>
      </c>
      <c r="H47" s="55">
        <v>0</v>
      </c>
      <c r="I47" s="55">
        <v>0</v>
      </c>
      <c r="J47" s="103">
        <v>39.173099999999998</v>
      </c>
      <c r="K47" s="112">
        <v>180</v>
      </c>
      <c r="L47" s="57">
        <v>0.39027777777777778</v>
      </c>
      <c r="M47" s="57">
        <v>0.41111111111111115</v>
      </c>
      <c r="N47" s="57">
        <v>0.45277777777777778</v>
      </c>
      <c r="O47" s="54">
        <v>10</v>
      </c>
      <c r="P47" s="54">
        <v>36</v>
      </c>
      <c r="Q47" s="54">
        <v>36</v>
      </c>
      <c r="R47" s="113">
        <v>22</v>
      </c>
      <c r="S47" s="102"/>
      <c r="T47" s="55">
        <v>101.4402</v>
      </c>
      <c r="U47" s="55">
        <v>132.6619</v>
      </c>
      <c r="V47" s="55">
        <v>49.223500000000001</v>
      </c>
      <c r="W47" s="55">
        <v>50.779000000000003</v>
      </c>
      <c r="X47" s="55">
        <v>25.5212</v>
      </c>
      <c r="Y47" s="55">
        <v>25.8399</v>
      </c>
      <c r="Z47" s="55">
        <v>22.544799999999999</v>
      </c>
      <c r="AA47" s="103">
        <v>23.167100000000001</v>
      </c>
      <c r="AB47" s="92"/>
      <c r="AC47" s="55"/>
      <c r="AD47" s="55"/>
      <c r="AE47" s="58"/>
      <c r="AF47" s="58"/>
      <c r="AG47" s="119"/>
      <c r="AH47" s="102">
        <f t="shared" si="25"/>
        <v>220</v>
      </c>
      <c r="AI47" s="54"/>
      <c r="AJ47" s="56"/>
      <c r="AK47" s="124"/>
      <c r="AL47" s="60">
        <f t="shared" si="3"/>
        <v>0.31077058318182765</v>
      </c>
      <c r="AM47" s="60">
        <f t="shared" si="22"/>
        <v>6.3672507142428975E-2</v>
      </c>
      <c r="AN47" s="60">
        <f t="shared" si="23"/>
        <v>0.12432821209517965</v>
      </c>
      <c r="AO47" s="60">
        <f t="shared" si="26"/>
        <v>0</v>
      </c>
      <c r="AP47" s="60" t="e">
        <f t="shared" si="21"/>
        <v>#DIV/0!</v>
      </c>
      <c r="AQ47" s="59">
        <f t="shared" si="27"/>
        <v>0</v>
      </c>
      <c r="AR47" s="59"/>
      <c r="AS47" s="59">
        <f t="shared" si="28"/>
        <v>0</v>
      </c>
      <c r="AT47" s="129">
        <f t="shared" si="29"/>
        <v>0</v>
      </c>
      <c r="AU47" s="3">
        <v>83.309791564941406</v>
      </c>
      <c r="AV47" s="3">
        <v>13.668367385864258</v>
      </c>
      <c r="AW47" s="3">
        <v>1.7057492733001709</v>
      </c>
      <c r="AX47" s="3">
        <v>0.80034363269805908</v>
      </c>
      <c r="AY47" s="3">
        <f>100-SUM(AU47:AX47)</f>
        <v>0.51574814319610596</v>
      </c>
      <c r="AZ47" s="3">
        <v>53.170818328857422</v>
      </c>
      <c r="BA47" s="3">
        <v>8.6251876354217529</v>
      </c>
      <c r="BB47" s="3">
        <v>9.0915732383728027</v>
      </c>
      <c r="BC47" s="3">
        <v>1.0109017789363861</v>
      </c>
      <c r="BD47" s="3">
        <f>100-SUM(AZ47:BC47)</f>
        <v>28.101519018411636</v>
      </c>
      <c r="BE47" s="3">
        <f>(AU47*$AM47+AZ47*$AN47)/($AM47+$AN47)</f>
        <v>63.378353685222912</v>
      </c>
      <c r="BF47" s="3">
        <f>(AV47*$AM47+BA47*$AN47)/($AM47+$AN47)</f>
        <v>10.333223115194356</v>
      </c>
      <c r="BG47" s="3">
        <f>(AW47*$AM47+BB47*$AN47)/($AM47+$AN47)</f>
        <v>6.5901257381935894</v>
      </c>
      <c r="BH47" s="3">
        <f>(AX47*$AM47+BC47*$AN47)/($AM47+$AN47)</f>
        <v>0.93958947159722062</v>
      </c>
      <c r="BI47" s="3">
        <f>(AY47*$AM47+BD47*$AN47)/($AM47+$AN47)</f>
        <v>18.758707989791912</v>
      </c>
      <c r="BJ47" s="6">
        <f>BE47*($AM47+$AN47)/AU$12</f>
        <v>0.34913167090534941</v>
      </c>
      <c r="BK47" s="6">
        <f>BF47*($AM47+$AN47)/AV$12</f>
        <v>0.29525376314265517</v>
      </c>
      <c r="BL47" s="6">
        <f>BG47*($AM47+$AN47)/AW$12</f>
        <v>0.35657221001069456</v>
      </c>
      <c r="BM47" s="6">
        <f>BH47*($AM47+$AN47)/AX$12</f>
        <v>2.0270483879085439E-2</v>
      </c>
      <c r="BN47" s="6">
        <f>AZ47*($AN47)/AU$12</f>
        <v>0.19370097871722422</v>
      </c>
      <c r="BO47" s="6">
        <f>BA47*($AN47)/AV$12</f>
        <v>0.16298152007787658</v>
      </c>
      <c r="BP47" s="6">
        <f>BB47*($AN47)/AW$12</f>
        <v>0.32531419273793949</v>
      </c>
      <c r="BQ47" s="6">
        <f>BC47*($AN47)/AX$12</f>
        <v>1.4422651597058208E-2</v>
      </c>
      <c r="BR47" s="6">
        <f>AU47*($AM47)/AU$12</f>
        <v>0.15543069218812522</v>
      </c>
      <c r="BS47" s="6">
        <f>AV47*($AM47)/AV$12</f>
        <v>0.13227224306477861</v>
      </c>
      <c r="BT47" s="6">
        <f>AW47*($AM47)/AW$12</f>
        <v>3.1258017272755081E-2</v>
      </c>
      <c r="BU47" s="6">
        <f>AX47*($AM47)/AX$12</f>
        <v>5.8478322820272313E-3</v>
      </c>
      <c r="BV47" s="6"/>
      <c r="BW47" s="6"/>
      <c r="BX47" s="6"/>
    </row>
    <row r="48" spans="1:76" s="39" customFormat="1">
      <c r="A48" s="81">
        <v>6</v>
      </c>
      <c r="B48" s="92" t="s">
        <v>89</v>
      </c>
      <c r="C48" s="56">
        <v>310</v>
      </c>
      <c r="D48" s="135" t="s">
        <v>123</v>
      </c>
      <c r="E48" s="93">
        <v>0</v>
      </c>
      <c r="F48" s="102" t="s">
        <v>42</v>
      </c>
      <c r="G48" s="55">
        <v>5.0034999999999998</v>
      </c>
      <c r="H48" s="55">
        <v>0</v>
      </c>
      <c r="I48" s="55">
        <v>49.339100000000002</v>
      </c>
      <c r="J48" s="103">
        <v>0</v>
      </c>
      <c r="K48" s="112">
        <v>700</v>
      </c>
      <c r="L48" s="57">
        <v>0.40625</v>
      </c>
      <c r="M48" s="57">
        <v>0.44861111111111113</v>
      </c>
      <c r="N48" s="57">
        <v>0.49027777777777781</v>
      </c>
      <c r="O48" s="54">
        <v>10</v>
      </c>
      <c r="P48" s="54">
        <v>95</v>
      </c>
      <c r="Q48" s="54">
        <v>96</v>
      </c>
      <c r="R48" s="113">
        <v>21</v>
      </c>
      <c r="S48" s="102"/>
      <c r="T48" s="55">
        <v>101.3205</v>
      </c>
      <c r="U48" s="55">
        <v>145.45480000000001</v>
      </c>
      <c r="V48" s="55">
        <v>49.881900000000002</v>
      </c>
      <c r="W48" s="55">
        <v>50.082099999999997</v>
      </c>
      <c r="X48" s="55">
        <v>33.3307</v>
      </c>
      <c r="Y48" s="55">
        <v>33.603000000000002</v>
      </c>
      <c r="Z48" s="55">
        <v>55.667299999999997</v>
      </c>
      <c r="AA48" s="103">
        <v>55.965499999999999</v>
      </c>
      <c r="AB48" s="92">
        <v>12.636699999999999</v>
      </c>
      <c r="AC48" s="55">
        <v>21.0732</v>
      </c>
      <c r="AD48" s="55">
        <v>13.084899999999999</v>
      </c>
      <c r="AE48" s="58">
        <f>237.2*50/1000</f>
        <v>11.86</v>
      </c>
      <c r="AF48" s="58">
        <f>27.12*50/1000</f>
        <v>1.3560000000000001</v>
      </c>
      <c r="AG48" s="119">
        <f>57.63*50/1000</f>
        <v>2.8815</v>
      </c>
      <c r="AH48" s="102">
        <f t="shared" si="25"/>
        <v>310</v>
      </c>
      <c r="AI48" s="54">
        <f t="shared" ref="AI48:AI54" si="30">MAX(O48:Q48)</f>
        <v>96</v>
      </c>
      <c r="AJ48" s="56">
        <f t="shared" ref="AJ48:AK58" si="31">(M48-L48)*24*60</f>
        <v>61.000000000000021</v>
      </c>
      <c r="AK48" s="124">
        <f t="shared" si="31"/>
        <v>60.000000000000028</v>
      </c>
      <c r="AL48" s="60">
        <f t="shared" si="3"/>
        <v>4.0011991605874944E-2</v>
      </c>
      <c r="AM48" s="60">
        <f t="shared" si="22"/>
        <v>5.442190466673355E-2</v>
      </c>
      <c r="AN48" s="60">
        <f t="shared" si="23"/>
        <v>5.9598281203158063E-2</v>
      </c>
      <c r="AO48" s="60">
        <f t="shared" si="26"/>
        <v>0</v>
      </c>
      <c r="AP48" s="60">
        <f t="shared" si="21"/>
        <v>0.46861035383451816</v>
      </c>
      <c r="AQ48" s="59">
        <f t="shared" si="27"/>
        <v>0.10461333026881185</v>
      </c>
      <c r="AR48" s="59">
        <f t="shared" ref="AR48:AR53" si="32">(AE48-AU48)*(U48-T48)/G48/1000</f>
        <v>0.10461333026881185</v>
      </c>
      <c r="AS48" s="59">
        <f t="shared" si="28"/>
        <v>1.196084956530429E-2</v>
      </c>
      <c r="AT48" s="129">
        <f t="shared" si="29"/>
        <v>2.5416805326271615E-2</v>
      </c>
      <c r="AU48" s="3"/>
      <c r="AV48" s="3"/>
      <c r="AW48" s="3"/>
      <c r="AX48" s="3"/>
      <c r="AY48" s="3"/>
      <c r="AZ48" s="3"/>
      <c r="BA48" s="3"/>
      <c r="BB48" s="3"/>
      <c r="BC48" s="3"/>
      <c r="BD48"/>
      <c r="BE48" s="6"/>
      <c r="BV48" s="6">
        <f t="shared" ref="BV48:BV53" si="33">AG48*(U48-T48-J48)/1000/(G48*$AW$12/100)</f>
        <v>0.73150153814316976</v>
      </c>
      <c r="BW48" s="6">
        <f t="shared" ref="BW48:BW53" si="34">AF48*(U48-T48-J48)/1000/(G48*$AU$12/100)</f>
        <v>3.5046996932524985E-2</v>
      </c>
      <c r="BX48" s="6">
        <f t="shared" ref="BX48:BX53" si="35">AE48*(U48-T48-J48)/1000/(G48*$AU$12/100)</f>
        <v>0.30653199381987184</v>
      </c>
    </row>
    <row r="49" spans="1:80">
      <c r="A49" s="81">
        <v>8</v>
      </c>
      <c r="B49" s="92" t="s">
        <v>89</v>
      </c>
      <c r="C49" s="56">
        <v>310</v>
      </c>
      <c r="D49" s="135" t="s">
        <v>123</v>
      </c>
      <c r="E49" s="93">
        <v>0</v>
      </c>
      <c r="F49" s="102" t="s">
        <v>42</v>
      </c>
      <c r="G49" s="55">
        <v>5.0030999999999999</v>
      </c>
      <c r="H49" s="55">
        <v>0</v>
      </c>
      <c r="I49" s="55">
        <v>49.500300000000003</v>
      </c>
      <c r="J49" s="103">
        <v>0</v>
      </c>
      <c r="K49" s="112">
        <v>180</v>
      </c>
      <c r="L49" s="57">
        <v>0.44027777777777777</v>
      </c>
      <c r="M49" s="57">
        <v>0.48125000000000001</v>
      </c>
      <c r="N49" s="57">
        <v>0.5229166666666667</v>
      </c>
      <c r="O49" s="54">
        <v>10</v>
      </c>
      <c r="P49" s="54">
        <v>93</v>
      </c>
      <c r="Q49" s="54">
        <v>93</v>
      </c>
      <c r="R49" s="113">
        <v>23</v>
      </c>
      <c r="S49" s="102"/>
      <c r="T49" s="55">
        <v>101.456</v>
      </c>
      <c r="U49" s="55">
        <v>146.54239999999999</v>
      </c>
      <c r="V49" s="55">
        <v>31.3979</v>
      </c>
      <c r="W49" s="55">
        <v>31.657900000000001</v>
      </c>
      <c r="X49" s="55">
        <v>11.4398</v>
      </c>
      <c r="Y49" s="55">
        <v>11.7121</v>
      </c>
      <c r="Z49" s="55">
        <v>17.805099999999999</v>
      </c>
      <c r="AA49" s="103">
        <v>18.305</v>
      </c>
      <c r="AB49" s="92">
        <v>12.5632</v>
      </c>
      <c r="AC49" s="55">
        <v>25.296600000000002</v>
      </c>
      <c r="AD49" s="55">
        <v>13.2475</v>
      </c>
      <c r="AE49" s="58">
        <f>181.2*50/1000</f>
        <v>9.06</v>
      </c>
      <c r="AF49" s="58">
        <f>11.69*50/1000</f>
        <v>0.58450000000000002</v>
      </c>
      <c r="AG49" s="119">
        <f>34.61*50/1000</f>
        <v>1.7304999999999999</v>
      </c>
      <c r="AH49" s="102">
        <f t="shared" si="25"/>
        <v>310</v>
      </c>
      <c r="AI49" s="54">
        <f t="shared" si="30"/>
        <v>93</v>
      </c>
      <c r="AJ49" s="56">
        <f t="shared" si="31"/>
        <v>59.000000000000028</v>
      </c>
      <c r="AK49" s="124">
        <f t="shared" si="31"/>
        <v>60.000000000000028</v>
      </c>
      <c r="AL49" s="60">
        <f t="shared" si="3"/>
        <v>5.1967779976414934E-2</v>
      </c>
      <c r="AM49" s="60">
        <f t="shared" si="22"/>
        <v>5.4426255721452606E-2</v>
      </c>
      <c r="AN49" s="60">
        <f t="shared" si="23"/>
        <v>9.9918050808498776E-2</v>
      </c>
      <c r="AO49" s="60">
        <f t="shared" si="26"/>
        <v>0</v>
      </c>
      <c r="AP49" s="60">
        <f t="shared" si="21"/>
        <v>0.48429338190613025</v>
      </c>
      <c r="AQ49" s="59">
        <f t="shared" si="27"/>
        <v>8.1645936319481902E-2</v>
      </c>
      <c r="AR49" s="59">
        <f t="shared" si="32"/>
        <v>-0.59086844548035466</v>
      </c>
      <c r="AS49" s="59">
        <f t="shared" si="28"/>
        <v>5.267334412664147E-3</v>
      </c>
      <c r="AT49" s="129">
        <f t="shared" si="29"/>
        <v>1.5594734304731062E-2</v>
      </c>
      <c r="AU49" s="3">
        <v>74.626865386962891</v>
      </c>
      <c r="AV49" s="3">
        <v>9.8783903121948242</v>
      </c>
      <c r="AW49" s="3">
        <v>3.2323814630508423</v>
      </c>
      <c r="AX49" s="3">
        <v>0.8840671181678772</v>
      </c>
      <c r="AY49" s="3">
        <f>100-SUM(AU49:AX49)</f>
        <v>11.378295719623566</v>
      </c>
      <c r="AZ49" s="3">
        <v>71.285137176513672</v>
      </c>
      <c r="BA49" s="3">
        <v>7.8787467479705811</v>
      </c>
      <c r="BB49" s="3">
        <v>5.5176830291748047</v>
      </c>
      <c r="BC49" s="3">
        <v>0.62397220730781555</v>
      </c>
      <c r="BD49" s="3">
        <f>100-SUM(AZ49:BC49)</f>
        <v>14.694460839033127</v>
      </c>
      <c r="BE49" s="3">
        <f>(AU49*$AM49+AZ49*$AN49)/($AM49+$AN49)</f>
        <v>72.463526961161861</v>
      </c>
      <c r="BF49" s="3">
        <f>(AV49*$AM49+BA49*$AN49)/($AM49+$AN49)</f>
        <v>8.5838787636896452</v>
      </c>
      <c r="BG49" s="3">
        <f>(AW49*$AM49+BB49*$AN49)/($AM49+$AN49)</f>
        <v>4.7118197600015934</v>
      </c>
      <c r="BH49" s="3">
        <f>(AX49*$AM49+BC49*$AN49)/($AM49+$AN49)</f>
        <v>0.71568917729900261</v>
      </c>
      <c r="BI49" s="3">
        <f>(AY49*$AM49+BD49*$AN49)/($AM49+$AN49)</f>
        <v>13.525085337847914</v>
      </c>
      <c r="BJ49" s="6">
        <f>BE49*($AM49+$AN49)/AU$12</f>
        <v>0.32771691994649221</v>
      </c>
      <c r="BK49" s="6">
        <f>BF49*($AM49+$AN49)/AV$12</f>
        <v>0.20136051487091897</v>
      </c>
      <c r="BL49" s="6">
        <f>BG49*($AM49+$AN49)/AW$12</f>
        <v>0.20930208952340978</v>
      </c>
      <c r="BM49" s="6">
        <f>BH49*($AM49+$AN49)/AX$12</f>
        <v>1.2675979468237933E-2</v>
      </c>
      <c r="BN49" s="6">
        <f>AZ49*($AN49)/AU$12</f>
        <v>0.2087044577483993</v>
      </c>
      <c r="BO49" s="6">
        <f>BA49*($AN49)/AV$12</f>
        <v>0.11964683594599658</v>
      </c>
      <c r="BP49" s="6">
        <f>BB49*($AN49)/AW$12</f>
        <v>0.15867005876690501</v>
      </c>
      <c r="BQ49" s="6">
        <f>BC49*($AN49)/AX$12</f>
        <v>7.1544402768703346E-3</v>
      </c>
      <c r="BR49" s="6">
        <f>AU49*($AM49)/AU$12</f>
        <v>0.11901246219809293</v>
      </c>
      <c r="BS49" s="6">
        <f>AV49*($AM49)/AV$12</f>
        <v>8.1713678924922359E-2</v>
      </c>
      <c r="BT49" s="6">
        <f>AW49*($AM49)/AW$12</f>
        <v>5.0632030756504742E-2</v>
      </c>
      <c r="BU49" s="6">
        <f>AX49*($AM49)/AX$12</f>
        <v>5.5215391913676004E-3</v>
      </c>
      <c r="BV49" s="6">
        <f t="shared" si="33"/>
        <v>0.44882006154619269</v>
      </c>
      <c r="BW49" s="6">
        <f t="shared" si="34"/>
        <v>1.5434041870965306E-2</v>
      </c>
      <c r="BX49" s="6">
        <f t="shared" si="35"/>
        <v>0.23923425038656232</v>
      </c>
    </row>
    <row r="50" spans="1:80">
      <c r="A50" s="81">
        <v>11</v>
      </c>
      <c r="B50" s="92" t="s">
        <v>89</v>
      </c>
      <c r="C50" s="56">
        <v>310</v>
      </c>
      <c r="D50" s="135" t="s">
        <v>123</v>
      </c>
      <c r="E50" s="93">
        <v>0.1</v>
      </c>
      <c r="F50" s="102" t="s">
        <v>42</v>
      </c>
      <c r="G50" s="55">
        <v>5.0061</v>
      </c>
      <c r="H50" s="55">
        <v>0</v>
      </c>
      <c r="I50" s="55">
        <v>44.607700000000001</v>
      </c>
      <c r="J50" s="103">
        <v>3.7719999999999998</v>
      </c>
      <c r="K50" s="112">
        <v>180</v>
      </c>
      <c r="L50" s="57">
        <v>0.60763888888888895</v>
      </c>
      <c r="M50" s="57">
        <v>0.65</v>
      </c>
      <c r="N50" s="57">
        <v>0.69236111111111109</v>
      </c>
      <c r="O50" s="54">
        <v>10</v>
      </c>
      <c r="P50" s="54">
        <v>95</v>
      </c>
      <c r="Q50" s="54">
        <v>95</v>
      </c>
      <c r="R50" s="113">
        <v>27</v>
      </c>
      <c r="S50" s="102"/>
      <c r="T50" s="55">
        <v>101.34439999999999</v>
      </c>
      <c r="U50" s="55">
        <v>146.41839999999999</v>
      </c>
      <c r="V50" s="55">
        <v>32.208199999999998</v>
      </c>
      <c r="W50" s="55">
        <v>32.441099999999999</v>
      </c>
      <c r="X50" s="55">
        <v>11.2524</v>
      </c>
      <c r="Y50" s="55">
        <v>11.747400000000001</v>
      </c>
      <c r="Z50" s="55">
        <v>23.372299999999999</v>
      </c>
      <c r="AA50" s="103">
        <v>23.771899999999999</v>
      </c>
      <c r="AB50" s="92">
        <v>12.537800000000001</v>
      </c>
      <c r="AC50" s="55">
        <v>19.116399999999999</v>
      </c>
      <c r="AD50" s="55">
        <v>12.9145</v>
      </c>
      <c r="AE50" s="58">
        <f>567.9*50/1000</f>
        <v>28.395</v>
      </c>
      <c r="AF50" s="58">
        <f>13.89*50/1000</f>
        <v>0.69450000000000001</v>
      </c>
      <c r="AG50" s="119">
        <f>37.67*50/1000</f>
        <v>1.8835</v>
      </c>
      <c r="AH50" s="102">
        <f t="shared" si="25"/>
        <v>310</v>
      </c>
      <c r="AI50" s="54">
        <f t="shared" si="30"/>
        <v>95</v>
      </c>
      <c r="AJ50" s="56">
        <f t="shared" si="31"/>
        <v>60.999999999999943</v>
      </c>
      <c r="AK50" s="124">
        <f t="shared" si="31"/>
        <v>60.999999999999943</v>
      </c>
      <c r="AL50" s="60">
        <f t="shared" si="3"/>
        <v>4.6523241645193017E-2</v>
      </c>
      <c r="AM50" s="60">
        <f t="shared" si="22"/>
        <v>9.88793671720503E-2</v>
      </c>
      <c r="AN50" s="60">
        <f t="shared" si="23"/>
        <v>7.9822616407982161E-2</v>
      </c>
      <c r="AO50" s="60">
        <f t="shared" si="26"/>
        <v>0</v>
      </c>
      <c r="AP50" s="60">
        <f t="shared" si="21"/>
        <v>0.47242590227864689</v>
      </c>
      <c r="AQ50" s="59">
        <f t="shared" si="27"/>
        <v>0.23426825073410437</v>
      </c>
      <c r="AR50" s="59">
        <f t="shared" si="32"/>
        <v>0.25566333672919034</v>
      </c>
      <c r="AS50" s="59">
        <f t="shared" si="28"/>
        <v>5.7298573740037157E-3</v>
      </c>
      <c r="AT50" s="129">
        <f t="shared" si="29"/>
        <v>1.5539505203651546E-2</v>
      </c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V50" s="6">
        <f t="shared" si="33"/>
        <v>0.4472305552384046</v>
      </c>
      <c r="BW50" s="6">
        <f t="shared" si="34"/>
        <v>1.6789300184246989E-2</v>
      </c>
      <c r="BX50" s="6">
        <f t="shared" si="35"/>
        <v>0.68643942221986065</v>
      </c>
    </row>
    <row r="51" spans="1:80">
      <c r="A51" s="81">
        <v>14</v>
      </c>
      <c r="B51" s="92" t="s">
        <v>89</v>
      </c>
      <c r="C51" s="56">
        <v>310</v>
      </c>
      <c r="D51" s="135" t="s">
        <v>123</v>
      </c>
      <c r="E51" s="93">
        <v>0.1</v>
      </c>
      <c r="F51" s="102" t="s">
        <v>42</v>
      </c>
      <c r="G51" s="55">
        <v>5.0091999999999999</v>
      </c>
      <c r="H51" s="55">
        <v>0</v>
      </c>
      <c r="I51" s="55">
        <v>44.737499999999997</v>
      </c>
      <c r="J51" s="103">
        <v>3.7366000000000001</v>
      </c>
      <c r="K51" s="112">
        <v>180</v>
      </c>
      <c r="L51" s="57">
        <v>0.40347222222222223</v>
      </c>
      <c r="M51" s="57">
        <v>0.45347222222222222</v>
      </c>
      <c r="N51" s="57">
        <v>0.49513888888888885</v>
      </c>
      <c r="O51" s="54">
        <v>10</v>
      </c>
      <c r="P51" s="54">
        <v>99</v>
      </c>
      <c r="Q51" s="54">
        <v>99</v>
      </c>
      <c r="R51" s="113">
        <v>20</v>
      </c>
      <c r="S51" s="102">
        <v>990</v>
      </c>
      <c r="T51" s="55">
        <v>101.4646</v>
      </c>
      <c r="U51" s="55">
        <v>149.203</v>
      </c>
      <c r="V51" s="55">
        <v>49.531999999999996</v>
      </c>
      <c r="W51" s="55">
        <v>49.770400000000002</v>
      </c>
      <c r="X51" s="55">
        <v>22.911200000000001</v>
      </c>
      <c r="Y51" s="55">
        <v>23.5063</v>
      </c>
      <c r="Z51" s="55">
        <v>23.133299999999998</v>
      </c>
      <c r="AA51" s="103">
        <v>23.448899999999998</v>
      </c>
      <c r="AB51" s="92">
        <v>18.770600000000002</v>
      </c>
      <c r="AC51" s="55">
        <v>31.525300000000001</v>
      </c>
      <c r="AD51" s="55">
        <v>19.4619</v>
      </c>
      <c r="AE51" s="58">
        <f>813.3*50/1000</f>
        <v>40.664999999999999</v>
      </c>
      <c r="AF51" s="58">
        <f>17.4*50/1000</f>
        <v>0.86999999999999988</v>
      </c>
      <c r="AG51" s="119">
        <f>49.43*50/1000</f>
        <v>2.4714999999999998</v>
      </c>
      <c r="AH51" s="102">
        <f>C51</f>
        <v>310</v>
      </c>
      <c r="AI51" s="54">
        <f t="shared" si="30"/>
        <v>99</v>
      </c>
      <c r="AJ51" s="56">
        <f>(M51-L51)*24*60</f>
        <v>71.999999999999986</v>
      </c>
      <c r="AK51" s="124">
        <f>(N51-M51)*24*60</f>
        <v>59.999999999999943</v>
      </c>
      <c r="AL51" s="60">
        <f>(W51-V51-H51)/G51</f>
        <v>4.7592429928931909E-2</v>
      </c>
      <c r="AM51" s="60">
        <f t="shared" si="22"/>
        <v>0.1188014054140379</v>
      </c>
      <c r="AN51" s="60">
        <f t="shared" si="23"/>
        <v>6.3004072506587849E-2</v>
      </c>
      <c r="AO51" s="60">
        <f>(100*S51/1000/8.314/298*44)/G51</f>
        <v>0.35098876485427821</v>
      </c>
      <c r="AP51" s="60">
        <f t="shared" si="21"/>
        <v>0.47610021714278944</v>
      </c>
      <c r="AQ51" s="59">
        <f>AE51*(U51-T51-J51)/1000/G51</f>
        <v>0.35720937415156107</v>
      </c>
      <c r="AR51" s="59">
        <f t="shared" si="32"/>
        <v>0.38754332747744147</v>
      </c>
      <c r="AS51" s="59">
        <f>(AF51)*(U51-T51-J51)/1000/G51</f>
        <v>7.6422514573185321E-3</v>
      </c>
      <c r="AT51" s="129">
        <f>(AG51)*(U51-T51-J51)/1000/G51</f>
        <v>2.1710143076738797E-2</v>
      </c>
      <c r="AY51" s="4"/>
      <c r="BD51" s="4"/>
      <c r="BE51" s="6"/>
      <c r="BF51" s="6"/>
      <c r="BG51" s="6"/>
      <c r="BH51" s="6"/>
      <c r="BV51" s="6">
        <f t="shared" si="33"/>
        <v>0.62482294096684166</v>
      </c>
      <c r="BW51" s="6">
        <f t="shared" si="34"/>
        <v>2.2392887889766983E-2</v>
      </c>
      <c r="BX51" s="6">
        <f t="shared" si="35"/>
        <v>1.0466744667096259</v>
      </c>
    </row>
    <row r="52" spans="1:80">
      <c r="A52" s="81">
        <v>10</v>
      </c>
      <c r="B52" s="92" t="s">
        <v>89</v>
      </c>
      <c r="C52" s="56">
        <v>310</v>
      </c>
      <c r="D52" s="135" t="s">
        <v>123</v>
      </c>
      <c r="E52" s="93">
        <v>0.2</v>
      </c>
      <c r="F52" s="102" t="s">
        <v>42</v>
      </c>
      <c r="G52" s="55">
        <v>5.0023</v>
      </c>
      <c r="H52" s="55">
        <v>0</v>
      </c>
      <c r="I52" s="55">
        <v>39.494199999999999</v>
      </c>
      <c r="J52" s="103">
        <v>8.0069999999999997</v>
      </c>
      <c r="K52" s="112">
        <v>180</v>
      </c>
      <c r="L52" s="57">
        <v>0.42499999999999999</v>
      </c>
      <c r="M52" s="57">
        <v>0.47152777777777777</v>
      </c>
      <c r="N52" s="57">
        <v>0.5131944444444444</v>
      </c>
      <c r="O52" s="54">
        <v>10</v>
      </c>
      <c r="P52" s="54">
        <v>105</v>
      </c>
      <c r="Q52" s="54">
        <v>105</v>
      </c>
      <c r="R52" s="113">
        <v>27</v>
      </c>
      <c r="S52" s="102"/>
      <c r="T52" s="55">
        <v>101.39870000000001</v>
      </c>
      <c r="U52" s="55">
        <v>146.40860000000001</v>
      </c>
      <c r="V52" s="55">
        <v>50.9313</v>
      </c>
      <c r="W52" s="55">
        <v>51.1297</v>
      </c>
      <c r="X52" s="55">
        <v>11.2705</v>
      </c>
      <c r="Y52" s="55">
        <v>11.7372</v>
      </c>
      <c r="Z52" s="55">
        <v>11.3545</v>
      </c>
      <c r="AA52" s="103">
        <v>11.8637</v>
      </c>
      <c r="AB52" s="92">
        <v>12.113899999999999</v>
      </c>
      <c r="AC52" s="55">
        <v>20.063099999999999</v>
      </c>
      <c r="AD52" s="55">
        <v>12.571899999999999</v>
      </c>
      <c r="AE52" s="58">
        <f>1049*50/1000</f>
        <v>52.45</v>
      </c>
      <c r="AF52" s="58">
        <f>19.35*50/1000</f>
        <v>0.96750000000000014</v>
      </c>
      <c r="AG52" s="119">
        <f>49.72*50/1000</f>
        <v>2.4860000000000002</v>
      </c>
      <c r="AH52" s="102">
        <f t="shared" si="25"/>
        <v>310</v>
      </c>
      <c r="AI52" s="54">
        <f t="shared" si="30"/>
        <v>105</v>
      </c>
      <c r="AJ52" s="56">
        <f t="shared" si="31"/>
        <v>67</v>
      </c>
      <c r="AK52" s="124">
        <f t="shared" si="31"/>
        <v>59.999999999999943</v>
      </c>
      <c r="AL52" s="60">
        <f t="shared" si="3"/>
        <v>3.9661755592427378E-2</v>
      </c>
      <c r="AM52" s="60">
        <f t="shared" si="22"/>
        <v>9.3297083341662729E-2</v>
      </c>
      <c r="AN52" s="60">
        <f t="shared" si="23"/>
        <v>0.10179317513943584</v>
      </c>
      <c r="AO52" s="60">
        <f t="shared" si="26"/>
        <v>0</v>
      </c>
      <c r="AP52" s="60">
        <f t="shared" si="21"/>
        <v>0.42619473691525767</v>
      </c>
      <c r="AQ52" s="59">
        <f t="shared" si="27"/>
        <v>0.38798194930332053</v>
      </c>
      <c r="AR52" s="59">
        <f t="shared" si="32"/>
        <v>0.47193676009035845</v>
      </c>
      <c r="AS52" s="59">
        <f t="shared" si="28"/>
        <v>7.156769036243329E-3</v>
      </c>
      <c r="AT52" s="129">
        <f t="shared" si="29"/>
        <v>1.8389382763928597E-2</v>
      </c>
      <c r="BV52" s="6">
        <f t="shared" si="33"/>
        <v>0.52925069081805465</v>
      </c>
      <c r="BW52" s="6">
        <f t="shared" si="34"/>
        <v>2.0970355081430924E-2</v>
      </c>
      <c r="BX52" s="6">
        <f t="shared" si="35"/>
        <v>1.1368425054481157</v>
      </c>
    </row>
    <row r="53" spans="1:80">
      <c r="A53" s="81">
        <v>15</v>
      </c>
      <c r="B53" s="92" t="s">
        <v>89</v>
      </c>
      <c r="C53" s="56">
        <v>310</v>
      </c>
      <c r="D53" s="135" t="s">
        <v>123</v>
      </c>
      <c r="E53" s="93">
        <v>0.2</v>
      </c>
      <c r="F53" s="102" t="s">
        <v>42</v>
      </c>
      <c r="G53" s="55">
        <v>4.9991000000000003</v>
      </c>
      <c r="H53" s="55">
        <v>0</v>
      </c>
      <c r="I53" s="55">
        <v>39.821899999999999</v>
      </c>
      <c r="J53" s="103">
        <v>7.6346999999999996</v>
      </c>
      <c r="K53" s="112">
        <v>180</v>
      </c>
      <c r="L53" s="57">
        <v>0.58680555555555558</v>
      </c>
      <c r="M53" s="57">
        <v>0.63402777777777775</v>
      </c>
      <c r="N53" s="57">
        <v>0.67569444444444438</v>
      </c>
      <c r="O53" s="54">
        <v>10</v>
      </c>
      <c r="P53" s="54">
        <v>106</v>
      </c>
      <c r="Q53" s="54">
        <v>106</v>
      </c>
      <c r="R53" s="113">
        <v>25</v>
      </c>
      <c r="S53" s="102">
        <v>320</v>
      </c>
      <c r="T53" s="55">
        <v>101.319</v>
      </c>
      <c r="U53" s="55">
        <v>147.99959999999999</v>
      </c>
      <c r="V53" s="55">
        <v>50.910899999999998</v>
      </c>
      <c r="W53" s="55">
        <v>51.107999999999997</v>
      </c>
      <c r="X53" s="55">
        <v>23.2135</v>
      </c>
      <c r="Y53" s="55">
        <v>23.9069</v>
      </c>
      <c r="Z53" s="55">
        <v>23.3703</v>
      </c>
      <c r="AA53" s="103">
        <v>23.7224</v>
      </c>
      <c r="AB53" s="92">
        <v>12.5626</v>
      </c>
      <c r="AC53" s="55">
        <v>24.4389</v>
      </c>
      <c r="AD53" s="55">
        <v>13.2294</v>
      </c>
      <c r="AE53" s="58">
        <f>1166*50/1000</f>
        <v>58.3</v>
      </c>
      <c r="AF53" s="58">
        <f>(24.06+24.25)*50/1000</f>
        <v>2.4155000000000002</v>
      </c>
      <c r="AG53" s="119">
        <f>56.46*50/1000</f>
        <v>2.823</v>
      </c>
      <c r="AH53" s="102">
        <f>C53</f>
        <v>310</v>
      </c>
      <c r="AI53" s="54">
        <f t="shared" si="30"/>
        <v>106</v>
      </c>
      <c r="AJ53" s="56">
        <f>(M53-L53)*24*60</f>
        <v>67.999999999999915</v>
      </c>
      <c r="AK53" s="124">
        <f>(N53-M53)*24*60</f>
        <v>59.999999999999943</v>
      </c>
      <c r="AL53" s="60">
        <f>(W53-V53-H53)/G53</f>
        <v>3.9427096877437721E-2</v>
      </c>
      <c r="AM53" s="60">
        <f t="shared" si="22"/>
        <v>0.13870496689404102</v>
      </c>
      <c r="AN53" s="60">
        <f t="shared" si="23"/>
        <v>7.0432677882018777E-2</v>
      </c>
      <c r="AO53" s="60">
        <f>(100*S53/1000/8.314/298*44)/G53</f>
        <v>0.11368012599653313</v>
      </c>
      <c r="AP53" s="60">
        <f t="shared" si="21"/>
        <v>0.43852872374078766</v>
      </c>
      <c r="AQ53" s="59">
        <f>AE53*(U53-T53-J53)/1000/G53</f>
        <v>0.45535715828849166</v>
      </c>
      <c r="AR53" s="59">
        <f t="shared" si="32"/>
        <v>0.54439378688163842</v>
      </c>
      <c r="AS53" s="59">
        <f>(AF53)*(U53-T53-J53)/1000/G53</f>
        <v>1.8866470254645828E-2</v>
      </c>
      <c r="AT53" s="129">
        <f>(AG53)*(U53-T53-J53)/1000/G53</f>
        <v>2.2049284011121988E-2</v>
      </c>
      <c r="BV53" s="6">
        <f t="shared" si="33"/>
        <v>0.63458349552765392</v>
      </c>
      <c r="BW53" s="6">
        <f t="shared" si="34"/>
        <v>5.5281451499914792E-2</v>
      </c>
      <c r="BX53" s="6">
        <f t="shared" si="35"/>
        <v>1.33426148724696</v>
      </c>
    </row>
    <row r="54" spans="1:80">
      <c r="A54" s="81">
        <v>53</v>
      </c>
      <c r="B54" s="92" t="s">
        <v>89</v>
      </c>
      <c r="C54" s="56">
        <v>310</v>
      </c>
      <c r="D54" s="135" t="s">
        <v>123</v>
      </c>
      <c r="E54" s="93">
        <v>0.3</v>
      </c>
      <c r="F54" s="102" t="s">
        <v>42</v>
      </c>
      <c r="G54" s="55">
        <v>5.0023999999999997</v>
      </c>
      <c r="H54" s="55">
        <v>0</v>
      </c>
      <c r="I54" s="55">
        <v>34.783700000000003</v>
      </c>
      <c r="J54" s="103">
        <v>11.785299999999999</v>
      </c>
      <c r="K54" s="112">
        <v>180</v>
      </c>
      <c r="L54" s="57">
        <v>0.39444444444444443</v>
      </c>
      <c r="M54" s="57">
        <v>0.45069444444444445</v>
      </c>
      <c r="N54" s="57">
        <v>0.49236111111111108</v>
      </c>
      <c r="O54" s="54">
        <v>10</v>
      </c>
      <c r="P54" s="54">
        <v>121</v>
      </c>
      <c r="Q54" s="54">
        <v>117</v>
      </c>
      <c r="R54" s="113">
        <v>24</v>
      </c>
      <c r="S54" s="102"/>
      <c r="T54" s="55">
        <f>29.0458+12.0293</f>
        <v>41.075099999999999</v>
      </c>
      <c r="U54" s="55">
        <f>57.3822+26.5085</f>
        <v>83.890699999999995</v>
      </c>
      <c r="V54" s="55">
        <v>49.478900000000003</v>
      </c>
      <c r="W54" s="55">
        <v>49.639699999999998</v>
      </c>
      <c r="X54" s="55">
        <v>25.901800000000001</v>
      </c>
      <c r="Y54" s="55">
        <v>26.077100000000002</v>
      </c>
      <c r="Z54" s="55">
        <v>25.878299999999999</v>
      </c>
      <c r="AA54" s="103">
        <v>26.334900000000001</v>
      </c>
      <c r="AB54" s="92">
        <v>12.029299999999999</v>
      </c>
      <c r="AC54" s="55">
        <v>26.508500000000002</v>
      </c>
      <c r="AD54" s="55">
        <v>13.168100000000001</v>
      </c>
      <c r="AE54" s="58"/>
      <c r="AF54" s="58"/>
      <c r="AG54" s="119"/>
      <c r="AH54" s="102">
        <f t="shared" si="25"/>
        <v>310</v>
      </c>
      <c r="AI54" s="54">
        <f t="shared" si="30"/>
        <v>121</v>
      </c>
      <c r="AJ54" s="56">
        <f t="shared" si="31"/>
        <v>81.000000000000028</v>
      </c>
      <c r="AK54" s="124">
        <f t="shared" si="31"/>
        <v>59.999999999999943</v>
      </c>
      <c r="AL54" s="60">
        <f t="shared" si="3"/>
        <v>3.2144570606108015E-2</v>
      </c>
      <c r="AM54" s="60">
        <f t="shared" si="22"/>
        <v>3.504317927394851E-2</v>
      </c>
      <c r="AN54" s="60">
        <f t="shared" si="23"/>
        <v>9.127618743003392E-2</v>
      </c>
      <c r="AO54" s="60">
        <f t="shared" si="26"/>
        <v>0</v>
      </c>
      <c r="AP54" s="60">
        <f t="shared" si="21"/>
        <v>0.48787711850242987</v>
      </c>
      <c r="AQ54" s="59"/>
      <c r="AR54" s="59"/>
      <c r="AS54" s="59"/>
      <c r="AT54" s="129"/>
      <c r="BV54" s="6"/>
      <c r="BW54" s="6"/>
      <c r="BX54" s="6"/>
    </row>
    <row r="55" spans="1:80">
      <c r="A55" s="81">
        <v>52</v>
      </c>
      <c r="B55" s="92" t="s">
        <v>89</v>
      </c>
      <c r="C55" s="56">
        <v>310</v>
      </c>
      <c r="D55" s="135" t="s">
        <v>123</v>
      </c>
      <c r="E55" s="93">
        <v>0.4</v>
      </c>
      <c r="F55" s="102" t="s">
        <v>42</v>
      </c>
      <c r="G55" s="55">
        <v>5.0250000000000004</v>
      </c>
      <c r="H55" s="55">
        <v>0</v>
      </c>
      <c r="I55" s="55">
        <v>29.9922</v>
      </c>
      <c r="J55" s="103">
        <v>16.274799999999999</v>
      </c>
      <c r="K55" s="112">
        <v>180</v>
      </c>
      <c r="L55" s="57">
        <v>0.61944444444444446</v>
      </c>
      <c r="M55" s="57">
        <v>0.66805555555555562</v>
      </c>
      <c r="N55" s="57">
        <v>0.70972222222222225</v>
      </c>
      <c r="O55" s="54">
        <v>10</v>
      </c>
      <c r="P55" s="54">
        <v>123</v>
      </c>
      <c r="Q55" s="54">
        <v>125</v>
      </c>
      <c r="R55" s="113">
        <v>25</v>
      </c>
      <c r="S55" s="102"/>
      <c r="T55" s="55">
        <f>43.8824+AB55</f>
        <v>56.441299999999998</v>
      </c>
      <c r="U55" s="55">
        <f>63.7565+AC55</f>
        <v>87.735600000000005</v>
      </c>
      <c r="V55" s="55">
        <v>48.203299999999999</v>
      </c>
      <c r="W55" s="55">
        <v>48.389400000000002</v>
      </c>
      <c r="X55" s="55">
        <v>25.831399999999999</v>
      </c>
      <c r="Y55" s="55">
        <v>26.326599999999999</v>
      </c>
      <c r="Z55" s="55">
        <v>26.170200000000001</v>
      </c>
      <c r="AA55" s="103">
        <v>26.757899999999999</v>
      </c>
      <c r="AB55" s="92">
        <v>12.5589</v>
      </c>
      <c r="AC55" s="55">
        <v>23.979099999999999</v>
      </c>
      <c r="AD55" s="55">
        <v>13.4001</v>
      </c>
      <c r="AE55" s="58"/>
      <c r="AF55" s="58"/>
      <c r="AG55" s="119"/>
      <c r="AH55" s="102">
        <f t="shared" si="25"/>
        <v>310</v>
      </c>
      <c r="AI55" s="54"/>
      <c r="AJ55" s="56">
        <f t="shared" si="31"/>
        <v>70.000000000000071</v>
      </c>
      <c r="AK55" s="124">
        <f t="shared" si="31"/>
        <v>59.999999999999943</v>
      </c>
      <c r="AL55" s="60">
        <f t="shared" si="3"/>
        <v>3.7034825870647416E-2</v>
      </c>
      <c r="AM55" s="60">
        <f t="shared" si="22"/>
        <v>9.854726368159214E-2</v>
      </c>
      <c r="AN55" s="60">
        <f t="shared" si="23"/>
        <v>0.11695522388059663</v>
      </c>
      <c r="AO55" s="60">
        <f t="shared" si="26"/>
        <v>0</v>
      </c>
      <c r="AP55" s="60">
        <f t="shared" si="21"/>
        <v>0.22016331888481475</v>
      </c>
      <c r="AQ55" s="59"/>
      <c r="AR55" s="59"/>
      <c r="AS55" s="59"/>
      <c r="AT55" s="129"/>
      <c r="BV55" s="6"/>
      <c r="BW55" s="6"/>
      <c r="BX55" s="6"/>
    </row>
    <row r="56" spans="1:80" s="39" customFormat="1">
      <c r="A56" s="82">
        <v>5</v>
      </c>
      <c r="B56" s="94" t="s">
        <v>89</v>
      </c>
      <c r="C56" s="63">
        <v>310</v>
      </c>
      <c r="D56" s="136" t="s">
        <v>123</v>
      </c>
      <c r="E56" s="95">
        <v>0.5</v>
      </c>
      <c r="F56" s="104" t="s">
        <v>31</v>
      </c>
      <c r="G56" s="62">
        <v>4.9538000000000002</v>
      </c>
      <c r="H56" s="62">
        <v>0</v>
      </c>
      <c r="I56" s="62">
        <v>23.921900000000001</v>
      </c>
      <c r="J56" s="105">
        <v>19.678699999999999</v>
      </c>
      <c r="K56" s="114">
        <v>180</v>
      </c>
      <c r="L56" s="64">
        <v>0.62569444444444444</v>
      </c>
      <c r="M56" s="64">
        <v>0.65972222222222221</v>
      </c>
      <c r="N56" s="64">
        <v>0.70138888888888884</v>
      </c>
      <c r="O56" s="61">
        <v>10</v>
      </c>
      <c r="P56" s="61">
        <v>126</v>
      </c>
      <c r="Q56" s="61">
        <v>128</v>
      </c>
      <c r="R56" s="115">
        <v>25</v>
      </c>
      <c r="S56" s="104">
        <v>780</v>
      </c>
      <c r="T56" s="62">
        <v>101.3387</v>
      </c>
      <c r="U56" s="62">
        <v>144.7749</v>
      </c>
      <c r="V56" s="62">
        <v>48.883400000000002</v>
      </c>
      <c r="W56" s="62">
        <v>49.327800000000003</v>
      </c>
      <c r="X56" s="62"/>
      <c r="Y56" s="62"/>
      <c r="Z56" s="62"/>
      <c r="AA56" s="105"/>
      <c r="AB56" s="94">
        <v>12.472899999999999</v>
      </c>
      <c r="AC56" s="62">
        <v>20.710699999999999</v>
      </c>
      <c r="AD56" s="62">
        <v>12.858700000000001</v>
      </c>
      <c r="AE56" s="67">
        <v>58.2</v>
      </c>
      <c r="AF56" s="67">
        <v>0.65249999999999997</v>
      </c>
      <c r="AG56" s="120">
        <v>3.5249999999999999</v>
      </c>
      <c r="AH56" s="104">
        <f t="shared" si="25"/>
        <v>310</v>
      </c>
      <c r="AI56" s="61">
        <f>MAX(O56:Q56)</f>
        <v>128</v>
      </c>
      <c r="AJ56" s="63">
        <f t="shared" si="31"/>
        <v>48.999999999999986</v>
      </c>
      <c r="AK56" s="125">
        <f t="shared" si="31"/>
        <v>59.999999999999943</v>
      </c>
      <c r="AL56" s="66">
        <f t="shared" si="3"/>
        <v>8.9708910331463054E-2</v>
      </c>
      <c r="AM56" s="66">
        <f t="shared" si="22"/>
        <v>0</v>
      </c>
      <c r="AN56" s="66">
        <f t="shared" si="23"/>
        <v>0</v>
      </c>
      <c r="AO56" s="66">
        <f t="shared" si="26"/>
        <v>0.27962920380442136</v>
      </c>
      <c r="AP56" s="66">
        <f t="shared" si="21"/>
        <v>0.22460180836375276</v>
      </c>
      <c r="AQ56" s="65">
        <f>AE56*(U56-T56-J56)/1000/G56</f>
        <v>0.27911633493479748</v>
      </c>
      <c r="AR56" s="65"/>
      <c r="AS56" s="65">
        <f>(AF56)*(U56-T56-J56)/1000/G56</f>
        <v>3.1292681880576525E-3</v>
      </c>
      <c r="AT56" s="130">
        <f>(AG56)*(U56-T56-J56)/1000/G56</f>
        <v>1.6905241935483869E-2</v>
      </c>
      <c r="BV56" s="6">
        <f>AG56*(U56-T56-J56)/1000/(G56*$AW$12/100)</f>
        <v>0.48653677438001064</v>
      </c>
      <c r="BW56" s="6">
        <f>AF56*(U56-T56-J56)/1000/(G56*$AU$12/100)</f>
        <v>9.169202571198333E-3</v>
      </c>
      <c r="BX56" s="6">
        <f>AE56*(U56-T56-J56)/1000/(G56*$AU$12/100)</f>
        <v>0.81785071209769034</v>
      </c>
    </row>
    <row r="57" spans="1:80">
      <c r="A57" s="81">
        <v>7</v>
      </c>
      <c r="B57" s="92" t="s">
        <v>89</v>
      </c>
      <c r="C57" s="56">
        <v>310</v>
      </c>
      <c r="D57" s="135" t="s">
        <v>123</v>
      </c>
      <c r="E57" s="93">
        <v>0.5</v>
      </c>
      <c r="F57" s="102" t="s">
        <v>42</v>
      </c>
      <c r="G57" s="55">
        <v>5.0003000000000002</v>
      </c>
      <c r="H57" s="55">
        <v>0</v>
      </c>
      <c r="I57" s="55">
        <v>25</v>
      </c>
      <c r="J57" s="103">
        <v>19.755099999999999</v>
      </c>
      <c r="K57" s="112">
        <v>700</v>
      </c>
      <c r="L57" s="57">
        <v>0.6166666666666667</v>
      </c>
      <c r="M57" s="57">
        <v>0.66388888888888886</v>
      </c>
      <c r="N57" s="57">
        <v>0.7055555555555556</v>
      </c>
      <c r="O57" s="54">
        <v>10</v>
      </c>
      <c r="P57" s="54">
        <v>131</v>
      </c>
      <c r="Q57" s="54">
        <v>132</v>
      </c>
      <c r="R57" s="113">
        <v>26</v>
      </c>
      <c r="S57" s="102"/>
      <c r="T57" s="55">
        <v>101.3192</v>
      </c>
      <c r="U57" s="55">
        <v>143.9468</v>
      </c>
      <c r="V57" s="55">
        <v>32.237099999999998</v>
      </c>
      <c r="W57" s="55">
        <v>32.443100000000001</v>
      </c>
      <c r="X57" s="55">
        <v>11.37</v>
      </c>
      <c r="Y57" s="55">
        <v>12.3231</v>
      </c>
      <c r="Z57" s="55">
        <v>11.2242</v>
      </c>
      <c r="AA57" s="103">
        <v>11.6311</v>
      </c>
      <c r="AB57" s="92">
        <v>18.770199999999999</v>
      </c>
      <c r="AC57" s="55">
        <v>27.319500000000001</v>
      </c>
      <c r="AD57" s="55">
        <v>19.2651</v>
      </c>
      <c r="AE57" s="58">
        <f>1623*50/1000</f>
        <v>81.150000000000006</v>
      </c>
      <c r="AF57" s="58">
        <f>31.38*50/1000</f>
        <v>1.569</v>
      </c>
      <c r="AG57" s="119">
        <f>59.25*50/1000</f>
        <v>2.9624999999999999</v>
      </c>
      <c r="AH57" s="102">
        <f t="shared" si="25"/>
        <v>310</v>
      </c>
      <c r="AI57" s="54">
        <f>MAX(O57:Q57)</f>
        <v>132</v>
      </c>
      <c r="AJ57" s="56">
        <f t="shared" si="31"/>
        <v>67.999999999999915</v>
      </c>
      <c r="AK57" s="124">
        <f t="shared" si="31"/>
        <v>60.000000000000107</v>
      </c>
      <c r="AL57" s="60">
        <f t="shared" si="3"/>
        <v>4.1197528148311714E-2</v>
      </c>
      <c r="AM57" s="60">
        <f t="shared" si="22"/>
        <v>0.19060856348619101</v>
      </c>
      <c r="AN57" s="60">
        <f t="shared" si="23"/>
        <v>8.1375117492950469E-2</v>
      </c>
      <c r="AO57" s="60">
        <f t="shared" si="26"/>
        <v>0</v>
      </c>
      <c r="AP57" s="60">
        <f t="shared" si="21"/>
        <v>0.26479176341298449</v>
      </c>
      <c r="AQ57" s="59">
        <f>AE57*(U57-T57-J57)/1000/G57</f>
        <v>0.37119840309581431</v>
      </c>
      <c r="AR57" s="59">
        <f>(AE57-AU57)*(U57-T57)/G57/1000</f>
        <v>0.69180443973361605</v>
      </c>
      <c r="AS57" s="59">
        <f>(AF57)*(U57-T57-J57)/1000/G57</f>
        <v>7.1769598824070555E-3</v>
      </c>
      <c r="AT57" s="129">
        <f>(AG57)*(U57-T57-J57)/1000/G57</f>
        <v>1.3551143181409115E-2</v>
      </c>
      <c r="BV57" s="6">
        <f>AG57*(U57-T57-J57)/1000/(G57*$AW$12/100)</f>
        <v>0.39000503617789573</v>
      </c>
      <c r="BW57" s="6">
        <f>AF57*(U57-T57-J57)/1000/(G57*$AU$12/100)</f>
        <v>2.1029517143431761E-2</v>
      </c>
      <c r="BX57" s="6">
        <f>AE57*(U57-T57-J57)/1000/(G57*$AU$12/100)</f>
        <v>1.0876643187950847</v>
      </c>
    </row>
    <row r="58" spans="1:80">
      <c r="A58" s="81">
        <v>9</v>
      </c>
      <c r="B58" s="92" t="s">
        <v>89</v>
      </c>
      <c r="C58" s="56">
        <v>310</v>
      </c>
      <c r="D58" s="135" t="s">
        <v>123</v>
      </c>
      <c r="E58" s="93">
        <v>0.5</v>
      </c>
      <c r="F58" s="102" t="s">
        <v>42</v>
      </c>
      <c r="G58" s="55">
        <v>5.0003000000000002</v>
      </c>
      <c r="H58" s="55">
        <v>0</v>
      </c>
      <c r="I58" s="55">
        <v>24.823</v>
      </c>
      <c r="J58" s="103">
        <v>19.696999999999999</v>
      </c>
      <c r="K58" s="112">
        <v>180</v>
      </c>
      <c r="L58" s="57">
        <v>0.61388888888888882</v>
      </c>
      <c r="M58" s="57">
        <v>0.65972222222222221</v>
      </c>
      <c r="N58" s="57">
        <v>0.70138888888888884</v>
      </c>
      <c r="O58" s="54">
        <v>10</v>
      </c>
      <c r="P58" s="54">
        <v>109</v>
      </c>
      <c r="Q58" s="54">
        <v>125</v>
      </c>
      <c r="R58" s="113">
        <v>25</v>
      </c>
      <c r="S58" s="102"/>
      <c r="T58" s="55">
        <v>101.3558</v>
      </c>
      <c r="U58" s="55">
        <v>142.7611</v>
      </c>
      <c r="V58" s="55">
        <v>49.536299999999997</v>
      </c>
      <c r="W58" s="55">
        <v>49.767800000000001</v>
      </c>
      <c r="X58" s="55">
        <v>23.450299999999999</v>
      </c>
      <c r="Y58" s="55">
        <v>24.258299999999998</v>
      </c>
      <c r="Z58" s="55">
        <v>23.113099999999999</v>
      </c>
      <c r="AA58" s="103">
        <v>23.7758</v>
      </c>
      <c r="AB58" s="92">
        <v>13.030900000000001</v>
      </c>
      <c r="AC58" s="55">
        <v>16.285</v>
      </c>
      <c r="AD58" s="55">
        <v>13.294600000000001</v>
      </c>
      <c r="AE58" s="58">
        <f>1212*50/1000</f>
        <v>60.6</v>
      </c>
      <c r="AF58" s="58">
        <f>36.89*50/1000</f>
        <v>1.8445</v>
      </c>
      <c r="AG58" s="119">
        <f>64.65*50/1000</f>
        <v>3.2325000000000004</v>
      </c>
      <c r="AH58" s="102">
        <f t="shared" si="25"/>
        <v>310</v>
      </c>
      <c r="AI58" s="54">
        <f>MAX(O58:Q58)</f>
        <v>125</v>
      </c>
      <c r="AJ58" s="56">
        <f t="shared" si="31"/>
        <v>66.000000000000085</v>
      </c>
      <c r="AK58" s="124">
        <f t="shared" si="31"/>
        <v>59.999999999999943</v>
      </c>
      <c r="AL58" s="60">
        <f t="shared" si="3"/>
        <v>4.6297222166670808E-2</v>
      </c>
      <c r="AM58" s="60">
        <f t="shared" si="22"/>
        <v>0.16159030458172505</v>
      </c>
      <c r="AN58" s="60">
        <f t="shared" si="23"/>
        <v>0.13253204807711555</v>
      </c>
      <c r="AO58" s="60">
        <f t="shared" si="26"/>
        <v>0</v>
      </c>
      <c r="AP58" s="60">
        <f t="shared" si="21"/>
        <v>0.35181065498197894</v>
      </c>
      <c r="AQ58" s="59">
        <f>AE58*(U58-T58-J58)/1000/G58</f>
        <v>0.2630888106713597</v>
      </c>
      <c r="AR58" s="59">
        <f>(AE58-AU58)*(U58-T58)/G58/1000</f>
        <v>-4.8464802194097947E-2</v>
      </c>
      <c r="AS58" s="59">
        <f>(AF58)*(U58-T58-J58)/1000/G58</f>
        <v>8.0077114073155604E-3</v>
      </c>
      <c r="AT58" s="129">
        <f>(AG58)*(U58-T58-J58)/1000/G58</f>
        <v>1.4033573935563863E-2</v>
      </c>
      <c r="AU58" s="3">
        <v>66.452838897705078</v>
      </c>
      <c r="AV58" s="3">
        <v>8.7300734519958496</v>
      </c>
      <c r="AW58" s="3">
        <v>3.9963363409042358</v>
      </c>
      <c r="AX58" s="3">
        <v>4.3015949726104736</v>
      </c>
      <c r="AY58" s="3">
        <f>100-SUM(AU58:AX58)</f>
        <v>16.519156336784363</v>
      </c>
      <c r="AZ58" s="3">
        <v>63.735157012939453</v>
      </c>
      <c r="BA58" s="3">
        <v>6.9045419692993164</v>
      </c>
      <c r="BB58" s="3">
        <v>5.8653385639190674</v>
      </c>
      <c r="BC58" s="3">
        <v>1.5140643119812012</v>
      </c>
      <c r="BD58" s="3">
        <f>100-SUM(AZ58:BC58)</f>
        <v>21.980898141860962</v>
      </c>
      <c r="BE58" s="3">
        <f>(AU58*$AM58+AZ58*$AN58)/($AM58+$AN58)</f>
        <v>65.228246672890918</v>
      </c>
      <c r="BF58" s="3">
        <f>(AV58*$AM58+BA58*$AN58)/($AM58+$AN58)</f>
        <v>7.9074857634237468</v>
      </c>
      <c r="BG58" s="3">
        <f>(AW58*$AM58+BB58*$AN58)/($AM58+$AN58)</f>
        <v>4.8385120213230373</v>
      </c>
      <c r="BH58" s="3">
        <f>(AX58*$AM58+BC58*$AN58)/($AM58+$AN58)</f>
        <v>3.0455287668587774</v>
      </c>
      <c r="BI58" s="3">
        <f>(AY58*$AM58+BD58*$AN58)/($AM58+$AN58)</f>
        <v>18.980226775503525</v>
      </c>
      <c r="BJ58" s="6">
        <f>BE58*($AM58+$AN58)/AU$12</f>
        <v>0.56215039281704893</v>
      </c>
      <c r="BK58" s="6">
        <f>BF58*($AM58+$AN58)/AV$12</f>
        <v>0.35348140614508389</v>
      </c>
      <c r="BL58" s="6">
        <f>BG58*($AM58+$AN58)/AW$12</f>
        <v>0.40957565710062865</v>
      </c>
      <c r="BM58" s="6">
        <f>BH58*($AM58+$AN58)/AX$12</f>
        <v>0.10279149930155865</v>
      </c>
      <c r="BN58" s="6">
        <f>AZ58*($AN58)/AU$12</f>
        <v>0.24750772128292248</v>
      </c>
      <c r="BO58" s="6">
        <f>BA58*($AN58)/AV$12</f>
        <v>0.13907718996642449</v>
      </c>
      <c r="BP58" s="6">
        <f>BB58*($AN58)/AW$12</f>
        <v>0.22372178530047085</v>
      </c>
      <c r="BQ58" s="6">
        <f>BC58*($AN58)/AX$12</f>
        <v>2.3026699616041642E-2</v>
      </c>
      <c r="BR58" s="6">
        <f>AU58*($AM58)/AU$12</f>
        <v>0.31464267153412651</v>
      </c>
      <c r="BS58" s="6">
        <f>AV58*($AM58)/AV$12</f>
        <v>0.21440421617865937</v>
      </c>
      <c r="BT58" s="6">
        <f>AW58*($AM58)/AW$12</f>
        <v>0.18585387180015778</v>
      </c>
      <c r="BU58" s="6">
        <f>AX58*($AM58)/AX$12</f>
        <v>7.9764799685517002E-2</v>
      </c>
      <c r="BV58" s="6">
        <f>AG58*(U58-T58-J58)/1000/(G58*$AW$12/100)</f>
        <v>0.40388950490563946</v>
      </c>
      <c r="BW58" s="6">
        <f>AF58*(U58-T58-J58)/1000/(G58*$AU$12/100)</f>
        <v>2.3463737721676956E-2</v>
      </c>
      <c r="BX58" s="6">
        <f>AE58*(U58-T58-J58)/1000/(G58*$AU$12/100)</f>
        <v>0.77088777768155248</v>
      </c>
    </row>
    <row r="59" spans="1:80">
      <c r="A59" s="141"/>
      <c r="B59" s="141"/>
      <c r="C59" s="13"/>
      <c r="D59" s="13"/>
      <c r="E59" s="14"/>
      <c r="F59" s="141"/>
      <c r="G59" s="13"/>
      <c r="H59" s="13"/>
      <c r="I59" s="13"/>
      <c r="J59" s="14"/>
      <c r="K59" s="22"/>
      <c r="L59" s="21"/>
      <c r="M59" s="21"/>
      <c r="N59" s="21"/>
      <c r="O59" s="142"/>
      <c r="P59" s="142"/>
      <c r="Q59" s="142"/>
      <c r="R59" s="143"/>
      <c r="S59" s="141"/>
      <c r="T59" s="13"/>
      <c r="U59" s="13"/>
      <c r="V59" s="13"/>
      <c r="W59" s="13"/>
      <c r="X59" s="13"/>
      <c r="Y59" s="13"/>
      <c r="Z59" s="13"/>
      <c r="AA59" s="14"/>
      <c r="AB59" s="20"/>
      <c r="AC59" s="13"/>
      <c r="AD59" s="13"/>
      <c r="AE59" s="24"/>
      <c r="AF59" s="24"/>
      <c r="AG59" s="25"/>
      <c r="AH59" s="141"/>
      <c r="AI59" s="142"/>
      <c r="AJ59" s="26"/>
      <c r="AK59" s="27"/>
      <c r="AL59" s="28"/>
      <c r="AM59" s="29"/>
      <c r="AN59" s="29"/>
      <c r="AO59" s="30"/>
      <c r="AP59" s="30"/>
      <c r="AQ59" s="29"/>
      <c r="AR59" s="29"/>
      <c r="AS59" s="29"/>
      <c r="AT59" s="31"/>
      <c r="AV59" s="4"/>
    </row>
    <row r="60" spans="1:80">
      <c r="A60" s="141"/>
      <c r="B60" s="196" t="s">
        <v>133</v>
      </c>
      <c r="C60" s="197"/>
      <c r="D60" s="197"/>
      <c r="E60" s="198"/>
      <c r="F60" s="141"/>
      <c r="G60" s="13"/>
      <c r="H60" s="13"/>
      <c r="I60" s="13"/>
      <c r="J60" s="14"/>
      <c r="K60" s="22"/>
      <c r="L60" s="21"/>
      <c r="M60" s="21"/>
      <c r="N60" s="21"/>
      <c r="O60" s="142"/>
      <c r="P60" s="142"/>
      <c r="Q60" s="142"/>
      <c r="R60" s="143"/>
      <c r="S60" s="141"/>
      <c r="T60" s="13"/>
      <c r="U60" s="13"/>
      <c r="V60" s="13"/>
      <c r="W60" s="13"/>
      <c r="X60" s="13"/>
      <c r="Y60" s="13"/>
      <c r="Z60" s="13"/>
      <c r="AA60" s="14"/>
      <c r="AB60" s="20"/>
      <c r="AC60" s="13"/>
      <c r="AD60" s="13"/>
      <c r="AE60" s="24"/>
      <c r="AF60" s="24"/>
      <c r="AG60" s="25"/>
      <c r="AH60" s="141"/>
      <c r="AI60" s="142"/>
      <c r="AJ60" s="26"/>
      <c r="AK60" s="27"/>
      <c r="AL60" s="28"/>
      <c r="AM60" s="29"/>
      <c r="AN60" s="29"/>
      <c r="AO60" s="30"/>
      <c r="AP60" s="30"/>
      <c r="AQ60" s="29"/>
      <c r="AR60" s="29"/>
      <c r="AS60" s="29"/>
      <c r="AT60" s="31"/>
      <c r="AV60" s="4"/>
      <c r="BZ60" t="s">
        <v>246</v>
      </c>
      <c r="CA60" t="s">
        <v>247</v>
      </c>
      <c r="CB60" t="s">
        <v>248</v>
      </c>
    </row>
    <row r="61" spans="1:80">
      <c r="A61" s="15" t="s">
        <v>129</v>
      </c>
      <c r="B61" s="15" t="s">
        <v>124</v>
      </c>
      <c r="C61" s="16" t="s">
        <v>115</v>
      </c>
      <c r="D61" s="137">
        <v>0</v>
      </c>
      <c r="AL61" s="138">
        <f t="shared" ref="AL61:AN65" si="36">AL18</f>
        <v>0.18412679473412108</v>
      </c>
      <c r="AM61" s="138">
        <f t="shared" si="36"/>
        <v>3.7386151215049686E-2</v>
      </c>
      <c r="AN61" s="138">
        <f t="shared" si="36"/>
        <v>2.2252714473212934E-2</v>
      </c>
      <c r="AO61" s="139"/>
      <c r="AP61" s="138">
        <f>AP18</f>
        <v>0.63072711401073334</v>
      </c>
      <c r="AU61" s="3">
        <f t="shared" ref="AU61:BD61" si="37">AU18</f>
        <v>0</v>
      </c>
      <c r="AV61" s="3">
        <f t="shared" si="37"/>
        <v>0</v>
      </c>
      <c r="AW61" s="3">
        <f t="shared" si="37"/>
        <v>0</v>
      </c>
      <c r="AX61" s="3">
        <f t="shared" si="37"/>
        <v>0</v>
      </c>
      <c r="AY61" s="3">
        <f t="shared" si="37"/>
        <v>0</v>
      </c>
      <c r="AZ61" s="3">
        <f t="shared" si="37"/>
        <v>0</v>
      </c>
      <c r="BA61" s="3">
        <f t="shared" si="37"/>
        <v>0</v>
      </c>
      <c r="BB61" s="3">
        <f t="shared" si="37"/>
        <v>0</v>
      </c>
      <c r="BC61" s="3">
        <f t="shared" si="37"/>
        <v>0</v>
      </c>
      <c r="BD61" s="3">
        <f t="shared" si="37"/>
        <v>0</v>
      </c>
      <c r="BE61" s="3">
        <f t="shared" ref="BE61:BW61" si="38">BE18</f>
        <v>0</v>
      </c>
      <c r="BF61" s="3">
        <f t="shared" si="38"/>
        <v>0</v>
      </c>
      <c r="BG61" s="3">
        <f t="shared" si="38"/>
        <v>0</v>
      </c>
      <c r="BH61" s="3">
        <f t="shared" si="38"/>
        <v>0</v>
      </c>
      <c r="BI61" s="3">
        <f t="shared" si="38"/>
        <v>0</v>
      </c>
      <c r="BJ61" s="6">
        <f t="shared" si="38"/>
        <v>0</v>
      </c>
      <c r="BK61" s="6">
        <f t="shared" si="38"/>
        <v>0</v>
      </c>
      <c r="BL61" s="6">
        <f t="shared" si="38"/>
        <v>0</v>
      </c>
      <c r="BM61" s="6">
        <f t="shared" si="38"/>
        <v>0</v>
      </c>
      <c r="BN61" s="6">
        <f t="shared" si="38"/>
        <v>0</v>
      </c>
      <c r="BO61" s="6">
        <f t="shared" si="38"/>
        <v>0</v>
      </c>
      <c r="BP61" s="6">
        <f t="shared" si="38"/>
        <v>0</v>
      </c>
      <c r="BQ61" s="6">
        <f t="shared" si="38"/>
        <v>0</v>
      </c>
      <c r="BR61" s="6">
        <f t="shared" si="38"/>
        <v>0</v>
      </c>
      <c r="BS61" s="6">
        <f t="shared" si="38"/>
        <v>0</v>
      </c>
      <c r="BT61" s="6">
        <f t="shared" si="38"/>
        <v>0</v>
      </c>
      <c r="BU61" s="6">
        <f t="shared" si="38"/>
        <v>0</v>
      </c>
      <c r="BV61" s="6">
        <f t="shared" si="38"/>
        <v>0</v>
      </c>
      <c r="BW61" s="6">
        <f t="shared" si="38"/>
        <v>0</v>
      </c>
      <c r="BX61" s="6">
        <f>BX18</f>
        <v>0</v>
      </c>
      <c r="BZ61" s="39"/>
      <c r="CA61" s="39"/>
      <c r="CB61" s="39"/>
    </row>
    <row r="62" spans="1:80">
      <c r="B62" s="15" t="s">
        <v>125</v>
      </c>
      <c r="D62" s="137">
        <v>0.5</v>
      </c>
      <c r="AL62" s="138">
        <f t="shared" si="36"/>
        <v>0.18248757807355381</v>
      </c>
      <c r="AM62" s="138">
        <f t="shared" si="36"/>
        <v>4.1925248937400884E-2</v>
      </c>
      <c r="AN62" s="138">
        <f t="shared" si="36"/>
        <v>6.8545088100891743E-2</v>
      </c>
      <c r="AO62" s="139"/>
      <c r="AP62" s="138">
        <f>AP19</f>
        <v>0.41311347531094217</v>
      </c>
      <c r="AU62" s="3">
        <f t="shared" ref="AU62:BD62" si="39">AU19</f>
        <v>0</v>
      </c>
      <c r="AV62" s="3">
        <f t="shared" si="39"/>
        <v>0</v>
      </c>
      <c r="AW62" s="3">
        <f t="shared" si="39"/>
        <v>0</v>
      </c>
      <c r="AX62" s="3">
        <f t="shared" si="39"/>
        <v>0</v>
      </c>
      <c r="AY62" s="3">
        <f t="shared" si="39"/>
        <v>0</v>
      </c>
      <c r="AZ62" s="3">
        <f t="shared" si="39"/>
        <v>0</v>
      </c>
      <c r="BA62" s="3">
        <f t="shared" si="39"/>
        <v>0</v>
      </c>
      <c r="BB62" s="3">
        <f t="shared" si="39"/>
        <v>0</v>
      </c>
      <c r="BC62" s="3">
        <f t="shared" si="39"/>
        <v>0</v>
      </c>
      <c r="BD62" s="3">
        <f t="shared" si="39"/>
        <v>0</v>
      </c>
      <c r="BE62" s="3">
        <f t="shared" ref="BE62:BW62" si="40">BE19</f>
        <v>0</v>
      </c>
      <c r="BF62" s="3">
        <f t="shared" si="40"/>
        <v>0</v>
      </c>
      <c r="BG62" s="3">
        <f t="shared" si="40"/>
        <v>0</v>
      </c>
      <c r="BH62" s="3">
        <f t="shared" si="40"/>
        <v>0</v>
      </c>
      <c r="BI62" s="3">
        <f t="shared" si="40"/>
        <v>0</v>
      </c>
      <c r="BJ62" s="6">
        <f t="shared" si="40"/>
        <v>0</v>
      </c>
      <c r="BK62" s="6">
        <f t="shared" si="40"/>
        <v>0</v>
      </c>
      <c r="BL62" s="6">
        <f t="shared" si="40"/>
        <v>0</v>
      </c>
      <c r="BM62" s="6">
        <f t="shared" si="40"/>
        <v>0</v>
      </c>
      <c r="BN62" s="6">
        <f t="shared" si="40"/>
        <v>0</v>
      </c>
      <c r="BO62" s="6">
        <f t="shared" si="40"/>
        <v>0</v>
      </c>
      <c r="BP62" s="6">
        <f t="shared" si="40"/>
        <v>0</v>
      </c>
      <c r="BQ62" s="6">
        <f t="shared" si="40"/>
        <v>0</v>
      </c>
      <c r="BR62" s="6">
        <f t="shared" si="40"/>
        <v>0</v>
      </c>
      <c r="BS62" s="6">
        <f t="shared" si="40"/>
        <v>0</v>
      </c>
      <c r="BT62" s="6">
        <f t="shared" si="40"/>
        <v>0</v>
      </c>
      <c r="BU62" s="6">
        <f t="shared" si="40"/>
        <v>0</v>
      </c>
      <c r="BV62" s="6">
        <f t="shared" si="40"/>
        <v>0</v>
      </c>
      <c r="BW62" s="6">
        <f t="shared" si="40"/>
        <v>0</v>
      </c>
      <c r="BX62" s="6">
        <f>BX19</f>
        <v>0</v>
      </c>
      <c r="BZ62" s="39"/>
      <c r="CA62" s="39"/>
      <c r="CB62" s="39"/>
    </row>
    <row r="63" spans="1:80">
      <c r="B63" s="15" t="s">
        <v>126</v>
      </c>
      <c r="D63" s="137">
        <v>1</v>
      </c>
      <c r="AL63" s="138">
        <f t="shared" si="36"/>
        <v>0.45728372390115346</v>
      </c>
      <c r="AM63" s="138">
        <f t="shared" si="36"/>
        <v>7.9663858836680243E-2</v>
      </c>
      <c r="AN63" s="138">
        <f t="shared" si="36"/>
        <v>4.8904147870174657E-2</v>
      </c>
      <c r="AO63" s="139"/>
      <c r="AP63" s="138" t="e">
        <f>AP20</f>
        <v>#DIV/0!</v>
      </c>
      <c r="AU63" s="3">
        <f t="shared" ref="AU63:BD63" si="41">AU20</f>
        <v>61.146753311157227</v>
      </c>
      <c r="AV63" s="3">
        <f t="shared" si="41"/>
        <v>7.9770607948303223</v>
      </c>
      <c r="AW63" s="3">
        <f t="shared" si="41"/>
        <v>5.3455607891082764</v>
      </c>
      <c r="AX63" s="3">
        <f t="shared" si="41"/>
        <v>2.0768769383430481</v>
      </c>
      <c r="AY63" s="3">
        <f t="shared" si="41"/>
        <v>23.453748166561127</v>
      </c>
      <c r="AZ63" s="3">
        <f t="shared" si="41"/>
        <v>72.295238494873047</v>
      </c>
      <c r="BA63" s="3">
        <f t="shared" si="41"/>
        <v>12.358214855194092</v>
      </c>
      <c r="BB63" s="3">
        <f t="shared" si="41"/>
        <v>2.014864981174469</v>
      </c>
      <c r="BC63" s="3">
        <f t="shared" si="41"/>
        <v>2.2185912132263184</v>
      </c>
      <c r="BD63" s="3">
        <f t="shared" si="41"/>
        <v>11.113090455532074</v>
      </c>
      <c r="BE63" s="3">
        <f t="shared" ref="BE63:BW63" si="42">BE20</f>
        <v>65.387366368152072</v>
      </c>
      <c r="BF63" s="3">
        <f t="shared" si="42"/>
        <v>9.6435454164560408</v>
      </c>
      <c r="BG63" s="3">
        <f t="shared" si="42"/>
        <v>4.0786449795386694</v>
      </c>
      <c r="BH63" s="3">
        <f t="shared" si="42"/>
        <v>2.1307816074105861</v>
      </c>
      <c r="BI63" s="3">
        <f t="shared" si="42"/>
        <v>18.759661628442633</v>
      </c>
      <c r="BJ63" s="6">
        <f t="shared" si="42"/>
        <v>0.24632899705285344</v>
      </c>
      <c r="BK63" s="6">
        <f t="shared" si="42"/>
        <v>0.18843855484891717</v>
      </c>
      <c r="BL63" s="6">
        <f t="shared" si="42"/>
        <v>0.15091871411319038</v>
      </c>
      <c r="BM63" s="6">
        <f t="shared" si="42"/>
        <v>3.1436798655031899E-2</v>
      </c>
      <c r="BN63" s="6">
        <f t="shared" si="42"/>
        <v>0.10359628293716173</v>
      </c>
      <c r="BO63" s="6">
        <f t="shared" si="42"/>
        <v>9.1854737719281654E-2</v>
      </c>
      <c r="BP63" s="6">
        <f t="shared" si="42"/>
        <v>2.8358674370095642E-2</v>
      </c>
      <c r="BQ63" s="6">
        <f t="shared" si="42"/>
        <v>1.2450576125529446E-2</v>
      </c>
      <c r="BR63" s="6">
        <f t="shared" si="42"/>
        <v>0.14273271411569172</v>
      </c>
      <c r="BS63" s="6">
        <f t="shared" si="42"/>
        <v>9.6583817129635555E-2</v>
      </c>
      <c r="BT63" s="6">
        <f t="shared" si="42"/>
        <v>0.12256003974309473</v>
      </c>
      <c r="BU63" s="6">
        <f t="shared" si="42"/>
        <v>1.8986222529502453E-2</v>
      </c>
      <c r="BV63" s="6">
        <f t="shared" si="42"/>
        <v>0</v>
      </c>
      <c r="BW63" s="6">
        <f t="shared" si="42"/>
        <v>0</v>
      </c>
      <c r="BX63" s="6">
        <f>BX20</f>
        <v>0</v>
      </c>
      <c r="BZ63" s="5">
        <f t="shared" ref="BZ63" si="43">BF63/BE63</f>
        <v>0.14748331294090899</v>
      </c>
      <c r="CA63" s="5">
        <f t="shared" ref="CA63" si="44">BG63/BE63</f>
        <v>6.2376651730772822E-2</v>
      </c>
      <c r="CB63" s="5">
        <f t="shared" ref="CB63" si="45">BI63/BE63</f>
        <v>0.28690040095543312</v>
      </c>
    </row>
    <row r="64" spans="1:80">
      <c r="B64" s="15" t="s">
        <v>127</v>
      </c>
      <c r="C64" s="16" t="s">
        <v>116</v>
      </c>
      <c r="D64" s="137">
        <v>0</v>
      </c>
      <c r="AL64" s="138">
        <f t="shared" si="36"/>
        <v>0.29741827192071002</v>
      </c>
      <c r="AM64" s="138">
        <f t="shared" si="36"/>
        <v>5.8488530093517691E-2</v>
      </c>
      <c r="AN64" s="138">
        <f t="shared" si="36"/>
        <v>5.7509391735272392E-2</v>
      </c>
      <c r="AO64" s="139"/>
      <c r="AP64" s="138">
        <f>AP21</f>
        <v>0.48553586235979984</v>
      </c>
      <c r="AU64" s="3">
        <f t="shared" ref="AU64:BD64" si="46">AU21</f>
        <v>79.647727966308594</v>
      </c>
      <c r="AV64" s="3">
        <f t="shared" si="46"/>
        <v>13.626564025878906</v>
      </c>
      <c r="AW64" s="3">
        <f t="shared" si="46"/>
        <v>3.2012593746185303</v>
      </c>
      <c r="AX64" s="3">
        <f t="shared" si="46"/>
        <v>2.4975574016571045</v>
      </c>
      <c r="AY64" s="3">
        <f t="shared" si="46"/>
        <v>1.0268912315368652</v>
      </c>
      <c r="AZ64" s="3">
        <f t="shared" si="46"/>
        <v>78.133087158203125</v>
      </c>
      <c r="BA64" s="3">
        <f t="shared" si="46"/>
        <v>10.654061317443848</v>
      </c>
      <c r="BB64" s="3">
        <f t="shared" si="46"/>
        <v>7.2542181015014648</v>
      </c>
      <c r="BC64" s="3">
        <f t="shared" si="46"/>
        <v>2.0883772373199463</v>
      </c>
      <c r="BD64" s="3">
        <f t="shared" si="46"/>
        <v>1.8702561855316162</v>
      </c>
      <c r="BE64" s="3">
        <f t="shared" ref="BE64:BW64" si="47">BE21</f>
        <v>78.896800103134169</v>
      </c>
      <c r="BF64" s="3">
        <f t="shared" si="47"/>
        <v>12.152858118062186</v>
      </c>
      <c r="BG64" s="3">
        <f t="shared" si="47"/>
        <v>5.2106332274986382</v>
      </c>
      <c r="BH64" s="3">
        <f t="shared" si="47"/>
        <v>2.2946942641958925</v>
      </c>
      <c r="BI64" s="3">
        <f t="shared" si="47"/>
        <v>1.4450142871091103</v>
      </c>
      <c r="BJ64" s="6">
        <f t="shared" si="47"/>
        <v>0.26816270667508557</v>
      </c>
      <c r="BK64" s="6">
        <f t="shared" si="47"/>
        <v>0.21425391201441718</v>
      </c>
      <c r="BL64" s="6">
        <f t="shared" si="47"/>
        <v>0.17395423019808284</v>
      </c>
      <c r="BM64" s="6">
        <f t="shared" si="47"/>
        <v>3.0545096545740634E-2</v>
      </c>
      <c r="BN64" s="6">
        <f t="shared" si="47"/>
        <v>0.13166263450107279</v>
      </c>
      <c r="BO64" s="6">
        <f t="shared" si="47"/>
        <v>9.3122384964065219E-2</v>
      </c>
      <c r="BP64" s="6">
        <f t="shared" si="47"/>
        <v>0.12006700124907889</v>
      </c>
      <c r="BQ64" s="6">
        <f t="shared" si="47"/>
        <v>1.3782061657237131E-2</v>
      </c>
      <c r="BR64" s="6">
        <f t="shared" si="47"/>
        <v>0.13650007217401278</v>
      </c>
      <c r="BS64" s="6">
        <f t="shared" si="47"/>
        <v>0.12113152705035196</v>
      </c>
      <c r="BT64" s="6">
        <f t="shared" si="47"/>
        <v>5.3887228949003954E-2</v>
      </c>
      <c r="BU64" s="6">
        <f t="shared" si="47"/>
        <v>1.67630348885035E-2</v>
      </c>
      <c r="BV64" s="6">
        <f t="shared" si="47"/>
        <v>0</v>
      </c>
      <c r="BW64" s="6">
        <f t="shared" si="47"/>
        <v>0</v>
      </c>
      <c r="BX64" s="6">
        <f>BX21</f>
        <v>0</v>
      </c>
      <c r="BZ64" s="5">
        <f t="shared" ref="BZ64:BZ75" si="48">BF64/BE64</f>
        <v>0.15403486709443132</v>
      </c>
      <c r="CA64" s="5">
        <f t="shared" ref="CA64:CA75" si="49">BG64/BE64</f>
        <v>6.6043657292656738E-2</v>
      </c>
      <c r="CB64" s="5">
        <f t="shared" ref="CB64:CB75" si="50">BI64/BE64</f>
        <v>1.8315245804901879E-2</v>
      </c>
    </row>
    <row r="65" spans="1:80">
      <c r="B65" s="15" t="s">
        <v>128</v>
      </c>
      <c r="D65" s="137">
        <v>0.5</v>
      </c>
      <c r="AL65" s="138">
        <f t="shared" si="36"/>
        <v>0.34748254685843377</v>
      </c>
      <c r="AM65" s="138">
        <f t="shared" si="36"/>
        <v>4.9948990818347437E-2</v>
      </c>
      <c r="AN65" s="138">
        <f t="shared" si="36"/>
        <v>9.5597207497349165E-2</v>
      </c>
      <c r="AO65" s="139"/>
      <c r="AP65" s="138">
        <f>AP22</f>
        <v>0.4458016052726399</v>
      </c>
      <c r="AU65" s="3">
        <f t="shared" ref="AU65:BD65" si="51">AU22</f>
        <v>73.52435302734375</v>
      </c>
      <c r="AV65" s="3">
        <f t="shared" si="51"/>
        <v>7.9918370246887207</v>
      </c>
      <c r="AW65" s="3">
        <f t="shared" si="51"/>
        <v>3.9064559936523438</v>
      </c>
      <c r="AX65" s="3">
        <f t="shared" si="51"/>
        <v>3.4402334690093994</v>
      </c>
      <c r="AY65" s="3">
        <f t="shared" si="51"/>
        <v>11.137120485305786</v>
      </c>
      <c r="AZ65" s="3">
        <f t="shared" si="51"/>
        <v>68.154163360595703</v>
      </c>
      <c r="BA65" s="3">
        <f t="shared" si="51"/>
        <v>7.7651269435882568</v>
      </c>
      <c r="BB65" s="3">
        <f t="shared" si="51"/>
        <v>4.4162585735321045</v>
      </c>
      <c r="BC65" s="3">
        <f t="shared" si="51"/>
        <v>1.7892103791236877</v>
      </c>
      <c r="BD65" s="3">
        <f t="shared" si="51"/>
        <v>17.875240743160248</v>
      </c>
      <c r="BE65" s="3">
        <f t="shared" ref="BE65:BW65" si="52">BE22</f>
        <v>69.997121524129227</v>
      </c>
      <c r="BF65" s="3">
        <f t="shared" si="52"/>
        <v>7.8429300046805963</v>
      </c>
      <c r="BG65" s="3">
        <f t="shared" si="52"/>
        <v>4.2413029602885963</v>
      </c>
      <c r="BH65" s="3">
        <f t="shared" si="52"/>
        <v>2.3558135478214122</v>
      </c>
      <c r="BI65" s="3">
        <f t="shared" si="52"/>
        <v>15.562831963080169</v>
      </c>
      <c r="BJ65" s="6">
        <f t="shared" si="52"/>
        <v>0.29851752309248181</v>
      </c>
      <c r="BK65" s="6">
        <f t="shared" si="52"/>
        <v>0.1734919503460397</v>
      </c>
      <c r="BL65" s="6">
        <f t="shared" si="52"/>
        <v>0.17766195746718097</v>
      </c>
      <c r="BM65" s="6">
        <f t="shared" si="52"/>
        <v>3.9346693703176762E-2</v>
      </c>
      <c r="BN65" s="6">
        <f t="shared" si="52"/>
        <v>0.19090898977538706</v>
      </c>
      <c r="BO65" s="6">
        <f t="shared" si="52"/>
        <v>0.11282202493982513</v>
      </c>
      <c r="BP65" s="6">
        <f t="shared" si="52"/>
        <v>0.12150495275090874</v>
      </c>
      <c r="BQ65" s="6">
        <f t="shared" si="52"/>
        <v>1.9627865733898069E-2</v>
      </c>
      <c r="BR65" s="6">
        <f t="shared" si="52"/>
        <v>0.10760853331709476</v>
      </c>
      <c r="BS65" s="6">
        <f t="shared" si="52"/>
        <v>6.0669925406214582E-2</v>
      </c>
      <c r="BT65" s="6">
        <f t="shared" si="52"/>
        <v>5.6157004716272226E-2</v>
      </c>
      <c r="BU65" s="6">
        <f t="shared" si="52"/>
        <v>1.9718827969278686E-2</v>
      </c>
      <c r="BV65" s="6">
        <f t="shared" si="52"/>
        <v>0</v>
      </c>
      <c r="BW65" s="6">
        <f t="shared" si="52"/>
        <v>0</v>
      </c>
      <c r="BX65" s="6">
        <f>BX22</f>
        <v>0</v>
      </c>
      <c r="BZ65" s="5">
        <f t="shared" si="48"/>
        <v>0.11204646468179412</v>
      </c>
      <c r="CA65" s="5">
        <f t="shared" si="49"/>
        <v>6.0592533920506224E-2</v>
      </c>
      <c r="CB65" s="5">
        <f t="shared" si="50"/>
        <v>0.22233531357022146</v>
      </c>
    </row>
    <row r="66" spans="1:80">
      <c r="A66" s="15" t="s">
        <v>112</v>
      </c>
      <c r="B66" s="15" t="s">
        <v>124</v>
      </c>
      <c r="C66" s="16" t="s">
        <v>115</v>
      </c>
      <c r="D66" s="137">
        <v>0</v>
      </c>
      <c r="AL66" s="138">
        <f t="shared" ref="AL66:AN68" si="53">AL45</f>
        <v>0.15429362325236295</v>
      </c>
      <c r="AM66" s="138">
        <f t="shared" si="53"/>
        <v>4.6416464405351882E-2</v>
      </c>
      <c r="AN66" s="138">
        <f t="shared" si="53"/>
        <v>3.7871341744729614E-2</v>
      </c>
      <c r="AO66" s="139"/>
      <c r="AP66" s="138">
        <f>AP45</f>
        <v>0.58078427135540367</v>
      </c>
      <c r="AU66" s="3">
        <f t="shared" ref="AU66:BD66" si="54">AU45</f>
        <v>0</v>
      </c>
      <c r="AV66" s="3">
        <f t="shared" si="54"/>
        <v>0</v>
      </c>
      <c r="AW66" s="3">
        <f t="shared" si="54"/>
        <v>0</v>
      </c>
      <c r="AX66" s="3">
        <f t="shared" si="54"/>
        <v>0</v>
      </c>
      <c r="AY66" s="3">
        <f t="shared" si="54"/>
        <v>0</v>
      </c>
      <c r="AZ66" s="3">
        <f t="shared" si="54"/>
        <v>0</v>
      </c>
      <c r="BA66" s="3">
        <f t="shared" si="54"/>
        <v>0</v>
      </c>
      <c r="BB66" s="3">
        <f t="shared" si="54"/>
        <v>0</v>
      </c>
      <c r="BC66" s="3">
        <f t="shared" si="54"/>
        <v>0</v>
      </c>
      <c r="BD66" s="3">
        <f t="shared" si="54"/>
        <v>0</v>
      </c>
      <c r="BE66" s="3">
        <f t="shared" ref="BE66:BW66" si="55">BE45</f>
        <v>0</v>
      </c>
      <c r="BF66" s="3">
        <f t="shared" si="55"/>
        <v>0</v>
      </c>
      <c r="BG66" s="3">
        <f t="shared" si="55"/>
        <v>0</v>
      </c>
      <c r="BH66" s="3">
        <f t="shared" si="55"/>
        <v>0</v>
      </c>
      <c r="BI66" s="3">
        <f t="shared" si="55"/>
        <v>0</v>
      </c>
      <c r="BJ66" s="6">
        <f t="shared" si="55"/>
        <v>0</v>
      </c>
      <c r="BK66" s="6">
        <f t="shared" si="55"/>
        <v>0</v>
      </c>
      <c r="BL66" s="6">
        <f t="shared" si="55"/>
        <v>0</v>
      </c>
      <c r="BM66" s="6">
        <f t="shared" si="55"/>
        <v>0</v>
      </c>
      <c r="BN66" s="6">
        <f t="shared" si="55"/>
        <v>0</v>
      </c>
      <c r="BO66" s="6">
        <f t="shared" si="55"/>
        <v>0</v>
      </c>
      <c r="BP66" s="6">
        <f t="shared" si="55"/>
        <v>0</v>
      </c>
      <c r="BQ66" s="6">
        <f t="shared" si="55"/>
        <v>0</v>
      </c>
      <c r="BR66" s="6">
        <f t="shared" si="55"/>
        <v>0</v>
      </c>
      <c r="BS66" s="6">
        <f t="shared" si="55"/>
        <v>0</v>
      </c>
      <c r="BT66" s="6">
        <f t="shared" si="55"/>
        <v>0</v>
      </c>
      <c r="BU66" s="6">
        <f t="shared" si="55"/>
        <v>0</v>
      </c>
      <c r="BV66" s="6">
        <f t="shared" si="55"/>
        <v>0</v>
      </c>
      <c r="BW66" s="6">
        <f t="shared" si="55"/>
        <v>0</v>
      </c>
      <c r="BX66" s="6">
        <f>BX45</f>
        <v>0</v>
      </c>
      <c r="BZ66" s="5"/>
      <c r="CA66" s="5"/>
      <c r="CB66" s="5"/>
    </row>
    <row r="67" spans="1:80">
      <c r="B67" s="15" t="s">
        <v>125</v>
      </c>
      <c r="D67" s="137">
        <v>0.5</v>
      </c>
      <c r="AL67" s="138">
        <f t="shared" si="53"/>
        <v>0.12317019664153722</v>
      </c>
      <c r="AM67" s="138">
        <f t="shared" si="53"/>
        <v>6.5115073192134207E-2</v>
      </c>
      <c r="AN67" s="138">
        <f t="shared" si="53"/>
        <v>7.9494236368713223E-2</v>
      </c>
      <c r="AO67" s="139"/>
      <c r="AP67" s="138">
        <f>AP46</f>
        <v>8.8773722935662436E-2</v>
      </c>
      <c r="AU67" s="3">
        <f t="shared" ref="AU67:BD67" si="56">AU46</f>
        <v>0</v>
      </c>
      <c r="AV67" s="3">
        <f t="shared" si="56"/>
        <v>0</v>
      </c>
      <c r="AW67" s="3">
        <f t="shared" si="56"/>
        <v>0</v>
      </c>
      <c r="AX67" s="3">
        <f t="shared" si="56"/>
        <v>0</v>
      </c>
      <c r="AY67" s="3">
        <f t="shared" si="56"/>
        <v>0</v>
      </c>
      <c r="AZ67" s="3">
        <f t="shared" si="56"/>
        <v>0</v>
      </c>
      <c r="BA67" s="3">
        <f t="shared" si="56"/>
        <v>0</v>
      </c>
      <c r="BB67" s="3">
        <f t="shared" si="56"/>
        <v>0</v>
      </c>
      <c r="BC67" s="3">
        <f t="shared" si="56"/>
        <v>0</v>
      </c>
      <c r="BD67" s="3">
        <f t="shared" si="56"/>
        <v>0</v>
      </c>
      <c r="BE67" s="3">
        <f t="shared" ref="BE67:BW67" si="57">BE46</f>
        <v>0</v>
      </c>
      <c r="BF67" s="3">
        <f t="shared" si="57"/>
        <v>0</v>
      </c>
      <c r="BG67" s="3">
        <f t="shared" si="57"/>
        <v>0</v>
      </c>
      <c r="BH67" s="3">
        <f t="shared" si="57"/>
        <v>0</v>
      </c>
      <c r="BI67" s="3">
        <f t="shared" si="57"/>
        <v>0</v>
      </c>
      <c r="BJ67" s="6">
        <f t="shared" si="57"/>
        <v>0</v>
      </c>
      <c r="BK67" s="6">
        <f t="shared" si="57"/>
        <v>0</v>
      </c>
      <c r="BL67" s="6">
        <f t="shared" si="57"/>
        <v>0</v>
      </c>
      <c r="BM67" s="6">
        <f t="shared" si="57"/>
        <v>0</v>
      </c>
      <c r="BN67" s="6">
        <f t="shared" si="57"/>
        <v>0</v>
      </c>
      <c r="BO67" s="6">
        <f t="shared" si="57"/>
        <v>0</v>
      </c>
      <c r="BP67" s="6">
        <f t="shared" si="57"/>
        <v>0</v>
      </c>
      <c r="BQ67" s="6">
        <f t="shared" si="57"/>
        <v>0</v>
      </c>
      <c r="BR67" s="6">
        <f t="shared" si="57"/>
        <v>0</v>
      </c>
      <c r="BS67" s="6">
        <f t="shared" si="57"/>
        <v>0</v>
      </c>
      <c r="BT67" s="6">
        <f t="shared" si="57"/>
        <v>0</v>
      </c>
      <c r="BU67" s="6">
        <f t="shared" si="57"/>
        <v>0</v>
      </c>
      <c r="BV67" s="6">
        <f t="shared" si="57"/>
        <v>0</v>
      </c>
      <c r="BW67" s="6">
        <f t="shared" si="57"/>
        <v>0</v>
      </c>
      <c r="BX67" s="6">
        <f>BX46</f>
        <v>0</v>
      </c>
      <c r="BZ67" s="5"/>
      <c r="CA67" s="5"/>
      <c r="CB67" s="5"/>
    </row>
    <row r="68" spans="1:80">
      <c r="B68" s="15" t="s">
        <v>126</v>
      </c>
      <c r="D68" s="137">
        <v>1</v>
      </c>
      <c r="AL68" s="138">
        <f t="shared" si="53"/>
        <v>0.31077058318182765</v>
      </c>
      <c r="AM68" s="138">
        <f t="shared" si="53"/>
        <v>6.3672507142428975E-2</v>
      </c>
      <c r="AN68" s="138">
        <f t="shared" si="53"/>
        <v>0.12432821209517965</v>
      </c>
      <c r="AO68" s="139"/>
      <c r="AP68" s="138" t="e">
        <f>AP47</f>
        <v>#DIV/0!</v>
      </c>
      <c r="AU68" s="3">
        <f t="shared" ref="AU68:BD68" si="58">AU47</f>
        <v>83.309791564941406</v>
      </c>
      <c r="AV68" s="3">
        <f t="shared" si="58"/>
        <v>13.668367385864258</v>
      </c>
      <c r="AW68" s="3">
        <f t="shared" si="58"/>
        <v>1.7057492733001709</v>
      </c>
      <c r="AX68" s="3">
        <f t="shared" si="58"/>
        <v>0.80034363269805908</v>
      </c>
      <c r="AY68" s="3">
        <f t="shared" si="58"/>
        <v>0.51574814319610596</v>
      </c>
      <c r="AZ68" s="3">
        <f t="shared" si="58"/>
        <v>53.170818328857422</v>
      </c>
      <c r="BA68" s="3">
        <f t="shared" si="58"/>
        <v>8.6251876354217529</v>
      </c>
      <c r="BB68" s="3">
        <f t="shared" si="58"/>
        <v>9.0915732383728027</v>
      </c>
      <c r="BC68" s="3">
        <f t="shared" si="58"/>
        <v>1.0109017789363861</v>
      </c>
      <c r="BD68" s="3">
        <f t="shared" si="58"/>
        <v>28.101519018411636</v>
      </c>
      <c r="BE68" s="3">
        <f t="shared" ref="BE68:BW68" si="59">BE47</f>
        <v>63.378353685222912</v>
      </c>
      <c r="BF68" s="3">
        <f t="shared" si="59"/>
        <v>10.333223115194356</v>
      </c>
      <c r="BG68" s="3">
        <f t="shared" si="59"/>
        <v>6.5901257381935894</v>
      </c>
      <c r="BH68" s="3">
        <f t="shared" si="59"/>
        <v>0.93958947159722062</v>
      </c>
      <c r="BI68" s="3">
        <f t="shared" si="59"/>
        <v>18.758707989791912</v>
      </c>
      <c r="BJ68" s="6">
        <f t="shared" si="59"/>
        <v>0.34913167090534941</v>
      </c>
      <c r="BK68" s="6">
        <f t="shared" si="59"/>
        <v>0.29525376314265517</v>
      </c>
      <c r="BL68" s="6">
        <f t="shared" si="59"/>
        <v>0.35657221001069456</v>
      </c>
      <c r="BM68" s="6">
        <f t="shared" si="59"/>
        <v>2.0270483879085439E-2</v>
      </c>
      <c r="BN68" s="6">
        <f t="shared" si="59"/>
        <v>0.19370097871722422</v>
      </c>
      <c r="BO68" s="6">
        <f t="shared" si="59"/>
        <v>0.16298152007787658</v>
      </c>
      <c r="BP68" s="6">
        <f t="shared" si="59"/>
        <v>0.32531419273793949</v>
      </c>
      <c r="BQ68" s="6">
        <f t="shared" si="59"/>
        <v>1.4422651597058208E-2</v>
      </c>
      <c r="BR68" s="6">
        <f t="shared" si="59"/>
        <v>0.15543069218812522</v>
      </c>
      <c r="BS68" s="6">
        <f t="shared" si="59"/>
        <v>0.13227224306477861</v>
      </c>
      <c r="BT68" s="6">
        <f t="shared" si="59"/>
        <v>3.1258017272755081E-2</v>
      </c>
      <c r="BU68" s="6">
        <f t="shared" si="59"/>
        <v>5.8478322820272313E-3</v>
      </c>
      <c r="BV68" s="6">
        <f t="shared" si="59"/>
        <v>0</v>
      </c>
      <c r="BW68" s="6">
        <f t="shared" si="59"/>
        <v>0</v>
      </c>
      <c r="BX68" s="6">
        <f>BX47</f>
        <v>0</v>
      </c>
      <c r="BZ68" s="5">
        <f t="shared" si="48"/>
        <v>0.16304025766455993</v>
      </c>
      <c r="CA68" s="5">
        <f t="shared" si="49"/>
        <v>0.10398070247965625</v>
      </c>
      <c r="CB68" s="5">
        <f t="shared" si="50"/>
        <v>0.29597972965595715</v>
      </c>
    </row>
    <row r="69" spans="1:80">
      <c r="B69" s="15" t="s">
        <v>127</v>
      </c>
      <c r="C69" s="16" t="s">
        <v>116</v>
      </c>
      <c r="D69" s="137">
        <v>0</v>
      </c>
      <c r="AL69" s="138">
        <f>AVERAGE(AL48:AL49)</f>
        <v>4.5989885791144935E-2</v>
      </c>
      <c r="AM69" s="138">
        <f>AVERAGE(AM48:AM49)</f>
        <v>5.4424080194093075E-2</v>
      </c>
      <c r="AN69" s="138">
        <f>AVERAGE(AN48:AN49)</f>
        <v>7.9758166005828413E-2</v>
      </c>
      <c r="AO69" s="139"/>
      <c r="AP69" s="138">
        <f>AVERAGE(AP48:AP49)</f>
        <v>0.47645186787032423</v>
      </c>
      <c r="AU69" s="3">
        <f t="shared" ref="AU69:BD69" si="60">AVERAGE(AU48:AU49)</f>
        <v>74.626865386962891</v>
      </c>
      <c r="AV69" s="3">
        <f t="shared" si="60"/>
        <v>9.8783903121948242</v>
      </c>
      <c r="AW69" s="3">
        <f t="shared" si="60"/>
        <v>3.2323814630508423</v>
      </c>
      <c r="AX69" s="3">
        <f t="shared" si="60"/>
        <v>0.8840671181678772</v>
      </c>
      <c r="AY69" s="3">
        <f t="shared" si="60"/>
        <v>11.378295719623566</v>
      </c>
      <c r="AZ69" s="3">
        <f t="shared" si="60"/>
        <v>71.285137176513672</v>
      </c>
      <c r="BA69" s="3">
        <f t="shared" si="60"/>
        <v>7.8787467479705811</v>
      </c>
      <c r="BB69" s="3">
        <f t="shared" si="60"/>
        <v>5.5176830291748047</v>
      </c>
      <c r="BC69" s="3">
        <f t="shared" si="60"/>
        <v>0.62397220730781555</v>
      </c>
      <c r="BD69" s="3">
        <f t="shared" si="60"/>
        <v>14.694460839033127</v>
      </c>
      <c r="BE69" s="3">
        <f t="shared" ref="BE69:BW69" si="61">AVERAGE(BE48:BE49)</f>
        <v>72.463526961161861</v>
      </c>
      <c r="BF69" s="3">
        <f t="shared" si="61"/>
        <v>8.5838787636896452</v>
      </c>
      <c r="BG69" s="3">
        <f t="shared" si="61"/>
        <v>4.7118197600015934</v>
      </c>
      <c r="BH69" s="3">
        <f t="shared" si="61"/>
        <v>0.71568917729900261</v>
      </c>
      <c r="BI69" s="3">
        <f t="shared" si="61"/>
        <v>13.525085337847914</v>
      </c>
      <c r="BJ69" s="6">
        <f t="shared" si="61"/>
        <v>0.32771691994649221</v>
      </c>
      <c r="BK69" s="6">
        <f t="shared" si="61"/>
        <v>0.20136051487091897</v>
      </c>
      <c r="BL69" s="6">
        <f t="shared" si="61"/>
        <v>0.20930208952340978</v>
      </c>
      <c r="BM69" s="6">
        <f t="shared" si="61"/>
        <v>1.2675979468237933E-2</v>
      </c>
      <c r="BN69" s="6">
        <f t="shared" si="61"/>
        <v>0.2087044577483993</v>
      </c>
      <c r="BO69" s="6">
        <f t="shared" si="61"/>
        <v>0.11964683594599658</v>
      </c>
      <c r="BP69" s="6">
        <f t="shared" si="61"/>
        <v>0.15867005876690501</v>
      </c>
      <c r="BQ69" s="6">
        <f t="shared" si="61"/>
        <v>7.1544402768703346E-3</v>
      </c>
      <c r="BR69" s="6">
        <f t="shared" si="61"/>
        <v>0.11901246219809293</v>
      </c>
      <c r="BS69" s="6">
        <f t="shared" si="61"/>
        <v>8.1713678924922359E-2</v>
      </c>
      <c r="BT69" s="6">
        <f t="shared" si="61"/>
        <v>5.0632030756504742E-2</v>
      </c>
      <c r="BU69" s="6">
        <f t="shared" si="61"/>
        <v>5.5215391913676004E-3</v>
      </c>
      <c r="BV69" s="6">
        <f t="shared" si="61"/>
        <v>0.59016079984468117</v>
      </c>
      <c r="BW69" s="6">
        <f t="shared" si="61"/>
        <v>2.5240519401745147E-2</v>
      </c>
      <c r="BX69" s="6">
        <f>AVERAGE(BX48:BX49)</f>
        <v>0.27288312210321708</v>
      </c>
      <c r="BZ69" s="5">
        <f t="shared" si="48"/>
        <v>0.11845792115929342</v>
      </c>
      <c r="CA69" s="5">
        <f t="shared" si="49"/>
        <v>6.5023329081497494E-2</v>
      </c>
      <c r="CB69" s="5">
        <f t="shared" si="50"/>
        <v>0.18664679881089596</v>
      </c>
    </row>
    <row r="70" spans="1:80">
      <c r="B70" s="15" t="s">
        <v>128</v>
      </c>
      <c r="D70" s="137">
        <v>0.5</v>
      </c>
      <c r="AL70" s="138">
        <f>AVERAGE(AL57:AL58)</f>
        <v>4.3747375157491261E-2</v>
      </c>
      <c r="AM70" s="138">
        <f>AVERAGE(AM57:AM58)</f>
        <v>0.17609943403395803</v>
      </c>
      <c r="AN70" s="138">
        <f>AVERAGE(AN57:AN58)</f>
        <v>0.106953582785033</v>
      </c>
      <c r="AO70" s="139"/>
      <c r="AP70" s="138">
        <f>AVERAGE(AP57:AP58)</f>
        <v>0.30830120919748172</v>
      </c>
      <c r="AU70" s="3">
        <f t="shared" ref="AU70:BD70" si="62">AVERAGE(AU57:AU58)</f>
        <v>66.452838897705078</v>
      </c>
      <c r="AV70" s="3">
        <f t="shared" si="62"/>
        <v>8.7300734519958496</v>
      </c>
      <c r="AW70" s="3">
        <f t="shared" si="62"/>
        <v>3.9963363409042358</v>
      </c>
      <c r="AX70" s="3">
        <f t="shared" si="62"/>
        <v>4.3015949726104736</v>
      </c>
      <c r="AY70" s="3">
        <f t="shared" si="62"/>
        <v>16.519156336784363</v>
      </c>
      <c r="AZ70" s="3">
        <f t="shared" si="62"/>
        <v>63.735157012939453</v>
      </c>
      <c r="BA70" s="3">
        <f t="shared" si="62"/>
        <v>6.9045419692993164</v>
      </c>
      <c r="BB70" s="3">
        <f t="shared" si="62"/>
        <v>5.8653385639190674</v>
      </c>
      <c r="BC70" s="3">
        <f t="shared" si="62"/>
        <v>1.5140643119812012</v>
      </c>
      <c r="BD70" s="3">
        <f t="shared" si="62"/>
        <v>21.980898141860962</v>
      </c>
      <c r="BE70" s="3">
        <f t="shared" ref="BE70:BW70" si="63">AVERAGE(BE57:BE58)</f>
        <v>65.228246672890918</v>
      </c>
      <c r="BF70" s="3">
        <f t="shared" si="63"/>
        <v>7.9074857634237468</v>
      </c>
      <c r="BG70" s="3">
        <f t="shared" si="63"/>
        <v>4.8385120213230373</v>
      </c>
      <c r="BH70" s="3">
        <f t="shared" si="63"/>
        <v>3.0455287668587774</v>
      </c>
      <c r="BI70" s="3">
        <f t="shared" si="63"/>
        <v>18.980226775503525</v>
      </c>
      <c r="BJ70" s="6">
        <f t="shared" si="63"/>
        <v>0.56215039281704893</v>
      </c>
      <c r="BK70" s="6">
        <f t="shared" si="63"/>
        <v>0.35348140614508389</v>
      </c>
      <c r="BL70" s="6">
        <f t="shared" si="63"/>
        <v>0.40957565710062865</v>
      </c>
      <c r="BM70" s="6">
        <f t="shared" si="63"/>
        <v>0.10279149930155865</v>
      </c>
      <c r="BN70" s="6">
        <f t="shared" si="63"/>
        <v>0.24750772128292248</v>
      </c>
      <c r="BO70" s="6">
        <f t="shared" si="63"/>
        <v>0.13907718996642449</v>
      </c>
      <c r="BP70" s="6">
        <f t="shared" si="63"/>
        <v>0.22372178530047085</v>
      </c>
      <c r="BQ70" s="6">
        <f t="shared" si="63"/>
        <v>2.3026699616041642E-2</v>
      </c>
      <c r="BR70" s="6">
        <f t="shared" si="63"/>
        <v>0.31464267153412651</v>
      </c>
      <c r="BS70" s="6">
        <f t="shared" si="63"/>
        <v>0.21440421617865937</v>
      </c>
      <c r="BT70" s="6">
        <f t="shared" si="63"/>
        <v>0.18585387180015778</v>
      </c>
      <c r="BU70" s="6">
        <f t="shared" si="63"/>
        <v>7.9764799685517002E-2</v>
      </c>
      <c r="BV70" s="6">
        <f t="shared" si="63"/>
        <v>0.39694727054176759</v>
      </c>
      <c r="BW70" s="6">
        <f t="shared" si="63"/>
        <v>2.2246627432554358E-2</v>
      </c>
      <c r="BX70" s="6">
        <f>AVERAGE(BX57:BX58)</f>
        <v>0.92927604823831866</v>
      </c>
      <c r="BZ70" s="5">
        <f t="shared" si="48"/>
        <v>0.12122793677221627</v>
      </c>
      <c r="CA70" s="5">
        <f t="shared" si="49"/>
        <v>7.4178170779101119E-2</v>
      </c>
      <c r="CB70" s="5">
        <f t="shared" si="50"/>
        <v>0.2909817102809199</v>
      </c>
    </row>
    <row r="71" spans="1:80">
      <c r="A71" s="15" t="s">
        <v>130</v>
      </c>
      <c r="B71" s="15" t="s">
        <v>124</v>
      </c>
      <c r="C71" s="16" t="s">
        <v>115</v>
      </c>
      <c r="D71" s="137">
        <v>0</v>
      </c>
      <c r="AL71" s="138">
        <f t="shared" ref="AL71:AN75" si="64">AL29</f>
        <v>0.1824340527577937</v>
      </c>
      <c r="AM71" s="138">
        <f t="shared" si="64"/>
        <v>3.3513189448441241E-2</v>
      </c>
      <c r="AN71" s="138">
        <f t="shared" si="64"/>
        <v>2.3201438848920751E-2</v>
      </c>
      <c r="AO71" s="139"/>
      <c r="AP71" s="138">
        <f>AP29</f>
        <v>0.62576507885990718</v>
      </c>
      <c r="AU71" s="3">
        <f t="shared" ref="AU71:BD71" si="65">AU29</f>
        <v>0</v>
      </c>
      <c r="AV71" s="3">
        <f t="shared" si="65"/>
        <v>0</v>
      </c>
      <c r="AW71" s="3">
        <f t="shared" si="65"/>
        <v>0</v>
      </c>
      <c r="AX71" s="3">
        <f t="shared" si="65"/>
        <v>0</v>
      </c>
      <c r="AY71" s="3">
        <f t="shared" si="65"/>
        <v>0</v>
      </c>
      <c r="AZ71" s="3">
        <f t="shared" si="65"/>
        <v>0</v>
      </c>
      <c r="BA71" s="3">
        <f t="shared" si="65"/>
        <v>0</v>
      </c>
      <c r="BB71" s="3">
        <f t="shared" si="65"/>
        <v>0</v>
      </c>
      <c r="BC71" s="3">
        <f t="shared" si="65"/>
        <v>0</v>
      </c>
      <c r="BD71" s="3">
        <f t="shared" si="65"/>
        <v>0</v>
      </c>
      <c r="BE71" s="3">
        <f t="shared" ref="BE71:BW71" si="66">BE29</f>
        <v>0</v>
      </c>
      <c r="BF71" s="3">
        <f t="shared" si="66"/>
        <v>0</v>
      </c>
      <c r="BG71" s="3">
        <f t="shared" si="66"/>
        <v>0</v>
      </c>
      <c r="BH71" s="3">
        <f t="shared" si="66"/>
        <v>0</v>
      </c>
      <c r="BI71" s="3">
        <f t="shared" si="66"/>
        <v>0</v>
      </c>
      <c r="BJ71" s="6">
        <f t="shared" si="66"/>
        <v>0</v>
      </c>
      <c r="BK71" s="6">
        <f t="shared" si="66"/>
        <v>0</v>
      </c>
      <c r="BL71" s="6">
        <f t="shared" si="66"/>
        <v>0</v>
      </c>
      <c r="BM71" s="6">
        <f t="shared" si="66"/>
        <v>0</v>
      </c>
      <c r="BN71" s="6">
        <f t="shared" si="66"/>
        <v>0</v>
      </c>
      <c r="BO71" s="6">
        <f t="shared" si="66"/>
        <v>0</v>
      </c>
      <c r="BP71" s="6">
        <f t="shared" si="66"/>
        <v>0</v>
      </c>
      <c r="BQ71" s="6">
        <f t="shared" si="66"/>
        <v>0</v>
      </c>
      <c r="BR71" s="6">
        <f t="shared" si="66"/>
        <v>0</v>
      </c>
      <c r="BS71" s="6">
        <f t="shared" si="66"/>
        <v>0</v>
      </c>
      <c r="BT71" s="6">
        <f t="shared" si="66"/>
        <v>0</v>
      </c>
      <c r="BU71" s="6">
        <f t="shared" si="66"/>
        <v>0</v>
      </c>
      <c r="BV71" s="6">
        <f t="shared" si="66"/>
        <v>0</v>
      </c>
      <c r="BW71" s="6">
        <f t="shared" si="66"/>
        <v>0</v>
      </c>
      <c r="BX71" s="6">
        <f>BX29</f>
        <v>0</v>
      </c>
      <c r="BZ71" s="5"/>
      <c r="CA71" s="5"/>
      <c r="CB71" s="5"/>
    </row>
    <row r="72" spans="1:80">
      <c r="B72" s="15" t="s">
        <v>125</v>
      </c>
      <c r="D72" s="137">
        <v>0.5</v>
      </c>
      <c r="AL72" s="138">
        <f t="shared" si="64"/>
        <v>0.11813192256632742</v>
      </c>
      <c r="AM72" s="138">
        <f t="shared" si="64"/>
        <v>8.9718441023202339E-2</v>
      </c>
      <c r="AN72" s="138">
        <f t="shared" si="64"/>
        <v>3.5011591273851332E-2</v>
      </c>
      <c r="AO72" s="139"/>
      <c r="AP72" s="138">
        <f>AP30</f>
        <v>0.4525054379307934</v>
      </c>
      <c r="AU72" s="3">
        <f t="shared" ref="AU72:BD72" si="67">AU30</f>
        <v>0</v>
      </c>
      <c r="AV72" s="3">
        <f t="shared" si="67"/>
        <v>0</v>
      </c>
      <c r="AW72" s="3">
        <f t="shared" si="67"/>
        <v>0</v>
      </c>
      <c r="AX72" s="3">
        <f t="shared" si="67"/>
        <v>0</v>
      </c>
      <c r="AY72" s="3">
        <f t="shared" si="67"/>
        <v>0</v>
      </c>
      <c r="AZ72" s="3">
        <f t="shared" si="67"/>
        <v>0</v>
      </c>
      <c r="BA72" s="3">
        <f t="shared" si="67"/>
        <v>0</v>
      </c>
      <c r="BB72" s="3">
        <f t="shared" si="67"/>
        <v>0</v>
      </c>
      <c r="BC72" s="3">
        <f t="shared" si="67"/>
        <v>0</v>
      </c>
      <c r="BD72" s="3">
        <f t="shared" si="67"/>
        <v>0</v>
      </c>
      <c r="BE72" s="3">
        <f t="shared" ref="BE72:BW72" si="68">BE30</f>
        <v>0</v>
      </c>
      <c r="BF72" s="3">
        <f t="shared" si="68"/>
        <v>0</v>
      </c>
      <c r="BG72" s="3">
        <f t="shared" si="68"/>
        <v>0</v>
      </c>
      <c r="BH72" s="3">
        <f t="shared" si="68"/>
        <v>0</v>
      </c>
      <c r="BI72" s="3">
        <f t="shared" si="68"/>
        <v>0</v>
      </c>
      <c r="BJ72" s="6">
        <f t="shared" si="68"/>
        <v>0</v>
      </c>
      <c r="BK72" s="6">
        <f t="shared" si="68"/>
        <v>0</v>
      </c>
      <c r="BL72" s="6">
        <f t="shared" si="68"/>
        <v>0</v>
      </c>
      <c r="BM72" s="6">
        <f t="shared" si="68"/>
        <v>0</v>
      </c>
      <c r="BN72" s="6">
        <f t="shared" si="68"/>
        <v>0</v>
      </c>
      <c r="BO72" s="6">
        <f t="shared" si="68"/>
        <v>0</v>
      </c>
      <c r="BP72" s="6">
        <f t="shared" si="68"/>
        <v>0</v>
      </c>
      <c r="BQ72" s="6">
        <f t="shared" si="68"/>
        <v>0</v>
      </c>
      <c r="BR72" s="6">
        <f t="shared" si="68"/>
        <v>0</v>
      </c>
      <c r="BS72" s="6">
        <f t="shared" si="68"/>
        <v>0</v>
      </c>
      <c r="BT72" s="6">
        <f t="shared" si="68"/>
        <v>0</v>
      </c>
      <c r="BU72" s="6">
        <f t="shared" si="68"/>
        <v>0</v>
      </c>
      <c r="BV72" s="6">
        <f t="shared" si="68"/>
        <v>0</v>
      </c>
      <c r="BW72" s="6">
        <f t="shared" si="68"/>
        <v>0</v>
      </c>
      <c r="BX72" s="6">
        <f>BX30</f>
        <v>0</v>
      </c>
      <c r="BZ72" s="5"/>
      <c r="CA72" s="5"/>
      <c r="CB72" s="5"/>
    </row>
    <row r="73" spans="1:80">
      <c r="B73" s="15" t="s">
        <v>126</v>
      </c>
      <c r="D73" s="137">
        <v>1</v>
      </c>
      <c r="AL73" s="138">
        <f t="shared" si="64"/>
        <v>0.29853732717049841</v>
      </c>
      <c r="AM73" s="138">
        <f t="shared" si="64"/>
        <v>7.5294635532344986E-2</v>
      </c>
      <c r="AN73" s="138">
        <f t="shared" si="64"/>
        <v>5.9407327370590637E-2</v>
      </c>
      <c r="AO73" s="139"/>
      <c r="AP73" s="138" t="e">
        <f>AP31</f>
        <v>#DIV/0!</v>
      </c>
      <c r="AU73" s="3">
        <f t="shared" ref="AU73:BD73" si="69">AU31</f>
        <v>65.715667724609375</v>
      </c>
      <c r="AV73" s="3">
        <f t="shared" si="69"/>
        <v>10.8779616355896</v>
      </c>
      <c r="AW73" s="3">
        <f t="shared" si="69"/>
        <v>7.3407707214355469</v>
      </c>
      <c r="AX73" s="3">
        <f t="shared" si="69"/>
        <v>1.1951770782470703</v>
      </c>
      <c r="AY73" s="3">
        <f t="shared" si="69"/>
        <v>14.870422840118408</v>
      </c>
      <c r="AZ73" s="3">
        <f t="shared" si="69"/>
        <v>77.707576751708984</v>
      </c>
      <c r="BA73" s="3">
        <f t="shared" si="69"/>
        <v>14.691929817199707</v>
      </c>
      <c r="BB73" s="3">
        <f t="shared" si="69"/>
        <v>1.4780548810958862</v>
      </c>
      <c r="BC73" s="3">
        <f t="shared" si="69"/>
        <v>0.81466767191886902</v>
      </c>
      <c r="BD73" s="3">
        <f t="shared" si="69"/>
        <v>5.3077708780765533</v>
      </c>
      <c r="BE73" s="3">
        <f t="shared" ref="BE73:BW73" si="70">BE31</f>
        <v>71.004434495473717</v>
      </c>
      <c r="BF73" s="3">
        <f t="shared" si="70"/>
        <v>12.560028113783364</v>
      </c>
      <c r="BG73" s="3">
        <f t="shared" si="70"/>
        <v>4.7551493117551455</v>
      </c>
      <c r="BH73" s="3">
        <f t="shared" si="70"/>
        <v>1.0273618038281116</v>
      </c>
      <c r="BI73" s="3">
        <f t="shared" si="70"/>
        <v>10.653026275159661</v>
      </c>
      <c r="BJ73" s="6">
        <f t="shared" si="70"/>
        <v>0.28025165094125815</v>
      </c>
      <c r="BK73" s="6">
        <f t="shared" si="70"/>
        <v>0.25713705165543094</v>
      </c>
      <c r="BL73" s="6">
        <f t="shared" si="70"/>
        <v>0.18434542494502132</v>
      </c>
      <c r="BM73" s="6">
        <f t="shared" si="70"/>
        <v>1.5880486499438129E-2</v>
      </c>
      <c r="BN73" s="6">
        <f t="shared" si="70"/>
        <v>0.13526709497047831</v>
      </c>
      <c r="BO73" s="6">
        <f t="shared" si="70"/>
        <v>0.1326535826805279</v>
      </c>
      <c r="BP73" s="6">
        <f t="shared" si="70"/>
        <v>2.527114128302526E-2</v>
      </c>
      <c r="BQ73" s="6">
        <f t="shared" si="70"/>
        <v>5.5537581154300429E-3</v>
      </c>
      <c r="BR73" s="6">
        <f t="shared" si="70"/>
        <v>0.14498455597077983</v>
      </c>
      <c r="BS73" s="6">
        <f t="shared" si="70"/>
        <v>0.12448346897490301</v>
      </c>
      <c r="BT73" s="6">
        <f t="shared" si="70"/>
        <v>0.15907428366199605</v>
      </c>
      <c r="BU73" s="6">
        <f t="shared" si="70"/>
        <v>1.0326728384008086E-2</v>
      </c>
      <c r="BV73" s="6">
        <f t="shared" si="70"/>
        <v>0</v>
      </c>
      <c r="BW73" s="6">
        <f t="shared" si="70"/>
        <v>0</v>
      </c>
      <c r="BX73" s="6">
        <f>BX31</f>
        <v>0</v>
      </c>
      <c r="BZ73" s="5">
        <f t="shared" si="48"/>
        <v>0.17689075623275363</v>
      </c>
      <c r="CA73" s="5">
        <f t="shared" si="49"/>
        <v>6.6969751192909918E-2</v>
      </c>
      <c r="CB73" s="5">
        <f t="shared" si="50"/>
        <v>0.15003325286449193</v>
      </c>
    </row>
    <row r="74" spans="1:80">
      <c r="B74" s="15" t="s">
        <v>127</v>
      </c>
      <c r="C74" s="16" t="s">
        <v>116</v>
      </c>
      <c r="D74" s="137">
        <v>0</v>
      </c>
      <c r="AL74" s="138">
        <f t="shared" si="64"/>
        <v>0.2011638566702536</v>
      </c>
      <c r="AM74" s="138">
        <f t="shared" si="64"/>
        <v>3.2444497588584073E-2</v>
      </c>
      <c r="AN74" s="138">
        <f t="shared" si="64"/>
        <v>7.3338913468054143E-2</v>
      </c>
      <c r="AO74" s="139"/>
      <c r="AP74" s="138">
        <f>AP32</f>
        <v>0.41018200182440828</v>
      </c>
      <c r="AU74" s="3">
        <f t="shared" ref="AU74:BD74" si="71">AU32</f>
        <v>75.237628936767578</v>
      </c>
      <c r="AV74" s="3">
        <f t="shared" si="71"/>
        <v>10.499053955078125</v>
      </c>
      <c r="AW74" s="3">
        <f t="shared" si="71"/>
        <v>2.9944528341293335</v>
      </c>
      <c r="AX74" s="3">
        <f t="shared" si="71"/>
        <v>2.3423639535903931</v>
      </c>
      <c r="AY74" s="3">
        <f t="shared" si="71"/>
        <v>8.9265003204345703</v>
      </c>
      <c r="AZ74" s="3">
        <f t="shared" si="71"/>
        <v>67.691001892089844</v>
      </c>
      <c r="BA74" s="3">
        <f t="shared" si="71"/>
        <v>9.6781635284423828</v>
      </c>
      <c r="BB74" s="3">
        <f t="shared" si="71"/>
        <v>4.9720327854156494</v>
      </c>
      <c r="BC74" s="3">
        <f t="shared" si="71"/>
        <v>1.6955525279045105</v>
      </c>
      <c r="BD74" s="3">
        <f t="shared" si="71"/>
        <v>15.963249266147614</v>
      </c>
      <c r="BE74" s="3">
        <f t="shared" ref="BE74:BW74" si="72">BE32</f>
        <v>70.005604158241908</v>
      </c>
      <c r="BF74" s="3">
        <f t="shared" si="72"/>
        <v>9.9299362516079768</v>
      </c>
      <c r="BG74" s="3">
        <f t="shared" si="72"/>
        <v>4.3654954529563295</v>
      </c>
      <c r="BH74" s="3">
        <f t="shared" si="72"/>
        <v>1.8939340277192429</v>
      </c>
      <c r="BI74" s="3">
        <f t="shared" si="72"/>
        <v>13.805030109474545</v>
      </c>
      <c r="BJ74" s="6">
        <f t="shared" si="72"/>
        <v>0.21698971898703176</v>
      </c>
      <c r="BK74" s="6">
        <f t="shared" si="72"/>
        <v>0.1596482460133328</v>
      </c>
      <c r="BL74" s="6">
        <f t="shared" si="72"/>
        <v>0.13290624508023363</v>
      </c>
      <c r="BM74" s="6">
        <f t="shared" si="72"/>
        <v>2.2990524401556082E-2</v>
      </c>
      <c r="BN74" s="6">
        <f t="shared" si="72"/>
        <v>0.14546355462160598</v>
      </c>
      <c r="BO74" s="6">
        <f t="shared" si="72"/>
        <v>0.10787667486439227</v>
      </c>
      <c r="BP74" s="6">
        <f t="shared" si="72"/>
        <v>0.10494523787957517</v>
      </c>
      <c r="BQ74" s="6">
        <f t="shared" si="72"/>
        <v>1.4269612627463584E-2</v>
      </c>
      <c r="BR74" s="6">
        <f t="shared" si="72"/>
        <v>7.1526164365425776E-2</v>
      </c>
      <c r="BS74" s="6">
        <f t="shared" si="72"/>
        <v>5.1771571148940501E-2</v>
      </c>
      <c r="BT74" s="6">
        <f t="shared" si="72"/>
        <v>2.7961007200658455E-2</v>
      </c>
      <c r="BU74" s="6">
        <f t="shared" si="72"/>
        <v>8.720911774092498E-3</v>
      </c>
      <c r="BV74" s="6">
        <f t="shared" si="72"/>
        <v>0</v>
      </c>
      <c r="BW74" s="6">
        <f t="shared" si="72"/>
        <v>0</v>
      </c>
      <c r="BX74" s="6">
        <f>BX32</f>
        <v>0</v>
      </c>
      <c r="BZ74" s="5">
        <f t="shared" si="48"/>
        <v>0.14184487614966043</v>
      </c>
      <c r="CA74" s="5">
        <f t="shared" si="49"/>
        <v>6.2359228313900214E-2</v>
      </c>
      <c r="CB74" s="5">
        <f t="shared" si="50"/>
        <v>0.19719892822108084</v>
      </c>
    </row>
    <row r="75" spans="1:80">
      <c r="B75" s="15" t="s">
        <v>128</v>
      </c>
      <c r="D75" s="137">
        <v>0.5</v>
      </c>
      <c r="AL75" s="138">
        <f t="shared" si="64"/>
        <v>0.24209034473122085</v>
      </c>
      <c r="AM75" s="138">
        <f t="shared" si="64"/>
        <v>0.10128350999061832</v>
      </c>
      <c r="AN75" s="138">
        <f t="shared" si="64"/>
        <v>7.5353813601613126E-2</v>
      </c>
      <c r="AO75" s="139"/>
      <c r="AP75" s="138">
        <f>AP33</f>
        <v>0.4349448115791188</v>
      </c>
      <c r="AU75" s="3">
        <f t="shared" ref="AU75:BD75" si="73">AU33</f>
        <v>72.438091278076172</v>
      </c>
      <c r="AV75" s="3">
        <f t="shared" si="73"/>
        <v>9.1876530647277832</v>
      </c>
      <c r="AW75" s="3">
        <f t="shared" si="73"/>
        <v>3.4338536262512207</v>
      </c>
      <c r="AX75" s="3">
        <f t="shared" si="73"/>
        <v>1.2242113351821899</v>
      </c>
      <c r="AY75" s="3">
        <f t="shared" si="73"/>
        <v>13.716190695762634</v>
      </c>
      <c r="AZ75" s="3">
        <f t="shared" si="73"/>
        <v>65.959173202514648</v>
      </c>
      <c r="BA75" s="3">
        <f t="shared" si="73"/>
        <v>7.8598024845123291</v>
      </c>
      <c r="BB75" s="3">
        <f t="shared" si="73"/>
        <v>5.0539364814758301</v>
      </c>
      <c r="BC75" s="3">
        <f t="shared" si="73"/>
        <v>1.1716831922531128</v>
      </c>
      <c r="BD75" s="3">
        <f t="shared" si="73"/>
        <v>19.95540463924408</v>
      </c>
      <c r="BE75" s="3">
        <f t="shared" ref="BE75:BW75" si="74">BE33</f>
        <v>69.67417267312139</v>
      </c>
      <c r="BF75" s="3">
        <f t="shared" si="74"/>
        <v>8.6211895162688226</v>
      </c>
      <c r="BG75" s="3">
        <f t="shared" si="74"/>
        <v>4.1249840114329253</v>
      </c>
      <c r="BH75" s="3">
        <f t="shared" si="74"/>
        <v>1.2018027308701471</v>
      </c>
      <c r="BI75" s="3">
        <f t="shared" si="74"/>
        <v>16.377851068306704</v>
      </c>
      <c r="BJ75" s="6">
        <f t="shared" si="74"/>
        <v>0.36061441132706917</v>
      </c>
      <c r="BK75" s="6">
        <f t="shared" si="74"/>
        <v>0.23144605991693196</v>
      </c>
      <c r="BL75" s="6">
        <f t="shared" si="74"/>
        <v>0.20970028770738014</v>
      </c>
      <c r="BM75" s="6">
        <f t="shared" si="74"/>
        <v>2.4360271575727097E-2</v>
      </c>
      <c r="BN75" s="6">
        <f t="shared" si="74"/>
        <v>0.14563616090797635</v>
      </c>
      <c r="BO75" s="6">
        <f t="shared" si="74"/>
        <v>9.0015436754832798E-2</v>
      </c>
      <c r="BP75" s="6">
        <f t="shared" si="74"/>
        <v>0.10960473010459149</v>
      </c>
      <c r="BQ75" s="6">
        <f t="shared" si="74"/>
        <v>1.0131690158950076E-2</v>
      </c>
      <c r="BR75" s="6">
        <f t="shared" si="74"/>
        <v>0.21497825041909285</v>
      </c>
      <c r="BS75" s="6">
        <f t="shared" si="74"/>
        <v>0.14143062316209914</v>
      </c>
      <c r="BT75" s="6">
        <f t="shared" si="74"/>
        <v>0.10009555760278867</v>
      </c>
      <c r="BU75" s="6">
        <f t="shared" si="74"/>
        <v>1.4228581416777021E-2</v>
      </c>
      <c r="BV75" s="6">
        <f t="shared" si="74"/>
        <v>0</v>
      </c>
      <c r="BW75" s="6">
        <f t="shared" si="74"/>
        <v>0</v>
      </c>
      <c r="BX75" s="6">
        <f>BX33</f>
        <v>0</v>
      </c>
      <c r="BZ75" s="5">
        <f t="shared" si="48"/>
        <v>0.12373580030458932</v>
      </c>
      <c r="CA75" s="5">
        <f t="shared" si="49"/>
        <v>5.9203918082894498E-2</v>
      </c>
      <c r="CB75" s="5">
        <f t="shared" si="50"/>
        <v>0.23506344517564515</v>
      </c>
    </row>
    <row r="76" spans="1:80">
      <c r="D76" s="137"/>
      <c r="AL76" s="138"/>
      <c r="AM76" s="139"/>
      <c r="AN76" s="139"/>
      <c r="AO76" s="139"/>
      <c r="AP76" s="139"/>
    </row>
    <row r="77" spans="1:80">
      <c r="B77" s="196" t="s">
        <v>134</v>
      </c>
      <c r="C77" s="197"/>
      <c r="D77" s="197"/>
      <c r="E77" s="198"/>
      <c r="AL77" s="138"/>
      <c r="AM77" s="139"/>
      <c r="AN77" s="139"/>
      <c r="AO77" s="139"/>
      <c r="AP77" s="139"/>
    </row>
    <row r="78" spans="1:80">
      <c r="A78" s="15" t="s">
        <v>129</v>
      </c>
      <c r="B78" s="15" t="s">
        <v>124</v>
      </c>
      <c r="C78" s="16" t="s">
        <v>115</v>
      </c>
      <c r="D78" s="137">
        <v>0</v>
      </c>
      <c r="AL78" s="138">
        <f t="shared" ref="AL78:AN82" si="75">AL13</f>
        <v>0.18111228961956488</v>
      </c>
      <c r="AM78" s="138">
        <f t="shared" si="75"/>
        <v>4.4507594708719483E-2</v>
      </c>
      <c r="AN78" s="138">
        <f t="shared" si="75"/>
        <v>1.0286377554083731E-2</v>
      </c>
      <c r="AO78" s="139"/>
      <c r="AP78" s="138">
        <f>AP13</f>
        <v>0.61440041179343674</v>
      </c>
      <c r="BV78" s="138">
        <f>BV13</f>
        <v>0</v>
      </c>
      <c r="BW78" s="138">
        <f t="shared" ref="BV78:BX82" si="76">BW13</f>
        <v>0</v>
      </c>
      <c r="BX78" s="138">
        <f t="shared" si="76"/>
        <v>0</v>
      </c>
      <c r="BZ78" s="5">
        <f>BZ63</f>
        <v>0.14748331294090899</v>
      </c>
      <c r="CA78" s="5">
        <f t="shared" ref="CA78:CB78" si="77">CA63</f>
        <v>6.2376651730772822E-2</v>
      </c>
      <c r="CB78" s="5">
        <f t="shared" si="77"/>
        <v>0.28690040095543312</v>
      </c>
    </row>
    <row r="79" spans="1:80">
      <c r="B79" s="15" t="s">
        <v>125</v>
      </c>
      <c r="D79" s="137">
        <v>0.5</v>
      </c>
      <c r="AL79" s="138">
        <f t="shared" si="75"/>
        <v>0.15347879950445653</v>
      </c>
      <c r="AM79" s="138">
        <f t="shared" si="75"/>
        <v>9.8509371378329522E-3</v>
      </c>
      <c r="AN79" s="138">
        <f t="shared" si="75"/>
        <v>4.795588058985915E-3</v>
      </c>
      <c r="AO79" s="139"/>
      <c r="AP79" s="138">
        <f>AP14</f>
        <v>0.53803695884383707</v>
      </c>
      <c r="BV79" s="138">
        <f t="shared" si="76"/>
        <v>0</v>
      </c>
      <c r="BW79" s="138">
        <f t="shared" si="76"/>
        <v>0</v>
      </c>
      <c r="BX79" s="138">
        <f t="shared" si="76"/>
        <v>0</v>
      </c>
      <c r="BZ79" s="5">
        <f>BZ68</f>
        <v>0.16304025766455993</v>
      </c>
      <c r="CA79" s="5">
        <f t="shared" ref="CA79:CB79" si="78">CA68</f>
        <v>0.10398070247965625</v>
      </c>
      <c r="CB79" s="5">
        <f t="shared" si="78"/>
        <v>0.29597972965595715</v>
      </c>
    </row>
    <row r="80" spans="1:80">
      <c r="B80" s="15" t="s">
        <v>126</v>
      </c>
      <c r="D80" s="137">
        <v>1</v>
      </c>
      <c r="AL80" s="138">
        <f t="shared" si="75"/>
        <v>0.6693113233942215</v>
      </c>
      <c r="AM80" s="138">
        <f t="shared" si="75"/>
        <v>9.0331348175389185E-3</v>
      </c>
      <c r="AN80" s="138">
        <f t="shared" si="75"/>
        <v>9.3528918022305167E-3</v>
      </c>
      <c r="AO80" s="139"/>
      <c r="AP80" s="138">
        <f>AP15</f>
        <v>0.13867917766604773</v>
      </c>
      <c r="BV80" s="138">
        <f t="shared" si="76"/>
        <v>0</v>
      </c>
      <c r="BW80" s="138">
        <f t="shared" si="76"/>
        <v>0</v>
      </c>
      <c r="BX80" s="138">
        <f t="shared" si="76"/>
        <v>0</v>
      </c>
      <c r="BZ80" s="5">
        <f>BZ73</f>
        <v>0.17689075623275363</v>
      </c>
      <c r="CA80" s="5">
        <f t="shared" ref="CA80:CB80" si="79">CA73</f>
        <v>6.6969751192909918E-2</v>
      </c>
      <c r="CB80" s="5">
        <f t="shared" si="79"/>
        <v>0.15003325286449193</v>
      </c>
    </row>
    <row r="81" spans="1:80">
      <c r="B81" s="15" t="s">
        <v>127</v>
      </c>
      <c r="C81" s="16" t="s">
        <v>116</v>
      </c>
      <c r="D81" s="137">
        <v>0</v>
      </c>
      <c r="AL81" s="138">
        <f t="shared" si="75"/>
        <v>0.30779718621561819</v>
      </c>
      <c r="AM81" s="138">
        <f t="shared" si="75"/>
        <v>2.8019285488460305E-2</v>
      </c>
      <c r="AN81" s="138">
        <f t="shared" si="75"/>
        <v>4.6059911476446468E-2</v>
      </c>
      <c r="AO81" s="139"/>
      <c r="AP81" s="138">
        <f>AP16</f>
        <v>0.45046046873124013</v>
      </c>
      <c r="BV81" s="138">
        <f t="shared" si="76"/>
        <v>0</v>
      </c>
      <c r="BW81" s="138">
        <f t="shared" si="76"/>
        <v>0</v>
      </c>
      <c r="BX81" s="138">
        <f t="shared" si="76"/>
        <v>0</v>
      </c>
    </row>
    <row r="82" spans="1:80">
      <c r="B82" s="15" t="s">
        <v>128</v>
      </c>
      <c r="D82" s="137">
        <v>0.5</v>
      </c>
      <c r="AL82" s="138">
        <f t="shared" si="75"/>
        <v>0.31381104883907107</v>
      </c>
      <c r="AM82" s="138">
        <f t="shared" si="75"/>
        <v>1.2710168134507139E-2</v>
      </c>
      <c r="AN82" s="138">
        <f t="shared" si="75"/>
        <v>1.2950360288230269E-2</v>
      </c>
      <c r="AO82" s="139"/>
      <c r="AP82" s="138">
        <f>AP17</f>
        <v>0.36295053923864945</v>
      </c>
      <c r="BV82" s="138">
        <f t="shared" si="76"/>
        <v>0</v>
      </c>
      <c r="BW82" s="138">
        <f t="shared" si="76"/>
        <v>0</v>
      </c>
      <c r="BX82" s="138">
        <f t="shared" si="76"/>
        <v>0</v>
      </c>
      <c r="BZ82" s="5">
        <f>BZ64</f>
        <v>0.15403486709443132</v>
      </c>
      <c r="CA82" s="5">
        <f t="shared" ref="CA82:CB82" si="80">CA64</f>
        <v>6.6043657292656738E-2</v>
      </c>
      <c r="CB82" s="5">
        <f t="shared" si="80"/>
        <v>1.8315245804901879E-2</v>
      </c>
    </row>
    <row r="83" spans="1:80">
      <c r="A83" s="15" t="s">
        <v>112</v>
      </c>
      <c r="B83" s="15" t="s">
        <v>124</v>
      </c>
      <c r="C83" s="16" t="s">
        <v>115</v>
      </c>
      <c r="D83" s="137">
        <v>0</v>
      </c>
      <c r="AL83" s="138">
        <f t="shared" ref="AL83:AN86" si="81">AL34</f>
        <v>0.16164652598248383</v>
      </c>
      <c r="AM83" s="138">
        <f t="shared" si="81"/>
        <v>7.3969418224814037E-2</v>
      </c>
      <c r="AN83" s="138">
        <f t="shared" si="81"/>
        <v>2.1523477424396961E-2</v>
      </c>
      <c r="AO83" s="139"/>
      <c r="AP83" s="138">
        <f>AP34</f>
        <v>0.56156034379831055</v>
      </c>
      <c r="BV83" s="138">
        <f t="shared" ref="BV83:BX86" si="82">BV34</f>
        <v>0.76272282185149243</v>
      </c>
      <c r="BW83" s="138">
        <f t="shared" si="82"/>
        <v>4.7821984218230059E-3</v>
      </c>
      <c r="BX83" s="138">
        <f t="shared" si="82"/>
        <v>0.56635546306845885</v>
      </c>
      <c r="BZ83" s="5">
        <f>BZ69</f>
        <v>0.11845792115929342</v>
      </c>
      <c r="CA83" s="5">
        <f t="shared" ref="CA83:CB83" si="83">CA69</f>
        <v>6.5023329081497494E-2</v>
      </c>
      <c r="CB83" s="5">
        <f t="shared" si="83"/>
        <v>0.18664679881089596</v>
      </c>
    </row>
    <row r="84" spans="1:80">
      <c r="B84" s="15" t="s">
        <v>125</v>
      </c>
      <c r="D84" s="137">
        <v>0.5</v>
      </c>
      <c r="AL84" s="138">
        <f t="shared" si="81"/>
        <v>0.20567956993544953</v>
      </c>
      <c r="AM84" s="138">
        <f t="shared" si="81"/>
        <v>1.8845300665480316E-2</v>
      </c>
      <c r="AN84" s="138">
        <f t="shared" si="81"/>
        <v>1.8665440956054085E-2</v>
      </c>
      <c r="AO84" s="139"/>
      <c r="AP84" s="138">
        <f>AP35</f>
        <v>0.27523752785195738</v>
      </c>
      <c r="BV84" s="138">
        <f t="shared" si="82"/>
        <v>0.48398718763218018</v>
      </c>
      <c r="BW84" s="138">
        <f t="shared" si="82"/>
        <v>0</v>
      </c>
      <c r="BX84" s="138">
        <f t="shared" si="82"/>
        <v>1.097408708447192</v>
      </c>
      <c r="BZ84" s="5">
        <f>BZ74</f>
        <v>0.14184487614966043</v>
      </c>
      <c r="CA84" s="5">
        <f t="shared" ref="CA84:CB84" si="84">CA74</f>
        <v>6.2359228313900214E-2</v>
      </c>
      <c r="CB84" s="5">
        <f t="shared" si="84"/>
        <v>0.19719892822108084</v>
      </c>
    </row>
    <row r="85" spans="1:80">
      <c r="B85" s="15" t="s">
        <v>126</v>
      </c>
      <c r="D85" s="137">
        <v>1</v>
      </c>
      <c r="AL85" s="138">
        <f t="shared" si="81"/>
        <v>0.59936012797440485</v>
      </c>
      <c r="AM85" s="138">
        <f t="shared" si="81"/>
        <v>1.1937612477504382E-2</v>
      </c>
      <c r="AN85" s="138">
        <f t="shared" si="81"/>
        <v>2.0975804839032323E-2</v>
      </c>
      <c r="AO85" s="139"/>
      <c r="AP85" s="138">
        <f>AP36</f>
        <v>-4.3725263241433304E-2</v>
      </c>
      <c r="BV85" s="138">
        <f t="shared" si="82"/>
        <v>0</v>
      </c>
      <c r="BW85" s="138">
        <f t="shared" si="82"/>
        <v>0</v>
      </c>
      <c r="BX85" s="138">
        <f t="shared" si="82"/>
        <v>0</v>
      </c>
    </row>
    <row r="86" spans="1:80">
      <c r="B86" s="15" t="s">
        <v>127</v>
      </c>
      <c r="C86" s="16" t="s">
        <v>116</v>
      </c>
      <c r="D86" s="137">
        <v>0</v>
      </c>
      <c r="AL86" s="138">
        <f t="shared" si="81"/>
        <v>7.3241349014595919E-2</v>
      </c>
      <c r="AM86" s="138">
        <f t="shared" si="81"/>
        <v>1.3198618238454158E-2</v>
      </c>
      <c r="AN86" s="138">
        <f t="shared" si="81"/>
        <v>5.2574828777380844E-2</v>
      </c>
      <c r="AO86" s="139"/>
      <c r="AP86" s="138">
        <f>AP37</f>
        <v>0.51982142233164197</v>
      </c>
      <c r="BV86" s="138">
        <f t="shared" si="82"/>
        <v>0.37186142935066963</v>
      </c>
      <c r="BW86" s="138">
        <f t="shared" si="82"/>
        <v>5.4431762528858122E-3</v>
      </c>
      <c r="BX86" s="138">
        <f t="shared" si="82"/>
        <v>0.29966399488360734</v>
      </c>
      <c r="BZ86" s="5">
        <f>BZ65</f>
        <v>0.11204646468179412</v>
      </c>
      <c r="CA86" s="5">
        <f t="shared" ref="CA86:CB86" si="85">CA65</f>
        <v>6.0592533920506224E-2</v>
      </c>
      <c r="CB86" s="5">
        <f t="shared" si="85"/>
        <v>0.22233531357022146</v>
      </c>
    </row>
    <row r="87" spans="1:80">
      <c r="B87" s="15" t="s">
        <v>128</v>
      </c>
      <c r="D87" s="137">
        <v>0.5</v>
      </c>
      <c r="AL87" s="138">
        <f>AVERAGE(AL42:AL43)</f>
        <v>4.2710993848305331E-2</v>
      </c>
      <c r="AM87" s="138">
        <f>AVERAGE(AM42:AM43)</f>
        <v>8.9802109785221129E-3</v>
      </c>
      <c r="AN87" s="138">
        <f>AVERAGE(AN42:AN43)</f>
        <v>1.4941216766283204E-2</v>
      </c>
      <c r="AO87" s="139"/>
      <c r="AP87" s="138">
        <f>AVERAGE(AP42:AP43)</f>
        <v>0.20488289574315099</v>
      </c>
      <c r="BV87" s="138">
        <f>AVERAGE(BV42:BV43)</f>
        <v>0.38731204866937513</v>
      </c>
      <c r="BW87" s="138">
        <f>AVERAGE(BW42:BW43)</f>
        <v>1.1582933201174921E-2</v>
      </c>
      <c r="BX87" s="138">
        <f>AVERAGE(BX42:BX43)</f>
        <v>0.78485449013425679</v>
      </c>
      <c r="BZ87" s="5">
        <f>BZ70</f>
        <v>0.12122793677221627</v>
      </c>
      <c r="CA87" s="5">
        <f t="shared" ref="CA87:CB87" si="86">CA70</f>
        <v>7.4178170779101119E-2</v>
      </c>
      <c r="CB87" s="5">
        <f t="shared" si="86"/>
        <v>0.2909817102809199</v>
      </c>
    </row>
    <row r="88" spans="1:80">
      <c r="A88" s="15" t="s">
        <v>130</v>
      </c>
      <c r="B88" s="15" t="s">
        <v>124</v>
      </c>
      <c r="C88" s="16" t="s">
        <v>115</v>
      </c>
      <c r="D88" s="137">
        <v>0</v>
      </c>
      <c r="AL88" s="138">
        <f>AL23</f>
        <v>0.20903107056399128</v>
      </c>
      <c r="AM88" s="138">
        <f>AM23</f>
        <v>1.7545965628313249E-2</v>
      </c>
      <c r="AN88" s="138">
        <f>AN23</f>
        <v>1.6745693535801527E-2</v>
      </c>
      <c r="AO88" s="139"/>
      <c r="AP88" s="138">
        <f>AP23</f>
        <v>0.59025400407971118</v>
      </c>
      <c r="BV88" s="138">
        <f>BV23</f>
        <v>0</v>
      </c>
      <c r="BW88" s="138">
        <f>BW23</f>
        <v>0</v>
      </c>
      <c r="BX88" s="138">
        <f>BX23</f>
        <v>0</v>
      </c>
      <c r="BZ88" s="5">
        <f>BZ75</f>
        <v>0.12373580030458932</v>
      </c>
      <c r="CA88" s="5">
        <f t="shared" ref="CA88:CB88" si="87">CA75</f>
        <v>5.9203918082894498E-2</v>
      </c>
      <c r="CB88" s="5">
        <f t="shared" si="87"/>
        <v>0.23506344517564515</v>
      </c>
    </row>
    <row r="89" spans="1:80">
      <c r="B89" s="15" t="s">
        <v>125</v>
      </c>
      <c r="D89" s="137">
        <v>0.5</v>
      </c>
      <c r="AL89" s="138">
        <f>AVERAGE(AL24:AL25)</f>
        <v>9.4319135294311976E-2</v>
      </c>
      <c r="AM89" s="138">
        <f>AVERAGE(AM24:AM25)</f>
        <v>3.6742681416992548E-3</v>
      </c>
      <c r="AN89" s="138">
        <f>AVERAGE(AN24:AN25)</f>
        <v>1.7073365549745178E-3</v>
      </c>
      <c r="AO89" s="139"/>
      <c r="AP89" s="138">
        <f>AVERAGE(AP24:AP25)</f>
        <v>0.55566241667536809</v>
      </c>
      <c r="BV89" s="138"/>
      <c r="BW89" s="138"/>
      <c r="BX89" s="138"/>
    </row>
    <row r="90" spans="1:80">
      <c r="B90" s="15" t="s">
        <v>126</v>
      </c>
      <c r="D90" s="137">
        <v>1</v>
      </c>
      <c r="AL90" s="138">
        <f t="shared" ref="AL90:AN92" si="88">AL26</f>
        <v>0.46519113883557384</v>
      </c>
      <c r="AM90" s="138">
        <f t="shared" si="88"/>
        <v>9.6968969929623824E-3</v>
      </c>
      <c r="AN90" s="138">
        <f t="shared" si="88"/>
        <v>2.8290946896992377E-2</v>
      </c>
      <c r="AO90" s="139"/>
      <c r="AP90" s="138">
        <f>AP26</f>
        <v>0.13856209389183211</v>
      </c>
      <c r="BV90" s="138">
        <f>BV26</f>
        <v>0</v>
      </c>
      <c r="BW90" s="138">
        <f>BW26</f>
        <v>0</v>
      </c>
      <c r="BX90" s="138">
        <f>BX26</f>
        <v>0</v>
      </c>
    </row>
    <row r="91" spans="1:80">
      <c r="B91" s="15" t="s">
        <v>127</v>
      </c>
      <c r="C91" s="16" t="s">
        <v>116</v>
      </c>
      <c r="D91" s="137">
        <v>0</v>
      </c>
      <c r="AL91" s="138">
        <f t="shared" si="88"/>
        <v>0.181086999800916</v>
      </c>
      <c r="AM91" s="138">
        <f t="shared" si="88"/>
        <v>3.515827194903455E-2</v>
      </c>
      <c r="AN91" s="138">
        <f t="shared" si="88"/>
        <v>3.4919370893888073E-2</v>
      </c>
      <c r="AO91" s="139"/>
      <c r="AP91" s="138">
        <f>AP27</f>
        <v>0.39746807156181985</v>
      </c>
      <c r="BV91" s="138">
        <f t="shared" ref="BV91:BX92" si="89">BV27</f>
        <v>0</v>
      </c>
      <c r="BW91" s="138">
        <f t="shared" si="89"/>
        <v>0</v>
      </c>
      <c r="BX91" s="138">
        <f t="shared" si="89"/>
        <v>0</v>
      </c>
    </row>
    <row r="92" spans="1:80">
      <c r="B92" s="15" t="s">
        <v>128</v>
      </c>
      <c r="D92" s="137">
        <v>0.5</v>
      </c>
      <c r="AL92" s="138">
        <f t="shared" si="88"/>
        <v>0.27096529262493213</v>
      </c>
      <c r="AM92" s="138">
        <f t="shared" si="88"/>
        <v>1.4266589405958515E-2</v>
      </c>
      <c r="AN92" s="138">
        <f t="shared" si="88"/>
        <v>1.4406457929546016E-2</v>
      </c>
      <c r="AO92" s="139"/>
      <c r="AP92" s="138">
        <f>AP28</f>
        <v>0.33745358942078374</v>
      </c>
      <c r="BV92" s="138">
        <f t="shared" si="89"/>
        <v>0</v>
      </c>
      <c r="BW92" s="138">
        <f t="shared" si="89"/>
        <v>0</v>
      </c>
      <c r="BX92" s="138">
        <f t="shared" si="89"/>
        <v>0</v>
      </c>
    </row>
    <row r="95" spans="1:80">
      <c r="B95" s="170"/>
    </row>
    <row r="96" spans="1:80">
      <c r="D96" s="140"/>
      <c r="AL96" s="138">
        <f>AL66</f>
        <v>0.15429362325236295</v>
      </c>
      <c r="AM96" s="138">
        <f>AM66</f>
        <v>4.6416464405351882E-2</v>
      </c>
      <c r="AN96" s="138">
        <f>AN66</f>
        <v>3.7871341744729614E-2</v>
      </c>
      <c r="AO96" s="139">
        <f>SUM(AM96:AN96)</f>
        <v>8.4287806150081496E-2</v>
      </c>
      <c r="AP96" s="138">
        <f>AP66</f>
        <v>0.58078427135540367</v>
      </c>
      <c r="AR96" s="139"/>
    </row>
    <row r="97" spans="2:76">
      <c r="B97" s="15" t="s">
        <v>217</v>
      </c>
      <c r="C97" s="16" t="s">
        <v>146</v>
      </c>
      <c r="D97" s="140" t="s">
        <v>170</v>
      </c>
      <c r="AL97" s="138">
        <f>AL61</f>
        <v>0.18412679473412108</v>
      </c>
      <c r="AM97" s="138">
        <f>AM61</f>
        <v>3.7386151215049686E-2</v>
      </c>
      <c r="AN97" s="138">
        <f>AN61</f>
        <v>2.2252714473212934E-2</v>
      </c>
      <c r="AO97" s="139">
        <f t="shared" ref="AO97:AO104" si="90">SUM(AM97:AN97)</f>
        <v>5.963886568826262E-2</v>
      </c>
      <c r="AP97" s="138">
        <f>AP61</f>
        <v>0.63072711401073334</v>
      </c>
      <c r="AR97" s="139"/>
    </row>
    <row r="98" spans="2:76">
      <c r="D98" s="140" t="s">
        <v>244</v>
      </c>
      <c r="AL98" s="138">
        <f>AL71</f>
        <v>0.1824340527577937</v>
      </c>
      <c r="AM98" s="138">
        <f>AM71</f>
        <v>3.3513189448441241E-2</v>
      </c>
      <c r="AN98" s="138">
        <f>AN71</f>
        <v>2.3201438848920751E-2</v>
      </c>
      <c r="AO98" s="139">
        <f t="shared" si="90"/>
        <v>5.6714628297361992E-2</v>
      </c>
      <c r="AP98" s="138">
        <f>AP71</f>
        <v>0.62576507885990718</v>
      </c>
      <c r="AR98" s="139"/>
    </row>
    <row r="99" spans="2:76">
      <c r="D99" s="140" t="s">
        <v>245</v>
      </c>
      <c r="AL99" s="138">
        <f>AL67</f>
        <v>0.12317019664153722</v>
      </c>
      <c r="AM99" s="138">
        <f>AM67</f>
        <v>6.5115073192134207E-2</v>
      </c>
      <c r="AN99" s="138">
        <f>AN67</f>
        <v>7.9494236368713223E-2</v>
      </c>
      <c r="AO99" s="139">
        <f t="shared" si="90"/>
        <v>0.14460930956084744</v>
      </c>
      <c r="AP99" s="138">
        <f>AP67</f>
        <v>8.8773722935662436E-2</v>
      </c>
      <c r="AQ99" s="169">
        <f t="shared" ref="AQ99:AQ104" si="91">AN99+AM99</f>
        <v>0.14460930956084744</v>
      </c>
      <c r="AR99" s="139"/>
    </row>
    <row r="100" spans="2:76">
      <c r="C100" s="16" t="s">
        <v>147</v>
      </c>
      <c r="D100" s="140" t="s">
        <v>170</v>
      </c>
      <c r="AL100" s="138">
        <f>AL62</f>
        <v>0.18248757807355381</v>
      </c>
      <c r="AM100" s="138">
        <f>AM62</f>
        <v>4.1925248937400884E-2</v>
      </c>
      <c r="AN100" s="138">
        <f>AN62</f>
        <v>6.8545088100891743E-2</v>
      </c>
      <c r="AO100" s="139">
        <f t="shared" si="90"/>
        <v>0.11047033703829262</v>
      </c>
      <c r="AP100" s="138">
        <f>AP62</f>
        <v>0.41311347531094217</v>
      </c>
      <c r="AQ100" s="169">
        <f>AN100+AM100</f>
        <v>0.11047033703829262</v>
      </c>
      <c r="AR100" s="139"/>
    </row>
    <row r="101" spans="2:76">
      <c r="D101" s="140" t="s">
        <v>244</v>
      </c>
      <c r="AL101" s="138">
        <f>AL72</f>
        <v>0.11813192256632742</v>
      </c>
      <c r="AM101" s="138">
        <f>AM72</f>
        <v>8.9718441023202339E-2</v>
      </c>
      <c r="AN101" s="138">
        <f>AN72</f>
        <v>3.5011591273851332E-2</v>
      </c>
      <c r="AO101" s="139">
        <f t="shared" si="90"/>
        <v>0.12473003229705368</v>
      </c>
      <c r="AP101" s="138">
        <f>AP72</f>
        <v>0.4525054379307934</v>
      </c>
      <c r="AQ101" s="169">
        <f t="shared" si="91"/>
        <v>0.12473003229705368</v>
      </c>
      <c r="AR101" s="139"/>
    </row>
    <row r="102" spans="2:76">
      <c r="D102" s="140" t="s">
        <v>245</v>
      </c>
      <c r="AL102" s="138">
        <f>AL68</f>
        <v>0.31077058318182765</v>
      </c>
      <c r="AM102" s="138">
        <f>AM68</f>
        <v>6.3672507142428975E-2</v>
      </c>
      <c r="AN102" s="138">
        <f>AN68</f>
        <v>0.12432821209517965</v>
      </c>
      <c r="AO102" s="139">
        <f t="shared" si="90"/>
        <v>0.18800071923760864</v>
      </c>
      <c r="AP102" s="138" t="e">
        <f>AP68</f>
        <v>#DIV/0!</v>
      </c>
      <c r="AQ102" s="169">
        <f t="shared" si="91"/>
        <v>0.18800071923760864</v>
      </c>
    </row>
    <row r="103" spans="2:76">
      <c r="C103" s="16" t="s">
        <v>163</v>
      </c>
      <c r="D103" s="140" t="s">
        <v>170</v>
      </c>
      <c r="AL103" s="138">
        <f>AL63</f>
        <v>0.45728372390115346</v>
      </c>
      <c r="AM103" s="138">
        <f>AM63</f>
        <v>7.9663858836680243E-2</v>
      </c>
      <c r="AN103" s="138">
        <f>AN63</f>
        <v>4.8904147870174657E-2</v>
      </c>
      <c r="AO103" s="139">
        <f t="shared" si="90"/>
        <v>0.12856800670685489</v>
      </c>
      <c r="AP103" s="138" t="e">
        <f>AP63</f>
        <v>#DIV/0!</v>
      </c>
      <c r="AQ103" s="169">
        <f>AN103+AM103</f>
        <v>0.12856800670685489</v>
      </c>
    </row>
    <row r="104" spans="2:76">
      <c r="D104" s="140" t="s">
        <v>244</v>
      </c>
      <c r="AL104" s="138">
        <f>AL73</f>
        <v>0.29853732717049841</v>
      </c>
      <c r="AM104" s="138">
        <f>AM73</f>
        <v>7.5294635532344986E-2</v>
      </c>
      <c r="AN104" s="138">
        <f>AN73</f>
        <v>5.9407327370590637E-2</v>
      </c>
      <c r="AO104" s="139">
        <f t="shared" si="90"/>
        <v>0.13470196290293562</v>
      </c>
      <c r="AP104" s="138" t="e">
        <f>AP73</f>
        <v>#DIV/0!</v>
      </c>
      <c r="AQ104" s="169">
        <f t="shared" si="91"/>
        <v>0.13470196290293562</v>
      </c>
    </row>
    <row r="105" spans="2:76">
      <c r="D105" s="140" t="s">
        <v>245</v>
      </c>
      <c r="AL105" s="138"/>
      <c r="AM105" s="138"/>
      <c r="AN105" s="138"/>
      <c r="AO105" s="139"/>
      <c r="AP105" s="138"/>
    </row>
    <row r="106" spans="2:76">
      <c r="AL106" s="138"/>
      <c r="AM106" s="138"/>
      <c r="AN106" s="138"/>
      <c r="AO106" s="139"/>
      <c r="AP106" s="138"/>
    </row>
    <row r="107" spans="2:76">
      <c r="B107" s="15" t="s">
        <v>164</v>
      </c>
      <c r="C107" s="16" t="s">
        <v>146</v>
      </c>
      <c r="D107" s="140" t="s">
        <v>170</v>
      </c>
      <c r="AL107" s="138">
        <f>AL69</f>
        <v>4.5989885791144935E-2</v>
      </c>
      <c r="AM107" s="138">
        <f>AM69</f>
        <v>5.4424080194093075E-2</v>
      </c>
      <c r="AN107" s="138">
        <f>AN69</f>
        <v>7.9758166005828413E-2</v>
      </c>
      <c r="AO107" s="139">
        <f>AM107+AN107</f>
        <v>0.13418224619992147</v>
      </c>
      <c r="AP107" s="138">
        <f>AP69</f>
        <v>0.47645186787032423</v>
      </c>
      <c r="AU107" s="3">
        <f t="shared" ref="AU107:AZ107" si="92">AU69</f>
        <v>74.626865386962891</v>
      </c>
      <c r="AV107" s="3">
        <f t="shared" si="92"/>
        <v>9.8783903121948242</v>
      </c>
      <c r="AW107" s="3">
        <f t="shared" si="92"/>
        <v>3.2323814630508423</v>
      </c>
      <c r="AX107" s="3">
        <f t="shared" si="92"/>
        <v>0.8840671181678772</v>
      </c>
      <c r="AY107" s="3">
        <f t="shared" si="92"/>
        <v>11.378295719623566</v>
      </c>
      <c r="AZ107" s="3">
        <f t="shared" si="92"/>
        <v>71.285137176513672</v>
      </c>
      <c r="BA107" s="3">
        <f t="shared" ref="BA107:BX107" si="93">BA69</f>
        <v>7.8787467479705811</v>
      </c>
      <c r="BB107" s="3">
        <f t="shared" si="93"/>
        <v>5.5176830291748047</v>
      </c>
      <c r="BC107" s="3">
        <f t="shared" si="93"/>
        <v>0.62397220730781555</v>
      </c>
      <c r="BD107" s="3">
        <f t="shared" si="93"/>
        <v>14.694460839033127</v>
      </c>
      <c r="BE107" s="3">
        <f t="shared" si="93"/>
        <v>72.463526961161861</v>
      </c>
      <c r="BF107" s="3">
        <f t="shared" si="93"/>
        <v>8.5838787636896452</v>
      </c>
      <c r="BG107" s="3">
        <f t="shared" si="93"/>
        <v>4.7118197600015934</v>
      </c>
      <c r="BH107" s="3">
        <f t="shared" si="93"/>
        <v>0.71568917729900261</v>
      </c>
      <c r="BI107" s="3">
        <f t="shared" si="93"/>
        <v>13.525085337847914</v>
      </c>
      <c r="BJ107" s="6">
        <f t="shared" si="93"/>
        <v>0.32771691994649221</v>
      </c>
      <c r="BK107" s="6">
        <f t="shared" si="93"/>
        <v>0.20136051487091897</v>
      </c>
      <c r="BL107" s="6">
        <f t="shared" si="93"/>
        <v>0.20930208952340978</v>
      </c>
      <c r="BM107" s="6">
        <f t="shared" si="93"/>
        <v>1.2675979468237933E-2</v>
      </c>
      <c r="BN107" s="6">
        <f t="shared" si="93"/>
        <v>0.2087044577483993</v>
      </c>
      <c r="BO107" s="6">
        <f t="shared" si="93"/>
        <v>0.11964683594599658</v>
      </c>
      <c r="BP107" s="6">
        <f t="shared" si="93"/>
        <v>0.15867005876690501</v>
      </c>
      <c r="BQ107" s="6">
        <f t="shared" si="93"/>
        <v>7.1544402768703346E-3</v>
      </c>
      <c r="BR107" s="6">
        <f t="shared" si="93"/>
        <v>0.11901246219809293</v>
      </c>
      <c r="BS107" s="6">
        <f t="shared" si="93"/>
        <v>8.1713678924922359E-2</v>
      </c>
      <c r="BT107" s="6">
        <f t="shared" si="93"/>
        <v>5.0632030756504742E-2</v>
      </c>
      <c r="BU107" s="6">
        <f t="shared" si="93"/>
        <v>5.5215391913676004E-3</v>
      </c>
      <c r="BV107" s="6">
        <f t="shared" si="93"/>
        <v>0.59016079984468117</v>
      </c>
      <c r="BW107" s="6">
        <f t="shared" si="93"/>
        <v>2.5240519401745147E-2</v>
      </c>
      <c r="BX107" s="3">
        <f t="shared" si="93"/>
        <v>0.27288312210321708</v>
      </c>
    </row>
    <row r="108" spans="2:76">
      <c r="D108" s="140" t="s">
        <v>244</v>
      </c>
      <c r="AL108" s="138">
        <f>AL64</f>
        <v>0.29741827192071002</v>
      </c>
      <c r="AM108" s="138">
        <f>AM64</f>
        <v>5.8488530093517691E-2</v>
      </c>
      <c r="AN108" s="138">
        <f>AN64</f>
        <v>5.7509391735272392E-2</v>
      </c>
      <c r="AO108" s="139">
        <f t="shared" ref="AO108:AO112" si="94">AM108+AN108</f>
        <v>0.11599792182879008</v>
      </c>
      <c r="AP108" s="138">
        <f>AP64</f>
        <v>0.48553586235979984</v>
      </c>
      <c r="AU108" s="3">
        <f t="shared" ref="AU108:AZ108" si="95">AU64</f>
        <v>79.647727966308594</v>
      </c>
      <c r="AV108" s="3">
        <f t="shared" si="95"/>
        <v>13.626564025878906</v>
      </c>
      <c r="AW108" s="3">
        <f t="shared" si="95"/>
        <v>3.2012593746185303</v>
      </c>
      <c r="AX108" s="3">
        <f t="shared" si="95"/>
        <v>2.4975574016571045</v>
      </c>
      <c r="AY108" s="3">
        <f t="shared" si="95"/>
        <v>1.0268912315368652</v>
      </c>
      <c r="AZ108" s="3">
        <f t="shared" si="95"/>
        <v>78.133087158203125</v>
      </c>
      <c r="BA108" s="3">
        <f t="shared" ref="BA108:BX108" si="96">BA64</f>
        <v>10.654061317443848</v>
      </c>
      <c r="BB108" s="3">
        <f t="shared" si="96"/>
        <v>7.2542181015014648</v>
      </c>
      <c r="BC108" s="3">
        <f t="shared" si="96"/>
        <v>2.0883772373199463</v>
      </c>
      <c r="BD108" s="3">
        <f t="shared" si="96"/>
        <v>1.8702561855316162</v>
      </c>
      <c r="BE108" s="3">
        <f t="shared" si="96"/>
        <v>78.896800103134169</v>
      </c>
      <c r="BF108" s="3">
        <f t="shared" si="96"/>
        <v>12.152858118062186</v>
      </c>
      <c r="BG108" s="3">
        <f t="shared" si="96"/>
        <v>5.2106332274986382</v>
      </c>
      <c r="BH108" s="3">
        <f t="shared" si="96"/>
        <v>2.2946942641958925</v>
      </c>
      <c r="BI108" s="3">
        <f t="shared" si="96"/>
        <v>1.4450142871091103</v>
      </c>
      <c r="BJ108" s="6">
        <f t="shared" si="96"/>
        <v>0.26816270667508557</v>
      </c>
      <c r="BK108" s="6">
        <f t="shared" si="96"/>
        <v>0.21425391201441718</v>
      </c>
      <c r="BL108" s="6">
        <f t="shared" si="96"/>
        <v>0.17395423019808284</v>
      </c>
      <c r="BM108" s="6">
        <f t="shared" si="96"/>
        <v>3.0545096545740634E-2</v>
      </c>
      <c r="BN108" s="6">
        <f t="shared" si="96"/>
        <v>0.13166263450107279</v>
      </c>
      <c r="BO108" s="6">
        <f t="shared" si="96"/>
        <v>9.3122384964065219E-2</v>
      </c>
      <c r="BP108" s="6">
        <f t="shared" si="96"/>
        <v>0.12006700124907889</v>
      </c>
      <c r="BQ108" s="6">
        <f t="shared" si="96"/>
        <v>1.3782061657237131E-2</v>
      </c>
      <c r="BR108" s="6">
        <f t="shared" si="96"/>
        <v>0.13650007217401278</v>
      </c>
      <c r="BS108" s="6">
        <f t="shared" si="96"/>
        <v>0.12113152705035196</v>
      </c>
      <c r="BT108" s="6">
        <f t="shared" si="96"/>
        <v>5.3887228949003954E-2</v>
      </c>
      <c r="BU108" s="6">
        <f t="shared" si="96"/>
        <v>1.67630348885035E-2</v>
      </c>
      <c r="BV108" s="6">
        <f t="shared" si="96"/>
        <v>0</v>
      </c>
      <c r="BW108" s="6">
        <f t="shared" si="96"/>
        <v>0</v>
      </c>
      <c r="BX108" s="3">
        <f t="shared" si="96"/>
        <v>0</v>
      </c>
    </row>
    <row r="109" spans="2:76">
      <c r="D109" s="140" t="s">
        <v>245</v>
      </c>
      <c r="AL109" s="159">
        <f>AL74</f>
        <v>0.2011638566702536</v>
      </c>
      <c r="AM109" s="159">
        <f>AM74</f>
        <v>3.2444497588584073E-2</v>
      </c>
      <c r="AN109" s="159">
        <f>AN74</f>
        <v>7.3338913468054143E-2</v>
      </c>
      <c r="AO109" s="139">
        <f t="shared" si="94"/>
        <v>0.10578341105663822</v>
      </c>
      <c r="AP109" s="159">
        <f>AP74</f>
        <v>0.41018200182440828</v>
      </c>
      <c r="AU109" s="3">
        <f t="shared" ref="AU109:AZ109" si="97">AU74</f>
        <v>75.237628936767578</v>
      </c>
      <c r="AV109" s="3">
        <f t="shared" si="97"/>
        <v>10.499053955078125</v>
      </c>
      <c r="AW109" s="3">
        <f t="shared" si="97"/>
        <v>2.9944528341293335</v>
      </c>
      <c r="AX109" s="3">
        <f t="shared" si="97"/>
        <v>2.3423639535903931</v>
      </c>
      <c r="AY109" s="3">
        <f t="shared" si="97"/>
        <v>8.9265003204345703</v>
      </c>
      <c r="AZ109" s="3">
        <f t="shared" si="97"/>
        <v>67.691001892089844</v>
      </c>
      <c r="BA109" s="3">
        <f t="shared" ref="BA109:BX109" si="98">BA74</f>
        <v>9.6781635284423828</v>
      </c>
      <c r="BB109" s="3">
        <f t="shared" si="98"/>
        <v>4.9720327854156494</v>
      </c>
      <c r="BC109" s="3">
        <f t="shared" si="98"/>
        <v>1.6955525279045105</v>
      </c>
      <c r="BD109" s="3">
        <f t="shared" si="98"/>
        <v>15.963249266147614</v>
      </c>
      <c r="BE109" s="3">
        <f t="shared" si="98"/>
        <v>70.005604158241908</v>
      </c>
      <c r="BF109" s="3">
        <f t="shared" si="98"/>
        <v>9.9299362516079768</v>
      </c>
      <c r="BG109" s="3">
        <f t="shared" si="98"/>
        <v>4.3654954529563295</v>
      </c>
      <c r="BH109" s="3">
        <f t="shared" si="98"/>
        <v>1.8939340277192429</v>
      </c>
      <c r="BI109" s="3">
        <f t="shared" si="98"/>
        <v>13.805030109474545</v>
      </c>
      <c r="BJ109" s="6">
        <f t="shared" si="98"/>
        <v>0.21698971898703176</v>
      </c>
      <c r="BK109" s="6">
        <f t="shared" si="98"/>
        <v>0.1596482460133328</v>
      </c>
      <c r="BL109" s="6">
        <f t="shared" si="98"/>
        <v>0.13290624508023363</v>
      </c>
      <c r="BM109" s="6">
        <f t="shared" si="98"/>
        <v>2.2990524401556082E-2</v>
      </c>
      <c r="BN109" s="6">
        <f t="shared" si="98"/>
        <v>0.14546355462160598</v>
      </c>
      <c r="BO109" s="6">
        <f t="shared" si="98"/>
        <v>0.10787667486439227</v>
      </c>
      <c r="BP109" s="6">
        <f t="shared" si="98"/>
        <v>0.10494523787957517</v>
      </c>
      <c r="BQ109" s="6">
        <f t="shared" si="98"/>
        <v>1.4269612627463584E-2</v>
      </c>
      <c r="BR109" s="6">
        <f t="shared" si="98"/>
        <v>7.1526164365425776E-2</v>
      </c>
      <c r="BS109" s="6">
        <f t="shared" si="98"/>
        <v>5.1771571148940501E-2</v>
      </c>
      <c r="BT109" s="6">
        <f t="shared" si="98"/>
        <v>2.7961007200658455E-2</v>
      </c>
      <c r="BU109" s="6">
        <f t="shared" si="98"/>
        <v>8.720911774092498E-3</v>
      </c>
      <c r="BV109" s="6">
        <f t="shared" si="98"/>
        <v>0</v>
      </c>
      <c r="BW109" s="6">
        <f t="shared" si="98"/>
        <v>0</v>
      </c>
      <c r="BX109" s="3">
        <f t="shared" si="98"/>
        <v>0</v>
      </c>
    </row>
    <row r="110" spans="2:76">
      <c r="C110" s="16" t="s">
        <v>147</v>
      </c>
      <c r="D110" s="140" t="s">
        <v>170</v>
      </c>
      <c r="AL110" s="159">
        <f>AL70</f>
        <v>4.3747375157491261E-2</v>
      </c>
      <c r="AM110" s="159">
        <f>AM70</f>
        <v>0.17609943403395803</v>
      </c>
      <c r="AN110" s="159">
        <f>AN70</f>
        <v>0.106953582785033</v>
      </c>
      <c r="AO110" s="139">
        <f t="shared" si="94"/>
        <v>0.28305301681899103</v>
      </c>
      <c r="AP110" s="159">
        <f>AP70</f>
        <v>0.30830120919748172</v>
      </c>
      <c r="AU110" s="3">
        <f t="shared" ref="AU110:AZ110" si="99">AU70</f>
        <v>66.452838897705078</v>
      </c>
      <c r="AV110" s="3">
        <f t="shared" si="99"/>
        <v>8.7300734519958496</v>
      </c>
      <c r="AW110" s="3">
        <f t="shared" si="99"/>
        <v>3.9963363409042358</v>
      </c>
      <c r="AX110" s="3">
        <f t="shared" si="99"/>
        <v>4.3015949726104736</v>
      </c>
      <c r="AY110" s="3">
        <f t="shared" si="99"/>
        <v>16.519156336784363</v>
      </c>
      <c r="AZ110" s="3">
        <f t="shared" si="99"/>
        <v>63.735157012939453</v>
      </c>
      <c r="BA110" s="3">
        <f t="shared" ref="BA110:BX110" si="100">BA70</f>
        <v>6.9045419692993164</v>
      </c>
      <c r="BB110" s="3">
        <f t="shared" si="100"/>
        <v>5.8653385639190674</v>
      </c>
      <c r="BC110" s="3">
        <f t="shared" si="100"/>
        <v>1.5140643119812012</v>
      </c>
      <c r="BD110" s="3">
        <f t="shared" si="100"/>
        <v>21.980898141860962</v>
      </c>
      <c r="BE110" s="3">
        <f t="shared" si="100"/>
        <v>65.228246672890918</v>
      </c>
      <c r="BF110" s="3">
        <f t="shared" si="100"/>
        <v>7.9074857634237468</v>
      </c>
      <c r="BG110" s="3">
        <f t="shared" si="100"/>
        <v>4.8385120213230373</v>
      </c>
      <c r="BH110" s="3">
        <f t="shared" si="100"/>
        <v>3.0455287668587774</v>
      </c>
      <c r="BI110" s="3">
        <f t="shared" si="100"/>
        <v>18.980226775503525</v>
      </c>
      <c r="BJ110" s="6">
        <f t="shared" si="100"/>
        <v>0.56215039281704893</v>
      </c>
      <c r="BK110" s="6">
        <f t="shared" si="100"/>
        <v>0.35348140614508389</v>
      </c>
      <c r="BL110" s="6">
        <f t="shared" si="100"/>
        <v>0.40957565710062865</v>
      </c>
      <c r="BM110" s="6">
        <f t="shared" si="100"/>
        <v>0.10279149930155865</v>
      </c>
      <c r="BN110" s="6">
        <f t="shared" si="100"/>
        <v>0.24750772128292248</v>
      </c>
      <c r="BO110" s="6">
        <f t="shared" si="100"/>
        <v>0.13907718996642449</v>
      </c>
      <c r="BP110" s="6">
        <f t="shared" si="100"/>
        <v>0.22372178530047085</v>
      </c>
      <c r="BQ110" s="6">
        <f t="shared" si="100"/>
        <v>2.3026699616041642E-2</v>
      </c>
      <c r="BR110" s="6">
        <f t="shared" si="100"/>
        <v>0.31464267153412651</v>
      </c>
      <c r="BS110" s="6">
        <f t="shared" si="100"/>
        <v>0.21440421617865937</v>
      </c>
      <c r="BT110" s="6">
        <f t="shared" si="100"/>
        <v>0.18585387180015778</v>
      </c>
      <c r="BU110" s="6">
        <f t="shared" si="100"/>
        <v>7.9764799685517002E-2</v>
      </c>
      <c r="BV110" s="6">
        <f t="shared" si="100"/>
        <v>0.39694727054176759</v>
      </c>
      <c r="BW110" s="6">
        <f t="shared" si="100"/>
        <v>2.2246627432554358E-2</v>
      </c>
      <c r="BX110" s="3">
        <f t="shared" si="100"/>
        <v>0.92927604823831866</v>
      </c>
    </row>
    <row r="111" spans="2:76">
      <c r="D111" s="140" t="s">
        <v>244</v>
      </c>
      <c r="AL111" s="159">
        <f>AL65</f>
        <v>0.34748254685843377</v>
      </c>
      <c r="AM111" s="159">
        <f>AM65</f>
        <v>4.9948990818347437E-2</v>
      </c>
      <c r="AN111" s="159">
        <f>AN65</f>
        <v>9.5597207497349165E-2</v>
      </c>
      <c r="AO111" s="139">
        <f t="shared" si="94"/>
        <v>0.1455461983156966</v>
      </c>
      <c r="AP111" s="159">
        <f>AP65</f>
        <v>0.4458016052726399</v>
      </c>
      <c r="AU111" s="3">
        <f t="shared" ref="AU111:AZ111" si="101">AU65</f>
        <v>73.52435302734375</v>
      </c>
      <c r="AV111" s="3">
        <f t="shared" si="101"/>
        <v>7.9918370246887207</v>
      </c>
      <c r="AW111" s="3">
        <f t="shared" si="101"/>
        <v>3.9064559936523438</v>
      </c>
      <c r="AX111" s="3">
        <f t="shared" si="101"/>
        <v>3.4402334690093994</v>
      </c>
      <c r="AY111" s="3">
        <f t="shared" si="101"/>
        <v>11.137120485305786</v>
      </c>
      <c r="AZ111" s="3">
        <f t="shared" si="101"/>
        <v>68.154163360595703</v>
      </c>
      <c r="BA111" s="3">
        <f t="shared" ref="BA111:BX111" si="102">BA65</f>
        <v>7.7651269435882568</v>
      </c>
      <c r="BB111" s="3">
        <f t="shared" si="102"/>
        <v>4.4162585735321045</v>
      </c>
      <c r="BC111" s="3">
        <f t="shared" si="102"/>
        <v>1.7892103791236877</v>
      </c>
      <c r="BD111" s="3">
        <f t="shared" si="102"/>
        <v>17.875240743160248</v>
      </c>
      <c r="BE111" s="3">
        <f t="shared" si="102"/>
        <v>69.997121524129227</v>
      </c>
      <c r="BF111" s="3">
        <f t="shared" si="102"/>
        <v>7.8429300046805963</v>
      </c>
      <c r="BG111" s="3">
        <f t="shared" si="102"/>
        <v>4.2413029602885963</v>
      </c>
      <c r="BH111" s="3">
        <f t="shared" si="102"/>
        <v>2.3558135478214122</v>
      </c>
      <c r="BI111" s="3">
        <f t="shared" si="102"/>
        <v>15.562831963080169</v>
      </c>
      <c r="BJ111" s="6">
        <f t="shared" si="102"/>
        <v>0.29851752309248181</v>
      </c>
      <c r="BK111" s="6">
        <f t="shared" si="102"/>
        <v>0.1734919503460397</v>
      </c>
      <c r="BL111" s="6">
        <f t="shared" si="102"/>
        <v>0.17766195746718097</v>
      </c>
      <c r="BM111" s="6">
        <f t="shared" si="102"/>
        <v>3.9346693703176762E-2</v>
      </c>
      <c r="BN111" s="6">
        <f t="shared" si="102"/>
        <v>0.19090898977538706</v>
      </c>
      <c r="BO111" s="6">
        <f t="shared" si="102"/>
        <v>0.11282202493982513</v>
      </c>
      <c r="BP111" s="6">
        <f t="shared" si="102"/>
        <v>0.12150495275090874</v>
      </c>
      <c r="BQ111" s="6">
        <f t="shared" si="102"/>
        <v>1.9627865733898069E-2</v>
      </c>
      <c r="BR111" s="6">
        <f t="shared" si="102"/>
        <v>0.10760853331709476</v>
      </c>
      <c r="BS111" s="6">
        <f t="shared" si="102"/>
        <v>6.0669925406214582E-2</v>
      </c>
      <c r="BT111" s="6">
        <f t="shared" si="102"/>
        <v>5.6157004716272226E-2</v>
      </c>
      <c r="BU111" s="6">
        <f t="shared" si="102"/>
        <v>1.9718827969278686E-2</v>
      </c>
      <c r="BV111" s="6">
        <f t="shared" si="102"/>
        <v>0</v>
      </c>
      <c r="BW111" s="6">
        <f t="shared" si="102"/>
        <v>0</v>
      </c>
      <c r="BX111" s="3">
        <f t="shared" si="102"/>
        <v>0</v>
      </c>
    </row>
    <row r="112" spans="2:76">
      <c r="D112" s="140" t="s">
        <v>245</v>
      </c>
      <c r="AL112" s="138">
        <f>AL75</f>
        <v>0.24209034473122085</v>
      </c>
      <c r="AM112" s="138">
        <f>AM75</f>
        <v>0.10128350999061832</v>
      </c>
      <c r="AN112" s="138">
        <f>AN75</f>
        <v>7.5353813601613126E-2</v>
      </c>
      <c r="AO112" s="139">
        <f t="shared" si="94"/>
        <v>0.17663732359223144</v>
      </c>
      <c r="AP112" s="138">
        <f>AP75</f>
        <v>0.4349448115791188</v>
      </c>
      <c r="AU112" s="3">
        <f t="shared" ref="AU112:AZ112" si="103">AU75</f>
        <v>72.438091278076172</v>
      </c>
      <c r="AV112" s="3">
        <f t="shared" si="103"/>
        <v>9.1876530647277832</v>
      </c>
      <c r="AW112" s="3">
        <f t="shared" si="103"/>
        <v>3.4338536262512207</v>
      </c>
      <c r="AX112" s="3">
        <f t="shared" si="103"/>
        <v>1.2242113351821899</v>
      </c>
      <c r="AY112" s="3">
        <f t="shared" si="103"/>
        <v>13.716190695762634</v>
      </c>
      <c r="AZ112" s="3">
        <f t="shared" si="103"/>
        <v>65.959173202514648</v>
      </c>
      <c r="BA112" s="3">
        <f t="shared" ref="BA112:BX112" si="104">BA75</f>
        <v>7.8598024845123291</v>
      </c>
      <c r="BB112" s="3">
        <f t="shared" si="104"/>
        <v>5.0539364814758301</v>
      </c>
      <c r="BC112" s="3">
        <f t="shared" si="104"/>
        <v>1.1716831922531128</v>
      </c>
      <c r="BD112" s="3">
        <f t="shared" si="104"/>
        <v>19.95540463924408</v>
      </c>
      <c r="BE112" s="3">
        <f t="shared" si="104"/>
        <v>69.67417267312139</v>
      </c>
      <c r="BF112" s="3">
        <f t="shared" si="104"/>
        <v>8.6211895162688226</v>
      </c>
      <c r="BG112" s="3">
        <f t="shared" si="104"/>
        <v>4.1249840114329253</v>
      </c>
      <c r="BH112" s="3">
        <f t="shared" si="104"/>
        <v>1.2018027308701471</v>
      </c>
      <c r="BI112" s="3">
        <f t="shared" si="104"/>
        <v>16.377851068306704</v>
      </c>
      <c r="BJ112" s="6">
        <f t="shared" si="104"/>
        <v>0.36061441132706917</v>
      </c>
      <c r="BK112" s="6">
        <f t="shared" si="104"/>
        <v>0.23144605991693196</v>
      </c>
      <c r="BL112" s="6">
        <f t="shared" si="104"/>
        <v>0.20970028770738014</v>
      </c>
      <c r="BM112" s="6">
        <f t="shared" si="104"/>
        <v>2.4360271575727097E-2</v>
      </c>
      <c r="BN112" s="6">
        <f t="shared" si="104"/>
        <v>0.14563616090797635</v>
      </c>
      <c r="BO112" s="6">
        <f t="shared" si="104"/>
        <v>9.0015436754832798E-2</v>
      </c>
      <c r="BP112" s="6">
        <f t="shared" si="104"/>
        <v>0.10960473010459149</v>
      </c>
      <c r="BQ112" s="6">
        <f t="shared" si="104"/>
        <v>1.0131690158950076E-2</v>
      </c>
      <c r="BR112" s="6">
        <f t="shared" si="104"/>
        <v>0.21497825041909285</v>
      </c>
      <c r="BS112" s="6">
        <f t="shared" si="104"/>
        <v>0.14143062316209914</v>
      </c>
      <c r="BT112" s="6">
        <f t="shared" si="104"/>
        <v>0.10009555760278867</v>
      </c>
      <c r="BU112" s="6">
        <f t="shared" si="104"/>
        <v>1.4228581416777021E-2</v>
      </c>
      <c r="BV112" s="6">
        <f t="shared" si="104"/>
        <v>0</v>
      </c>
      <c r="BW112" s="6">
        <f t="shared" si="104"/>
        <v>0</v>
      </c>
      <c r="BX112" s="3">
        <f t="shared" si="104"/>
        <v>0</v>
      </c>
    </row>
    <row r="113" spans="1:76">
      <c r="D113" s="140"/>
      <c r="AL113" s="138"/>
      <c r="AM113" s="139"/>
      <c r="AN113" s="139"/>
      <c r="AO113" s="139"/>
      <c r="AP113" s="139"/>
    </row>
    <row r="114" spans="1:76">
      <c r="D114" s="140"/>
      <c r="AL114" s="138"/>
      <c r="AM114" s="139"/>
      <c r="AN114" s="139"/>
      <c r="AO114" s="139"/>
      <c r="AP114" s="139"/>
      <c r="AU114" t="s">
        <v>67</v>
      </c>
      <c r="AV114" t="s">
        <v>81</v>
      </c>
      <c r="AW114" t="s">
        <v>141</v>
      </c>
      <c r="AX114" t="s">
        <v>142</v>
      </c>
      <c r="AY114" t="s">
        <v>82</v>
      </c>
    </row>
    <row r="115" spans="1:76" s="16" customFormat="1">
      <c r="A115" s="15"/>
      <c r="B115" s="15"/>
      <c r="D115" s="140"/>
      <c r="E115" s="17"/>
      <c r="F115" s="15"/>
      <c r="J115" s="17"/>
      <c r="K115" s="15"/>
      <c r="R115" s="17"/>
      <c r="S115" s="15"/>
      <c r="AA115" s="17"/>
      <c r="AB115" s="15"/>
      <c r="AG115" s="17"/>
      <c r="AH115" s="15"/>
      <c r="AK115" s="17"/>
      <c r="AL115" s="138"/>
      <c r="AM115" s="139"/>
      <c r="AN115" s="139"/>
      <c r="AO115" s="139"/>
      <c r="AP115" s="139"/>
      <c r="AT115" s="17"/>
      <c r="AU115" s="164"/>
      <c r="AV115" s="164"/>
      <c r="AW115" s="164"/>
      <c r="AX115" s="164"/>
      <c r="AY115" s="164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</row>
    <row r="116" spans="1:76" s="16" customFormat="1">
      <c r="A116" s="15"/>
      <c r="B116" s="15"/>
      <c r="D116" s="140"/>
      <c r="E116" s="17"/>
      <c r="F116" s="15"/>
      <c r="J116" s="17"/>
      <c r="K116" s="15"/>
      <c r="R116" s="17"/>
      <c r="S116" s="15"/>
      <c r="AA116" s="17"/>
      <c r="AB116" s="15"/>
      <c r="AG116" s="17"/>
      <c r="AH116" s="15"/>
      <c r="AK116" s="17"/>
      <c r="AL116" s="138"/>
      <c r="AM116" s="139"/>
      <c r="AN116" s="139"/>
      <c r="AO116" s="139"/>
      <c r="AP116" s="139"/>
      <c r="AT116" s="17"/>
      <c r="AU116" s="164" t="s">
        <v>144</v>
      </c>
      <c r="AV116" s="164" t="s">
        <v>140</v>
      </c>
      <c r="AW116" s="164" t="s">
        <v>1</v>
      </c>
      <c r="AX116" s="164" t="s">
        <v>168</v>
      </c>
      <c r="AY116" s="164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</row>
    <row r="117" spans="1:76" s="16" customFormat="1">
      <c r="A117" s="15"/>
      <c r="B117" s="15" t="s">
        <v>167</v>
      </c>
      <c r="C117" s="16" t="s">
        <v>155</v>
      </c>
      <c r="D117" s="165" t="s">
        <v>170</v>
      </c>
      <c r="E117" s="17"/>
      <c r="F117" s="15"/>
      <c r="J117" s="17"/>
      <c r="K117" s="15"/>
      <c r="R117" s="17"/>
      <c r="S117" s="15"/>
      <c r="AA117" s="17"/>
      <c r="AB117" s="15"/>
      <c r="AG117" s="17"/>
      <c r="AH117" s="15"/>
      <c r="AK117" s="17"/>
      <c r="AL117" s="138"/>
      <c r="AM117" s="139"/>
      <c r="AN117" s="139"/>
      <c r="AO117" s="139"/>
      <c r="AP117" s="139"/>
      <c r="AT117" s="175">
        <f>AV117+AU117</f>
        <v>0.34913167090534947</v>
      </c>
      <c r="AU117" s="155">
        <f>BN68</f>
        <v>0.19370097871722422</v>
      </c>
      <c r="AV117" s="155">
        <f>BR68</f>
        <v>0.15543069218812522</v>
      </c>
      <c r="AX117" s="164">
        <v>0.43330703433835682</v>
      </c>
      <c r="AY117" s="164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</row>
    <row r="118" spans="1:76" s="16" customFormat="1">
      <c r="A118" s="15"/>
      <c r="B118" s="15"/>
      <c r="D118" s="140" t="s">
        <v>244</v>
      </c>
      <c r="E118" s="17"/>
      <c r="F118" s="15"/>
      <c r="J118" s="17"/>
      <c r="K118" s="15"/>
      <c r="R118" s="17"/>
      <c r="S118" s="15"/>
      <c r="AA118" s="17"/>
      <c r="AB118" s="15"/>
      <c r="AG118" s="17"/>
      <c r="AH118" s="15"/>
      <c r="AK118" s="17"/>
      <c r="AL118" s="138"/>
      <c r="AM118" s="139"/>
      <c r="AN118" s="139"/>
      <c r="AO118" s="139"/>
      <c r="AP118" s="139"/>
      <c r="AT118" s="175">
        <f t="shared" ref="AT118:AT119" si="105">AV118+AU118</f>
        <v>0.24632899705285344</v>
      </c>
      <c r="AU118" s="166">
        <f>BN63</f>
        <v>0.10359628293716173</v>
      </c>
      <c r="AV118" s="166">
        <f>BR63</f>
        <v>0.14273271411569172</v>
      </c>
      <c r="AX118" s="164">
        <v>0.70321112921979645</v>
      </c>
      <c r="AY118" s="164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</row>
    <row r="119" spans="1:76" s="16" customFormat="1">
      <c r="A119" s="15"/>
      <c r="B119" s="15"/>
      <c r="D119" s="140" t="s">
        <v>245</v>
      </c>
      <c r="E119" s="17"/>
      <c r="F119" s="15"/>
      <c r="J119" s="17"/>
      <c r="K119" s="15"/>
      <c r="R119" s="17"/>
      <c r="S119" s="15"/>
      <c r="AA119" s="17"/>
      <c r="AB119" s="15"/>
      <c r="AG119" s="17"/>
      <c r="AH119" s="15"/>
      <c r="AK119" s="17"/>
      <c r="AL119" s="138"/>
      <c r="AM119" s="139"/>
      <c r="AN119" s="139"/>
      <c r="AO119" s="139"/>
      <c r="AP119" s="139"/>
      <c r="AT119" s="175">
        <f t="shared" si="105"/>
        <v>0.28025165094125815</v>
      </c>
      <c r="AU119" s="166">
        <f>BN73</f>
        <v>0.13526709497047831</v>
      </c>
      <c r="AV119" s="166">
        <f>BR73</f>
        <v>0.14498455597077983</v>
      </c>
      <c r="AX119" s="164">
        <v>0.52683018224871458</v>
      </c>
      <c r="AY119" s="164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</row>
    <row r="120" spans="1:76" s="16" customFormat="1">
      <c r="A120" s="15"/>
      <c r="B120" s="15"/>
      <c r="C120" s="16" t="s">
        <v>156</v>
      </c>
      <c r="D120" s="165" t="s">
        <v>170</v>
      </c>
      <c r="E120" s="17"/>
      <c r="F120" s="15"/>
      <c r="J120" s="17"/>
      <c r="K120" s="15"/>
      <c r="R120" s="17"/>
      <c r="S120" s="15"/>
      <c r="AA120" s="17"/>
      <c r="AB120" s="15"/>
      <c r="AG120" s="17"/>
      <c r="AH120" s="15"/>
      <c r="AK120" s="17"/>
      <c r="AL120" s="138"/>
      <c r="AM120" s="139"/>
      <c r="AN120" s="139"/>
      <c r="AO120" s="139"/>
      <c r="AP120" s="139"/>
      <c r="AT120" s="17"/>
      <c r="AU120" s="155">
        <f>BO68</f>
        <v>0.16298152007787658</v>
      </c>
      <c r="AV120" s="155">
        <f>BS68</f>
        <v>0.13227224306477861</v>
      </c>
      <c r="AW120"/>
      <c r="AX120" s="164"/>
      <c r="AY120" s="164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</row>
    <row r="121" spans="1:76" s="16" customFormat="1">
      <c r="A121" s="15"/>
      <c r="B121" s="15"/>
      <c r="D121" s="140" t="s">
        <v>244</v>
      </c>
      <c r="E121" s="17"/>
      <c r="F121" s="15"/>
      <c r="J121" s="17"/>
      <c r="K121" s="15"/>
      <c r="R121" s="17"/>
      <c r="S121" s="15"/>
      <c r="AA121" s="17"/>
      <c r="AB121" s="15"/>
      <c r="AG121" s="17"/>
      <c r="AH121" s="15"/>
      <c r="AK121" s="17"/>
      <c r="AL121" s="138"/>
      <c r="AM121" s="139"/>
      <c r="AN121" s="139"/>
      <c r="AO121" s="139"/>
      <c r="AP121" s="139"/>
      <c r="AT121" s="17"/>
      <c r="AU121" s="166">
        <f>BO63</f>
        <v>9.1854737719281654E-2</v>
      </c>
      <c r="AV121" s="166">
        <f>BS63</f>
        <v>9.6583817129635555E-2</v>
      </c>
      <c r="AW121"/>
      <c r="AX121" s="164"/>
      <c r="AY121" s="164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</row>
    <row r="122" spans="1:76" s="16" customFormat="1">
      <c r="A122" s="15"/>
      <c r="B122" s="15"/>
      <c r="D122" s="140" t="s">
        <v>245</v>
      </c>
      <c r="E122" s="17"/>
      <c r="F122" s="15"/>
      <c r="J122" s="17"/>
      <c r="K122" s="15"/>
      <c r="R122" s="17"/>
      <c r="S122" s="15"/>
      <c r="AA122" s="17"/>
      <c r="AB122" s="15"/>
      <c r="AG122" s="17"/>
      <c r="AH122" s="15"/>
      <c r="AK122" s="17"/>
      <c r="AL122" s="138"/>
      <c r="AM122" s="139"/>
      <c r="AN122" s="139"/>
      <c r="AO122" s="139"/>
      <c r="AP122" s="139"/>
      <c r="AT122" s="17"/>
      <c r="AU122" s="166">
        <f>BO73</f>
        <v>0.1326535826805279</v>
      </c>
      <c r="AV122" s="166">
        <f>BS73</f>
        <v>0.12448346897490301</v>
      </c>
      <c r="AW122"/>
      <c r="AX122" s="164"/>
      <c r="AY122" s="164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</row>
    <row r="123" spans="1:76" s="16" customFormat="1">
      <c r="A123" s="15"/>
      <c r="B123" s="15"/>
      <c r="C123" s="16" t="s">
        <v>157</v>
      </c>
      <c r="D123" s="165" t="s">
        <v>170</v>
      </c>
      <c r="E123" s="17"/>
      <c r="F123" s="15"/>
      <c r="J123" s="17"/>
      <c r="K123" s="15"/>
      <c r="R123" s="17"/>
      <c r="S123" s="15"/>
      <c r="AA123" s="17"/>
      <c r="AB123" s="15"/>
      <c r="AG123" s="17"/>
      <c r="AH123" s="15"/>
      <c r="AK123" s="17"/>
      <c r="AL123" s="138"/>
      <c r="AM123" s="139"/>
      <c r="AN123" s="139"/>
      <c r="AO123" s="139"/>
      <c r="AP123" s="139"/>
      <c r="AT123" s="17"/>
      <c r="AU123" s="155">
        <f>BP68</f>
        <v>0.32531419273793949</v>
      </c>
      <c r="AV123" s="155">
        <f>BT68</f>
        <v>3.1258017272755081E-2</v>
      </c>
      <c r="AW123" s="155">
        <f>BV68</f>
        <v>0</v>
      </c>
      <c r="AX123" s="164"/>
      <c r="AY123" s="164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</row>
    <row r="124" spans="1:76" s="16" customFormat="1">
      <c r="A124" s="15"/>
      <c r="B124" s="15"/>
      <c r="D124" s="140" t="s">
        <v>244</v>
      </c>
      <c r="E124" s="17"/>
      <c r="F124" s="15"/>
      <c r="J124" s="17"/>
      <c r="K124" s="15"/>
      <c r="R124" s="17"/>
      <c r="S124" s="15"/>
      <c r="AA124" s="17"/>
      <c r="AB124" s="15"/>
      <c r="AG124" s="17"/>
      <c r="AH124" s="15"/>
      <c r="AK124" s="17"/>
      <c r="AL124" s="138"/>
      <c r="AM124" s="139"/>
      <c r="AN124" s="139"/>
      <c r="AO124" s="139"/>
      <c r="AP124" s="139"/>
      <c r="AT124" s="17"/>
      <c r="AU124" s="166">
        <f>BP63</f>
        <v>2.8358674370095642E-2</v>
      </c>
      <c r="AV124" s="166">
        <f>BT63</f>
        <v>0.12256003974309473</v>
      </c>
      <c r="AW124" s="155">
        <f>BV63</f>
        <v>0</v>
      </c>
      <c r="AX124" s="164"/>
      <c r="AY124" s="16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</row>
    <row r="125" spans="1:76" s="16" customFormat="1">
      <c r="A125" s="15"/>
      <c r="B125" s="15"/>
      <c r="D125" s="140" t="s">
        <v>245</v>
      </c>
      <c r="E125" s="17"/>
      <c r="F125" s="15"/>
      <c r="J125" s="17"/>
      <c r="K125" s="15"/>
      <c r="R125" s="17"/>
      <c r="S125" s="15"/>
      <c r="AA125" s="17"/>
      <c r="AB125" s="15"/>
      <c r="AG125" s="17"/>
      <c r="AH125" s="15"/>
      <c r="AK125" s="17"/>
      <c r="AL125" s="138"/>
      <c r="AM125" s="139"/>
      <c r="AN125" s="139"/>
      <c r="AO125" s="139"/>
      <c r="AP125" s="139"/>
      <c r="AT125" s="17"/>
      <c r="AU125" s="166">
        <f>BP73</f>
        <v>2.527114128302526E-2</v>
      </c>
      <c r="AV125" s="166">
        <f>BT73</f>
        <v>0.15907428366199605</v>
      </c>
      <c r="AW125" s="155">
        <f>BV73</f>
        <v>0</v>
      </c>
      <c r="AX125" s="164"/>
      <c r="AY125" s="164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</row>
    <row r="126" spans="1:76" s="16" customFormat="1">
      <c r="A126" s="15"/>
      <c r="B126" s="15"/>
      <c r="C126" s="16" t="s">
        <v>158</v>
      </c>
      <c r="D126" s="165" t="s">
        <v>170</v>
      </c>
      <c r="E126" s="17"/>
      <c r="F126" s="15"/>
      <c r="J126" s="17"/>
      <c r="K126" s="15"/>
      <c r="R126" s="17"/>
      <c r="S126" s="15"/>
      <c r="AA126" s="17"/>
      <c r="AB126" s="15"/>
      <c r="AG126" s="17"/>
      <c r="AH126" s="15"/>
      <c r="AK126" s="17"/>
      <c r="AL126" s="138"/>
      <c r="AM126" s="139"/>
      <c r="AN126" s="139"/>
      <c r="AO126" s="139"/>
      <c r="AP126" s="139"/>
      <c r="AT126" s="17"/>
      <c r="AU126" s="155">
        <f>BQ68</f>
        <v>1.4422651597058208E-2</v>
      </c>
      <c r="AV126" s="155">
        <f>BU68</f>
        <v>5.8478322820272313E-3</v>
      </c>
      <c r="AW126"/>
      <c r="AX126" s="164">
        <v>0.12184916475845263</v>
      </c>
      <c r="AY126" s="164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</row>
    <row r="127" spans="1:76" s="16" customFormat="1">
      <c r="A127" s="15"/>
      <c r="B127" s="15"/>
      <c r="D127" s="140" t="s">
        <v>244</v>
      </c>
      <c r="E127" s="17"/>
      <c r="F127" s="15"/>
      <c r="J127" s="17"/>
      <c r="K127" s="15"/>
      <c r="R127" s="17"/>
      <c r="S127" s="15"/>
      <c r="AA127" s="17"/>
      <c r="AB127" s="15"/>
      <c r="AG127" s="17"/>
      <c r="AH127" s="15"/>
      <c r="AK127" s="17"/>
      <c r="AL127" s="138"/>
      <c r="AM127" s="139"/>
      <c r="AN127" s="139"/>
      <c r="AO127" s="139"/>
      <c r="AP127" s="139"/>
      <c r="AT127" s="17"/>
      <c r="AU127" s="166">
        <f>BQ63</f>
        <v>1.2450576125529446E-2</v>
      </c>
      <c r="AV127" s="166">
        <f>BU63</f>
        <v>1.8986222529502453E-2</v>
      </c>
      <c r="AW127"/>
      <c r="AX127" s="164">
        <v>-0.1531565083764577</v>
      </c>
      <c r="AY127" s="164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</row>
    <row r="128" spans="1:76" s="16" customFormat="1">
      <c r="A128" s="15"/>
      <c r="B128" s="15"/>
      <c r="D128" s="140" t="s">
        <v>245</v>
      </c>
      <c r="E128" s="17"/>
      <c r="F128" s="15"/>
      <c r="J128" s="17"/>
      <c r="K128" s="15"/>
      <c r="R128" s="17"/>
      <c r="S128" s="15"/>
      <c r="AA128" s="17"/>
      <c r="AB128" s="15"/>
      <c r="AG128" s="17"/>
      <c r="AH128" s="15"/>
      <c r="AK128" s="17"/>
      <c r="AL128" s="138"/>
      <c r="AM128" s="139"/>
      <c r="AN128" s="139"/>
      <c r="AO128" s="139"/>
      <c r="AP128" s="139"/>
      <c r="AT128" s="17"/>
      <c r="AU128" s="166">
        <f>BQ73</f>
        <v>5.5537581154300429E-3</v>
      </c>
      <c r="AV128" s="166">
        <f>BU73</f>
        <v>1.0326728384008086E-2</v>
      </c>
      <c r="AW128"/>
      <c r="AX128" s="164">
        <v>0.23916256479473541</v>
      </c>
      <c r="AY128" s="164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</row>
    <row r="129" spans="1:76" s="16" customFormat="1">
      <c r="A129" s="15"/>
      <c r="B129" s="15"/>
      <c r="D129" s="140"/>
      <c r="E129" s="17"/>
      <c r="F129" s="15"/>
      <c r="J129" s="17"/>
      <c r="K129" s="15"/>
      <c r="R129" s="17"/>
      <c r="S129" s="15"/>
      <c r="AA129" s="17"/>
      <c r="AB129" s="15"/>
      <c r="AG129" s="17"/>
      <c r="AH129" s="15"/>
      <c r="AK129" s="17"/>
      <c r="AL129" s="138"/>
      <c r="AM129" s="139"/>
      <c r="AN129" s="139"/>
      <c r="AO129" s="139"/>
      <c r="AP129" s="139"/>
      <c r="AT129" s="17"/>
      <c r="AU129" s="166"/>
      <c r="AV129" s="166"/>
      <c r="AW129"/>
      <c r="AX129" s="164"/>
      <c r="AY129" s="164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</row>
    <row r="130" spans="1:76" s="16" customFormat="1">
      <c r="A130" s="15"/>
      <c r="B130" s="15"/>
      <c r="D130" s="140"/>
      <c r="E130" s="17"/>
      <c r="F130" s="15"/>
      <c r="J130" s="17"/>
      <c r="K130" s="15"/>
      <c r="R130" s="17"/>
      <c r="S130" s="15"/>
      <c r="AA130" s="17"/>
      <c r="AB130" s="15"/>
      <c r="AG130" s="17"/>
      <c r="AH130" s="15"/>
      <c r="AK130" s="17"/>
      <c r="AL130" s="138"/>
      <c r="AM130" s="139"/>
      <c r="AN130" s="139"/>
      <c r="AO130" s="139"/>
      <c r="AP130" s="139"/>
      <c r="AT130" s="17"/>
      <c r="AU130" s="164"/>
      <c r="AV130" s="164"/>
      <c r="AW130" s="164"/>
      <c r="AX130" s="164"/>
      <c r="AY130" s="164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</row>
    <row r="131" spans="1:76" s="16" customFormat="1">
      <c r="A131" s="15"/>
      <c r="B131" s="15"/>
      <c r="E131" s="17"/>
      <c r="F131" s="15"/>
      <c r="J131" s="17"/>
      <c r="K131" s="15"/>
      <c r="R131" s="17"/>
      <c r="S131" s="15"/>
      <c r="AA131" s="17"/>
      <c r="AB131" s="15"/>
      <c r="AG131" s="17"/>
      <c r="AH131" s="15"/>
      <c r="AK131" s="17"/>
      <c r="AL131" s="138"/>
      <c r="AM131" s="139"/>
      <c r="AN131" s="139"/>
      <c r="AO131" s="139"/>
      <c r="AP131" s="139"/>
      <c r="AT131" s="17"/>
      <c r="AU131" t="s">
        <v>144</v>
      </c>
      <c r="AV131" t="s">
        <v>140</v>
      </c>
      <c r="AW131" t="s">
        <v>1</v>
      </c>
      <c r="AX131" t="s">
        <v>25</v>
      </c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</row>
    <row r="132" spans="1:76" s="16" customFormat="1">
      <c r="A132" s="15"/>
      <c r="B132" s="15" t="s">
        <v>165</v>
      </c>
      <c r="C132" s="16" t="s">
        <v>155</v>
      </c>
      <c r="D132" s="165" t="s">
        <v>170</v>
      </c>
      <c r="E132" s="17"/>
      <c r="F132" s="15"/>
      <c r="J132" s="17"/>
      <c r="K132" s="15"/>
      <c r="R132" s="17"/>
      <c r="S132" s="15"/>
      <c r="AA132" s="17"/>
      <c r="AB132" s="15"/>
      <c r="AG132" s="17"/>
      <c r="AH132" s="15"/>
      <c r="AK132" s="17"/>
      <c r="AL132" s="138"/>
      <c r="AM132" s="139"/>
      <c r="AN132" s="139"/>
      <c r="AO132" s="139"/>
      <c r="AP132" s="139"/>
      <c r="AT132" s="175">
        <f>AV132+AU132</f>
        <v>0.32771691994649221</v>
      </c>
      <c r="AU132" s="155">
        <f>BN69</f>
        <v>0.2087044577483993</v>
      </c>
      <c r="AV132" s="155">
        <f>BR69</f>
        <v>0.11901246219809293</v>
      </c>
      <c r="AW132" s="166">
        <f>AV132+AU132</f>
        <v>0.32771691994649221</v>
      </c>
      <c r="AX132" s="155">
        <v>8.7907914424870129E-2</v>
      </c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</row>
    <row r="133" spans="1:76" s="16" customFormat="1">
      <c r="A133" s="15"/>
      <c r="B133" s="15"/>
      <c r="D133" s="140" t="s">
        <v>244</v>
      </c>
      <c r="E133" s="17"/>
      <c r="F133" s="15"/>
      <c r="J133" s="17"/>
      <c r="K133" s="15"/>
      <c r="R133" s="17"/>
      <c r="S133" s="15"/>
      <c r="AA133" s="17"/>
      <c r="AB133" s="15"/>
      <c r="AG133" s="17"/>
      <c r="AH133" s="15"/>
      <c r="AK133" s="17"/>
      <c r="AL133" s="138"/>
      <c r="AM133" s="139"/>
      <c r="AN133" s="139"/>
      <c r="AO133" s="139"/>
      <c r="AP133" s="139"/>
      <c r="AT133" s="175">
        <f t="shared" ref="AT133:AT134" si="106">AV133+AU133</f>
        <v>0.26816270667508557</v>
      </c>
      <c r="AU133" s="166">
        <f>BN64</f>
        <v>0.13166263450107279</v>
      </c>
      <c r="AV133" s="166">
        <f>BR64</f>
        <v>0.13650007217401278</v>
      </c>
      <c r="AX133" s="166">
        <v>0.43795096802840883</v>
      </c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</row>
    <row r="134" spans="1:76" s="16" customFormat="1">
      <c r="A134" s="15"/>
      <c r="B134" s="15"/>
      <c r="D134" s="140" t="s">
        <v>245</v>
      </c>
      <c r="E134" s="17"/>
      <c r="F134" s="15"/>
      <c r="J134" s="17"/>
      <c r="K134" s="15"/>
      <c r="R134" s="17"/>
      <c r="S134" s="15"/>
      <c r="AA134" s="17"/>
      <c r="AB134" s="15"/>
      <c r="AG134" s="17"/>
      <c r="AH134" s="15"/>
      <c r="AK134" s="17"/>
      <c r="AL134" s="138"/>
      <c r="AM134" s="139"/>
      <c r="AN134" s="139"/>
      <c r="AO134" s="139"/>
      <c r="AP134" s="139"/>
      <c r="AT134" s="175">
        <f t="shared" si="106"/>
        <v>0.21698971898703176</v>
      </c>
      <c r="AU134" s="166">
        <f>BN74</f>
        <v>0.14546355462160598</v>
      </c>
      <c r="AV134" s="166">
        <f>BR74</f>
        <v>7.1526164365425776E-2</v>
      </c>
      <c r="AX134" s="166">
        <v>0.49933970663071142</v>
      </c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</row>
    <row r="135" spans="1:76" s="16" customFormat="1">
      <c r="A135" s="15"/>
      <c r="B135" s="15"/>
      <c r="C135" s="16" t="s">
        <v>156</v>
      </c>
      <c r="D135" s="165" t="s">
        <v>170</v>
      </c>
      <c r="E135" s="17"/>
      <c r="F135" s="15"/>
      <c r="J135" s="17"/>
      <c r="K135" s="15"/>
      <c r="R135" s="17"/>
      <c r="S135" s="15"/>
      <c r="AA135" s="17"/>
      <c r="AB135" s="15"/>
      <c r="AG135" s="17"/>
      <c r="AH135" s="15"/>
      <c r="AK135" s="17"/>
      <c r="AL135" s="138"/>
      <c r="AM135" s="139"/>
      <c r="AN135" s="139"/>
      <c r="AO135" s="139"/>
      <c r="AP135" s="139"/>
      <c r="AT135" s="17"/>
      <c r="AU135" s="155">
        <f>BO69</f>
        <v>0.11964683594599658</v>
      </c>
      <c r="AV135" s="155">
        <f>BS69</f>
        <v>8.1713678924922359E-2</v>
      </c>
      <c r="AW135"/>
      <c r="AX135" s="15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</row>
    <row r="136" spans="1:76" s="16" customFormat="1">
      <c r="A136" s="15"/>
      <c r="B136" s="15"/>
      <c r="D136" s="140" t="s">
        <v>244</v>
      </c>
      <c r="E136" s="17"/>
      <c r="F136" s="15"/>
      <c r="J136" s="17"/>
      <c r="K136" s="15"/>
      <c r="R136" s="17"/>
      <c r="S136" s="15"/>
      <c r="AA136" s="17"/>
      <c r="AB136" s="15"/>
      <c r="AG136" s="17"/>
      <c r="AH136" s="15"/>
      <c r="AK136" s="17"/>
      <c r="AL136" s="138"/>
      <c r="AM136" s="139"/>
      <c r="AN136" s="139"/>
      <c r="AO136" s="139"/>
      <c r="AP136" s="139"/>
      <c r="AT136" s="17"/>
      <c r="AU136" s="166">
        <f>BO64</f>
        <v>9.3122384964065219E-2</v>
      </c>
      <c r="AV136" s="166">
        <f>BS64</f>
        <v>0.12113152705035196</v>
      </c>
      <c r="AW136"/>
      <c r="AX136" s="16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</row>
    <row r="137" spans="1:76">
      <c r="D137" s="140" t="s">
        <v>245</v>
      </c>
      <c r="AU137" s="166">
        <f>BO74</f>
        <v>0.10787667486439227</v>
      </c>
      <c r="AV137" s="166">
        <f>BS74</f>
        <v>5.1771571148940501E-2</v>
      </c>
      <c r="AX137" s="166"/>
    </row>
    <row r="138" spans="1:76">
      <c r="C138" s="16" t="s">
        <v>157</v>
      </c>
      <c r="D138" s="165" t="s">
        <v>170</v>
      </c>
      <c r="AU138" s="155">
        <f>BP69</f>
        <v>0.15867005876690501</v>
      </c>
      <c r="AV138" s="155">
        <f>BT69</f>
        <v>5.0632030756504742E-2</v>
      </c>
      <c r="AW138" s="155">
        <f>BV69</f>
        <v>0.59016079984468117</v>
      </c>
      <c r="AX138" s="155"/>
    </row>
    <row r="139" spans="1:76">
      <c r="D139" s="140" t="s">
        <v>244</v>
      </c>
      <c r="AU139" s="166">
        <f>BP64</f>
        <v>0.12006700124907889</v>
      </c>
      <c r="AV139" s="166">
        <f>BT64</f>
        <v>5.3887228949003954E-2</v>
      </c>
      <c r="AW139" s="155">
        <f>BV64</f>
        <v>0</v>
      </c>
      <c r="AX139" s="166"/>
    </row>
    <row r="140" spans="1:76">
      <c r="D140" s="140" t="s">
        <v>245</v>
      </c>
      <c r="AU140" s="166">
        <f>BP74</f>
        <v>0.10494523787957517</v>
      </c>
      <c r="AV140" s="166">
        <f>BT74</f>
        <v>2.7961007200658455E-2</v>
      </c>
      <c r="AW140" s="155">
        <f>BV74</f>
        <v>0</v>
      </c>
      <c r="AX140" s="166"/>
    </row>
    <row r="141" spans="1:76">
      <c r="C141" s="16" t="s">
        <v>158</v>
      </c>
      <c r="D141" s="165" t="s">
        <v>170</v>
      </c>
      <c r="AU141" s="155">
        <f>BQ69</f>
        <v>7.1544402768703346E-3</v>
      </c>
      <c r="AV141" s="155">
        <f>BU69</f>
        <v>5.5215391913676004E-3</v>
      </c>
      <c r="AX141" s="155">
        <v>5.09746662354503E-3</v>
      </c>
    </row>
    <row r="142" spans="1:76">
      <c r="D142" s="140" t="s">
        <v>244</v>
      </c>
      <c r="AU142" s="166">
        <f>BQ64</f>
        <v>1.3782061657237131E-2</v>
      </c>
      <c r="AV142" s="166">
        <f>BU64</f>
        <v>1.67630348885035E-2</v>
      </c>
      <c r="AX142" s="166">
        <v>-0.32917693522563685</v>
      </c>
    </row>
    <row r="143" spans="1:76">
      <c r="D143" s="140" t="s">
        <v>245</v>
      </c>
      <c r="AU143" s="166">
        <f>BQ74</f>
        <v>1.4269612627463584E-2</v>
      </c>
      <c r="AV143" s="166">
        <f>BU74</f>
        <v>8.720911774092498E-3</v>
      </c>
      <c r="AX143" s="166">
        <v>0.28796129434037149</v>
      </c>
    </row>
    <row r="145" spans="2:50">
      <c r="AU145" t="s">
        <v>144</v>
      </c>
      <c r="AV145" t="s">
        <v>140</v>
      </c>
      <c r="AW145" t="s">
        <v>1</v>
      </c>
      <c r="AX145" t="s">
        <v>25</v>
      </c>
    </row>
    <row r="146" spans="2:50">
      <c r="B146" s="15" t="s">
        <v>166</v>
      </c>
      <c r="C146" s="16" t="s">
        <v>155</v>
      </c>
      <c r="D146" s="165" t="s">
        <v>170</v>
      </c>
      <c r="AT146" s="175">
        <f>AV146+AU146</f>
        <v>0.56215039281704904</v>
      </c>
      <c r="AU146" s="155">
        <f>BN70</f>
        <v>0.24750772128292248</v>
      </c>
      <c r="AV146" s="155">
        <f>BR70</f>
        <v>0.31464267153412651</v>
      </c>
      <c r="AW146" s="166">
        <f>AV146+AU146</f>
        <v>0.56215039281704904</v>
      </c>
      <c r="AX146" s="155">
        <v>6.4245974203920614E-2</v>
      </c>
    </row>
    <row r="147" spans="2:50">
      <c r="D147" s="140" t="s">
        <v>244</v>
      </c>
      <c r="AT147" s="175">
        <f t="shared" ref="AT147:AT157" si="107">AV147+AU147</f>
        <v>0.29851752309248181</v>
      </c>
      <c r="AU147" s="166">
        <f>BN65</f>
        <v>0.19090898977538706</v>
      </c>
      <c r="AV147" s="166">
        <f>BR65</f>
        <v>0.10760853331709476</v>
      </c>
      <c r="AW147" s="16"/>
      <c r="AX147" s="166">
        <v>0.30398832473995818</v>
      </c>
    </row>
    <row r="148" spans="2:50">
      <c r="D148" s="140" t="s">
        <v>245</v>
      </c>
      <c r="AT148" s="175">
        <f t="shared" si="107"/>
        <v>0.36061441132706917</v>
      </c>
      <c r="AU148" s="166">
        <f>BN75</f>
        <v>0.14563616090797635</v>
      </c>
      <c r="AV148" s="166">
        <f>BR75</f>
        <v>0.21497825041909285</v>
      </c>
      <c r="AW148" s="16"/>
      <c r="AX148" s="166">
        <v>0.32059909976880324</v>
      </c>
    </row>
    <row r="149" spans="2:50">
      <c r="C149" s="16" t="s">
        <v>156</v>
      </c>
      <c r="D149" s="165" t="s">
        <v>170</v>
      </c>
      <c r="AT149" s="175">
        <f t="shared" si="107"/>
        <v>0.35348140614508383</v>
      </c>
      <c r="AU149" s="155">
        <f>BO70</f>
        <v>0.13907718996642449</v>
      </c>
      <c r="AV149" s="155">
        <f>BS70</f>
        <v>0.21440421617865937</v>
      </c>
      <c r="AX149" s="155"/>
    </row>
    <row r="150" spans="2:50">
      <c r="D150" s="140" t="s">
        <v>244</v>
      </c>
      <c r="AT150" s="175">
        <f t="shared" si="107"/>
        <v>0.1734919503460397</v>
      </c>
      <c r="AU150" s="166">
        <f>BO65</f>
        <v>0.11282202493982513</v>
      </c>
      <c r="AV150" s="166">
        <f>BS65</f>
        <v>6.0669925406214582E-2</v>
      </c>
      <c r="AX150" s="166"/>
    </row>
    <row r="151" spans="2:50">
      <c r="D151" s="140" t="s">
        <v>245</v>
      </c>
      <c r="AT151" s="175">
        <f t="shared" si="107"/>
        <v>0.23144605991693196</v>
      </c>
      <c r="AU151" s="166">
        <f>BO75</f>
        <v>9.0015436754832798E-2</v>
      </c>
      <c r="AV151" s="166">
        <f>BS75</f>
        <v>0.14143062316209914</v>
      </c>
      <c r="AX151" s="166"/>
    </row>
    <row r="152" spans="2:50">
      <c r="C152" s="16" t="s">
        <v>157</v>
      </c>
      <c r="D152" s="165" t="s">
        <v>170</v>
      </c>
      <c r="AT152" s="175">
        <f t="shared" si="107"/>
        <v>0.4095756571006286</v>
      </c>
      <c r="AU152" s="155">
        <f>BP70</f>
        <v>0.22372178530047085</v>
      </c>
      <c r="AV152" s="155">
        <f>BT70</f>
        <v>0.18585387180015778</v>
      </c>
      <c r="AW152" s="155">
        <f>BV70</f>
        <v>0.39694727054176759</v>
      </c>
      <c r="AX152" s="155"/>
    </row>
    <row r="153" spans="2:50">
      <c r="D153" s="140" t="s">
        <v>244</v>
      </c>
      <c r="AT153" s="175">
        <f t="shared" si="107"/>
        <v>0.17766195746718097</v>
      </c>
      <c r="AU153" s="166">
        <f>BP65</f>
        <v>0.12150495275090874</v>
      </c>
      <c r="AV153" s="166">
        <f>BT65</f>
        <v>5.6157004716272226E-2</v>
      </c>
      <c r="AW153" s="155">
        <f>BV65</f>
        <v>0</v>
      </c>
      <c r="AX153" s="166"/>
    </row>
    <row r="154" spans="2:50">
      <c r="D154" s="140" t="s">
        <v>245</v>
      </c>
      <c r="AT154" s="175">
        <f t="shared" si="107"/>
        <v>0.20970028770738014</v>
      </c>
      <c r="AU154" s="166">
        <f>BP75</f>
        <v>0.10960473010459149</v>
      </c>
      <c r="AV154" s="166">
        <f>BT75</f>
        <v>0.10009555760278867</v>
      </c>
      <c r="AW154" s="155">
        <f>BV75</f>
        <v>0</v>
      </c>
      <c r="AX154" s="166"/>
    </row>
    <row r="155" spans="2:50">
      <c r="C155" s="16" t="s">
        <v>158</v>
      </c>
      <c r="D155" s="165" t="s">
        <v>170</v>
      </c>
      <c r="AT155" s="175">
        <f t="shared" si="107"/>
        <v>0.10279149930155865</v>
      </c>
      <c r="AU155" s="155">
        <f>BQ70</f>
        <v>2.3026699616041642E-2</v>
      </c>
      <c r="AV155" s="155">
        <f>BU70</f>
        <v>7.9764799685517002E-2</v>
      </c>
      <c r="AX155" s="155">
        <v>2.7222600743687115E-2</v>
      </c>
    </row>
    <row r="156" spans="2:50">
      <c r="D156" s="140" t="s">
        <v>244</v>
      </c>
      <c r="AT156" s="175">
        <f t="shared" si="107"/>
        <v>3.9346693703176755E-2</v>
      </c>
      <c r="AU156" s="166">
        <f>BQ65</f>
        <v>1.9627865733898069E-2</v>
      </c>
      <c r="AV156" s="166">
        <f>BU65</f>
        <v>1.9718827969278686E-2</v>
      </c>
      <c r="AX156" s="166">
        <v>-3.4086164174825177E-2</v>
      </c>
    </row>
    <row r="157" spans="2:50">
      <c r="D157" s="140" t="s">
        <v>245</v>
      </c>
      <c r="AT157" s="175">
        <f t="shared" si="107"/>
        <v>2.4360271575727097E-2</v>
      </c>
      <c r="AU157" s="166">
        <f>BQ75</f>
        <v>1.0131690158950076E-2</v>
      </c>
      <c r="AV157" s="166">
        <f>BU75</f>
        <v>1.4228581416777021E-2</v>
      </c>
      <c r="AX157" s="166">
        <v>0</v>
      </c>
    </row>
    <row r="163" spans="38:42">
      <c r="AL163" s="138">
        <v>2.5498470091795469E-3</v>
      </c>
      <c r="AM163" s="138">
        <v>1.4509129452232983E-2</v>
      </c>
      <c r="AN163" s="138">
        <v>2.5578465292082596E-2</v>
      </c>
      <c r="AO163" s="139"/>
      <c r="AP163" s="138">
        <v>4.3509445784497218E-2</v>
      </c>
    </row>
  </sheetData>
  <mergeCells count="24">
    <mergeCell ref="B77:E77"/>
    <mergeCell ref="BE4:BI4"/>
    <mergeCell ref="AJ4:AK4"/>
    <mergeCell ref="AM4:AN4"/>
    <mergeCell ref="AQ4:AT4"/>
    <mergeCell ref="AU4:AY4"/>
    <mergeCell ref="AZ4:BD4"/>
    <mergeCell ref="B60:E60"/>
    <mergeCell ref="AL3:AT3"/>
    <mergeCell ref="AU3:BC3"/>
    <mergeCell ref="L4:N4"/>
    <mergeCell ref="O4:Q4"/>
    <mergeCell ref="T4:U4"/>
    <mergeCell ref="V4:W4"/>
    <mergeCell ref="X4:Y4"/>
    <mergeCell ref="Z4:AA4"/>
    <mergeCell ref="AB4:AD4"/>
    <mergeCell ref="AE4:AG4"/>
    <mergeCell ref="AH3:AK3"/>
    <mergeCell ref="B3:E3"/>
    <mergeCell ref="F3:J3"/>
    <mergeCell ref="K3:R3"/>
    <mergeCell ref="S3:AA3"/>
    <mergeCell ref="AB3:AG3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88"/>
  <sheetViews>
    <sheetView workbookViewId="0">
      <pane xSplit="10" ySplit="6" topLeftCell="K42" activePane="bottomRight" state="frozen"/>
      <selection pane="topRight" activeCell="F1" sqref="F1"/>
      <selection pane="bottomLeft" activeCell="A4" sqref="A4"/>
      <selection pane="bottomRight" activeCell="C58" sqref="C58"/>
    </sheetView>
  </sheetViews>
  <sheetFormatPr baseColWidth="10" defaultRowHeight="15" x14ac:dyDescent="0"/>
  <cols>
    <col min="1" max="2" width="10.83203125" style="15"/>
    <col min="3" max="3" width="10.1640625" style="16" bestFit="1" customWidth="1"/>
    <col min="4" max="4" width="10.1640625" style="16" customWidth="1"/>
    <col min="5" max="5" width="8.5" style="17" bestFit="1" customWidth="1"/>
    <col min="6" max="6" width="6.6640625" style="15" customWidth="1"/>
    <col min="7" max="7" width="10.1640625" style="16" bestFit="1" customWidth="1"/>
    <col min="8" max="8" width="10.1640625" style="16" customWidth="1"/>
    <col min="9" max="9" width="10.5" style="16" bestFit="1" customWidth="1"/>
    <col min="10" max="10" width="8.5" style="17" bestFit="1" customWidth="1"/>
    <col min="11" max="11" width="6.1640625" style="15" customWidth="1"/>
    <col min="12" max="17" width="6.1640625" style="16" customWidth="1"/>
    <col min="18" max="18" width="6.1640625" style="17" customWidth="1"/>
    <col min="19" max="19" width="10.83203125" style="15"/>
    <col min="20" max="21" width="10.83203125" style="16"/>
    <col min="22" max="22" width="11.83203125" style="16" bestFit="1" customWidth="1"/>
    <col min="23" max="26" width="10.83203125" style="16"/>
    <col min="27" max="27" width="10.83203125" style="17"/>
    <col min="28" max="28" width="10.83203125" style="15"/>
    <col min="29" max="32" width="10.83203125" style="16"/>
    <col min="33" max="33" width="10.83203125" style="17"/>
    <col min="34" max="34" width="10.83203125" style="15"/>
    <col min="35" max="36" width="10.83203125" style="16"/>
    <col min="37" max="37" width="10.83203125" style="17"/>
    <col min="38" max="38" width="10.83203125" style="15"/>
    <col min="39" max="40" width="10.83203125" style="16"/>
    <col min="41" max="41" width="20.33203125" style="16" bestFit="1" customWidth="1"/>
    <col min="42" max="45" width="10.83203125" style="16"/>
    <col min="46" max="46" width="10.83203125" style="17"/>
    <col min="74" max="74" width="23.6640625" bestFit="1" customWidth="1"/>
    <col min="75" max="75" width="18" bestFit="1" customWidth="1"/>
  </cols>
  <sheetData>
    <row r="1" spans="1:75">
      <c r="A1" s="16"/>
      <c r="B1" s="15" t="s">
        <v>131</v>
      </c>
      <c r="D1" s="16">
        <v>52.94</v>
      </c>
    </row>
    <row r="2" spans="1:75" ht="17" thickBot="1">
      <c r="A2" s="16"/>
      <c r="B2" s="15" t="s">
        <v>132</v>
      </c>
      <c r="D2" s="16">
        <v>2.1</v>
      </c>
    </row>
    <row r="3" spans="1:75" s="75" customFormat="1">
      <c r="A3" s="148" t="s">
        <v>37</v>
      </c>
      <c r="B3" s="183" t="s">
        <v>118</v>
      </c>
      <c r="C3" s="184"/>
      <c r="D3" s="185"/>
      <c r="E3" s="186"/>
      <c r="F3" s="187" t="s">
        <v>48</v>
      </c>
      <c r="G3" s="188"/>
      <c r="H3" s="188"/>
      <c r="I3" s="188"/>
      <c r="J3" s="189"/>
      <c r="K3" s="187" t="s">
        <v>47</v>
      </c>
      <c r="L3" s="188"/>
      <c r="M3" s="188"/>
      <c r="N3" s="188"/>
      <c r="O3" s="188"/>
      <c r="P3" s="188"/>
      <c r="Q3" s="188"/>
      <c r="R3" s="189"/>
      <c r="S3" s="187" t="s">
        <v>76</v>
      </c>
      <c r="T3" s="188"/>
      <c r="U3" s="188"/>
      <c r="V3" s="188"/>
      <c r="W3" s="188"/>
      <c r="X3" s="188"/>
      <c r="Y3" s="188"/>
      <c r="Z3" s="188"/>
      <c r="AA3" s="189"/>
      <c r="AB3" s="187" t="s">
        <v>58</v>
      </c>
      <c r="AC3" s="188"/>
      <c r="AD3" s="188"/>
      <c r="AE3" s="188"/>
      <c r="AF3" s="188"/>
      <c r="AG3" s="189"/>
      <c r="AH3" s="187" t="s">
        <v>63</v>
      </c>
      <c r="AI3" s="188"/>
      <c r="AJ3" s="188"/>
      <c r="AK3" s="189"/>
      <c r="AL3" s="187" t="s">
        <v>69</v>
      </c>
      <c r="AM3" s="188"/>
      <c r="AN3" s="188"/>
      <c r="AO3" s="188"/>
      <c r="AP3" s="188"/>
      <c r="AQ3" s="188"/>
      <c r="AR3" s="188"/>
      <c r="AS3" s="188"/>
      <c r="AT3" s="189"/>
      <c r="AU3" s="190" t="s">
        <v>139</v>
      </c>
      <c r="AV3" s="191"/>
      <c r="AW3" s="191"/>
      <c r="AX3" s="191"/>
      <c r="AY3" s="191"/>
      <c r="AZ3" s="191"/>
      <c r="BA3" s="191"/>
      <c r="BB3" s="191"/>
      <c r="BC3" s="192"/>
    </row>
    <row r="4" spans="1:75" s="75" customFormat="1" ht="15" customHeight="1">
      <c r="A4" s="148"/>
      <c r="B4" s="146" t="s">
        <v>117</v>
      </c>
      <c r="C4" s="144" t="s">
        <v>75</v>
      </c>
      <c r="D4" s="148" t="s">
        <v>121</v>
      </c>
      <c r="E4" s="145" t="s">
        <v>119</v>
      </c>
      <c r="F4" s="146" t="s">
        <v>49</v>
      </c>
      <c r="G4" s="144" t="s">
        <v>21</v>
      </c>
      <c r="H4" s="144" t="s">
        <v>110</v>
      </c>
      <c r="I4" s="144" t="s">
        <v>22</v>
      </c>
      <c r="J4" s="145" t="s">
        <v>23</v>
      </c>
      <c r="K4" s="146" t="s">
        <v>45</v>
      </c>
      <c r="L4" s="193" t="s">
        <v>35</v>
      </c>
      <c r="M4" s="193"/>
      <c r="N4" s="193"/>
      <c r="O4" s="193" t="s">
        <v>74</v>
      </c>
      <c r="P4" s="193"/>
      <c r="Q4" s="193"/>
      <c r="R4" s="145" t="s">
        <v>64</v>
      </c>
      <c r="S4" s="146" t="s">
        <v>24</v>
      </c>
      <c r="T4" s="193" t="s">
        <v>50</v>
      </c>
      <c r="U4" s="193"/>
      <c r="V4" s="193" t="s">
        <v>53</v>
      </c>
      <c r="W4" s="193"/>
      <c r="X4" s="193" t="s">
        <v>56</v>
      </c>
      <c r="Y4" s="193"/>
      <c r="Z4" s="193" t="s">
        <v>57</v>
      </c>
      <c r="AA4" s="194"/>
      <c r="AB4" s="195" t="s">
        <v>44</v>
      </c>
      <c r="AC4" s="193"/>
      <c r="AD4" s="193"/>
      <c r="AE4" s="193" t="s">
        <v>61</v>
      </c>
      <c r="AF4" s="193"/>
      <c r="AG4" s="194"/>
      <c r="AH4" s="146" t="s">
        <v>64</v>
      </c>
      <c r="AI4" s="144" t="s">
        <v>65</v>
      </c>
      <c r="AJ4" s="193" t="s">
        <v>78</v>
      </c>
      <c r="AK4" s="194"/>
      <c r="AL4" s="144" t="s">
        <v>25</v>
      </c>
      <c r="AM4" s="193" t="s">
        <v>26</v>
      </c>
      <c r="AN4" s="193"/>
      <c r="AO4" s="144" t="s">
        <v>27</v>
      </c>
      <c r="AP4" s="131" t="s">
        <v>44</v>
      </c>
      <c r="AQ4" s="200" t="s">
        <v>120</v>
      </c>
      <c r="AR4" s="200"/>
      <c r="AS4" s="200"/>
      <c r="AT4" s="202"/>
      <c r="AU4" s="203" t="s">
        <v>140</v>
      </c>
      <c r="AV4" s="200"/>
      <c r="AW4" s="200"/>
      <c r="AX4" s="200"/>
      <c r="AY4" s="201"/>
      <c r="AZ4" s="199" t="s">
        <v>144</v>
      </c>
      <c r="BA4" s="200"/>
      <c r="BB4" s="200"/>
      <c r="BC4" s="200"/>
      <c r="BD4" s="201"/>
      <c r="BE4" s="199" t="s">
        <v>150</v>
      </c>
      <c r="BF4" s="200"/>
      <c r="BG4" s="200"/>
      <c r="BH4" s="200"/>
      <c r="BI4" s="201"/>
      <c r="BJ4" s="75" t="s">
        <v>145</v>
      </c>
      <c r="BN4" s="75" t="s">
        <v>159</v>
      </c>
      <c r="BR4" s="75" t="s">
        <v>160</v>
      </c>
      <c r="BV4" s="75" t="s">
        <v>153</v>
      </c>
      <c r="BW4" s="75" t="s">
        <v>154</v>
      </c>
    </row>
    <row r="5" spans="1:75" s="75" customFormat="1">
      <c r="A5" s="148"/>
      <c r="B5" s="146"/>
      <c r="C5" s="144"/>
      <c r="D5" s="148"/>
      <c r="E5" s="145"/>
      <c r="F5" s="146"/>
      <c r="G5" s="144"/>
      <c r="H5" s="144"/>
      <c r="I5" s="144"/>
      <c r="J5" s="145"/>
      <c r="K5" s="146"/>
      <c r="L5" s="144" t="s">
        <v>71</v>
      </c>
      <c r="M5" s="144" t="s">
        <v>72</v>
      </c>
      <c r="N5" s="144" t="s">
        <v>73</v>
      </c>
      <c r="O5" s="144" t="s">
        <v>71</v>
      </c>
      <c r="P5" s="144" t="s">
        <v>72</v>
      </c>
      <c r="Q5" s="144" t="s">
        <v>73</v>
      </c>
      <c r="R5" s="145" t="s">
        <v>71</v>
      </c>
      <c r="S5" s="146"/>
      <c r="T5" s="144" t="s">
        <v>51</v>
      </c>
      <c r="U5" s="144" t="s">
        <v>52</v>
      </c>
      <c r="V5" s="144" t="s">
        <v>54</v>
      </c>
      <c r="W5" s="144" t="s">
        <v>55</v>
      </c>
      <c r="X5" s="144" t="s">
        <v>51</v>
      </c>
      <c r="Y5" s="144" t="s">
        <v>52</v>
      </c>
      <c r="Z5" s="144" t="s">
        <v>51</v>
      </c>
      <c r="AA5" s="145" t="s">
        <v>52</v>
      </c>
      <c r="AB5" s="146" t="s">
        <v>51</v>
      </c>
      <c r="AC5" s="144" t="s">
        <v>59</v>
      </c>
      <c r="AD5" s="144" t="s">
        <v>60</v>
      </c>
      <c r="AE5" s="144" t="s">
        <v>28</v>
      </c>
      <c r="AF5" s="144" t="s">
        <v>29</v>
      </c>
      <c r="AG5" s="145" t="s">
        <v>30</v>
      </c>
      <c r="AH5" s="146"/>
      <c r="AI5" s="144"/>
      <c r="AJ5" s="144" t="s">
        <v>36</v>
      </c>
      <c r="AK5" s="145" t="s">
        <v>37</v>
      </c>
      <c r="AL5" s="144"/>
      <c r="AM5" s="144" t="s">
        <v>140</v>
      </c>
      <c r="AN5" s="144" t="s">
        <v>144</v>
      </c>
      <c r="AO5" s="144"/>
      <c r="AP5" s="144"/>
      <c r="AQ5" s="144" t="s">
        <v>28</v>
      </c>
      <c r="AR5" s="144" t="s">
        <v>80</v>
      </c>
      <c r="AS5" s="144" t="s">
        <v>34</v>
      </c>
      <c r="AT5" s="145" t="s">
        <v>30</v>
      </c>
      <c r="AU5" s="147" t="s">
        <v>67</v>
      </c>
      <c r="AV5" s="144" t="s">
        <v>81</v>
      </c>
      <c r="AW5" s="144" t="s">
        <v>141</v>
      </c>
      <c r="AX5" s="144" t="s">
        <v>142</v>
      </c>
      <c r="AY5" s="144" t="s">
        <v>143</v>
      </c>
      <c r="AZ5" s="144" t="s">
        <v>67</v>
      </c>
      <c r="BA5" s="144" t="s">
        <v>81</v>
      </c>
      <c r="BB5" s="144" t="s">
        <v>141</v>
      </c>
      <c r="BC5" s="144" t="s">
        <v>142</v>
      </c>
      <c r="BD5" s="144" t="s">
        <v>143</v>
      </c>
      <c r="BE5" s="144" t="s">
        <v>67</v>
      </c>
      <c r="BF5" s="144" t="s">
        <v>81</v>
      </c>
      <c r="BG5" s="144" t="s">
        <v>141</v>
      </c>
      <c r="BH5" s="144" t="s">
        <v>142</v>
      </c>
      <c r="BI5" s="144" t="s">
        <v>143</v>
      </c>
      <c r="BJ5" s="75" t="s">
        <v>67</v>
      </c>
      <c r="BK5" s="75" t="s">
        <v>81</v>
      </c>
      <c r="BL5" s="75" t="s">
        <v>141</v>
      </c>
      <c r="BM5" s="75" t="s">
        <v>142</v>
      </c>
      <c r="BN5" s="75" t="s">
        <v>67</v>
      </c>
      <c r="BO5" s="75" t="s">
        <v>81</v>
      </c>
      <c r="BP5" s="75" t="s">
        <v>141</v>
      </c>
      <c r="BQ5" s="75" t="s">
        <v>142</v>
      </c>
      <c r="BR5" s="162" t="s">
        <v>67</v>
      </c>
      <c r="BS5" s="163" t="s">
        <v>81</v>
      </c>
      <c r="BT5" s="163" t="s">
        <v>141</v>
      </c>
      <c r="BU5" s="163" t="s">
        <v>142</v>
      </c>
    </row>
    <row r="6" spans="1:75" s="76" customFormat="1">
      <c r="A6" s="77"/>
      <c r="B6" s="84"/>
      <c r="D6" s="77"/>
      <c r="E6" s="85"/>
      <c r="F6" s="84"/>
      <c r="G6" s="76" t="s">
        <v>15</v>
      </c>
      <c r="H6" s="76" t="s">
        <v>15</v>
      </c>
      <c r="I6" s="76" t="s">
        <v>15</v>
      </c>
      <c r="J6" s="85" t="s">
        <v>15</v>
      </c>
      <c r="K6" s="84" t="s">
        <v>46</v>
      </c>
      <c r="R6" s="85"/>
      <c r="S6" s="84" t="s">
        <v>62</v>
      </c>
      <c r="T6" s="76" t="s">
        <v>15</v>
      </c>
      <c r="U6" s="76" t="s">
        <v>15</v>
      </c>
      <c r="V6" s="76" t="s">
        <v>15</v>
      </c>
      <c r="W6" s="76" t="s">
        <v>15</v>
      </c>
      <c r="X6" s="76" t="s">
        <v>15</v>
      </c>
      <c r="Y6" s="76" t="s">
        <v>15</v>
      </c>
      <c r="Z6" s="76" t="s">
        <v>15</v>
      </c>
      <c r="AA6" s="85" t="s">
        <v>15</v>
      </c>
      <c r="AB6" s="84" t="s">
        <v>15</v>
      </c>
      <c r="AC6" s="76" t="s">
        <v>15</v>
      </c>
      <c r="AD6" s="76" t="s">
        <v>15</v>
      </c>
      <c r="AE6" s="76" t="s">
        <v>77</v>
      </c>
      <c r="AF6" s="76" t="s">
        <v>77</v>
      </c>
      <c r="AG6" s="85" t="s">
        <v>77</v>
      </c>
      <c r="AH6" s="84" t="s">
        <v>67</v>
      </c>
      <c r="AI6" s="76" t="s">
        <v>68</v>
      </c>
      <c r="AJ6" s="76" t="s">
        <v>66</v>
      </c>
      <c r="AK6" s="85" t="s">
        <v>66</v>
      </c>
      <c r="AT6" s="85"/>
      <c r="AU6" s="83"/>
    </row>
    <row r="7" spans="1:75" s="153" customFormat="1">
      <c r="A7" s="149" t="s">
        <v>49</v>
      </c>
      <c r="B7" s="150"/>
      <c r="C7" s="151"/>
      <c r="D7" s="149"/>
      <c r="E7" s="152"/>
      <c r="F7" s="150"/>
      <c r="G7" s="151"/>
      <c r="H7" s="151"/>
      <c r="I7" s="151"/>
      <c r="J7" s="152"/>
      <c r="K7" s="150"/>
      <c r="L7" s="151"/>
      <c r="M7" s="151"/>
      <c r="N7" s="151"/>
      <c r="O7" s="151"/>
      <c r="P7" s="151"/>
      <c r="Q7" s="151"/>
      <c r="R7" s="152"/>
      <c r="S7" s="150"/>
      <c r="T7" s="151"/>
      <c r="U7" s="151"/>
      <c r="V7" s="151"/>
      <c r="W7" s="151"/>
      <c r="X7" s="151"/>
      <c r="Y7" s="151"/>
      <c r="Z7" s="151"/>
      <c r="AA7" s="152"/>
      <c r="AB7" s="150"/>
      <c r="AC7" s="151"/>
      <c r="AD7" s="151"/>
      <c r="AE7" s="151"/>
      <c r="AF7" s="151"/>
      <c r="AG7" s="152"/>
      <c r="AH7" s="150"/>
      <c r="AI7" s="151"/>
      <c r="AJ7" s="151"/>
      <c r="AK7" s="152"/>
      <c r="AL7" s="151"/>
      <c r="AM7" s="151"/>
      <c r="AN7" s="151"/>
      <c r="AO7" s="151"/>
      <c r="AP7" s="151"/>
      <c r="AQ7" s="151"/>
      <c r="AR7" s="151"/>
      <c r="AS7" s="151"/>
      <c r="AT7" s="152"/>
      <c r="AU7" s="3">
        <v>34.128029823303223</v>
      </c>
      <c r="AV7" s="3">
        <v>6.5796058177947998</v>
      </c>
      <c r="AW7" s="3">
        <v>3.4746072292327881</v>
      </c>
      <c r="AX7" s="3">
        <v>8.7143206596374512</v>
      </c>
    </row>
    <row r="8" spans="1:75">
      <c r="A8" s="81">
        <v>20</v>
      </c>
      <c r="B8" s="92" t="s">
        <v>89</v>
      </c>
      <c r="C8" s="56">
        <v>310</v>
      </c>
      <c r="D8" s="135" t="s">
        <v>122</v>
      </c>
      <c r="E8" s="93">
        <v>0</v>
      </c>
      <c r="F8" s="102" t="s">
        <v>42</v>
      </c>
      <c r="G8" s="55">
        <v>5.0080999999999998</v>
      </c>
      <c r="H8" s="55">
        <v>0</v>
      </c>
      <c r="I8" s="55">
        <v>49.706299999999999</v>
      </c>
      <c r="J8" s="103">
        <v>0</v>
      </c>
      <c r="K8" s="112">
        <v>180</v>
      </c>
      <c r="L8" s="57">
        <v>0.55902777777777779</v>
      </c>
      <c r="M8" s="57">
        <v>0.60277777777777775</v>
      </c>
      <c r="N8" s="57">
        <v>0.64444444444444449</v>
      </c>
      <c r="O8" s="54">
        <v>10</v>
      </c>
      <c r="P8" s="54">
        <v>94</v>
      </c>
      <c r="Q8" s="54">
        <v>95</v>
      </c>
      <c r="R8" s="113">
        <v>24</v>
      </c>
      <c r="S8" s="102"/>
      <c r="T8" s="55">
        <v>101.3203</v>
      </c>
      <c r="U8" s="55">
        <v>130.84049999999999</v>
      </c>
      <c r="V8" s="55">
        <v>48.856999999999999</v>
      </c>
      <c r="W8" s="55">
        <v>49.223799999999997</v>
      </c>
      <c r="X8" s="55">
        <v>23.212299999999999</v>
      </c>
      <c r="Y8" s="55">
        <v>23.278400000000001</v>
      </c>
      <c r="Z8" s="55">
        <v>23.799099999999999</v>
      </c>
      <c r="AA8" s="103">
        <v>24.0624</v>
      </c>
      <c r="AB8" s="92">
        <v>18.770700000000001</v>
      </c>
      <c r="AC8" s="55">
        <v>31.4312</v>
      </c>
      <c r="AD8" s="55">
        <v>19.8872</v>
      </c>
      <c r="AE8" s="58">
        <f>347/20</f>
        <v>17.350000000000001</v>
      </c>
      <c r="AF8" s="58">
        <f>6.303/20</f>
        <v>0.31514999999999999</v>
      </c>
      <c r="AG8" s="119">
        <f>43.84/20</f>
        <v>2.1920000000000002</v>
      </c>
      <c r="AH8" s="102">
        <f>C8</f>
        <v>310</v>
      </c>
      <c r="AI8" s="54">
        <f>MAX(O8:Q8)</f>
        <v>95</v>
      </c>
      <c r="AJ8" s="56">
        <f>(M8-L8)*24*60</f>
        <v>62.999999999999936</v>
      </c>
      <c r="AK8" s="124">
        <f>(N8-M8)*24*60</f>
        <v>60.000000000000107</v>
      </c>
      <c r="AL8" s="60">
        <f>(W8-V8-H8)/G8</f>
        <v>7.3241349014595919E-2</v>
      </c>
      <c r="AM8" s="60">
        <f t="shared" ref="AM8:AM26" si="0">(Y8-X8)/(G8*(100)/100)</f>
        <v>1.3198618238454158E-2</v>
      </c>
      <c r="AN8" s="60">
        <f t="shared" ref="AN8:AN26" si="1">(AA8-Z8)/(G8*(100)/100)</f>
        <v>5.2574828777380844E-2</v>
      </c>
      <c r="AO8" s="60">
        <f t="shared" ref="AO8:AO14" si="2">(100*S8/1000/8.314/298*44)/G8</f>
        <v>0</v>
      </c>
      <c r="AP8" s="60">
        <f>(AD8-AB8)/(AC8-AB8)*(U8-T8)/G8</f>
        <v>0.51982142233164197</v>
      </c>
      <c r="AQ8" s="59">
        <f t="shared" ref="AQ8:AQ20" si="3">AE8*(U8-T8-J8)/1000/G8</f>
        <v>0.10226941754357935</v>
      </c>
      <c r="AR8" s="59">
        <f t="shared" ref="AR8:AR13" si="4">(AE8-AU8)*(U8-T8)/G8/1000</f>
        <v>0.10226941754357936</v>
      </c>
      <c r="AS8" s="59">
        <f t="shared" ref="AS8:AS20" si="5">(AF8)*(U8-T8-J8)/1000/G8</f>
        <v>1.857648814919829E-3</v>
      </c>
      <c r="AT8" s="129">
        <f t="shared" ref="AT8:AT20" si="6">(AG8)*(U8-T8-J8)/1000/G8</f>
        <v>1.2920724106946745E-2</v>
      </c>
      <c r="AU8" s="3"/>
      <c r="AV8" s="4"/>
      <c r="AW8" s="5"/>
      <c r="AX8" s="3"/>
      <c r="BV8" s="6">
        <f>AG8*(U8-T8)/1000/(G8*$AW$7/100)</f>
        <v>0.37186142935066963</v>
      </c>
      <c r="BW8" s="6">
        <f>AF8*(U8-T8)/1000/(G8*$AU$7/100)</f>
        <v>5.4431762528858122E-3</v>
      </c>
    </row>
    <row r="9" spans="1:75">
      <c r="A9" s="81">
        <v>16</v>
      </c>
      <c r="B9" s="92" t="s">
        <v>89</v>
      </c>
      <c r="C9" s="56">
        <v>310</v>
      </c>
      <c r="D9" s="135" t="s">
        <v>122</v>
      </c>
      <c r="E9" s="93">
        <v>0.3</v>
      </c>
      <c r="F9" s="102" t="s">
        <v>42</v>
      </c>
      <c r="G9" s="55">
        <v>5.0114000000000001</v>
      </c>
      <c r="H9" s="55">
        <v>0</v>
      </c>
      <c r="I9" s="55">
        <v>35.0062</v>
      </c>
      <c r="J9" s="103">
        <f>7.699+3.753</f>
        <v>11.452</v>
      </c>
      <c r="K9" s="112">
        <v>180</v>
      </c>
      <c r="L9" s="57">
        <v>0.40069444444444446</v>
      </c>
      <c r="M9" s="57">
        <v>0.45</v>
      </c>
      <c r="N9" s="57">
        <v>0.49305555555555558</v>
      </c>
      <c r="O9" s="54">
        <v>10</v>
      </c>
      <c r="P9" s="54">
        <v>112</v>
      </c>
      <c r="Q9" s="54">
        <v>114</v>
      </c>
      <c r="R9" s="113">
        <v>21</v>
      </c>
      <c r="S9" s="102">
        <v>880</v>
      </c>
      <c r="T9" s="55">
        <v>101.479</v>
      </c>
      <c r="U9" s="55">
        <v>144.48480000000001</v>
      </c>
      <c r="V9" s="55">
        <v>48.8352</v>
      </c>
      <c r="W9" s="55">
        <v>49.025199999999998</v>
      </c>
      <c r="X9" s="55">
        <v>22.442</v>
      </c>
      <c r="Y9" s="55">
        <v>22.609200000000001</v>
      </c>
      <c r="Z9" s="55">
        <v>23.206700000000001</v>
      </c>
      <c r="AA9" s="103">
        <v>23.448599999999999</v>
      </c>
      <c r="AB9" s="92">
        <v>12.4732</v>
      </c>
      <c r="AC9" s="55">
        <v>23.444500000000001</v>
      </c>
      <c r="AD9" s="55">
        <v>13.3071</v>
      </c>
      <c r="AE9" s="58">
        <f>1426*50/1000</f>
        <v>71.3</v>
      </c>
      <c r="AF9" s="58">
        <f>16.81*50/1000</f>
        <v>0.84049999999999991</v>
      </c>
      <c r="AG9" s="119">
        <f>63.28*50/1000</f>
        <v>3.1640000000000001</v>
      </c>
      <c r="AH9" s="102">
        <f>C9</f>
        <v>310</v>
      </c>
      <c r="AI9" s="54">
        <f>MAX(O9:Q9)</f>
        <v>114</v>
      </c>
      <c r="AJ9" s="56">
        <f>(M9-L9)*24*60</f>
        <v>70.999999999999986</v>
      </c>
      <c r="AK9" s="124">
        <f>(N9-M9)*24*60</f>
        <v>62.000000000000021</v>
      </c>
      <c r="AL9" s="60">
        <f t="shared" ref="AL9:AL26" si="7">(W9-V9-H9)/G9</f>
        <v>3.7913557089834724E-2</v>
      </c>
      <c r="AM9" s="60">
        <f t="shared" si="0"/>
        <v>3.3363930239055178E-2</v>
      </c>
      <c r="AN9" s="60">
        <f t="shared" si="1"/>
        <v>4.826994452647914E-2</v>
      </c>
      <c r="AO9" s="60">
        <f t="shared" si="2"/>
        <v>0.31185304987438428</v>
      </c>
      <c r="AP9" s="60">
        <f t="shared" ref="AP9:AP15" si="8">(AD9-AB9)/(AC9-AB9)*(U9-T9)/G9</f>
        <v>0.65226465487641883</v>
      </c>
      <c r="AQ9" s="59">
        <f t="shared" si="3"/>
        <v>0.44893361934788695</v>
      </c>
      <c r="AR9" s="59">
        <f t="shared" si="4"/>
        <v>0.61186764975855057</v>
      </c>
      <c r="AS9" s="59">
        <f t="shared" si="5"/>
        <v>5.2921277287783864E-3</v>
      </c>
      <c r="AT9" s="129">
        <f t="shared" si="6"/>
        <v>1.9921822883824887E-2</v>
      </c>
      <c r="BV9" s="6">
        <f>AG9*(U9-T9)/1000/(G9*$AW$7/100)</f>
        <v>0.78144554236865171</v>
      </c>
      <c r="BW9" s="6">
        <f>AF9*(U9-T9)/1000/(G9*$AU$7/100)</f>
        <v>2.1134620912967594E-2</v>
      </c>
    </row>
    <row r="10" spans="1:75">
      <c r="A10" s="81">
        <v>38</v>
      </c>
      <c r="B10" s="92" t="s">
        <v>89</v>
      </c>
      <c r="C10" s="56">
        <v>310</v>
      </c>
      <c r="D10" s="135" t="s">
        <v>122</v>
      </c>
      <c r="E10" s="93">
        <v>0.3</v>
      </c>
      <c r="F10" s="102" t="s">
        <v>42</v>
      </c>
      <c r="G10" s="55">
        <v>4.9992999999999999</v>
      </c>
      <c r="H10" s="55">
        <v>0</v>
      </c>
      <c r="I10" s="55">
        <v>33.696100000000001</v>
      </c>
      <c r="J10" s="103">
        <v>11.7928</v>
      </c>
      <c r="K10" s="112">
        <v>180</v>
      </c>
      <c r="L10" s="57">
        <v>0.57916666666666672</v>
      </c>
      <c r="M10" s="57">
        <v>0.63680555555555551</v>
      </c>
      <c r="N10" s="57">
        <v>0.67847222222222225</v>
      </c>
      <c r="O10" s="54">
        <v>10</v>
      </c>
      <c r="P10" s="54">
        <v>115</v>
      </c>
      <c r="Q10" s="54">
        <v>116</v>
      </c>
      <c r="R10" s="113">
        <v>26</v>
      </c>
      <c r="S10" s="102"/>
      <c r="T10" s="55">
        <v>101.3557</v>
      </c>
      <c r="U10" s="55">
        <v>144.75880000000001</v>
      </c>
      <c r="V10" s="55">
        <v>49.525500000000001</v>
      </c>
      <c r="W10" s="55">
        <v>49.696100000000001</v>
      </c>
      <c r="X10" s="55">
        <v>25.7867</v>
      </c>
      <c r="Y10" s="55">
        <v>25.8782</v>
      </c>
      <c r="Z10" s="55">
        <v>25.836200000000002</v>
      </c>
      <c r="AA10" s="103">
        <v>26.1374</v>
      </c>
      <c r="AB10" s="92">
        <v>11.4483</v>
      </c>
      <c r="AC10" s="55">
        <v>25.796199999999999</v>
      </c>
      <c r="AD10" s="55">
        <v>12.4755</v>
      </c>
      <c r="AE10" s="58"/>
      <c r="AF10" s="58"/>
      <c r="AG10" s="119"/>
      <c r="AH10" s="102"/>
      <c r="AI10" s="54"/>
      <c r="AJ10" s="56"/>
      <c r="AK10" s="124"/>
      <c r="AL10" s="60">
        <f t="shared" si="7"/>
        <v>3.41247774688457E-2</v>
      </c>
      <c r="AM10" s="60">
        <f t="shared" si="0"/>
        <v>1.8302562358730207E-2</v>
      </c>
      <c r="AN10" s="60">
        <f t="shared" si="1"/>
        <v>6.0248434780868908E-2</v>
      </c>
      <c r="AO10" s="60">
        <f t="shared" si="2"/>
        <v>0</v>
      </c>
      <c r="AP10" s="60">
        <f t="shared" si="8"/>
        <v>0.6215530761570266</v>
      </c>
      <c r="AQ10" s="59">
        <f t="shared" si="3"/>
        <v>0</v>
      </c>
      <c r="AR10" s="59">
        <f t="shared" si="4"/>
        <v>0</v>
      </c>
      <c r="AS10" s="59"/>
      <c r="AT10" s="129"/>
      <c r="BV10" s="6"/>
    </row>
    <row r="11" spans="1:75">
      <c r="A11" s="81">
        <v>17</v>
      </c>
      <c r="B11" s="92" t="s">
        <v>89</v>
      </c>
      <c r="C11" s="56">
        <v>310</v>
      </c>
      <c r="D11" s="135" t="s">
        <v>122</v>
      </c>
      <c r="E11" s="93">
        <v>0.4</v>
      </c>
      <c r="F11" s="102" t="s">
        <v>42</v>
      </c>
      <c r="G11" s="55">
        <v>5</v>
      </c>
      <c r="H11" s="55">
        <v>0</v>
      </c>
      <c r="I11" s="55">
        <v>29.9314</v>
      </c>
      <c r="J11" s="103">
        <f>7.6695+7.6258</f>
        <v>15.295300000000001</v>
      </c>
      <c r="K11" s="112">
        <v>180</v>
      </c>
      <c r="L11" s="57">
        <v>0.57291666666666663</v>
      </c>
      <c r="M11" s="57">
        <v>0.62152777777777779</v>
      </c>
      <c r="N11" s="57">
        <v>0.66319444444444442</v>
      </c>
      <c r="O11" s="54">
        <v>10</v>
      </c>
      <c r="P11" s="54">
        <v>121</v>
      </c>
      <c r="Q11" s="54">
        <v>126</v>
      </c>
      <c r="R11" s="113">
        <v>26</v>
      </c>
      <c r="S11" s="102">
        <v>320</v>
      </c>
      <c r="T11" s="55">
        <v>102.3455</v>
      </c>
      <c r="U11" s="55">
        <v>144.43340000000001</v>
      </c>
      <c r="V11" s="55">
        <v>48.223100000000002</v>
      </c>
      <c r="W11" s="55">
        <v>48.433199999999999</v>
      </c>
      <c r="X11" s="55">
        <v>23.2166</v>
      </c>
      <c r="Y11" s="55">
        <v>23.350100000000001</v>
      </c>
      <c r="Z11" s="55">
        <v>23.089400000000001</v>
      </c>
      <c r="AA11" s="103">
        <v>23.269500000000001</v>
      </c>
      <c r="AB11" s="92">
        <v>12.535399999999999</v>
      </c>
      <c r="AC11" s="55">
        <v>23.405999999999999</v>
      </c>
      <c r="AD11" s="55">
        <v>13.2607</v>
      </c>
      <c r="AE11" s="58">
        <f>1631*50/1000</f>
        <v>81.55</v>
      </c>
      <c r="AF11" s="58">
        <f>14.75*50/1000</f>
        <v>0.73750000000000004</v>
      </c>
      <c r="AG11" s="119">
        <f>75.7*50/1000</f>
        <v>3.7850000000000001</v>
      </c>
      <c r="AH11" s="102">
        <f>C11</f>
        <v>310</v>
      </c>
      <c r="AI11" s="54">
        <f>MAX(O11:Q11)</f>
        <v>126</v>
      </c>
      <c r="AJ11" s="56">
        <f>(M11-L11)*24*60</f>
        <v>70.000000000000071</v>
      </c>
      <c r="AK11" s="124">
        <f>(N11-M11)*24*60</f>
        <v>59.999999999999943</v>
      </c>
      <c r="AL11" s="60">
        <f t="shared" si="7"/>
        <v>4.2019999999999412E-2</v>
      </c>
      <c r="AM11" s="60">
        <f t="shared" si="0"/>
        <v>2.67000000000003E-2</v>
      </c>
      <c r="AN11" s="60">
        <f t="shared" si="1"/>
        <v>3.6019999999999899E-2</v>
      </c>
      <c r="AO11" s="60">
        <f t="shared" si="2"/>
        <v>0.11365966357385375</v>
      </c>
      <c r="AP11" s="60">
        <f t="shared" si="8"/>
        <v>0.56163144389454189</v>
      </c>
      <c r="AQ11" s="59">
        <f t="shared" si="3"/>
        <v>0.43698730600000008</v>
      </c>
      <c r="AR11" s="59">
        <f t="shared" si="4"/>
        <v>0.68645364900000005</v>
      </c>
      <c r="AS11" s="59">
        <f t="shared" si="5"/>
        <v>3.9519085000000011E-3</v>
      </c>
      <c r="AT11" s="129">
        <f t="shared" si="6"/>
        <v>2.0281998200000005E-2</v>
      </c>
      <c r="BV11" s="6">
        <f>AG11*(U11-T11)/1000/(G11*$AW$7/100)</f>
        <v>0.91695372161632727</v>
      </c>
      <c r="BW11" s="6">
        <f>AF11*(U11-T11)/1000/(G11*$AU$7/100)</f>
        <v>1.819022452260368E-2</v>
      </c>
    </row>
    <row r="12" spans="1:75">
      <c r="A12" s="81">
        <v>37</v>
      </c>
      <c r="B12" s="92" t="s">
        <v>89</v>
      </c>
      <c r="C12" s="56">
        <v>310</v>
      </c>
      <c r="D12" s="135" t="s">
        <v>122</v>
      </c>
      <c r="E12" s="93">
        <v>0.4</v>
      </c>
      <c r="F12" s="102" t="s">
        <v>42</v>
      </c>
      <c r="G12" s="55">
        <v>5.0110999999999999</v>
      </c>
      <c r="H12" s="55">
        <v>0</v>
      </c>
      <c r="I12" s="55">
        <v>29.820499999999999</v>
      </c>
      <c r="J12" s="103">
        <v>16.342700000000001</v>
      </c>
      <c r="K12" s="112">
        <v>180</v>
      </c>
      <c r="L12" s="57">
        <v>0.40069444444444446</v>
      </c>
      <c r="M12" s="57">
        <v>0.45902777777777781</v>
      </c>
      <c r="N12" s="57">
        <v>0.50069444444444444</v>
      </c>
      <c r="O12" s="54">
        <v>10</v>
      </c>
      <c r="P12" s="54">
        <v>122</v>
      </c>
      <c r="Q12" s="54">
        <v>123</v>
      </c>
      <c r="R12" s="113">
        <v>23</v>
      </c>
      <c r="S12" s="102"/>
      <c r="T12" s="55">
        <v>101.47020000000001</v>
      </c>
      <c r="U12" s="55">
        <v>144.87899999999999</v>
      </c>
      <c r="V12" s="55">
        <v>49.892200000000003</v>
      </c>
      <c r="W12" s="55">
        <v>50.067399999999999</v>
      </c>
      <c r="X12" s="55">
        <v>26.174199999999999</v>
      </c>
      <c r="Y12" s="55">
        <v>26.190300000000001</v>
      </c>
      <c r="Z12" s="55">
        <v>26.1097</v>
      </c>
      <c r="AA12" s="103">
        <v>26.232700000000001</v>
      </c>
      <c r="AB12" s="92">
        <v>12.646000000000001</v>
      </c>
      <c r="AC12" s="55">
        <v>24.763400000000001</v>
      </c>
      <c r="AD12" s="55">
        <v>13.6091</v>
      </c>
      <c r="AE12" s="58"/>
      <c r="AF12" s="58"/>
      <c r="AG12" s="119"/>
      <c r="AH12" s="102"/>
      <c r="AI12" s="54"/>
      <c r="AJ12" s="56"/>
      <c r="AK12" s="124"/>
      <c r="AL12" s="60">
        <f t="shared" si="7"/>
        <v>3.4962383508610223E-2</v>
      </c>
      <c r="AM12" s="60">
        <f t="shared" si="0"/>
        <v>3.212867434296174E-3</v>
      </c>
      <c r="AN12" s="60">
        <f t="shared" si="1"/>
        <v>2.454550897008663E-2</v>
      </c>
      <c r="AO12" s="60">
        <f t="shared" si="2"/>
        <v>0</v>
      </c>
      <c r="AP12" s="60">
        <f t="shared" si="8"/>
        <v>0.68850428790620255</v>
      </c>
      <c r="AQ12" s="59">
        <f t="shared" si="3"/>
        <v>0</v>
      </c>
      <c r="AR12" s="59">
        <f t="shared" si="4"/>
        <v>0</v>
      </c>
      <c r="AS12" s="59"/>
      <c r="AT12" s="129"/>
      <c r="BV12" s="6"/>
    </row>
    <row r="13" spans="1:75">
      <c r="A13" s="81">
        <v>19</v>
      </c>
      <c r="B13" s="92" t="s">
        <v>89</v>
      </c>
      <c r="C13" s="56">
        <v>310</v>
      </c>
      <c r="D13" s="135" t="s">
        <v>122</v>
      </c>
      <c r="E13" s="93">
        <v>0.5</v>
      </c>
      <c r="F13" s="102" t="s">
        <v>42</v>
      </c>
      <c r="G13" s="55">
        <v>5.0004999999999997</v>
      </c>
      <c r="H13" s="55">
        <v>0</v>
      </c>
      <c r="I13" s="55">
        <v>25.0121</v>
      </c>
      <c r="J13" s="103">
        <v>19.971299999999999</v>
      </c>
      <c r="K13" s="112">
        <v>180</v>
      </c>
      <c r="L13" s="57">
        <v>0.39374999999999999</v>
      </c>
      <c r="M13" s="57">
        <v>0.43472222222222223</v>
      </c>
      <c r="N13" s="57">
        <v>0.47638888888888892</v>
      </c>
      <c r="O13" s="54">
        <v>10</v>
      </c>
      <c r="P13" s="54">
        <v>128</v>
      </c>
      <c r="Q13" s="54">
        <v>130</v>
      </c>
      <c r="R13" s="113">
        <v>21</v>
      </c>
      <c r="S13" s="102">
        <v>850</v>
      </c>
      <c r="T13" s="55">
        <v>101.3428</v>
      </c>
      <c r="U13" s="55">
        <v>137.93209999999999</v>
      </c>
      <c r="V13" s="55">
        <v>49.538699999999999</v>
      </c>
      <c r="W13" s="55">
        <v>49.777799999999999</v>
      </c>
      <c r="X13" s="55">
        <v>25.854199999999999</v>
      </c>
      <c r="Y13" s="55">
        <v>25.904399999999999</v>
      </c>
      <c r="Z13" s="55">
        <v>25.4435</v>
      </c>
      <c r="AA13" s="103">
        <v>25.496099999999998</v>
      </c>
      <c r="AB13" s="92">
        <v>12.1143</v>
      </c>
      <c r="AC13" s="55">
        <v>24.994700000000002</v>
      </c>
      <c r="AD13" s="55">
        <v>12.805899999999999</v>
      </c>
      <c r="AE13" s="58">
        <f>1612/20</f>
        <v>80.599999999999994</v>
      </c>
      <c r="AF13" s="58">
        <f>23.79/20</f>
        <v>1.1895</v>
      </c>
      <c r="AG13" s="119">
        <f>80.99/20</f>
        <v>4.0495000000000001</v>
      </c>
      <c r="AH13" s="102">
        <f>C13</f>
        <v>310</v>
      </c>
      <c r="AI13" s="54">
        <f>MAX(O13:Q13)</f>
        <v>130</v>
      </c>
      <c r="AJ13" s="56">
        <f>(M13-L13)*24*60</f>
        <v>59.000000000000028</v>
      </c>
      <c r="AK13" s="124">
        <f>(N13-M13)*24*60</f>
        <v>60.000000000000028</v>
      </c>
      <c r="AL13" s="60">
        <f t="shared" si="7"/>
        <v>4.7815218478152295E-2</v>
      </c>
      <c r="AM13" s="60">
        <f t="shared" si="0"/>
        <v>1.003899610039001E-2</v>
      </c>
      <c r="AN13" s="60">
        <f t="shared" si="1"/>
        <v>1.0518948105189123E-2</v>
      </c>
      <c r="AO13" s="60">
        <f t="shared" si="2"/>
        <v>0.30187829353869516</v>
      </c>
      <c r="AP13" s="60">
        <f t="shared" si="8"/>
        <v>0.39288577399829605</v>
      </c>
      <c r="AQ13" s="59">
        <f t="shared" si="3"/>
        <v>0.26785537446255364</v>
      </c>
      <c r="AR13" s="59">
        <f t="shared" si="4"/>
        <v>0.58976053994600519</v>
      </c>
      <c r="AS13" s="59">
        <f>(AF13)*(U13-T13-J13)/1000/G13</f>
        <v>3.9530268973102679E-3</v>
      </c>
      <c r="AT13" s="129">
        <f>(AG13)*(U13-T13-J13)/1000/G13</f>
        <v>1.3457572442755722E-2</v>
      </c>
      <c r="BV13" s="6">
        <f>AG13*(U13-T13)/1000/(G13*$AW$7/100)</f>
        <v>0.85277871840043129</v>
      </c>
      <c r="BW13" s="6">
        <f>AF13*(U13-T13)/1000/(G13*$AU$7/100)</f>
        <v>2.5503154277154268E-2</v>
      </c>
    </row>
    <row r="14" spans="1:75">
      <c r="A14" s="81">
        <v>36</v>
      </c>
      <c r="B14" s="92" t="s">
        <v>89</v>
      </c>
      <c r="C14" s="56">
        <v>310</v>
      </c>
      <c r="D14" s="135" t="s">
        <v>122</v>
      </c>
      <c r="E14" s="93">
        <v>0.5</v>
      </c>
      <c r="F14" s="102" t="s">
        <v>42</v>
      </c>
      <c r="G14" s="55">
        <v>4.9991000000000003</v>
      </c>
      <c r="H14" s="55">
        <v>0</v>
      </c>
      <c r="I14" s="55">
        <v>24.992999999999999</v>
      </c>
      <c r="J14" s="103">
        <v>19.945699999999999</v>
      </c>
      <c r="K14" s="112">
        <v>180</v>
      </c>
      <c r="L14" s="57">
        <v>0.55625000000000002</v>
      </c>
      <c r="M14" s="57">
        <v>0.60902777777777783</v>
      </c>
      <c r="N14" s="57">
        <v>0.65069444444444446</v>
      </c>
      <c r="O14" s="54">
        <v>10</v>
      </c>
      <c r="P14" s="54">
        <v>127</v>
      </c>
      <c r="Q14" s="54">
        <v>128</v>
      </c>
      <c r="R14" s="113">
        <v>24</v>
      </c>
      <c r="S14" s="102"/>
      <c r="T14" s="55">
        <v>101.37269999999999</v>
      </c>
      <c r="U14" s="55">
        <v>143.6439</v>
      </c>
      <c r="V14" s="55">
        <v>32.219900000000003</v>
      </c>
      <c r="W14" s="55">
        <v>32.407899999999998</v>
      </c>
      <c r="X14" s="55">
        <v>26.186299999999999</v>
      </c>
      <c r="Y14" s="55">
        <v>26.225899999999999</v>
      </c>
      <c r="Z14" s="55">
        <v>26.1206</v>
      </c>
      <c r="AA14" s="103">
        <v>26.217400000000001</v>
      </c>
      <c r="AB14" s="92">
        <v>12.5549</v>
      </c>
      <c r="AC14" s="55">
        <v>24.385400000000001</v>
      </c>
      <c r="AD14" s="55">
        <v>13.1677</v>
      </c>
      <c r="AE14" s="58"/>
      <c r="AF14" s="58"/>
      <c r="AG14" s="119"/>
      <c r="AH14" s="102"/>
      <c r="AI14" s="54"/>
      <c r="AJ14" s="56"/>
      <c r="AK14" s="124"/>
      <c r="AL14" s="60">
        <f t="shared" si="7"/>
        <v>3.7606769218458375E-2</v>
      </c>
      <c r="AM14" s="60">
        <f t="shared" si="0"/>
        <v>7.9214258566542139E-3</v>
      </c>
      <c r="AN14" s="60">
        <f t="shared" si="1"/>
        <v>1.9363485427377283E-2</v>
      </c>
      <c r="AO14" s="60">
        <f t="shared" si="2"/>
        <v>0</v>
      </c>
      <c r="AP14" s="60">
        <f t="shared" si="8"/>
        <v>0.43799425014798593</v>
      </c>
      <c r="AQ14" s="59">
        <f t="shared" si="3"/>
        <v>0</v>
      </c>
      <c r="AR14" s="59">
        <f>(AE14-AU14)*(U14-T14)/G14/1000</f>
        <v>0</v>
      </c>
      <c r="AS14" s="59"/>
      <c r="AT14" s="129"/>
      <c r="BV14" s="6"/>
    </row>
    <row r="15" spans="1:75" s="39" customFormat="1">
      <c r="A15" s="81">
        <v>29</v>
      </c>
      <c r="B15" s="92" t="s">
        <v>89</v>
      </c>
      <c r="C15" s="56">
        <v>310</v>
      </c>
      <c r="D15" s="135" t="s">
        <v>122</v>
      </c>
      <c r="E15" s="93">
        <v>1</v>
      </c>
      <c r="F15" s="102" t="s">
        <v>42</v>
      </c>
      <c r="G15" s="55">
        <v>5.0038999999999998</v>
      </c>
      <c r="H15" s="55">
        <v>0</v>
      </c>
      <c r="I15" s="55">
        <v>0</v>
      </c>
      <c r="J15" s="103">
        <v>38.840600000000002</v>
      </c>
      <c r="K15" s="112">
        <v>180</v>
      </c>
      <c r="L15" s="57">
        <v>0.41041666666666665</v>
      </c>
      <c r="M15" s="57">
        <v>0.45416666666666666</v>
      </c>
      <c r="N15" s="57">
        <v>0.49583333333333335</v>
      </c>
      <c r="O15" s="54">
        <v>10</v>
      </c>
      <c r="P15" s="54">
        <v>136</v>
      </c>
      <c r="Q15" s="54">
        <v>161</v>
      </c>
      <c r="R15" s="113">
        <v>23</v>
      </c>
      <c r="S15" s="102">
        <f>1000+890+740</f>
        <v>2630</v>
      </c>
      <c r="T15" s="55">
        <v>101.41289999999999</v>
      </c>
      <c r="U15" s="55">
        <v>132.27340000000001</v>
      </c>
      <c r="V15" s="55">
        <v>32.2057</v>
      </c>
      <c r="W15" s="55">
        <v>34.933100000000003</v>
      </c>
      <c r="X15" s="55">
        <v>23.379300000000001</v>
      </c>
      <c r="Y15" s="55">
        <v>23.4633</v>
      </c>
      <c r="Z15" s="55">
        <v>23.667100000000001</v>
      </c>
      <c r="AA15" s="103">
        <v>23.727499999999999</v>
      </c>
      <c r="AB15" s="92">
        <v>13.0601</v>
      </c>
      <c r="AC15" s="55">
        <v>23.645399999999999</v>
      </c>
      <c r="AD15" s="55">
        <v>13.4421</v>
      </c>
      <c r="AE15" s="58"/>
      <c r="AF15" s="58"/>
      <c r="AG15" s="119"/>
      <c r="AH15" s="102">
        <f>C15</f>
        <v>310</v>
      </c>
      <c r="AI15" s="54">
        <f>MAX(O15:Q15)</f>
        <v>161</v>
      </c>
      <c r="AJ15" s="56">
        <f>(M15-L15)*24*60</f>
        <v>63.000000000000014</v>
      </c>
      <c r="AK15" s="124">
        <f>(N15-M15)*24*60</f>
        <v>60.000000000000028</v>
      </c>
      <c r="AL15" s="60">
        <f t="shared" si="7"/>
        <v>0.5450548572113757</v>
      </c>
      <c r="AM15" s="60">
        <f t="shared" si="0"/>
        <v>1.6786906213153666E-2</v>
      </c>
      <c r="AN15" s="60">
        <f t="shared" si="1"/>
        <v>1.2070584943743438E-2</v>
      </c>
      <c r="AO15" s="60"/>
      <c r="AP15" s="60">
        <f t="shared" si="8"/>
        <v>0.22256380021504868</v>
      </c>
      <c r="AQ15" s="59">
        <f t="shared" si="3"/>
        <v>0</v>
      </c>
      <c r="AR15" s="59"/>
      <c r="AS15" s="59"/>
      <c r="AT15" s="129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V15" s="6"/>
    </row>
    <row r="16" spans="1:75" s="39" customFormat="1">
      <c r="A16" s="81">
        <v>6</v>
      </c>
      <c r="B16" s="92" t="s">
        <v>89</v>
      </c>
      <c r="C16" s="56">
        <v>310</v>
      </c>
      <c r="D16" s="135" t="s">
        <v>123</v>
      </c>
      <c r="E16" s="93">
        <v>0</v>
      </c>
      <c r="F16" s="102" t="s">
        <v>42</v>
      </c>
      <c r="G16" s="55">
        <v>5.0034999999999998</v>
      </c>
      <c r="H16" s="55">
        <v>0</v>
      </c>
      <c r="I16" s="55">
        <v>49.339100000000002</v>
      </c>
      <c r="J16" s="103">
        <v>0</v>
      </c>
      <c r="K16" s="112">
        <v>700</v>
      </c>
      <c r="L16" s="57">
        <v>0.40625</v>
      </c>
      <c r="M16" s="57">
        <v>0.44861111111111113</v>
      </c>
      <c r="N16" s="57">
        <v>0.49027777777777781</v>
      </c>
      <c r="O16" s="54">
        <v>10</v>
      </c>
      <c r="P16" s="54">
        <v>95</v>
      </c>
      <c r="Q16" s="54">
        <v>96</v>
      </c>
      <c r="R16" s="113">
        <v>21</v>
      </c>
      <c r="S16" s="102"/>
      <c r="T16" s="55">
        <v>101.3205</v>
      </c>
      <c r="U16" s="55">
        <v>145.45480000000001</v>
      </c>
      <c r="V16" s="55">
        <v>49.881900000000002</v>
      </c>
      <c r="W16" s="55">
        <v>50.082099999999997</v>
      </c>
      <c r="X16" s="55">
        <v>33.3307</v>
      </c>
      <c r="Y16" s="55">
        <v>33.603000000000002</v>
      </c>
      <c r="Z16" s="55">
        <v>55.667299999999997</v>
      </c>
      <c r="AA16" s="103">
        <v>55.965499999999999</v>
      </c>
      <c r="AB16" s="92">
        <v>12.636699999999999</v>
      </c>
      <c r="AC16" s="55">
        <v>21.0732</v>
      </c>
      <c r="AD16" s="55">
        <v>13.084899999999999</v>
      </c>
      <c r="AE16" s="58">
        <f>237.2*50/1000</f>
        <v>11.86</v>
      </c>
      <c r="AF16" s="58">
        <f>27.12*50/1000</f>
        <v>1.3560000000000001</v>
      </c>
      <c r="AG16" s="119">
        <f>57.63*50/1000</f>
        <v>2.8815</v>
      </c>
      <c r="AH16" s="102">
        <f t="shared" ref="AH16:AH26" si="9">C16</f>
        <v>310</v>
      </c>
      <c r="AI16" s="54">
        <f t="shared" ref="AI16:AI22" si="10">MAX(O16:Q16)</f>
        <v>96</v>
      </c>
      <c r="AJ16" s="56">
        <f t="shared" ref="AJ16:AK26" si="11">(M16-L16)*24*60</f>
        <v>61.000000000000021</v>
      </c>
      <c r="AK16" s="124">
        <f t="shared" si="11"/>
        <v>60.000000000000028</v>
      </c>
      <c r="AL16" s="60">
        <f t="shared" si="7"/>
        <v>4.0011991605874944E-2</v>
      </c>
      <c r="AM16" s="60">
        <f t="shared" si="0"/>
        <v>5.442190466673355E-2</v>
      </c>
      <c r="AN16" s="60">
        <f>(AA16-Z16)/(G16*(100)/100)</f>
        <v>5.9598281203158063E-2</v>
      </c>
      <c r="AO16" s="60">
        <f t="shared" ref="AO16:AO26" si="12">(100*S16/1000/8.314/298*44)/G16</f>
        <v>0</v>
      </c>
      <c r="AP16" s="60">
        <f t="shared" ref="AP16:AP26" si="13">(AD16-AB16)/(AC16-AB16)*(U16-T16-J16)/G16</f>
        <v>0.46861035383451816</v>
      </c>
      <c r="AQ16" s="59">
        <f t="shared" si="3"/>
        <v>0.10461333026881185</v>
      </c>
      <c r="AR16" s="59">
        <f t="shared" ref="AR16:AR21" si="14">(AE16-AU16)*(U16-T16)/G16/1000</f>
        <v>0.10461333026881185</v>
      </c>
      <c r="AS16" s="59">
        <f t="shared" si="5"/>
        <v>1.196084956530429E-2</v>
      </c>
      <c r="AT16" s="129">
        <f>(AG16)*(U16-T16-J16)/1000/G16</f>
        <v>2.5416805326271615E-2</v>
      </c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 s="6"/>
      <c r="BV16" s="6">
        <f t="shared" ref="BV16:BV21" si="15">AG16*(U16-T16-J16)/1000/(G16*$AW$7/100)</f>
        <v>0.73150153814316976</v>
      </c>
      <c r="BW16" s="6">
        <f t="shared" ref="BW16:BW21" si="16">AF16*(U16-T16-J16)/1000/(G16*$AU$7/100)</f>
        <v>3.5046996932524985E-2</v>
      </c>
    </row>
    <row r="17" spans="1:75">
      <c r="A17" s="81">
        <v>8</v>
      </c>
      <c r="B17" s="92" t="s">
        <v>89</v>
      </c>
      <c r="C17" s="56">
        <v>310</v>
      </c>
      <c r="D17" s="135" t="s">
        <v>123</v>
      </c>
      <c r="E17" s="93">
        <v>0</v>
      </c>
      <c r="F17" s="102" t="s">
        <v>42</v>
      </c>
      <c r="G17" s="55">
        <v>5.0030999999999999</v>
      </c>
      <c r="H17" s="55">
        <v>0</v>
      </c>
      <c r="I17" s="55">
        <v>49.500300000000003</v>
      </c>
      <c r="J17" s="103">
        <v>0</v>
      </c>
      <c r="K17" s="112">
        <v>180</v>
      </c>
      <c r="L17" s="57">
        <v>0.44027777777777777</v>
      </c>
      <c r="M17" s="57">
        <v>0.48125000000000001</v>
      </c>
      <c r="N17" s="57">
        <v>0.5229166666666667</v>
      </c>
      <c r="O17" s="54">
        <v>10</v>
      </c>
      <c r="P17" s="54">
        <v>93</v>
      </c>
      <c r="Q17" s="54">
        <v>93</v>
      </c>
      <c r="R17" s="113">
        <v>23</v>
      </c>
      <c r="S17" s="102"/>
      <c r="T17" s="55">
        <v>101.456</v>
      </c>
      <c r="U17" s="55">
        <v>146.54239999999999</v>
      </c>
      <c r="V17" s="55">
        <v>31.3979</v>
      </c>
      <c r="W17" s="55">
        <v>31.657900000000001</v>
      </c>
      <c r="X17" s="55">
        <v>11.4398</v>
      </c>
      <c r="Y17" s="55">
        <v>11.7121</v>
      </c>
      <c r="Z17" s="55">
        <v>17.805099999999999</v>
      </c>
      <c r="AA17" s="103">
        <v>18.305</v>
      </c>
      <c r="AB17" s="92">
        <v>12.5632</v>
      </c>
      <c r="AC17" s="55">
        <v>25.296600000000002</v>
      </c>
      <c r="AD17" s="55">
        <v>13.2475</v>
      </c>
      <c r="AE17" s="58">
        <f>181.2*50/1000</f>
        <v>9.06</v>
      </c>
      <c r="AF17" s="58">
        <f>11.69*50/1000</f>
        <v>0.58450000000000002</v>
      </c>
      <c r="AG17" s="119">
        <f>34.61*50/1000</f>
        <v>1.7304999999999999</v>
      </c>
      <c r="AH17" s="102">
        <f t="shared" si="9"/>
        <v>310</v>
      </c>
      <c r="AI17" s="54">
        <f t="shared" si="10"/>
        <v>93</v>
      </c>
      <c r="AJ17" s="56">
        <f t="shared" si="11"/>
        <v>59.000000000000028</v>
      </c>
      <c r="AK17" s="124">
        <f t="shared" si="11"/>
        <v>60.000000000000028</v>
      </c>
      <c r="AL17" s="60">
        <f>(W17-V17-H17)/G17</f>
        <v>5.1967779976414934E-2</v>
      </c>
      <c r="AM17" s="60">
        <f t="shared" si="0"/>
        <v>5.4426255721452606E-2</v>
      </c>
      <c r="AN17" s="60">
        <f t="shared" si="1"/>
        <v>9.9918050808498776E-2</v>
      </c>
      <c r="AO17" s="60">
        <f t="shared" si="12"/>
        <v>0</v>
      </c>
      <c r="AP17" s="60">
        <f t="shared" si="13"/>
        <v>0.48429338190613025</v>
      </c>
      <c r="AQ17" s="59">
        <f t="shared" si="3"/>
        <v>8.1645936319481902E-2</v>
      </c>
      <c r="AR17" s="59">
        <f t="shared" si="14"/>
        <v>-0.59086844548035466</v>
      </c>
      <c r="AS17" s="59">
        <f t="shared" si="5"/>
        <v>5.267334412664147E-3</v>
      </c>
      <c r="AT17" s="129">
        <f t="shared" si="6"/>
        <v>1.5594734304731062E-2</v>
      </c>
      <c r="AU17" s="3">
        <v>74.626865386962891</v>
      </c>
      <c r="AV17" s="3">
        <v>9.8783903121948242</v>
      </c>
      <c r="AW17" s="3">
        <v>3.2323814630508423</v>
      </c>
      <c r="AX17" s="3">
        <v>0.8840671181678772</v>
      </c>
      <c r="AY17" s="3">
        <f>100-SUM(AU17:AX17)</f>
        <v>11.378295719623566</v>
      </c>
      <c r="AZ17" s="3">
        <v>71.285137176513672</v>
      </c>
      <c r="BA17" s="3">
        <v>7.8787467479705811</v>
      </c>
      <c r="BB17" s="3">
        <v>5.5176830291748047</v>
      </c>
      <c r="BC17" s="3">
        <v>0.62397220730781555</v>
      </c>
      <c r="BD17" s="3">
        <f>100-SUM(AZ17:BC17)</f>
        <v>14.694460839033127</v>
      </c>
      <c r="BE17" s="3">
        <f>(AU17*$AM17+AZ17*$AN17)/($AM17+$AN17)</f>
        <v>72.463526961161861</v>
      </c>
      <c r="BF17" s="3">
        <f>(AV17*$AM17+BA17*$AN17)/($AM17+$AN17)</f>
        <v>8.5838787636896452</v>
      </c>
      <c r="BG17" s="3">
        <f>(AW17*$AM17+BB17*$AN17)/($AM17+$AN17)</f>
        <v>4.7118197600015934</v>
      </c>
      <c r="BH17" s="3">
        <f>(AX17*$AM17+BC17*$AN17)/($AM17+$AN17)</f>
        <v>0.71568917729900261</v>
      </c>
      <c r="BI17" s="3">
        <f>(AY17*$AM17+BD17*$AN17)/($AM17+$AN17)</f>
        <v>13.525085337847914</v>
      </c>
      <c r="BJ17" s="6">
        <f>BE17*($AM17+$AN17)/AU$7</f>
        <v>0.32771691994649221</v>
      </c>
      <c r="BK17" s="6">
        <f>BF17*($AM17+$AN17)/AV$7</f>
        <v>0.20136051487091897</v>
      </c>
      <c r="BL17" s="6">
        <f>BG17*($AM17+$AN17)/AW$7</f>
        <v>0.20930208952340978</v>
      </c>
      <c r="BM17" s="6">
        <f>BH17*($AM17+$AN17)/AX$7</f>
        <v>1.2675979468237933E-2</v>
      </c>
      <c r="BN17" s="6">
        <f>AZ17*($AN17)/AU$7</f>
        <v>0.2087044577483993</v>
      </c>
      <c r="BO17" s="6">
        <f>BA17*($AN17)/AV$7</f>
        <v>0.11964683594599658</v>
      </c>
      <c r="BP17" s="6">
        <f>BB17*($AN17)/AW$7</f>
        <v>0.15867005876690501</v>
      </c>
      <c r="BQ17" s="6">
        <f>BC17*($AN17)/AX$7</f>
        <v>7.1544402768703346E-3</v>
      </c>
      <c r="BR17" s="6">
        <f>AU17*($AM17)/AU$7</f>
        <v>0.11901246219809293</v>
      </c>
      <c r="BS17" s="6">
        <f>AV17*($AM17)/AV$7</f>
        <v>8.1713678924922359E-2</v>
      </c>
      <c r="BT17" s="6">
        <f>AW17*($AM17)/AW$7</f>
        <v>5.0632030756504742E-2</v>
      </c>
      <c r="BU17" s="6">
        <f>AX17*($AM17)/AX$7</f>
        <v>5.5215391913676004E-3</v>
      </c>
      <c r="BV17" s="6">
        <f t="shared" si="15"/>
        <v>0.44882006154619269</v>
      </c>
      <c r="BW17" s="6">
        <f t="shared" si="16"/>
        <v>1.5434041870965306E-2</v>
      </c>
    </row>
    <row r="18" spans="1:75">
      <c r="A18" s="81">
        <v>11</v>
      </c>
      <c r="B18" s="92" t="s">
        <v>89</v>
      </c>
      <c r="C18" s="56">
        <v>310</v>
      </c>
      <c r="D18" s="135" t="s">
        <v>123</v>
      </c>
      <c r="E18" s="93">
        <v>0.1</v>
      </c>
      <c r="F18" s="102" t="s">
        <v>42</v>
      </c>
      <c r="G18" s="55">
        <v>5.0061</v>
      </c>
      <c r="H18" s="55">
        <v>0</v>
      </c>
      <c r="I18" s="55">
        <v>44.607700000000001</v>
      </c>
      <c r="J18" s="103">
        <v>3.7719999999999998</v>
      </c>
      <c r="K18" s="112">
        <v>180</v>
      </c>
      <c r="L18" s="57">
        <v>0.60763888888888895</v>
      </c>
      <c r="M18" s="57">
        <v>0.65</v>
      </c>
      <c r="N18" s="57">
        <v>0.69236111111111109</v>
      </c>
      <c r="O18" s="54">
        <v>10</v>
      </c>
      <c r="P18" s="54">
        <v>95</v>
      </c>
      <c r="Q18" s="54">
        <v>95</v>
      </c>
      <c r="R18" s="113">
        <v>27</v>
      </c>
      <c r="S18" s="102"/>
      <c r="T18" s="55">
        <v>101.34439999999999</v>
      </c>
      <c r="U18" s="55">
        <v>146.41839999999999</v>
      </c>
      <c r="V18" s="55">
        <v>32.208199999999998</v>
      </c>
      <c r="W18" s="55">
        <v>32.441099999999999</v>
      </c>
      <c r="X18" s="55">
        <v>11.2524</v>
      </c>
      <c r="Y18" s="55">
        <v>11.747400000000001</v>
      </c>
      <c r="Z18" s="55">
        <v>23.372299999999999</v>
      </c>
      <c r="AA18" s="103">
        <v>23.771899999999999</v>
      </c>
      <c r="AB18" s="92">
        <v>12.537800000000001</v>
      </c>
      <c r="AC18" s="55">
        <v>19.116399999999999</v>
      </c>
      <c r="AD18" s="55">
        <v>12.9145</v>
      </c>
      <c r="AE18" s="58">
        <f>567.9*50/1000</f>
        <v>28.395</v>
      </c>
      <c r="AF18" s="58">
        <f>13.89*50/1000</f>
        <v>0.69450000000000001</v>
      </c>
      <c r="AG18" s="119">
        <f>37.67*50/1000</f>
        <v>1.8835</v>
      </c>
      <c r="AH18" s="102">
        <f t="shared" si="9"/>
        <v>310</v>
      </c>
      <c r="AI18" s="54">
        <f t="shared" si="10"/>
        <v>95</v>
      </c>
      <c r="AJ18" s="56">
        <f t="shared" si="11"/>
        <v>60.999999999999943</v>
      </c>
      <c r="AK18" s="124">
        <f t="shared" si="11"/>
        <v>60.999999999999943</v>
      </c>
      <c r="AL18" s="60">
        <f t="shared" si="7"/>
        <v>4.6523241645193017E-2</v>
      </c>
      <c r="AM18" s="60">
        <f t="shared" si="0"/>
        <v>9.88793671720503E-2</v>
      </c>
      <c r="AN18" s="60">
        <f t="shared" si="1"/>
        <v>7.9822616407982161E-2</v>
      </c>
      <c r="AO18" s="60">
        <f t="shared" si="12"/>
        <v>0</v>
      </c>
      <c r="AP18" s="60">
        <f t="shared" si="13"/>
        <v>0.47242590227864689</v>
      </c>
      <c r="AQ18" s="59">
        <f t="shared" si="3"/>
        <v>0.23426825073410437</v>
      </c>
      <c r="AR18" s="59">
        <f t="shared" si="14"/>
        <v>0.25566333672919034</v>
      </c>
      <c r="AS18" s="59">
        <f t="shared" si="5"/>
        <v>5.7298573740037157E-3</v>
      </c>
      <c r="AT18" s="129">
        <f t="shared" si="6"/>
        <v>1.5539505203651546E-2</v>
      </c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V18" s="6">
        <f t="shared" si="15"/>
        <v>0.4472305552384046</v>
      </c>
      <c r="BW18" s="6">
        <f t="shared" si="16"/>
        <v>1.6789300184246989E-2</v>
      </c>
    </row>
    <row r="19" spans="1:75">
      <c r="A19" s="81">
        <v>14</v>
      </c>
      <c r="B19" s="92" t="s">
        <v>89</v>
      </c>
      <c r="C19" s="56">
        <v>310</v>
      </c>
      <c r="D19" s="135" t="s">
        <v>123</v>
      </c>
      <c r="E19" s="93">
        <v>0.1</v>
      </c>
      <c r="F19" s="102" t="s">
        <v>42</v>
      </c>
      <c r="G19" s="55">
        <v>5.0091999999999999</v>
      </c>
      <c r="H19" s="55">
        <v>0</v>
      </c>
      <c r="I19" s="55">
        <v>44.737499999999997</v>
      </c>
      <c r="J19" s="103">
        <v>3.7366000000000001</v>
      </c>
      <c r="K19" s="112">
        <v>180</v>
      </c>
      <c r="L19" s="57">
        <v>0.40347222222222223</v>
      </c>
      <c r="M19" s="57">
        <v>0.45347222222222222</v>
      </c>
      <c r="N19" s="57">
        <v>0.49513888888888885</v>
      </c>
      <c r="O19" s="54">
        <v>10</v>
      </c>
      <c r="P19" s="54">
        <v>99</v>
      </c>
      <c r="Q19" s="54">
        <v>99</v>
      </c>
      <c r="R19" s="113">
        <v>20</v>
      </c>
      <c r="S19" s="102">
        <v>990</v>
      </c>
      <c r="T19" s="55">
        <v>101.4646</v>
      </c>
      <c r="U19" s="55">
        <v>149.203</v>
      </c>
      <c r="V19" s="55">
        <v>49.531999999999996</v>
      </c>
      <c r="W19" s="55">
        <v>49.770400000000002</v>
      </c>
      <c r="X19" s="55">
        <v>22.911200000000001</v>
      </c>
      <c r="Y19" s="55">
        <v>23.5063</v>
      </c>
      <c r="Z19" s="55">
        <v>23.133299999999998</v>
      </c>
      <c r="AA19" s="103">
        <v>23.448899999999998</v>
      </c>
      <c r="AB19" s="92">
        <v>18.770600000000002</v>
      </c>
      <c r="AC19" s="55">
        <v>31.525300000000001</v>
      </c>
      <c r="AD19" s="55">
        <v>19.4619</v>
      </c>
      <c r="AE19" s="58">
        <f>813.3*50/1000</f>
        <v>40.664999999999999</v>
      </c>
      <c r="AF19" s="58">
        <f>17.4*50/1000</f>
        <v>0.86999999999999988</v>
      </c>
      <c r="AG19" s="119">
        <f>49.43*50/1000</f>
        <v>2.4714999999999998</v>
      </c>
      <c r="AH19" s="102">
        <f>C19</f>
        <v>310</v>
      </c>
      <c r="AI19" s="54">
        <f t="shared" si="10"/>
        <v>99</v>
      </c>
      <c r="AJ19" s="56">
        <f>(M19-L19)*24*60</f>
        <v>71.999999999999986</v>
      </c>
      <c r="AK19" s="124">
        <f>(N19-M19)*24*60</f>
        <v>59.999999999999943</v>
      </c>
      <c r="AL19" s="60">
        <f>(W19-V19-H19)/G19</f>
        <v>4.7592429928931909E-2</v>
      </c>
      <c r="AM19" s="60">
        <f t="shared" si="0"/>
        <v>0.1188014054140379</v>
      </c>
      <c r="AN19" s="60">
        <f t="shared" si="1"/>
        <v>6.3004072506587849E-2</v>
      </c>
      <c r="AO19" s="60">
        <f>(100*S19/1000/8.314/298*44)/G19</f>
        <v>0.35098876485427821</v>
      </c>
      <c r="AP19" s="60">
        <f t="shared" si="13"/>
        <v>0.47610021714278944</v>
      </c>
      <c r="AQ19" s="59">
        <f>AE19*(U19-T19-J19)/1000/G19</f>
        <v>0.35720937415156107</v>
      </c>
      <c r="AR19" s="59">
        <f t="shared" si="14"/>
        <v>0.38754332747744147</v>
      </c>
      <c r="AS19" s="59">
        <f>(AF19)*(U19-T19-J19)/1000/G19</f>
        <v>7.6422514573185321E-3</v>
      </c>
      <c r="AT19" s="129">
        <f>(AG19)*(U19-T19-J19)/1000/G19</f>
        <v>2.1710143076738797E-2</v>
      </c>
      <c r="AY19" s="4"/>
      <c r="BD19" s="4"/>
      <c r="BE19" s="4"/>
      <c r="BF19" s="4"/>
      <c r="BG19" s="4"/>
      <c r="BH19" s="4"/>
      <c r="BI19" s="4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>
        <f t="shared" si="15"/>
        <v>0.62482294096684166</v>
      </c>
      <c r="BW19" s="6">
        <f t="shared" si="16"/>
        <v>2.2392887889766983E-2</v>
      </c>
    </row>
    <row r="20" spans="1:75">
      <c r="A20" s="81">
        <v>10</v>
      </c>
      <c r="B20" s="92" t="s">
        <v>89</v>
      </c>
      <c r="C20" s="56">
        <v>310</v>
      </c>
      <c r="D20" s="135" t="s">
        <v>123</v>
      </c>
      <c r="E20" s="93">
        <v>0.2</v>
      </c>
      <c r="F20" s="102" t="s">
        <v>42</v>
      </c>
      <c r="G20" s="55">
        <v>5.0023</v>
      </c>
      <c r="H20" s="55">
        <v>0</v>
      </c>
      <c r="I20" s="55">
        <v>39.494199999999999</v>
      </c>
      <c r="J20" s="103">
        <v>8.0069999999999997</v>
      </c>
      <c r="K20" s="112">
        <v>180</v>
      </c>
      <c r="L20" s="57">
        <v>0.42499999999999999</v>
      </c>
      <c r="M20" s="57">
        <v>0.47152777777777777</v>
      </c>
      <c r="N20" s="57">
        <v>0.5131944444444444</v>
      </c>
      <c r="O20" s="54">
        <v>10</v>
      </c>
      <c r="P20" s="54">
        <v>105</v>
      </c>
      <c r="Q20" s="54">
        <v>105</v>
      </c>
      <c r="R20" s="113">
        <v>27</v>
      </c>
      <c r="S20" s="102"/>
      <c r="T20" s="55">
        <v>101.39870000000001</v>
      </c>
      <c r="U20" s="55">
        <v>146.40860000000001</v>
      </c>
      <c r="V20" s="55">
        <v>50.9313</v>
      </c>
      <c r="W20" s="55">
        <v>51.1297</v>
      </c>
      <c r="X20" s="55">
        <v>11.2705</v>
      </c>
      <c r="Y20" s="55">
        <v>11.7372</v>
      </c>
      <c r="Z20" s="55">
        <v>11.3545</v>
      </c>
      <c r="AA20" s="103">
        <v>11.8637</v>
      </c>
      <c r="AB20" s="92">
        <v>12.113899999999999</v>
      </c>
      <c r="AC20" s="55">
        <v>20.063099999999999</v>
      </c>
      <c r="AD20" s="55">
        <v>12.571899999999999</v>
      </c>
      <c r="AE20" s="58">
        <f>1049*50/1000</f>
        <v>52.45</v>
      </c>
      <c r="AF20" s="58">
        <f>19.35*50/1000</f>
        <v>0.96750000000000014</v>
      </c>
      <c r="AG20" s="119">
        <f>49.72*50/1000</f>
        <v>2.4860000000000002</v>
      </c>
      <c r="AH20" s="102">
        <f t="shared" si="9"/>
        <v>310</v>
      </c>
      <c r="AI20" s="54">
        <f t="shared" si="10"/>
        <v>105</v>
      </c>
      <c r="AJ20" s="56">
        <f t="shared" si="11"/>
        <v>67</v>
      </c>
      <c r="AK20" s="124">
        <f t="shared" si="11"/>
        <v>59.999999999999943</v>
      </c>
      <c r="AL20" s="60">
        <f t="shared" si="7"/>
        <v>3.9661755592427378E-2</v>
      </c>
      <c r="AM20" s="60">
        <f t="shared" si="0"/>
        <v>9.3297083341662729E-2</v>
      </c>
      <c r="AN20" s="60">
        <f t="shared" si="1"/>
        <v>0.10179317513943584</v>
      </c>
      <c r="AO20" s="60">
        <f t="shared" si="12"/>
        <v>0</v>
      </c>
      <c r="AP20" s="60">
        <f t="shared" si="13"/>
        <v>0.42619473691525767</v>
      </c>
      <c r="AQ20" s="59">
        <f t="shared" si="3"/>
        <v>0.38798194930332053</v>
      </c>
      <c r="AR20" s="59">
        <f t="shared" si="14"/>
        <v>0.47193676009035845</v>
      </c>
      <c r="AS20" s="59">
        <f t="shared" si="5"/>
        <v>7.156769036243329E-3</v>
      </c>
      <c r="AT20" s="129">
        <f t="shared" si="6"/>
        <v>1.8389382763928597E-2</v>
      </c>
      <c r="BV20" s="6">
        <f t="shared" si="15"/>
        <v>0.52925069081805465</v>
      </c>
      <c r="BW20" s="6">
        <f t="shared" si="16"/>
        <v>2.0970355081430924E-2</v>
      </c>
    </row>
    <row r="21" spans="1:75">
      <c r="A21" s="81">
        <v>15</v>
      </c>
      <c r="B21" s="92" t="s">
        <v>89</v>
      </c>
      <c r="C21" s="56">
        <v>310</v>
      </c>
      <c r="D21" s="135" t="s">
        <v>123</v>
      </c>
      <c r="E21" s="93">
        <v>0.2</v>
      </c>
      <c r="F21" s="102" t="s">
        <v>42</v>
      </c>
      <c r="G21" s="55">
        <v>4.9991000000000003</v>
      </c>
      <c r="H21" s="55">
        <v>0</v>
      </c>
      <c r="I21" s="55">
        <v>39.821899999999999</v>
      </c>
      <c r="J21" s="103">
        <v>7.6346999999999996</v>
      </c>
      <c r="K21" s="112">
        <v>180</v>
      </c>
      <c r="L21" s="57">
        <v>0.58680555555555558</v>
      </c>
      <c r="M21" s="57">
        <v>0.63402777777777775</v>
      </c>
      <c r="N21" s="57">
        <v>0.67569444444444438</v>
      </c>
      <c r="O21" s="54">
        <v>10</v>
      </c>
      <c r="P21" s="54">
        <v>106</v>
      </c>
      <c r="Q21" s="54">
        <v>106</v>
      </c>
      <c r="R21" s="113">
        <v>25</v>
      </c>
      <c r="S21" s="102">
        <v>320</v>
      </c>
      <c r="T21" s="55">
        <v>101.319</v>
      </c>
      <c r="U21" s="55">
        <v>147.99959999999999</v>
      </c>
      <c r="V21" s="55">
        <v>50.910899999999998</v>
      </c>
      <c r="W21" s="55">
        <v>51.107999999999997</v>
      </c>
      <c r="X21" s="55">
        <v>23.2135</v>
      </c>
      <c r="Y21" s="55">
        <v>23.9069</v>
      </c>
      <c r="Z21" s="55">
        <v>23.3703</v>
      </c>
      <c r="AA21" s="103">
        <v>23.7224</v>
      </c>
      <c r="AB21" s="92">
        <v>12.5626</v>
      </c>
      <c r="AC21" s="55">
        <v>24.4389</v>
      </c>
      <c r="AD21" s="55">
        <v>13.2294</v>
      </c>
      <c r="AE21" s="58">
        <f>1166*50/1000</f>
        <v>58.3</v>
      </c>
      <c r="AF21" s="58">
        <f>(24.06+24.25)*50/1000</f>
        <v>2.4155000000000002</v>
      </c>
      <c r="AG21" s="119">
        <f>56.46*50/1000</f>
        <v>2.823</v>
      </c>
      <c r="AH21" s="102">
        <f>C21</f>
        <v>310</v>
      </c>
      <c r="AI21" s="54">
        <f t="shared" si="10"/>
        <v>106</v>
      </c>
      <c r="AJ21" s="56">
        <f>(M21-L21)*24*60</f>
        <v>67.999999999999915</v>
      </c>
      <c r="AK21" s="124">
        <f>(N21-M21)*24*60</f>
        <v>59.999999999999943</v>
      </c>
      <c r="AL21" s="60">
        <f>(W21-V21-H21)/G21</f>
        <v>3.9427096877437721E-2</v>
      </c>
      <c r="AM21" s="60">
        <f t="shared" si="0"/>
        <v>0.13870496689404102</v>
      </c>
      <c r="AN21" s="60">
        <f t="shared" si="1"/>
        <v>7.0432677882018777E-2</v>
      </c>
      <c r="AO21" s="60">
        <f>(100*S21/1000/8.314/298*44)/G21</f>
        <v>0.11368012599653313</v>
      </c>
      <c r="AP21" s="60">
        <f t="shared" si="13"/>
        <v>0.43852872374078766</v>
      </c>
      <c r="AQ21" s="59">
        <f>AE21*(U21-T21-J21)/1000/G21</f>
        <v>0.45535715828849166</v>
      </c>
      <c r="AR21" s="59">
        <f t="shared" si="14"/>
        <v>0.54439378688163842</v>
      </c>
      <c r="AS21" s="59">
        <f>(AF21)*(U21-T21-J21)/1000/G21</f>
        <v>1.8866470254645828E-2</v>
      </c>
      <c r="AT21" s="129">
        <f>(AG21)*(U21-T21-J21)/1000/G21</f>
        <v>2.2049284011121988E-2</v>
      </c>
      <c r="BV21" s="6">
        <f t="shared" si="15"/>
        <v>0.63458349552765392</v>
      </c>
      <c r="BW21" s="6">
        <f t="shared" si="16"/>
        <v>5.5281451499914792E-2</v>
      </c>
    </row>
    <row r="22" spans="1:75">
      <c r="A22" s="81">
        <v>53</v>
      </c>
      <c r="B22" s="92" t="s">
        <v>89</v>
      </c>
      <c r="C22" s="56">
        <v>310</v>
      </c>
      <c r="D22" s="135" t="s">
        <v>123</v>
      </c>
      <c r="E22" s="93">
        <v>0.3</v>
      </c>
      <c r="F22" s="102" t="s">
        <v>42</v>
      </c>
      <c r="G22" s="55">
        <v>5.0023999999999997</v>
      </c>
      <c r="H22" s="55">
        <v>0</v>
      </c>
      <c r="I22" s="55">
        <v>34.783700000000003</v>
      </c>
      <c r="J22" s="103">
        <v>11.785299999999999</v>
      </c>
      <c r="K22" s="112">
        <v>180</v>
      </c>
      <c r="L22" s="57">
        <v>0.39444444444444443</v>
      </c>
      <c r="M22" s="57">
        <v>0.45069444444444445</v>
      </c>
      <c r="N22" s="57">
        <v>0.49236111111111108</v>
      </c>
      <c r="O22" s="54">
        <v>10</v>
      </c>
      <c r="P22" s="54">
        <v>121</v>
      </c>
      <c r="Q22" s="54">
        <v>117</v>
      </c>
      <c r="R22" s="113">
        <v>24</v>
      </c>
      <c r="S22" s="102"/>
      <c r="T22" s="55">
        <f>29.0458+12.0293</f>
        <v>41.075099999999999</v>
      </c>
      <c r="U22" s="55">
        <f>57.3822+26.5085</f>
        <v>83.890699999999995</v>
      </c>
      <c r="V22" s="55">
        <v>49.478900000000003</v>
      </c>
      <c r="W22" s="55">
        <v>49.639699999999998</v>
      </c>
      <c r="X22" s="55">
        <v>25.901800000000001</v>
      </c>
      <c r="Y22" s="55">
        <v>26.077100000000002</v>
      </c>
      <c r="Z22" s="55">
        <v>25.878299999999999</v>
      </c>
      <c r="AA22" s="103">
        <v>26.334900000000001</v>
      </c>
      <c r="AB22" s="92">
        <v>12.029299999999999</v>
      </c>
      <c r="AC22" s="55">
        <v>26.508500000000002</v>
      </c>
      <c r="AD22" s="55">
        <v>13.168100000000001</v>
      </c>
      <c r="AE22" s="58"/>
      <c r="AF22" s="58"/>
      <c r="AG22" s="119"/>
      <c r="AH22" s="102">
        <f t="shared" si="9"/>
        <v>310</v>
      </c>
      <c r="AI22" s="54">
        <f t="shared" si="10"/>
        <v>121</v>
      </c>
      <c r="AJ22" s="56">
        <f t="shared" si="11"/>
        <v>81.000000000000028</v>
      </c>
      <c r="AK22" s="124">
        <f t="shared" si="11"/>
        <v>59.999999999999943</v>
      </c>
      <c r="AL22" s="60">
        <f t="shared" si="7"/>
        <v>3.2144570606108015E-2</v>
      </c>
      <c r="AM22" s="60">
        <f t="shared" si="0"/>
        <v>3.504317927394851E-2</v>
      </c>
      <c r="AN22" s="60">
        <f t="shared" si="1"/>
        <v>9.127618743003392E-2</v>
      </c>
      <c r="AO22" s="60">
        <f t="shared" si="12"/>
        <v>0</v>
      </c>
      <c r="AP22" s="60">
        <f>(AD22-AB22)/(AC22-AB22)*(U22-T22-J22)/G22</f>
        <v>0.48787711850242987</v>
      </c>
      <c r="AQ22" s="59"/>
      <c r="AR22" s="59"/>
      <c r="AS22" s="59"/>
      <c r="AT22" s="129"/>
      <c r="BV22" s="6"/>
    </row>
    <row r="23" spans="1:75">
      <c r="A23" s="81">
        <v>52</v>
      </c>
      <c r="B23" s="92" t="s">
        <v>89</v>
      </c>
      <c r="C23" s="56">
        <v>310</v>
      </c>
      <c r="D23" s="135" t="s">
        <v>123</v>
      </c>
      <c r="E23" s="93">
        <v>0.4</v>
      </c>
      <c r="F23" s="102" t="s">
        <v>42</v>
      </c>
      <c r="G23" s="55">
        <v>5.0250000000000004</v>
      </c>
      <c r="H23" s="55">
        <v>0</v>
      </c>
      <c r="I23" s="55">
        <v>29.9922</v>
      </c>
      <c r="J23" s="103">
        <v>16.274799999999999</v>
      </c>
      <c r="K23" s="112">
        <v>180</v>
      </c>
      <c r="L23" s="57">
        <v>0.61944444444444446</v>
      </c>
      <c r="M23" s="57">
        <v>0.66805555555555562</v>
      </c>
      <c r="N23" s="57">
        <v>0.70972222222222225</v>
      </c>
      <c r="O23" s="54">
        <v>10</v>
      </c>
      <c r="P23" s="54">
        <v>123</v>
      </c>
      <c r="Q23" s="54">
        <v>125</v>
      </c>
      <c r="R23" s="113">
        <v>25</v>
      </c>
      <c r="S23" s="102"/>
      <c r="T23" s="55">
        <f>43.8824+AB23</f>
        <v>56.441299999999998</v>
      </c>
      <c r="U23" s="55">
        <f>63.7565+AC23</f>
        <v>87.735600000000005</v>
      </c>
      <c r="V23" s="55">
        <v>48.203299999999999</v>
      </c>
      <c r="W23" s="55">
        <v>48.389400000000002</v>
      </c>
      <c r="X23" s="55">
        <v>25.831399999999999</v>
      </c>
      <c r="Y23" s="55">
        <v>26.326599999999999</v>
      </c>
      <c r="Z23" s="55">
        <v>26.170200000000001</v>
      </c>
      <c r="AA23" s="103">
        <v>26.757899999999999</v>
      </c>
      <c r="AB23" s="92">
        <v>12.5589</v>
      </c>
      <c r="AC23" s="55">
        <v>23.979099999999999</v>
      </c>
      <c r="AD23" s="55">
        <v>13.4001</v>
      </c>
      <c r="AE23" s="58"/>
      <c r="AF23" s="58"/>
      <c r="AG23" s="119"/>
      <c r="AH23" s="102">
        <f t="shared" si="9"/>
        <v>310</v>
      </c>
      <c r="AI23" s="54"/>
      <c r="AJ23" s="56">
        <f t="shared" si="11"/>
        <v>70.000000000000071</v>
      </c>
      <c r="AK23" s="124">
        <f t="shared" si="11"/>
        <v>59.999999999999943</v>
      </c>
      <c r="AL23" s="60">
        <f t="shared" si="7"/>
        <v>3.7034825870647416E-2</v>
      </c>
      <c r="AM23" s="60">
        <f t="shared" si="0"/>
        <v>9.854726368159214E-2</v>
      </c>
      <c r="AN23" s="60">
        <f t="shared" si="1"/>
        <v>0.11695522388059663</v>
      </c>
      <c r="AO23" s="60">
        <f t="shared" si="12"/>
        <v>0</v>
      </c>
      <c r="AP23" s="60">
        <f t="shared" si="13"/>
        <v>0.22016331888481475</v>
      </c>
      <c r="AQ23" s="59"/>
      <c r="AR23" s="59"/>
      <c r="AS23" s="59"/>
      <c r="AT23" s="129"/>
      <c r="BV23" s="6"/>
    </row>
    <row r="24" spans="1:75" s="39" customFormat="1">
      <c r="A24" s="82">
        <v>5</v>
      </c>
      <c r="B24" s="94" t="s">
        <v>89</v>
      </c>
      <c r="C24" s="63">
        <v>310</v>
      </c>
      <c r="D24" s="136" t="s">
        <v>123</v>
      </c>
      <c r="E24" s="95">
        <v>0.5</v>
      </c>
      <c r="F24" s="104" t="s">
        <v>31</v>
      </c>
      <c r="G24" s="62">
        <v>4.9538000000000002</v>
      </c>
      <c r="H24" s="62">
        <v>0</v>
      </c>
      <c r="I24" s="62">
        <v>23.921900000000001</v>
      </c>
      <c r="J24" s="105">
        <v>19.678699999999999</v>
      </c>
      <c r="K24" s="114">
        <v>180</v>
      </c>
      <c r="L24" s="64">
        <v>0.62569444444444444</v>
      </c>
      <c r="M24" s="64">
        <v>0.65972222222222221</v>
      </c>
      <c r="N24" s="64">
        <v>0.70138888888888884</v>
      </c>
      <c r="O24" s="61">
        <v>10</v>
      </c>
      <c r="P24" s="61">
        <v>126</v>
      </c>
      <c r="Q24" s="61">
        <v>128</v>
      </c>
      <c r="R24" s="115">
        <v>25</v>
      </c>
      <c r="S24" s="104">
        <v>780</v>
      </c>
      <c r="T24" s="62">
        <v>101.3387</v>
      </c>
      <c r="U24" s="62">
        <v>144.7749</v>
      </c>
      <c r="V24" s="62">
        <v>48.883400000000002</v>
      </c>
      <c r="W24" s="62">
        <v>49.327800000000003</v>
      </c>
      <c r="X24" s="62"/>
      <c r="Y24" s="62"/>
      <c r="Z24" s="62"/>
      <c r="AA24" s="105"/>
      <c r="AB24" s="94">
        <v>12.472899999999999</v>
      </c>
      <c r="AC24" s="62">
        <v>20.710699999999999</v>
      </c>
      <c r="AD24" s="62">
        <v>12.858700000000001</v>
      </c>
      <c r="AE24" s="67">
        <v>58.2</v>
      </c>
      <c r="AF24" s="67">
        <v>0.65249999999999997</v>
      </c>
      <c r="AG24" s="120">
        <v>3.5249999999999999</v>
      </c>
      <c r="AH24" s="104">
        <f t="shared" si="9"/>
        <v>310</v>
      </c>
      <c r="AI24" s="61">
        <f>MAX(O24:Q24)</f>
        <v>128</v>
      </c>
      <c r="AJ24" s="63">
        <f t="shared" si="11"/>
        <v>48.999999999999986</v>
      </c>
      <c r="AK24" s="125">
        <f t="shared" si="11"/>
        <v>59.999999999999943</v>
      </c>
      <c r="AL24" s="66">
        <f t="shared" si="7"/>
        <v>8.9708910331463054E-2</v>
      </c>
      <c r="AM24" s="66">
        <f t="shared" si="0"/>
        <v>0</v>
      </c>
      <c r="AN24" s="66">
        <f t="shared" si="1"/>
        <v>0</v>
      </c>
      <c r="AO24" s="66">
        <f t="shared" si="12"/>
        <v>0.27962920380442136</v>
      </c>
      <c r="AP24" s="66">
        <f t="shared" si="13"/>
        <v>0.22460180836375276</v>
      </c>
      <c r="AQ24" s="65">
        <f>AE24*(U24-T24-J24)/1000/G24</f>
        <v>0.27911633493479748</v>
      </c>
      <c r="AR24" s="65"/>
      <c r="AS24" s="65">
        <f>(AF24)*(U24-T24-J24)/1000/G24</f>
        <v>3.1292681880576525E-3</v>
      </c>
      <c r="AT24" s="130">
        <f>(AG24)*(U24-T24-J24)/1000/G24</f>
        <v>1.6905241935483869E-2</v>
      </c>
      <c r="BV24" s="6"/>
    </row>
    <row r="25" spans="1:75">
      <c r="A25" s="81">
        <v>7</v>
      </c>
      <c r="B25" s="92" t="s">
        <v>89</v>
      </c>
      <c r="C25" s="56">
        <v>310</v>
      </c>
      <c r="D25" s="135" t="s">
        <v>123</v>
      </c>
      <c r="E25" s="93">
        <v>0.5</v>
      </c>
      <c r="F25" s="102" t="s">
        <v>42</v>
      </c>
      <c r="G25" s="55">
        <v>5.0003000000000002</v>
      </c>
      <c r="H25" s="55">
        <v>0</v>
      </c>
      <c r="I25" s="55">
        <v>25</v>
      </c>
      <c r="J25" s="103">
        <v>19.755099999999999</v>
      </c>
      <c r="K25" s="112">
        <v>700</v>
      </c>
      <c r="L25" s="57">
        <v>0.6166666666666667</v>
      </c>
      <c r="M25" s="57">
        <v>0.66388888888888886</v>
      </c>
      <c r="N25" s="57">
        <v>0.7055555555555556</v>
      </c>
      <c r="O25" s="54">
        <v>10</v>
      </c>
      <c r="P25" s="54">
        <v>131</v>
      </c>
      <c r="Q25" s="54">
        <v>132</v>
      </c>
      <c r="R25" s="113">
        <v>26</v>
      </c>
      <c r="S25" s="102"/>
      <c r="T25" s="55">
        <v>101.3192</v>
      </c>
      <c r="U25" s="55">
        <v>143.9468</v>
      </c>
      <c r="V25" s="55">
        <v>32.237099999999998</v>
      </c>
      <c r="W25" s="55">
        <v>32.443100000000001</v>
      </c>
      <c r="X25" s="55">
        <v>11.37</v>
      </c>
      <c r="Y25" s="55">
        <v>12.3231</v>
      </c>
      <c r="Z25" s="55">
        <v>11.2242</v>
      </c>
      <c r="AA25" s="103">
        <v>11.6311</v>
      </c>
      <c r="AB25" s="92">
        <v>18.770199999999999</v>
      </c>
      <c r="AC25" s="55">
        <v>27.319500000000001</v>
      </c>
      <c r="AD25" s="55">
        <v>19.2651</v>
      </c>
      <c r="AE25" s="58">
        <f>1623*50/1000</f>
        <v>81.150000000000006</v>
      </c>
      <c r="AF25" s="58">
        <f>31.38*50/1000</f>
        <v>1.569</v>
      </c>
      <c r="AG25" s="119">
        <f>59.25*50/1000</f>
        <v>2.9624999999999999</v>
      </c>
      <c r="AH25" s="102">
        <f t="shared" si="9"/>
        <v>310</v>
      </c>
      <c r="AI25" s="54">
        <f>MAX(O25:Q25)</f>
        <v>132</v>
      </c>
      <c r="AJ25" s="56">
        <f t="shared" si="11"/>
        <v>67.999999999999915</v>
      </c>
      <c r="AK25" s="124">
        <f t="shared" si="11"/>
        <v>60.000000000000107</v>
      </c>
      <c r="AL25" s="60">
        <f t="shared" si="7"/>
        <v>4.1197528148311714E-2</v>
      </c>
      <c r="AM25" s="60">
        <f t="shared" si="0"/>
        <v>0.19060856348619101</v>
      </c>
      <c r="AN25" s="60">
        <f t="shared" si="1"/>
        <v>8.1375117492950469E-2</v>
      </c>
      <c r="AO25" s="60">
        <f t="shared" si="12"/>
        <v>0</v>
      </c>
      <c r="AP25" s="60">
        <f t="shared" si="13"/>
        <v>0.26479176341298449</v>
      </c>
      <c r="AQ25" s="59">
        <f>AE25*(U25-T25-J25)/1000/G25</f>
        <v>0.37119840309581431</v>
      </c>
      <c r="AR25" s="59">
        <f>(AE25-AU25)*(U25-T25)/G25/1000</f>
        <v>0.69180443973361605</v>
      </c>
      <c r="AS25" s="59">
        <f>(AF25)*(U25-T25-J25)/1000/G25</f>
        <v>7.1769598824070555E-3</v>
      </c>
      <c r="AT25" s="129">
        <f>(AG25)*(U25-T25-J25)/1000/G25</f>
        <v>1.3551143181409115E-2</v>
      </c>
      <c r="BV25" s="6">
        <f>AG25*(U25-T25-J25)/1000/(G25*$AW$7/100)</f>
        <v>0.39000503617789573</v>
      </c>
      <c r="BW25" s="6">
        <f>AF25*(U25-T25-J25)/1000/(G25*$AU$7/100)</f>
        <v>2.1029517143431761E-2</v>
      </c>
    </row>
    <row r="26" spans="1:75">
      <c r="A26" s="81">
        <v>9</v>
      </c>
      <c r="B26" s="92" t="s">
        <v>89</v>
      </c>
      <c r="C26" s="56">
        <v>310</v>
      </c>
      <c r="D26" s="135" t="s">
        <v>123</v>
      </c>
      <c r="E26" s="93">
        <v>0.5</v>
      </c>
      <c r="F26" s="102" t="s">
        <v>42</v>
      </c>
      <c r="G26" s="55">
        <v>5.0003000000000002</v>
      </c>
      <c r="H26" s="55">
        <v>0</v>
      </c>
      <c r="I26" s="55">
        <v>24.823</v>
      </c>
      <c r="J26" s="103">
        <v>19.696999999999999</v>
      </c>
      <c r="K26" s="112">
        <v>180</v>
      </c>
      <c r="L26" s="57">
        <v>0.61388888888888882</v>
      </c>
      <c r="M26" s="57">
        <v>0.65972222222222221</v>
      </c>
      <c r="N26" s="57">
        <v>0.70138888888888884</v>
      </c>
      <c r="O26" s="54">
        <v>10</v>
      </c>
      <c r="P26" s="54">
        <v>109</v>
      </c>
      <c r="Q26" s="54">
        <v>125</v>
      </c>
      <c r="R26" s="113">
        <v>25</v>
      </c>
      <c r="S26" s="102"/>
      <c r="T26" s="55">
        <v>101.3558</v>
      </c>
      <c r="U26" s="55">
        <v>142.7611</v>
      </c>
      <c r="V26" s="55">
        <v>49.536299999999997</v>
      </c>
      <c r="W26" s="55">
        <v>49.767800000000001</v>
      </c>
      <c r="X26" s="55">
        <v>23.450299999999999</v>
      </c>
      <c r="Y26" s="55">
        <v>24.258299999999998</v>
      </c>
      <c r="Z26" s="55">
        <v>23.113099999999999</v>
      </c>
      <c r="AA26" s="103">
        <v>23.7758</v>
      </c>
      <c r="AB26" s="92">
        <v>13.030900000000001</v>
      </c>
      <c r="AC26" s="55">
        <v>16.285</v>
      </c>
      <c r="AD26" s="55">
        <v>13.294600000000001</v>
      </c>
      <c r="AE26" s="58">
        <f>1212*50/1000</f>
        <v>60.6</v>
      </c>
      <c r="AF26" s="58">
        <f>36.89*50/1000</f>
        <v>1.8445</v>
      </c>
      <c r="AG26" s="119">
        <f>64.65*50/1000</f>
        <v>3.2325000000000004</v>
      </c>
      <c r="AH26" s="102">
        <f t="shared" si="9"/>
        <v>310</v>
      </c>
      <c r="AI26" s="54">
        <f>MAX(O26:Q26)</f>
        <v>125</v>
      </c>
      <c r="AJ26" s="56">
        <f t="shared" si="11"/>
        <v>66.000000000000085</v>
      </c>
      <c r="AK26" s="124">
        <f t="shared" si="11"/>
        <v>59.999999999999943</v>
      </c>
      <c r="AL26" s="60">
        <f t="shared" si="7"/>
        <v>4.6297222166670808E-2</v>
      </c>
      <c r="AM26" s="60">
        <f t="shared" si="0"/>
        <v>0.16159030458172505</v>
      </c>
      <c r="AN26" s="60">
        <f t="shared" si="1"/>
        <v>0.13253204807711555</v>
      </c>
      <c r="AO26" s="60">
        <f t="shared" si="12"/>
        <v>0</v>
      </c>
      <c r="AP26" s="60">
        <f t="shared" si="13"/>
        <v>0.35181065498197894</v>
      </c>
      <c r="AQ26" s="59">
        <f>AE26*(U26-T26-J26)/1000/G26</f>
        <v>0.2630888106713597</v>
      </c>
      <c r="AR26" s="59">
        <f>(AE26-AU26)*(U26-T26)/G26/1000</f>
        <v>-4.8464802194097947E-2</v>
      </c>
      <c r="AS26" s="59">
        <f>(AF26)*(U26-T26-J26)/1000/G26</f>
        <v>8.0077114073155604E-3</v>
      </c>
      <c r="AT26" s="129">
        <f>(AG26)*(U26-T26-J26)/1000/G26</f>
        <v>1.4033573935563863E-2</v>
      </c>
      <c r="AU26" s="3">
        <v>66.452838897705078</v>
      </c>
      <c r="AV26" s="3">
        <v>8.7300734519958496</v>
      </c>
      <c r="AW26" s="3">
        <v>3.9963363409042358</v>
      </c>
      <c r="AX26" s="3">
        <v>4.3015949726104736</v>
      </c>
      <c r="AY26" s="3">
        <f>100-SUM(AU26:AX26)</f>
        <v>16.519156336784363</v>
      </c>
      <c r="AZ26" s="3">
        <v>63.735157012939453</v>
      </c>
      <c r="BA26" s="3">
        <v>6.9045419692993164</v>
      </c>
      <c r="BB26" s="3">
        <v>5.8653385639190674</v>
      </c>
      <c r="BC26" s="3">
        <v>1.5140643119812012</v>
      </c>
      <c r="BD26" s="3">
        <f>100-SUM(AZ26:BC26)</f>
        <v>21.980898141860962</v>
      </c>
      <c r="BE26" s="3">
        <f>(AU26*$AM26+AZ26*$AN26)/($AM26+$AN26)</f>
        <v>65.228246672890918</v>
      </c>
      <c r="BF26" s="3">
        <f>(AV26*$AM26+BA26*$AN26)/($AM26+$AN26)</f>
        <v>7.9074857634237468</v>
      </c>
      <c r="BG26" s="3">
        <f>(AW26*$AM26+BB26*$AN26)/($AM26+$AN26)</f>
        <v>4.8385120213230373</v>
      </c>
      <c r="BH26" s="3">
        <f>(AX26*$AM26+BC26*$AN26)/($AM26+$AN26)</f>
        <v>3.0455287668587774</v>
      </c>
      <c r="BI26" s="3">
        <f>(AY26*$AM26+BD26*$AN26)/($AM26+$AN26)</f>
        <v>18.980226775503525</v>
      </c>
      <c r="BJ26" s="6">
        <f>BE26*($AM26+$AN26)/AU$7</f>
        <v>0.56215039281704893</v>
      </c>
      <c r="BK26" s="6">
        <f>BF26*($AM26+$AN26)/AV$7</f>
        <v>0.35348140614508389</v>
      </c>
      <c r="BL26" s="6">
        <f>BG26*($AM26+$AN26)/AW$7</f>
        <v>0.40957565710062865</v>
      </c>
      <c r="BM26" s="6">
        <f>BH26*($AM26+$AN26)/AX$7</f>
        <v>0.10279149930155865</v>
      </c>
      <c r="BN26" s="6">
        <f>AZ26*($AN26)/AU$7</f>
        <v>0.24750772128292248</v>
      </c>
      <c r="BO26" s="6">
        <f>BA26*($AN26)/AV$7</f>
        <v>0.13907718996642449</v>
      </c>
      <c r="BP26" s="6">
        <f>BB26*($AN26)/AW$7</f>
        <v>0.22372178530047085</v>
      </c>
      <c r="BQ26" s="6">
        <f>BC26*($AN26)/AX$7</f>
        <v>2.3026699616041642E-2</v>
      </c>
      <c r="BR26" s="6">
        <f>AU26*($AM26)/AU$7</f>
        <v>0.31464267153412651</v>
      </c>
      <c r="BS26" s="6">
        <f>AV26*($AM26)/AV$7</f>
        <v>0.21440421617865937</v>
      </c>
      <c r="BT26" s="6">
        <f>AW26*($AM26)/AW$7</f>
        <v>0.18585387180015778</v>
      </c>
      <c r="BU26" s="6">
        <f>AX26*($AM26)/AX$7</f>
        <v>7.9764799685517002E-2</v>
      </c>
      <c r="BV26" s="6">
        <f>AG26*(U26-T26-J26)/1000/(G26*$AW$7/100)</f>
        <v>0.40388950490563946</v>
      </c>
      <c r="BW26" s="6">
        <f>AF26*(U26-T26-J26)/1000/(G26*$AU$7/100)</f>
        <v>2.3463737721676956E-2</v>
      </c>
    </row>
    <row r="27" spans="1:75">
      <c r="A27" s="141"/>
      <c r="B27" s="141"/>
      <c r="C27" s="13"/>
      <c r="D27" s="13"/>
      <c r="E27" s="14"/>
      <c r="F27" s="141"/>
      <c r="G27" s="13"/>
      <c r="H27" s="13"/>
      <c r="I27" s="13"/>
      <c r="J27" s="14"/>
      <c r="K27" s="22"/>
      <c r="L27" s="21"/>
      <c r="M27" s="21"/>
      <c r="N27" s="21"/>
      <c r="O27" s="142"/>
      <c r="P27" s="142"/>
      <c r="Q27" s="142"/>
      <c r="R27" s="143"/>
      <c r="S27" s="141"/>
      <c r="T27" s="13"/>
      <c r="U27" s="13"/>
      <c r="V27" s="13"/>
      <c r="W27" s="13"/>
      <c r="X27" s="13"/>
      <c r="Y27" s="13"/>
      <c r="Z27" s="13"/>
      <c r="AA27" s="14"/>
      <c r="AB27" s="20"/>
      <c r="AC27" s="13"/>
      <c r="AD27" s="13"/>
      <c r="AE27" s="24"/>
      <c r="AF27" s="24"/>
      <c r="AG27" s="25"/>
      <c r="AH27" s="141"/>
      <c r="AI27" s="142"/>
      <c r="AJ27" s="26"/>
      <c r="AK27" s="27"/>
      <c r="AL27" s="28"/>
      <c r="AM27" s="29"/>
      <c r="AN27" s="29"/>
      <c r="AO27" s="30"/>
      <c r="AP27" s="30"/>
      <c r="AQ27" s="29"/>
      <c r="AR27" s="29"/>
      <c r="AS27" s="29"/>
      <c r="AT27" s="31"/>
      <c r="AV27" s="4"/>
    </row>
    <row r="29" spans="1:75" s="16" customFormat="1">
      <c r="A29" s="15"/>
      <c r="B29" s="170" t="s">
        <v>135</v>
      </c>
      <c r="E29" s="17"/>
      <c r="F29" s="15"/>
      <c r="J29" s="17"/>
      <c r="K29" s="15"/>
      <c r="R29" s="17"/>
      <c r="S29" s="15"/>
      <c r="AA29" s="17"/>
      <c r="AB29" s="15"/>
      <c r="AG29" s="17"/>
      <c r="AH29" s="15"/>
      <c r="AK29" s="17"/>
      <c r="AL29" s="15"/>
      <c r="AT29" s="17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</row>
    <row r="30" spans="1:75" s="16" customFormat="1">
      <c r="A30" s="15"/>
      <c r="B30" s="15" t="s">
        <v>136</v>
      </c>
      <c r="E30" s="17"/>
      <c r="F30" s="15"/>
      <c r="J30" s="17"/>
      <c r="K30" s="15"/>
      <c r="R30" s="17"/>
      <c r="S30" s="15"/>
      <c r="AA30" s="17"/>
      <c r="AB30" s="15"/>
      <c r="AG30" s="17"/>
      <c r="AH30" s="15"/>
      <c r="AK30" s="17"/>
      <c r="AL30" s="15" t="s">
        <v>136</v>
      </c>
      <c r="AT30" s="17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</row>
    <row r="31" spans="1:75" s="16" customFormat="1">
      <c r="A31" s="15"/>
      <c r="B31" s="15"/>
      <c r="D31" s="140">
        <v>0</v>
      </c>
      <c r="E31" s="17"/>
      <c r="F31" s="15"/>
      <c r="J31" s="17"/>
      <c r="K31" s="15"/>
      <c r="R31" s="17"/>
      <c r="S31" s="15"/>
      <c r="AA31" s="17"/>
      <c r="AB31" s="15"/>
      <c r="AG31" s="17"/>
      <c r="AH31" s="15"/>
      <c r="AK31" s="17"/>
      <c r="AL31" s="138">
        <f>AVERAGE(AL16:AL17)</f>
        <v>4.5989885791144935E-2</v>
      </c>
      <c r="AM31" s="139">
        <f>AVERAGE(AM16:AM17)</f>
        <v>5.4424080194093075E-2</v>
      </c>
      <c r="AN31" s="139">
        <f>AVERAGE(AN16:AN17)</f>
        <v>7.9758166005828413E-2</v>
      </c>
      <c r="AO31" s="139"/>
      <c r="AP31" s="139">
        <f>AVERAGE(AP16:AP17)</f>
        <v>0.47645186787032423</v>
      </c>
      <c r="AQ31" s="169"/>
      <c r="AR31" s="139"/>
      <c r="AS31" s="139">
        <f>AVERAGE(AS16:AS17)</f>
        <v>8.6140919889842182E-3</v>
      </c>
      <c r="AT31" s="139">
        <f>AVERAGE(AT16:AT17)</f>
        <v>2.050576981550134E-2</v>
      </c>
      <c r="AU31" s="3">
        <f>AU17</f>
        <v>74.626865386962891</v>
      </c>
      <c r="AV31" s="3">
        <f>AV17</f>
        <v>9.8783903121948242</v>
      </c>
      <c r="AW31" s="3">
        <f t="shared" ref="AW31:BM31" si="17">AW17</f>
        <v>3.2323814630508423</v>
      </c>
      <c r="AX31" s="3">
        <f t="shared" si="17"/>
        <v>0.8840671181678772</v>
      </c>
      <c r="AY31" s="3">
        <f t="shared" si="17"/>
        <v>11.378295719623566</v>
      </c>
      <c r="AZ31" s="3">
        <f t="shared" si="17"/>
        <v>71.285137176513672</v>
      </c>
      <c r="BA31" s="3">
        <f t="shared" si="17"/>
        <v>7.8787467479705811</v>
      </c>
      <c r="BB31" s="3">
        <f t="shared" si="17"/>
        <v>5.5176830291748047</v>
      </c>
      <c r="BC31" s="3">
        <f t="shared" si="17"/>
        <v>0.62397220730781555</v>
      </c>
      <c r="BD31" s="3">
        <f t="shared" si="17"/>
        <v>14.694460839033127</v>
      </c>
      <c r="BE31" s="3">
        <f t="shared" si="17"/>
        <v>72.463526961161861</v>
      </c>
      <c r="BF31" s="3">
        <f t="shared" si="17"/>
        <v>8.5838787636896452</v>
      </c>
      <c r="BG31" s="3">
        <f t="shared" si="17"/>
        <v>4.7118197600015934</v>
      </c>
      <c r="BH31" s="3">
        <f t="shared" si="17"/>
        <v>0.71568917729900261</v>
      </c>
      <c r="BI31" s="3">
        <f t="shared" si="17"/>
        <v>13.525085337847914</v>
      </c>
      <c r="BJ31" s="155">
        <f t="shared" si="17"/>
        <v>0.32771691994649221</v>
      </c>
      <c r="BK31" s="155">
        <f t="shared" si="17"/>
        <v>0.20136051487091897</v>
      </c>
      <c r="BL31" s="155">
        <f t="shared" si="17"/>
        <v>0.20930208952340978</v>
      </c>
      <c r="BM31" s="155">
        <f t="shared" si="17"/>
        <v>1.2675979468237933E-2</v>
      </c>
      <c r="BN31" s="155">
        <f t="shared" ref="BN31:BU31" si="18">BN17</f>
        <v>0.2087044577483993</v>
      </c>
      <c r="BO31" s="155">
        <f t="shared" si="18"/>
        <v>0.11964683594599658</v>
      </c>
      <c r="BP31" s="155">
        <f t="shared" si="18"/>
        <v>0.15867005876690501</v>
      </c>
      <c r="BQ31" s="155">
        <f t="shared" si="18"/>
        <v>7.1544402768703346E-3</v>
      </c>
      <c r="BR31" s="155">
        <f t="shared" si="18"/>
        <v>0.11901246219809293</v>
      </c>
      <c r="BS31" s="155">
        <f t="shared" si="18"/>
        <v>8.1713678924922359E-2</v>
      </c>
      <c r="BT31" s="155">
        <f t="shared" si="18"/>
        <v>5.0632030756504742E-2</v>
      </c>
      <c r="BU31" s="155">
        <f t="shared" si="18"/>
        <v>5.5215391913676004E-3</v>
      </c>
      <c r="BV31" s="139">
        <f>AVERAGE(BV16:BV17)</f>
        <v>0.59016079984468117</v>
      </c>
      <c r="BW31" s="139">
        <f>AVERAGE(BW16:BW17)</f>
        <v>2.5240519401745147E-2</v>
      </c>
    </row>
    <row r="32" spans="1:75" s="16" customFormat="1">
      <c r="A32" s="15"/>
      <c r="B32" s="15"/>
      <c r="D32" s="140">
        <v>0.1</v>
      </c>
      <c r="E32" s="17"/>
      <c r="F32" s="15"/>
      <c r="J32" s="17"/>
      <c r="K32" s="15"/>
      <c r="R32" s="17"/>
      <c r="S32" s="15"/>
      <c r="AA32" s="17"/>
      <c r="AB32" s="15"/>
      <c r="AG32" s="17"/>
      <c r="AH32" s="15"/>
      <c r="AK32" s="17"/>
      <c r="AL32" s="138">
        <f>AVERAGE(AL18:AL19)</f>
        <v>4.7057835787062463E-2</v>
      </c>
      <c r="AM32" s="139">
        <f>AVERAGE(AM18:AM19)</f>
        <v>0.1088403862930441</v>
      </c>
      <c r="AN32" s="139">
        <f>AVERAGE(AN18:AN19)</f>
        <v>7.1413344457285005E-2</v>
      </c>
      <c r="AO32" s="139"/>
      <c r="AP32" s="139">
        <f>AVERAGE(AP18:AP19)</f>
        <v>0.47426305971071814</v>
      </c>
      <c r="AQ32" s="169"/>
      <c r="AR32" s="139"/>
      <c r="AS32" s="139">
        <f>AVERAGE(AS18:AS19)</f>
        <v>6.6860544156611239E-3</v>
      </c>
      <c r="AT32" s="139">
        <f>AVERAGE(AT18:AT19)</f>
        <v>1.8624824140195173E-2</v>
      </c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 s="139">
        <f>AVERAGE(BV18:BV19)</f>
        <v>0.53602674810262307</v>
      </c>
      <c r="BW32" s="139">
        <f>AVERAGE(BW18:BW19)</f>
        <v>1.9591094037006984E-2</v>
      </c>
    </row>
    <row r="33" spans="1:75" s="16" customFormat="1">
      <c r="A33" s="15"/>
      <c r="B33" s="15"/>
      <c r="D33" s="140">
        <v>0.2</v>
      </c>
      <c r="E33" s="17"/>
      <c r="F33" s="15"/>
      <c r="J33" s="17"/>
      <c r="K33" s="15"/>
      <c r="R33" s="17"/>
      <c r="S33" s="15"/>
      <c r="AA33" s="17"/>
      <c r="AB33" s="15"/>
      <c r="AG33" s="17"/>
      <c r="AH33" s="15"/>
      <c r="AK33" s="17"/>
      <c r="AL33" s="138">
        <f>AVERAGE(AL20:AL21)</f>
        <v>3.9544426234932553E-2</v>
      </c>
      <c r="AM33" s="139">
        <f>AVERAGE(AM20:AM21)</f>
        <v>0.11600102511785187</v>
      </c>
      <c r="AN33" s="139">
        <f>AVERAGE(AN20:AN21)</f>
        <v>8.61129265107273E-2</v>
      </c>
      <c r="AO33" s="139"/>
      <c r="AP33" s="139">
        <f>AVERAGE(AP20:AP21)</f>
        <v>0.43236173032802266</v>
      </c>
      <c r="AQ33" s="169"/>
      <c r="AR33" s="139"/>
      <c r="AS33" s="139">
        <f>AVERAGE(AS20:AS21)</f>
        <v>1.3011619645444578E-2</v>
      </c>
      <c r="AT33" s="139">
        <f>AVERAGE(AT20:AT21)</f>
        <v>2.0219333387525292E-2</v>
      </c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 s="139">
        <f>AVERAGE(BV20:BV21)</f>
        <v>0.58191709317285434</v>
      </c>
      <c r="BW33" s="139">
        <f>AVERAGE(BW20:BW21)</f>
        <v>3.8125903290672856E-2</v>
      </c>
    </row>
    <row r="34" spans="1:75" s="16" customFormat="1">
      <c r="A34" s="15"/>
      <c r="B34" s="15"/>
      <c r="D34" s="140">
        <v>0.5</v>
      </c>
      <c r="E34" s="17"/>
      <c r="F34" s="15"/>
      <c r="J34" s="17"/>
      <c r="K34" s="15"/>
      <c r="R34" s="17"/>
      <c r="S34" s="15"/>
      <c r="AA34" s="17"/>
      <c r="AB34" s="15"/>
      <c r="AG34" s="17"/>
      <c r="AH34" s="15"/>
      <c r="AK34" s="17"/>
      <c r="AL34" s="138">
        <f>AVERAGE(AL25:AL26)</f>
        <v>4.3747375157491261E-2</v>
      </c>
      <c r="AM34" s="139">
        <f>AVERAGE(AM25:AM26)</f>
        <v>0.17609943403395803</v>
      </c>
      <c r="AN34" s="139">
        <f>AVERAGE(AN25:AN26)</f>
        <v>0.106953582785033</v>
      </c>
      <c r="AO34" s="139"/>
      <c r="AP34" s="139">
        <f>AVERAGE(AP25:AP26)</f>
        <v>0.30830120919748172</v>
      </c>
      <c r="AQ34" s="169"/>
      <c r="AR34" s="139"/>
      <c r="AS34" s="139">
        <f>AVERAGE(AS25:AS26)</f>
        <v>7.592335644861308E-3</v>
      </c>
      <c r="AT34" s="139">
        <f>AVERAGE(AT25:AT26)</f>
        <v>1.3792358558486489E-2</v>
      </c>
      <c r="AU34" s="3">
        <f>AU26</f>
        <v>66.452838897705078</v>
      </c>
      <c r="AV34" s="3">
        <f>AV26</f>
        <v>8.7300734519958496</v>
      </c>
      <c r="AW34" s="3">
        <f t="shared" ref="AW34:BM34" si="19">AW26</f>
        <v>3.9963363409042358</v>
      </c>
      <c r="AX34" s="3">
        <f t="shared" si="19"/>
        <v>4.3015949726104736</v>
      </c>
      <c r="AY34" s="3">
        <f t="shared" si="19"/>
        <v>16.519156336784363</v>
      </c>
      <c r="AZ34" s="3">
        <f t="shared" si="19"/>
        <v>63.735157012939453</v>
      </c>
      <c r="BA34" s="3">
        <f t="shared" si="19"/>
        <v>6.9045419692993164</v>
      </c>
      <c r="BB34" s="3">
        <f t="shared" si="19"/>
        <v>5.8653385639190674</v>
      </c>
      <c r="BC34" s="3">
        <f t="shared" si="19"/>
        <v>1.5140643119812012</v>
      </c>
      <c r="BD34" s="3">
        <f t="shared" si="19"/>
        <v>21.980898141860962</v>
      </c>
      <c r="BE34" s="3">
        <f t="shared" si="19"/>
        <v>65.228246672890918</v>
      </c>
      <c r="BF34" s="3">
        <f t="shared" si="19"/>
        <v>7.9074857634237468</v>
      </c>
      <c r="BG34" s="3">
        <f t="shared" si="19"/>
        <v>4.8385120213230373</v>
      </c>
      <c r="BH34" s="3">
        <f t="shared" si="19"/>
        <v>3.0455287668587774</v>
      </c>
      <c r="BI34" s="3">
        <f t="shared" si="19"/>
        <v>18.980226775503525</v>
      </c>
      <c r="BJ34" s="155">
        <f t="shared" si="19"/>
        <v>0.56215039281704893</v>
      </c>
      <c r="BK34" s="155">
        <f t="shared" si="19"/>
        <v>0.35348140614508389</v>
      </c>
      <c r="BL34" s="155">
        <f t="shared" si="19"/>
        <v>0.40957565710062865</v>
      </c>
      <c r="BM34" s="155">
        <f t="shared" si="19"/>
        <v>0.10279149930155865</v>
      </c>
      <c r="BN34" s="155">
        <f t="shared" ref="BN34:BU34" si="20">BN26</f>
        <v>0.24750772128292248</v>
      </c>
      <c r="BO34" s="155">
        <f t="shared" si="20"/>
        <v>0.13907718996642449</v>
      </c>
      <c r="BP34" s="155">
        <f t="shared" si="20"/>
        <v>0.22372178530047085</v>
      </c>
      <c r="BQ34" s="155">
        <f t="shared" si="20"/>
        <v>2.3026699616041642E-2</v>
      </c>
      <c r="BR34" s="155">
        <f t="shared" si="20"/>
        <v>0.31464267153412651</v>
      </c>
      <c r="BS34" s="155">
        <f t="shared" si="20"/>
        <v>0.21440421617865937</v>
      </c>
      <c r="BT34" s="155">
        <f t="shared" si="20"/>
        <v>0.18585387180015778</v>
      </c>
      <c r="BU34" s="155">
        <f t="shared" si="20"/>
        <v>7.9764799685517002E-2</v>
      </c>
      <c r="BV34" s="139">
        <f>AVERAGE(BV25:BV26)</f>
        <v>0.39694727054176759</v>
      </c>
      <c r="BW34" s="139">
        <f>AVERAGE(BW25:BW26)</f>
        <v>2.2246627432554358E-2</v>
      </c>
    </row>
    <row r="35" spans="1:75" s="16" customFormat="1">
      <c r="A35" s="15"/>
      <c r="B35" s="15"/>
      <c r="E35" s="17"/>
      <c r="F35" s="15"/>
      <c r="J35" s="17"/>
      <c r="K35" s="15"/>
      <c r="R35" s="17"/>
      <c r="S35" s="15"/>
      <c r="AA35" s="17"/>
      <c r="AB35" s="15"/>
      <c r="AG35" s="17"/>
      <c r="AH35" s="15"/>
      <c r="AK35" s="17"/>
      <c r="AL35" s="138" t="s">
        <v>137</v>
      </c>
      <c r="AM35" s="139"/>
      <c r="AN35" s="139"/>
      <c r="AO35" s="139"/>
      <c r="AP35" s="139"/>
      <c r="AS35" s="139"/>
      <c r="AT35" s="139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 s="139"/>
      <c r="BW35" s="139"/>
    </row>
    <row r="36" spans="1:75">
      <c r="B36" s="15" t="s">
        <v>151</v>
      </c>
      <c r="AL36" s="138"/>
      <c r="AM36" s="139"/>
      <c r="AN36" s="139"/>
      <c r="AO36" s="139"/>
      <c r="AP36" s="139"/>
      <c r="AS36" s="139"/>
      <c r="AT36" s="139"/>
      <c r="BV36" s="139"/>
      <c r="BW36" s="139"/>
    </row>
    <row r="37" spans="1:75">
      <c r="D37" s="140">
        <v>0</v>
      </c>
      <c r="AL37" s="138">
        <f>STDEVP(AL16:AL17)</f>
        <v>5.9778941852699947E-3</v>
      </c>
      <c r="AM37" s="139">
        <f>STDEVP(AM16:AM17)</f>
        <v>2.1755273595276681E-6</v>
      </c>
      <c r="AN37" s="139">
        <f>STDEVP(AN16:AN17)</f>
        <v>2.0159884802670391E-2</v>
      </c>
      <c r="AO37" s="139"/>
      <c r="AP37" s="139">
        <f>STDEVP(AP16:AP17)</f>
        <v>7.8415140358060464E-3</v>
      </c>
      <c r="AS37" s="139">
        <f>STDEVP(AS16:AS17)</f>
        <v>3.3467575763200725E-3</v>
      </c>
      <c r="AT37" s="139">
        <f>STDEVP(AT16:AT17)</f>
        <v>4.9110355107702649E-3</v>
      </c>
      <c r="BV37" s="139">
        <f>STDEVP(BV16:BV17)</f>
        <v>0.141340738298489</v>
      </c>
      <c r="BW37" s="139">
        <f>STDEVP(BW16:BW17)</f>
        <v>9.806477530779836E-3</v>
      </c>
    </row>
    <row r="38" spans="1:75">
      <c r="D38" s="140">
        <v>0.1</v>
      </c>
      <c r="AL38" s="138">
        <f>STDEVP(AL18:AL19)</f>
        <v>5.3459414186944609E-4</v>
      </c>
      <c r="AM38" s="139">
        <f>STDEVP(AM18:AM19)</f>
        <v>9.9610191209937998E-3</v>
      </c>
      <c r="AN38" s="139">
        <f>STDEVP(AN18:AN19)</f>
        <v>8.4092719506971558E-3</v>
      </c>
      <c r="AO38" s="139"/>
      <c r="AP38" s="139">
        <f>STDEVP(AP18:AP19)</f>
        <v>1.8371574320712736E-3</v>
      </c>
      <c r="AS38" s="139">
        <f>STDEVP(AS18:AS19)</f>
        <v>9.561970416574082E-4</v>
      </c>
      <c r="AT38" s="139">
        <f>STDEVP(AT18:AT19)</f>
        <v>3.0853189365436257E-3</v>
      </c>
      <c r="BV38" s="139">
        <f>STDEVP(BV18:BV19)</f>
        <v>8.8796192864218637E-2</v>
      </c>
      <c r="BW38" s="139">
        <f>STDEVP(BW18:BW19)</f>
        <v>2.8017938527599966E-3</v>
      </c>
    </row>
    <row r="39" spans="1:75">
      <c r="D39" s="140">
        <v>0.2</v>
      </c>
      <c r="AL39" s="138">
        <f>STDEVP(AL20:AL21)</f>
        <v>1.1732935749482823E-4</v>
      </c>
      <c r="AM39" s="139">
        <f>STDEVP(AM20:AM21)</f>
        <v>2.2703941776189122E-2</v>
      </c>
      <c r="AN39" s="139">
        <f>STDEVP(AN20:AN21)</f>
        <v>1.5680248628708565E-2</v>
      </c>
      <c r="AO39" s="139"/>
      <c r="AP39" s="139">
        <f>STDEVP(AP20:AP21)</f>
        <v>6.1669934127649984E-3</v>
      </c>
      <c r="AS39" s="139">
        <f>STDEVP(AS20:AS21)</f>
        <v>5.8548506092012537E-3</v>
      </c>
      <c r="AT39" s="139">
        <f>STDEVP(AT20:AT21)</f>
        <v>1.8299506235966954E-3</v>
      </c>
      <c r="BV39" s="139">
        <f>STDEVP(BV20:BV21)</f>
        <v>5.2666402354799635E-2</v>
      </c>
      <c r="BW39" s="139">
        <f>STDEVP(BW20:BW21)</f>
        <v>1.7155548209241946E-2</v>
      </c>
    </row>
    <row r="40" spans="1:75">
      <c r="D40" s="140">
        <v>0.5</v>
      </c>
      <c r="AL40" s="138">
        <f>STDEVP(AL25:AL26)</f>
        <v>2.5498470091795469E-3</v>
      </c>
      <c r="AM40" s="139">
        <f>STDEVP(AM25:AM26)</f>
        <v>1.4509129452232983E-2</v>
      </c>
      <c r="AN40" s="139">
        <f>STDEVP(AN25:AN26)</f>
        <v>2.5578465292082596E-2</v>
      </c>
      <c r="AO40" s="139"/>
      <c r="AP40" s="139">
        <f>STDEVP(AP25:AP26)</f>
        <v>4.3509445784497218E-2</v>
      </c>
      <c r="AS40" s="139">
        <f>STDEVP(AS25:AS26)</f>
        <v>4.1537576245425246E-4</v>
      </c>
      <c r="AT40" s="139">
        <f>STDEVP(AT25:AT26)</f>
        <v>2.4121537707737402E-4</v>
      </c>
      <c r="BV40" s="139">
        <f>STDEVP(BV25:BV26)</f>
        <v>6.9422343638718687E-3</v>
      </c>
      <c r="BW40" s="139">
        <f>STDEVP(BW25:BW26)</f>
        <v>1.2171102891225978E-3</v>
      </c>
    </row>
    <row r="41" spans="1:75">
      <c r="AL41" s="138"/>
      <c r="AM41" s="139"/>
      <c r="AN41" s="139"/>
      <c r="AO41" s="139"/>
      <c r="AP41" s="139"/>
    </row>
    <row r="42" spans="1:75">
      <c r="AL42" s="138"/>
      <c r="AM42" s="139"/>
      <c r="AN42" s="139"/>
      <c r="AO42" s="139"/>
      <c r="AP42" s="139"/>
    </row>
    <row r="43" spans="1:75" s="16" customFormat="1">
      <c r="A43" s="15"/>
      <c r="B43" s="170" t="s">
        <v>138</v>
      </c>
      <c r="E43" s="17"/>
      <c r="F43" s="15"/>
      <c r="J43" s="17"/>
      <c r="K43" s="15"/>
      <c r="R43" s="17"/>
      <c r="S43" s="15"/>
      <c r="AA43" s="17"/>
      <c r="AB43" s="15"/>
      <c r="AG43" s="17"/>
      <c r="AH43" s="15"/>
      <c r="AK43" s="17"/>
      <c r="AL43" s="138"/>
      <c r="AM43" s="139"/>
      <c r="AN43" s="139"/>
      <c r="AO43" s="139"/>
      <c r="AP43" s="139"/>
      <c r="AT43" s="17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</row>
    <row r="44" spans="1:75">
      <c r="B44" s="15" t="s">
        <v>136</v>
      </c>
      <c r="AL44" s="138"/>
      <c r="AM44" s="139"/>
      <c r="AN44" s="139"/>
      <c r="AO44" s="139"/>
      <c r="AP44" s="139"/>
    </row>
    <row r="45" spans="1:75" s="16" customFormat="1">
      <c r="A45" s="15"/>
      <c r="B45" s="15"/>
      <c r="D45" s="140">
        <v>0</v>
      </c>
      <c r="E45" s="17"/>
      <c r="F45" s="15"/>
      <c r="J45" s="17"/>
      <c r="K45" s="15"/>
      <c r="R45" s="17"/>
      <c r="S45" s="15"/>
      <c r="AA45" s="17"/>
      <c r="AB45" s="15"/>
      <c r="AG45" s="17"/>
      <c r="AH45" s="15"/>
      <c r="AK45" s="17"/>
      <c r="AL45" s="138">
        <f>AVERAGE(AL8)</f>
        <v>7.3241349014595919E-2</v>
      </c>
      <c r="AM45" s="139">
        <f>AVERAGE(AM8)</f>
        <v>1.3198618238454158E-2</v>
      </c>
      <c r="AN45" s="139">
        <f>AVERAGE(AN8)</f>
        <v>5.2574828777380844E-2</v>
      </c>
      <c r="AO45" s="139"/>
      <c r="AP45" s="139">
        <f>AVERAGE(AP8)</f>
        <v>0.51982142233164197</v>
      </c>
      <c r="AQ45" s="169"/>
      <c r="AS45" s="139">
        <f>AVERAGE(AS8)</f>
        <v>1.857648814919829E-3</v>
      </c>
      <c r="AT45" s="139">
        <f>AVERAGE(AT8)</f>
        <v>1.2920724106946745E-2</v>
      </c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 s="139">
        <f>AVERAGE(BV8)</f>
        <v>0.37186142935066963</v>
      </c>
      <c r="BW45" s="139">
        <f>AVERAGE(BW8)</f>
        <v>5.4431762528858122E-3</v>
      </c>
    </row>
    <row r="46" spans="1:75" s="16" customFormat="1">
      <c r="A46" s="15"/>
      <c r="B46" s="15"/>
      <c r="D46" s="140">
        <v>0.3</v>
      </c>
      <c r="E46" s="17"/>
      <c r="F46" s="15"/>
      <c r="J46" s="17"/>
      <c r="K46" s="15"/>
      <c r="R46" s="17"/>
      <c r="S46" s="15"/>
      <c r="AA46" s="17"/>
      <c r="AB46" s="15"/>
      <c r="AG46" s="17"/>
      <c r="AH46" s="15"/>
      <c r="AK46" s="17"/>
      <c r="AL46" s="138">
        <f>AVERAGE(AL9:AL10)</f>
        <v>3.6019167279340208E-2</v>
      </c>
      <c r="AM46" s="139">
        <f>AVERAGE(AM9:AM10)</f>
        <v>2.5833246298892693E-2</v>
      </c>
      <c r="AN46" s="139">
        <f>AVERAGE(AN9:AN10)</f>
        <v>5.4259189653674024E-2</v>
      </c>
      <c r="AO46" s="139"/>
      <c r="AP46" s="139">
        <f>AVERAGE(AP9:AP10)</f>
        <v>0.63690886551672277</v>
      </c>
      <c r="AS46" s="139">
        <f>AVERAGE(AS9:AS10)</f>
        <v>5.2921277287783864E-3</v>
      </c>
      <c r="AT46" s="139">
        <f>AVERAGE(AT9:AT10)</f>
        <v>1.9921822883824887E-2</v>
      </c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 s="139">
        <f>AVERAGE(BV9:BV10)</f>
        <v>0.78144554236865171</v>
      </c>
      <c r="BW46" s="139">
        <f>AVERAGE(BW9:BW10)</f>
        <v>2.1134620912967594E-2</v>
      </c>
    </row>
    <row r="47" spans="1:75" s="16" customFormat="1">
      <c r="A47" s="15"/>
      <c r="B47" s="15"/>
      <c r="D47" s="140">
        <v>0.4</v>
      </c>
      <c r="E47" s="17"/>
      <c r="F47" s="15"/>
      <c r="J47" s="17"/>
      <c r="K47" s="15"/>
      <c r="R47" s="17"/>
      <c r="S47" s="15"/>
      <c r="AA47" s="17"/>
      <c r="AB47" s="15"/>
      <c r="AG47" s="17"/>
      <c r="AH47" s="15"/>
      <c r="AK47" s="17"/>
      <c r="AL47" s="138">
        <f>AVERAGE(AL11:AL12)</f>
        <v>3.8491191754304821E-2</v>
      </c>
      <c r="AM47" s="139">
        <f>AVERAGE(AM11:AM12)</f>
        <v>1.4956433717148237E-2</v>
      </c>
      <c r="AN47" s="139">
        <f>AVERAGE(AN11:AN12)</f>
        <v>3.0282754485043265E-2</v>
      </c>
      <c r="AO47" s="139"/>
      <c r="AP47" s="139">
        <f>AVERAGE(AP11:AP12)</f>
        <v>0.62506786590037222</v>
      </c>
      <c r="AS47" s="139">
        <f>AVERAGE(AS11:AS12)</f>
        <v>3.9519085000000011E-3</v>
      </c>
      <c r="AT47" s="139">
        <f>AVERAGE(AT11:AT12)</f>
        <v>2.0281998200000005E-2</v>
      </c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 s="139">
        <f>AVERAGE(BV11:BV12)</f>
        <v>0.91695372161632727</v>
      </c>
      <c r="BW47" s="139">
        <f>AVERAGE(BW11:BW12)</f>
        <v>1.819022452260368E-2</v>
      </c>
    </row>
    <row r="48" spans="1:75" s="16" customFormat="1">
      <c r="A48" s="15"/>
      <c r="B48" s="15"/>
      <c r="D48" s="140">
        <v>0.5</v>
      </c>
      <c r="E48" s="17"/>
      <c r="F48" s="15"/>
      <c r="J48" s="17"/>
      <c r="K48" s="15"/>
      <c r="R48" s="17"/>
      <c r="S48" s="15"/>
      <c r="AA48" s="17"/>
      <c r="AB48" s="15"/>
      <c r="AG48" s="17"/>
      <c r="AH48" s="15"/>
      <c r="AK48" s="17"/>
      <c r="AL48" s="138">
        <f>AVERAGE(AL13:AL14)</f>
        <v>4.2710993848305331E-2</v>
      </c>
      <c r="AM48" s="139">
        <f>AVERAGE(AM13:AM14)</f>
        <v>8.9802109785221129E-3</v>
      </c>
      <c r="AN48" s="139">
        <f>AVERAGE(AN13:AN14)</f>
        <v>1.4941216766283204E-2</v>
      </c>
      <c r="AO48" s="139"/>
      <c r="AP48" s="139">
        <f>AVERAGE(AP13:AP14)</f>
        <v>0.41544001207314096</v>
      </c>
      <c r="AS48" s="139">
        <f>AVERAGE(AS13:AS14)</f>
        <v>3.9530268973102679E-3</v>
      </c>
      <c r="AT48" s="139">
        <f>AVERAGE(AT13:AT14)</f>
        <v>1.3457572442755722E-2</v>
      </c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 s="139">
        <f>AVERAGE(BV13:BV14)</f>
        <v>0.85277871840043129</v>
      </c>
      <c r="BW48" s="139">
        <f>AVERAGE(BW13:BW14)</f>
        <v>2.5503154277154268E-2</v>
      </c>
    </row>
    <row r="49" spans="1:78" s="16" customFormat="1">
      <c r="A49" s="15"/>
      <c r="B49" s="15"/>
      <c r="D49" s="140">
        <v>1</v>
      </c>
      <c r="E49" s="17"/>
      <c r="F49" s="15"/>
      <c r="J49" s="17"/>
      <c r="K49" s="15"/>
      <c r="R49" s="17"/>
      <c r="S49" s="15"/>
      <c r="AA49" s="17"/>
      <c r="AB49" s="15"/>
      <c r="AG49" s="17"/>
      <c r="AH49" s="15"/>
      <c r="AK49" s="17"/>
      <c r="AL49" s="138">
        <f>AVERAGE(AL15)</f>
        <v>0.5450548572113757</v>
      </c>
      <c r="AM49" s="139">
        <f>AVERAGE(AM15)</f>
        <v>1.6786906213153666E-2</v>
      </c>
      <c r="AN49" s="139">
        <f>AVERAGE(AN15)</f>
        <v>1.2070584943743438E-2</v>
      </c>
      <c r="AO49" s="139"/>
      <c r="AP49" s="139">
        <f>AVERAGE(AP15)</f>
        <v>0.22256380021504868</v>
      </c>
      <c r="AS49" s="139" t="e">
        <f>AVERAGE(AS15)</f>
        <v>#DIV/0!</v>
      </c>
      <c r="AT49" s="139" t="e">
        <f>AVERAGE(AT15)</f>
        <v>#DIV/0!</v>
      </c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 s="139" t="e">
        <f>AVERAGE(BV15)</f>
        <v>#DIV/0!</v>
      </c>
      <c r="BW49" s="139" t="e">
        <f>AVERAGE(BW15)</f>
        <v>#DIV/0!</v>
      </c>
    </row>
    <row r="50" spans="1:78" s="16" customFormat="1">
      <c r="A50" s="15"/>
      <c r="B50" s="15" t="s">
        <v>152</v>
      </c>
      <c r="E50" s="17"/>
      <c r="F50" s="15"/>
      <c r="J50" s="17"/>
      <c r="K50" s="15"/>
      <c r="R50" s="17"/>
      <c r="S50" s="15"/>
      <c r="AA50" s="17"/>
      <c r="AB50" s="15"/>
      <c r="AG50" s="17"/>
      <c r="AH50" s="15"/>
      <c r="AK50" s="17"/>
      <c r="AL50" s="138"/>
      <c r="AM50" s="139"/>
      <c r="AN50" s="139"/>
      <c r="AO50" s="139"/>
      <c r="AP50" s="139"/>
      <c r="AS50" s="139"/>
      <c r="AT50" s="139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 s="139"/>
      <c r="BW50" s="139"/>
    </row>
    <row r="51" spans="1:78" s="16" customFormat="1">
      <c r="A51" s="15"/>
      <c r="B51" s="15"/>
      <c r="D51" s="140">
        <v>0</v>
      </c>
      <c r="E51" s="17"/>
      <c r="F51" s="15"/>
      <c r="J51" s="17"/>
      <c r="K51" s="15"/>
      <c r="R51" s="17"/>
      <c r="S51" s="15"/>
      <c r="AA51" s="17"/>
      <c r="AB51" s="15"/>
      <c r="AG51" s="17"/>
      <c r="AH51" s="15"/>
      <c r="AK51" s="17"/>
      <c r="AL51" s="138">
        <f>STDEVP(AL8)</f>
        <v>0</v>
      </c>
      <c r="AM51" s="139">
        <f>STDEVP(AM8)</f>
        <v>0</v>
      </c>
      <c r="AN51" s="139">
        <f>STDEVP(AN8)</f>
        <v>0</v>
      </c>
      <c r="AO51" s="139"/>
      <c r="AP51" s="139">
        <f>STDEVP(AP8)</f>
        <v>0</v>
      </c>
      <c r="AS51" s="139">
        <f>STDEVP(AS8)</f>
        <v>0</v>
      </c>
      <c r="AT51" s="139">
        <f>STDEVP(AT8)</f>
        <v>0</v>
      </c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 s="139">
        <f>STDEVP(BV8)</f>
        <v>0</v>
      </c>
      <c r="BW51" s="139">
        <f>STDEVP(BW8)</f>
        <v>0</v>
      </c>
    </row>
    <row r="52" spans="1:78" s="16" customFormat="1">
      <c r="A52" s="15"/>
      <c r="B52" s="15"/>
      <c r="D52" s="140">
        <v>0.3</v>
      </c>
      <c r="E52" s="17"/>
      <c r="F52" s="15"/>
      <c r="J52" s="17"/>
      <c r="K52" s="15"/>
      <c r="R52" s="17"/>
      <c r="S52" s="15"/>
      <c r="AA52" s="17"/>
      <c r="AB52" s="15"/>
      <c r="AG52" s="17"/>
      <c r="AH52" s="15"/>
      <c r="AK52" s="17"/>
      <c r="AL52" s="138">
        <f>STDEVP(AL9:AL10)</f>
        <v>1.8943898104945116E-3</v>
      </c>
      <c r="AM52" s="139">
        <f>STDEVP(AM9:AM10)</f>
        <v>7.5306839401624833E-3</v>
      </c>
      <c r="AN52" s="139">
        <f>STDEVP(AN9:AN10)</f>
        <v>5.9892451271948838E-3</v>
      </c>
      <c r="AO52" s="139"/>
      <c r="AP52" s="139">
        <f>STDEVP(AP9:AP10)</f>
        <v>1.5355789359696115E-2</v>
      </c>
      <c r="AS52" s="139">
        <f>STDEVP(AS9:AS10)</f>
        <v>0</v>
      </c>
      <c r="AT52" s="139">
        <f>STDEVP(AT9:AT10)</f>
        <v>0</v>
      </c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 s="139">
        <f>STDEVP(BV9:BV10)</f>
        <v>0</v>
      </c>
      <c r="BW52" s="139">
        <f>STDEVP(BW9:BW10)</f>
        <v>0</v>
      </c>
    </row>
    <row r="53" spans="1:78" s="16" customFormat="1">
      <c r="A53" s="15"/>
      <c r="B53" s="15"/>
      <c r="D53" s="140">
        <v>0.4</v>
      </c>
      <c r="E53" s="17"/>
      <c r="F53" s="15"/>
      <c r="J53" s="17"/>
      <c r="K53" s="15"/>
      <c r="R53" s="17"/>
      <c r="S53" s="15"/>
      <c r="AA53" s="17"/>
      <c r="AB53" s="15"/>
      <c r="AG53" s="17"/>
      <c r="AH53" s="15"/>
      <c r="AK53" s="17"/>
      <c r="AL53" s="138">
        <f>STDEVP(AL11:AL12)</f>
        <v>3.5288082456945945E-3</v>
      </c>
      <c r="AM53" s="139">
        <f>STDEVP(AM11:AM12)</f>
        <v>1.1743566282852063E-2</v>
      </c>
      <c r="AN53" s="139">
        <f>STDEVP(AN11:AN12)</f>
        <v>5.7372455149566374E-3</v>
      </c>
      <c r="AO53" s="139"/>
      <c r="AP53" s="139">
        <f>STDEVP(AP11:AP12)</f>
        <v>6.3436422005830578E-2</v>
      </c>
      <c r="AS53" s="139">
        <f>STDEVP(AS11:AS12)</f>
        <v>0</v>
      </c>
      <c r="AT53" s="139">
        <f>STDEVP(AT11:AT12)</f>
        <v>0</v>
      </c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 s="139">
        <f>STDEVP(BV11:BV12)</f>
        <v>0</v>
      </c>
      <c r="BW53" s="139">
        <f>STDEVP(BW11:BW12)</f>
        <v>0</v>
      </c>
    </row>
    <row r="54" spans="1:78" s="16" customFormat="1">
      <c r="A54" s="15"/>
      <c r="B54" s="15"/>
      <c r="D54" s="140">
        <v>0.5</v>
      </c>
      <c r="E54" s="17"/>
      <c r="F54" s="15"/>
      <c r="J54" s="17"/>
      <c r="K54" s="15"/>
      <c r="R54" s="17"/>
      <c r="S54" s="15"/>
      <c r="AA54" s="17"/>
      <c r="AB54" s="15"/>
      <c r="AG54" s="17"/>
      <c r="AH54" s="15"/>
      <c r="AK54" s="17"/>
      <c r="AL54" s="138">
        <f>STDEVP(AL13:AL14)</f>
        <v>5.1042246298469603E-3</v>
      </c>
      <c r="AM54" s="139">
        <f>STDEVP(AM13:AM14)</f>
        <v>1.0587851218678982E-3</v>
      </c>
      <c r="AN54" s="139">
        <f>STDEVP(AN13:AN14)</f>
        <v>4.4222686610940745E-3</v>
      </c>
      <c r="AO54" s="139"/>
      <c r="AP54" s="139">
        <f>STDEVP(AP13:AP14)</f>
        <v>2.2554238074844944E-2</v>
      </c>
      <c r="AS54" s="139">
        <f>STDEVP(AS13:AS14)</f>
        <v>0</v>
      </c>
      <c r="AT54" s="139">
        <f>STDEVP(AT13:AT14)</f>
        <v>0</v>
      </c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 s="139">
        <f>STDEVP(BV13:BV14)</f>
        <v>0</v>
      </c>
      <c r="BW54" s="139">
        <f>STDEVP(BW13:BW14)</f>
        <v>0</v>
      </c>
    </row>
    <row r="55" spans="1:78" s="16" customFormat="1">
      <c r="A55" s="15"/>
      <c r="B55" s="15"/>
      <c r="D55" s="140">
        <v>1</v>
      </c>
      <c r="E55" s="17"/>
      <c r="F55" s="15"/>
      <c r="J55" s="17"/>
      <c r="K55" s="15"/>
      <c r="R55" s="17"/>
      <c r="S55" s="15"/>
      <c r="AA55" s="17"/>
      <c r="AB55" s="15"/>
      <c r="AG55" s="17"/>
      <c r="AH55" s="15"/>
      <c r="AK55" s="17"/>
      <c r="AL55" s="138">
        <f>STDEVP(AL15)</f>
        <v>0</v>
      </c>
      <c r="AM55" s="139">
        <f>STDEVP(AM15)</f>
        <v>0</v>
      </c>
      <c r="AN55" s="139">
        <f>STDEVP(AN15)</f>
        <v>0</v>
      </c>
      <c r="AO55" s="139"/>
      <c r="AP55" s="139">
        <f>STDEVP(AP15)</f>
        <v>0</v>
      </c>
      <c r="AS55" s="139" t="e">
        <f>STDEVP(AS15)</f>
        <v>#DIV/0!</v>
      </c>
      <c r="AT55" s="139" t="e">
        <f>STDEVP(AT15)</f>
        <v>#DIV/0!</v>
      </c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 s="139" t="e">
        <f>STDEVP(BV15)</f>
        <v>#DIV/0!</v>
      </c>
      <c r="BW55" s="139" t="e">
        <f>STDEVP(BW15)</f>
        <v>#DIV/0!</v>
      </c>
    </row>
    <row r="56" spans="1:78" s="16" customFormat="1">
      <c r="A56" s="15"/>
      <c r="B56" s="15"/>
      <c r="E56" s="17"/>
      <c r="F56" s="15"/>
      <c r="J56" s="17"/>
      <c r="K56" s="15"/>
      <c r="R56" s="17"/>
      <c r="S56" s="15"/>
      <c r="AA56" s="17"/>
      <c r="AB56" s="15"/>
      <c r="AG56" s="17"/>
      <c r="AH56" s="15"/>
      <c r="AK56" s="17"/>
      <c r="AL56" s="138"/>
      <c r="AM56" s="139"/>
      <c r="AN56" s="139"/>
      <c r="AO56" s="139"/>
      <c r="AP56" s="139"/>
      <c r="AT56" s="17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</row>
    <row r="57" spans="1:78" s="16" customFormat="1">
      <c r="A57" s="15"/>
      <c r="B57" s="170" t="s">
        <v>215</v>
      </c>
      <c r="E57" s="17"/>
      <c r="F57" s="15"/>
      <c r="J57" s="17"/>
      <c r="K57" s="15"/>
      <c r="R57" s="17"/>
      <c r="S57" s="15"/>
      <c r="AA57" s="17"/>
      <c r="AB57" s="15"/>
      <c r="AG57" s="17"/>
      <c r="AH57" s="15"/>
      <c r="AK57" s="17"/>
      <c r="AL57" s="138"/>
      <c r="AM57" s="139"/>
      <c r="AN57" s="139"/>
      <c r="AO57" s="139"/>
      <c r="AP57" s="139"/>
      <c r="AT57" s="1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</row>
    <row r="58" spans="1:78">
      <c r="C58" s="140" t="s">
        <v>250</v>
      </c>
      <c r="D58" s="16" t="s">
        <v>148</v>
      </c>
      <c r="AL58" s="138">
        <f>AL31</f>
        <v>4.5989885791144935E-2</v>
      </c>
      <c r="AM58" s="139">
        <f>AM31</f>
        <v>5.4424080194093075E-2</v>
      </c>
      <c r="AN58" s="139">
        <f>AN31</f>
        <v>7.9758166005828413E-2</v>
      </c>
      <c r="AO58" s="139">
        <f>SUM(AM58:AN58)</f>
        <v>0.13418224619992147</v>
      </c>
      <c r="AP58" s="139">
        <f>AP31</f>
        <v>0.47645186787032423</v>
      </c>
    </row>
    <row r="59" spans="1:78">
      <c r="D59" s="16" t="s">
        <v>149</v>
      </c>
      <c r="AL59" s="138">
        <f>AL45</f>
        <v>7.3241349014595919E-2</v>
      </c>
      <c r="AM59" s="139">
        <f>AM45</f>
        <v>1.3198618238454158E-2</v>
      </c>
      <c r="AN59" s="139">
        <f>AN45</f>
        <v>5.2574828777380844E-2</v>
      </c>
      <c r="AO59" s="139">
        <f t="shared" ref="AO59:AO61" si="21">SUM(AM59:AN59)</f>
        <v>6.5773447015834999E-2</v>
      </c>
      <c r="AP59" s="139">
        <f>AP45</f>
        <v>0.51982142233164197</v>
      </c>
    </row>
    <row r="60" spans="1:78">
      <c r="C60" s="140" t="s">
        <v>249</v>
      </c>
      <c r="D60" s="16" t="s">
        <v>148</v>
      </c>
      <c r="AL60" s="138">
        <f>AL34</f>
        <v>4.3747375157491261E-2</v>
      </c>
      <c r="AM60" s="139">
        <f>AM34</f>
        <v>0.17609943403395803</v>
      </c>
      <c r="AN60" s="139">
        <f>AN34</f>
        <v>0.106953582785033</v>
      </c>
      <c r="AO60" s="139">
        <f t="shared" si="21"/>
        <v>0.28305301681899103</v>
      </c>
      <c r="AP60" s="139">
        <f>AP34</f>
        <v>0.30830120919748172</v>
      </c>
    </row>
    <row r="61" spans="1:78" ht="17" thickBot="1">
      <c r="D61" s="16" t="s">
        <v>149</v>
      </c>
      <c r="AL61" s="138">
        <f>AL48</f>
        <v>4.2710993848305331E-2</v>
      </c>
      <c r="AM61" s="139">
        <f>AM48</f>
        <v>8.9802109785221129E-3</v>
      </c>
      <c r="AN61" s="139">
        <f>AN48</f>
        <v>1.4941216766283204E-2</v>
      </c>
      <c r="AO61" s="139">
        <f t="shared" si="21"/>
        <v>2.3921427744805317E-2</v>
      </c>
      <c r="AP61" s="139">
        <f>AP48</f>
        <v>0.41544001207314096</v>
      </c>
    </row>
    <row r="62" spans="1:78">
      <c r="AL62" s="138"/>
      <c r="AM62" s="139"/>
      <c r="AN62" s="139"/>
      <c r="AO62" s="139"/>
      <c r="AP62" s="139"/>
      <c r="BV62" s="172" t="s">
        <v>216</v>
      </c>
      <c r="BW62" s="173"/>
      <c r="BX62" s="173"/>
      <c r="BY62" s="173"/>
      <c r="BZ62" s="174"/>
    </row>
    <row r="63" spans="1:78">
      <c r="AL63" s="138"/>
      <c r="AM63" s="139">
        <f>AM37</f>
        <v>2.1755273595276681E-6</v>
      </c>
      <c r="AN63" s="139">
        <f>AN37</f>
        <v>2.0159884802670391E-2</v>
      </c>
      <c r="AO63" s="139"/>
      <c r="AP63" s="139"/>
      <c r="BV63" s="15" t="s">
        <v>144</v>
      </c>
      <c r="BW63" s="16" t="s">
        <v>140</v>
      </c>
      <c r="BX63" s="16"/>
      <c r="BY63" s="16" t="s">
        <v>44</v>
      </c>
      <c r="BZ63" s="17" t="s">
        <v>168</v>
      </c>
    </row>
    <row r="64" spans="1:78">
      <c r="C64" s="16" t="s">
        <v>146</v>
      </c>
      <c r="D64" s="160" t="s">
        <v>155</v>
      </c>
      <c r="AL64" s="138"/>
      <c r="AM64" s="139">
        <f>AM51</f>
        <v>0</v>
      </c>
      <c r="AN64" s="139">
        <f>AN51</f>
        <v>0</v>
      </c>
      <c r="AO64" s="181">
        <f>AO58/AO59</f>
        <v>2.0400671135210082</v>
      </c>
      <c r="AP64" s="139"/>
      <c r="BV64" s="37">
        <f>BN31</f>
        <v>0.2087044577483993</v>
      </c>
      <c r="BW64" s="166">
        <f>BR31</f>
        <v>0.11901246219809293</v>
      </c>
      <c r="BX64" s="166">
        <f>BJ31</f>
        <v>0.32771691994649221</v>
      </c>
      <c r="BY64" s="16"/>
      <c r="BZ64" s="17"/>
    </row>
    <row r="65" spans="3:78">
      <c r="D65" s="160" t="s">
        <v>156</v>
      </c>
      <c r="AM65" s="169">
        <f>AM40</f>
        <v>1.4509129452232983E-2</v>
      </c>
      <c r="AN65" s="169">
        <f>AN40</f>
        <v>2.5578465292082596E-2</v>
      </c>
      <c r="BV65" s="37">
        <f>BO31</f>
        <v>0.11964683594599658</v>
      </c>
      <c r="BW65" s="166">
        <f>BS31</f>
        <v>8.1713678924922359E-2</v>
      </c>
      <c r="BX65" s="166">
        <f>BK31</f>
        <v>0.20136051487091897</v>
      </c>
      <c r="BY65" s="16"/>
      <c r="BZ65" s="17"/>
    </row>
    <row r="66" spans="3:78">
      <c r="D66" s="160" t="s">
        <v>157</v>
      </c>
      <c r="AM66" s="169">
        <f>AM54</f>
        <v>1.0587851218678982E-3</v>
      </c>
      <c r="AN66" s="169">
        <f>AN54</f>
        <v>4.4222686610940745E-3</v>
      </c>
      <c r="BV66" s="37">
        <f>BP31</f>
        <v>0.15867005876690501</v>
      </c>
      <c r="BW66" s="166">
        <f>BT31</f>
        <v>5.0632030756504742E-2</v>
      </c>
      <c r="BX66" s="166">
        <f>BL31</f>
        <v>0.20930208952340978</v>
      </c>
      <c r="BY66" s="169">
        <f>BV31</f>
        <v>0.59016079984468117</v>
      </c>
      <c r="BZ66" s="17"/>
    </row>
    <row r="67" spans="3:78">
      <c r="D67" s="160" t="s">
        <v>158</v>
      </c>
      <c r="BV67" s="37">
        <f>BQ31</f>
        <v>7.1544402768703346E-3</v>
      </c>
      <c r="BW67" s="166">
        <f>BU31</f>
        <v>5.5215391913676004E-3</v>
      </c>
      <c r="BX67" s="166">
        <f>BM31</f>
        <v>1.2675979468237933E-2</v>
      </c>
      <c r="BY67" s="16"/>
      <c r="BZ67" s="17"/>
    </row>
    <row r="68" spans="3:78">
      <c r="C68" s="16" t="s">
        <v>147</v>
      </c>
      <c r="D68" s="160" t="s">
        <v>155</v>
      </c>
      <c r="BV68" s="37">
        <f>BN34</f>
        <v>0.24750772128292248</v>
      </c>
      <c r="BW68" s="166">
        <f>BR34</f>
        <v>0.31464267153412651</v>
      </c>
      <c r="BX68" s="166">
        <f>BJ34</f>
        <v>0.56215039281704893</v>
      </c>
      <c r="BY68" s="16"/>
      <c r="BZ68" s="17"/>
    </row>
    <row r="69" spans="3:78">
      <c r="D69" s="160" t="s">
        <v>156</v>
      </c>
      <c r="BV69" s="37">
        <f>BO34</f>
        <v>0.13907718996642449</v>
      </c>
      <c r="BW69" s="166">
        <f>BS34</f>
        <v>0.21440421617865937</v>
      </c>
      <c r="BX69" s="166">
        <f>BK34</f>
        <v>0.35348140614508389</v>
      </c>
      <c r="BY69" s="16"/>
      <c r="BZ69" s="17"/>
    </row>
    <row r="70" spans="3:78">
      <c r="D70" s="160" t="s">
        <v>157</v>
      </c>
      <c r="BV70" s="37">
        <f>BP34</f>
        <v>0.22372178530047085</v>
      </c>
      <c r="BW70" s="166">
        <f>BT34</f>
        <v>0.18585387180015778</v>
      </c>
      <c r="BX70" s="166">
        <f>BL34</f>
        <v>0.40957565710062865</v>
      </c>
      <c r="BY70" s="169">
        <f>BV34</f>
        <v>0.39694727054176759</v>
      </c>
      <c r="BZ70" s="17"/>
    </row>
    <row r="71" spans="3:78">
      <c r="D71" s="160" t="s">
        <v>158</v>
      </c>
      <c r="BV71" s="37">
        <f>BQ34</f>
        <v>2.3026699616041642E-2</v>
      </c>
      <c r="BW71" s="166">
        <f>BU34</f>
        <v>7.9764799685517002E-2</v>
      </c>
      <c r="BX71" s="166">
        <f>BM34</f>
        <v>0.10279149930155865</v>
      </c>
      <c r="BY71" s="166"/>
      <c r="BZ71" s="17"/>
    </row>
    <row r="72" spans="3:78">
      <c r="BV72" s="15"/>
      <c r="BW72" s="16"/>
      <c r="BX72" s="16"/>
      <c r="BY72" s="16"/>
      <c r="BZ72" s="17"/>
    </row>
    <row r="73" spans="3:78">
      <c r="C73" s="16" t="s">
        <v>155</v>
      </c>
      <c r="D73" s="160" t="s">
        <v>146</v>
      </c>
      <c r="BV73" s="37">
        <f>BV64</f>
        <v>0.2087044577483993</v>
      </c>
      <c r="BW73" s="166">
        <f>BW64</f>
        <v>0.11901246219809293</v>
      </c>
      <c r="BX73" s="166">
        <f>BX64</f>
        <v>0.32771691994649221</v>
      </c>
      <c r="BY73" s="166">
        <f>BY64</f>
        <v>0</v>
      </c>
      <c r="BZ73" s="175">
        <v>8.7907914424870129E-2</v>
      </c>
    </row>
    <row r="74" spans="3:78">
      <c r="D74" s="160" t="s">
        <v>147</v>
      </c>
      <c r="BV74" s="37">
        <f>BV68</f>
        <v>0.24750772128292248</v>
      </c>
      <c r="BW74" s="166">
        <f>BW68</f>
        <v>0.31464267153412651</v>
      </c>
      <c r="BX74" s="166">
        <f>BX68</f>
        <v>0.56215039281704893</v>
      </c>
      <c r="BY74" s="166">
        <f>BY68</f>
        <v>0</v>
      </c>
      <c r="BZ74" s="175">
        <v>6.4245974203920614E-2</v>
      </c>
    </row>
    <row r="75" spans="3:78">
      <c r="C75" s="16" t="s">
        <v>156</v>
      </c>
      <c r="D75" s="160" t="s">
        <v>146</v>
      </c>
      <c r="BV75" s="37">
        <f>BV65</f>
        <v>0.11964683594599658</v>
      </c>
      <c r="BW75" s="166">
        <f>BW65</f>
        <v>8.1713678924922359E-2</v>
      </c>
      <c r="BX75" s="166">
        <f>BX65</f>
        <v>0.20136051487091897</v>
      </c>
      <c r="BY75" s="166">
        <f>BY65</f>
        <v>0</v>
      </c>
      <c r="BZ75" s="17"/>
    </row>
    <row r="76" spans="3:78">
      <c r="D76" s="160" t="s">
        <v>147</v>
      </c>
      <c r="BV76" s="37">
        <f>BV69</f>
        <v>0.13907718996642449</v>
      </c>
      <c r="BW76" s="166">
        <f>BW69</f>
        <v>0.21440421617865937</v>
      </c>
      <c r="BX76" s="166">
        <f>BX69</f>
        <v>0.35348140614508389</v>
      </c>
      <c r="BY76" s="166">
        <f>BY69</f>
        <v>0</v>
      </c>
      <c r="BZ76" s="17"/>
    </row>
    <row r="77" spans="3:78">
      <c r="C77" s="16" t="s">
        <v>157</v>
      </c>
      <c r="D77" s="160" t="s">
        <v>146</v>
      </c>
      <c r="BV77" s="37">
        <f>BV66</f>
        <v>0.15867005876690501</v>
      </c>
      <c r="BW77" s="166">
        <f>BW66</f>
        <v>5.0632030756504742E-2</v>
      </c>
      <c r="BX77" s="166">
        <f>BX66</f>
        <v>0.20930208952340978</v>
      </c>
      <c r="BY77" s="166">
        <f>BY66</f>
        <v>0.59016079984468117</v>
      </c>
      <c r="BZ77" s="17"/>
    </row>
    <row r="78" spans="3:78">
      <c r="D78" s="160" t="s">
        <v>147</v>
      </c>
      <c r="BV78" s="37">
        <f>BV70</f>
        <v>0.22372178530047085</v>
      </c>
      <c r="BW78" s="166">
        <f>BW70</f>
        <v>0.18585387180015778</v>
      </c>
      <c r="BX78" s="166">
        <f>BX70</f>
        <v>0.40957565710062865</v>
      </c>
      <c r="BY78" s="166">
        <f>BY70</f>
        <v>0.39694727054176759</v>
      </c>
      <c r="BZ78" s="17"/>
    </row>
    <row r="79" spans="3:78">
      <c r="C79" s="16" t="s">
        <v>158</v>
      </c>
      <c r="D79" s="160" t="s">
        <v>146</v>
      </c>
      <c r="BV79" s="37">
        <f>BV67</f>
        <v>7.1544402768703346E-3</v>
      </c>
      <c r="BW79" s="166">
        <f>BW67</f>
        <v>5.5215391913676004E-3</v>
      </c>
      <c r="BX79" s="166">
        <f>BX67</f>
        <v>1.2675979468237933E-2</v>
      </c>
      <c r="BY79" s="166">
        <f>BY67</f>
        <v>0</v>
      </c>
      <c r="BZ79" s="17"/>
    </row>
    <row r="80" spans="3:78" ht="17" thickBot="1">
      <c r="D80" s="160" t="s">
        <v>147</v>
      </c>
      <c r="BV80" s="176">
        <f>BV71</f>
        <v>2.3026699616041642E-2</v>
      </c>
      <c r="BW80" s="177">
        <f>BW71</f>
        <v>7.9764799685517002E-2</v>
      </c>
      <c r="BX80" s="177">
        <f>BX71</f>
        <v>0.10279149930155865</v>
      </c>
      <c r="BY80" s="177">
        <f>BY71</f>
        <v>0</v>
      </c>
      <c r="BZ80" s="178"/>
    </row>
    <row r="81" spans="3:74">
      <c r="C81" s="16" t="s">
        <v>161</v>
      </c>
      <c r="BV81" s="155"/>
    </row>
    <row r="83" spans="3:74">
      <c r="AU83" t="s">
        <v>67</v>
      </c>
      <c r="AV83" t="s">
        <v>81</v>
      </c>
      <c r="AW83" t="s">
        <v>141</v>
      </c>
      <c r="AX83" t="s">
        <v>142</v>
      </c>
      <c r="AY83" t="s">
        <v>82</v>
      </c>
      <c r="AZ83" t="s">
        <v>67</v>
      </c>
      <c r="BA83" t="s">
        <v>81</v>
      </c>
      <c r="BB83" t="s">
        <v>141</v>
      </c>
      <c r="BC83" t="s">
        <v>142</v>
      </c>
      <c r="BD83" t="s">
        <v>82</v>
      </c>
      <c r="BE83" t="s">
        <v>67</v>
      </c>
      <c r="BF83" t="s">
        <v>81</v>
      </c>
      <c r="BG83" t="s">
        <v>141</v>
      </c>
      <c r="BH83" t="s">
        <v>142</v>
      </c>
      <c r="BI83" t="s">
        <v>82</v>
      </c>
    </row>
    <row r="84" spans="3:74">
      <c r="C84" s="16" t="s">
        <v>140</v>
      </c>
      <c r="D84" s="140" t="s">
        <v>146</v>
      </c>
      <c r="AU84" s="3">
        <f>AU31</f>
        <v>74.626865386962891</v>
      </c>
      <c r="AV84" s="3">
        <f t="shared" ref="AV84:BI84" si="22">AV31</f>
        <v>9.8783903121948242</v>
      </c>
      <c r="AW84" s="3">
        <f t="shared" si="22"/>
        <v>3.2323814630508423</v>
      </c>
      <c r="AX84" s="3">
        <f t="shared" si="22"/>
        <v>0.8840671181678772</v>
      </c>
      <c r="AY84" s="3">
        <f t="shared" si="22"/>
        <v>11.378295719623566</v>
      </c>
      <c r="BE84" s="3">
        <f t="shared" si="22"/>
        <v>72.463526961161861</v>
      </c>
      <c r="BF84" s="3">
        <f t="shared" si="22"/>
        <v>8.5838787636896452</v>
      </c>
      <c r="BG84" s="3">
        <f t="shared" si="22"/>
        <v>4.7118197600015934</v>
      </c>
      <c r="BH84" s="3">
        <f t="shared" si="22"/>
        <v>0.71568917729900261</v>
      </c>
      <c r="BI84" s="3">
        <f t="shared" si="22"/>
        <v>13.525085337847914</v>
      </c>
    </row>
    <row r="85" spans="3:74">
      <c r="D85" s="140" t="s">
        <v>147</v>
      </c>
      <c r="AU85" s="3">
        <f>AU34</f>
        <v>66.452838897705078</v>
      </c>
      <c r="AV85" s="3">
        <f>AV34</f>
        <v>8.7300734519958496</v>
      </c>
      <c r="AW85" s="3">
        <f>AW34</f>
        <v>3.9963363409042358</v>
      </c>
      <c r="AX85" s="3">
        <f>AX34</f>
        <v>4.3015949726104736</v>
      </c>
      <c r="AY85" s="3">
        <f>AY34</f>
        <v>16.519156336784363</v>
      </c>
      <c r="AZ85" s="3">
        <f t="shared" ref="AZ85:BI85" si="23">AZ32</f>
        <v>0</v>
      </c>
      <c r="BA85" s="3">
        <f t="shared" si="23"/>
        <v>0</v>
      </c>
      <c r="BB85" s="3">
        <f t="shared" si="23"/>
        <v>0</v>
      </c>
      <c r="BC85" s="3">
        <f t="shared" si="23"/>
        <v>0</v>
      </c>
      <c r="BD85" s="3">
        <f t="shared" si="23"/>
        <v>0</v>
      </c>
      <c r="BE85" s="3">
        <f t="shared" si="23"/>
        <v>0</v>
      </c>
      <c r="BF85" s="3">
        <f t="shared" si="23"/>
        <v>0</v>
      </c>
      <c r="BG85" s="3">
        <f t="shared" si="23"/>
        <v>0</v>
      </c>
      <c r="BH85" s="3">
        <f t="shared" si="23"/>
        <v>0</v>
      </c>
      <c r="BI85" s="3">
        <f t="shared" si="23"/>
        <v>0</v>
      </c>
    </row>
    <row r="86" spans="3:74">
      <c r="C86" s="16" t="s">
        <v>144</v>
      </c>
      <c r="D86" s="140" t="s">
        <v>162</v>
      </c>
      <c r="AU86" s="3">
        <f>AZ31</f>
        <v>71.285137176513672</v>
      </c>
      <c r="AV86" s="3">
        <f>BA31</f>
        <v>7.8787467479705811</v>
      </c>
      <c r="AW86" s="3">
        <f>BB31</f>
        <v>5.5176830291748047</v>
      </c>
      <c r="AX86" s="3">
        <f>BC31</f>
        <v>0.62397220730781555</v>
      </c>
      <c r="AY86" s="3">
        <f>BD31</f>
        <v>14.694460839033127</v>
      </c>
      <c r="AZ86" s="3">
        <f t="shared" ref="AZ86:BI86" si="24">AZ33</f>
        <v>0</v>
      </c>
      <c r="BA86" s="3">
        <f t="shared" si="24"/>
        <v>0</v>
      </c>
      <c r="BB86" s="3">
        <f t="shared" si="24"/>
        <v>0</v>
      </c>
      <c r="BC86" s="3">
        <f t="shared" si="24"/>
        <v>0</v>
      </c>
      <c r="BD86" s="3">
        <f t="shared" si="24"/>
        <v>0</v>
      </c>
      <c r="BE86" s="3">
        <f t="shared" si="24"/>
        <v>0</v>
      </c>
      <c r="BF86" s="3">
        <f t="shared" si="24"/>
        <v>0</v>
      </c>
      <c r="BG86" s="3">
        <f t="shared" si="24"/>
        <v>0</v>
      </c>
      <c r="BH86" s="3">
        <f t="shared" si="24"/>
        <v>0</v>
      </c>
      <c r="BI86" s="3">
        <f t="shared" si="24"/>
        <v>0</v>
      </c>
    </row>
    <row r="87" spans="3:74">
      <c r="D87" s="140" t="s">
        <v>147</v>
      </c>
      <c r="AU87" s="3">
        <f>AZ34</f>
        <v>63.735157012939453</v>
      </c>
      <c r="AV87" s="3">
        <f>BA34</f>
        <v>6.9045419692993164</v>
      </c>
      <c r="AW87" s="3">
        <f>BB34</f>
        <v>5.8653385639190674</v>
      </c>
      <c r="AX87" s="3">
        <f>BC34</f>
        <v>1.5140643119812012</v>
      </c>
      <c r="AY87" s="3">
        <f>BD34</f>
        <v>21.980898141860962</v>
      </c>
      <c r="BE87" s="3">
        <f>BE34</f>
        <v>65.228246672890918</v>
      </c>
      <c r="BF87" s="3">
        <f>BF34</f>
        <v>7.9074857634237468</v>
      </c>
      <c r="BG87" s="3">
        <f>BG34</f>
        <v>4.8385120213230373</v>
      </c>
      <c r="BH87" s="3">
        <f>BH34</f>
        <v>3.0455287668587774</v>
      </c>
      <c r="BI87" s="3">
        <f>BI34</f>
        <v>18.980226775503525</v>
      </c>
    </row>
    <row r="88" spans="3:74">
      <c r="AY88" s="3"/>
    </row>
  </sheetData>
  <mergeCells count="22">
    <mergeCell ref="BE4:BI4"/>
    <mergeCell ref="AJ4:AK4"/>
    <mergeCell ref="AM4:AN4"/>
    <mergeCell ref="AQ4:AT4"/>
    <mergeCell ref="AU4:AY4"/>
    <mergeCell ref="AZ4:BD4"/>
    <mergeCell ref="AL3:AT3"/>
    <mergeCell ref="AU3:BC3"/>
    <mergeCell ref="L4:N4"/>
    <mergeCell ref="O4:Q4"/>
    <mergeCell ref="T4:U4"/>
    <mergeCell ref="V4:W4"/>
    <mergeCell ref="X4:Y4"/>
    <mergeCell ref="Z4:AA4"/>
    <mergeCell ref="AB4:AD4"/>
    <mergeCell ref="AE4:AG4"/>
    <mergeCell ref="AH3:AK3"/>
    <mergeCell ref="B3:E3"/>
    <mergeCell ref="F3:J3"/>
    <mergeCell ref="K3:R3"/>
    <mergeCell ref="S3:AA3"/>
    <mergeCell ref="AB3:AG3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"/>
  <sheetViews>
    <sheetView workbookViewId="0">
      <selection activeCell="A2" sqref="A2:F25"/>
    </sheetView>
  </sheetViews>
  <sheetFormatPr baseColWidth="10" defaultRowHeight="15" x14ac:dyDescent="0"/>
  <cols>
    <col min="1" max="1" width="15.33203125" bestFit="1" customWidth="1"/>
  </cols>
  <sheetData>
    <row r="2" spans="1:16">
      <c r="A2" t="s">
        <v>0</v>
      </c>
      <c r="C2">
        <f>C19+C13+C4-C11-C12*40</f>
        <v>7139.26</v>
      </c>
      <c r="D2" t="s">
        <v>20</v>
      </c>
      <c r="E2" t="s">
        <v>15</v>
      </c>
      <c r="F2" s="3">
        <f>F12/8*100</f>
        <v>6436.4343749999989</v>
      </c>
    </row>
    <row r="3" spans="1:16">
      <c r="A3" t="s">
        <v>6</v>
      </c>
      <c r="B3" t="s">
        <v>12</v>
      </c>
      <c r="C3">
        <v>1000</v>
      </c>
    </row>
    <row r="4" spans="1:16">
      <c r="A4" t="s">
        <v>1</v>
      </c>
      <c r="B4" t="s">
        <v>12</v>
      </c>
      <c r="C4">
        <v>2860</v>
      </c>
      <c r="H4">
        <f>C4/C19*H19</f>
        <v>14.630864960032202</v>
      </c>
    </row>
    <row r="5" spans="1:16">
      <c r="A5" t="s">
        <v>2</v>
      </c>
      <c r="B5" t="s">
        <v>13</v>
      </c>
      <c r="C5">
        <v>86500</v>
      </c>
      <c r="D5" t="s">
        <v>18</v>
      </c>
      <c r="E5" t="s">
        <v>15</v>
      </c>
      <c r="F5" s="3">
        <f>C5*C4/1000/1000</f>
        <v>247.39</v>
      </c>
      <c r="J5">
        <f>1512*50</f>
        <v>75600</v>
      </c>
      <c r="L5">
        <v>12.0303</v>
      </c>
      <c r="M5">
        <v>21.412600000000001</v>
      </c>
      <c r="N5">
        <v>14.8429</v>
      </c>
      <c r="O5" s="2">
        <f>(N5-L5)/(M5-L5)*1000*1000</f>
        <v>299777.24012235802</v>
      </c>
    </row>
    <row r="6" spans="1:16">
      <c r="A6" t="s">
        <v>3</v>
      </c>
      <c r="B6" t="s">
        <v>13</v>
      </c>
      <c r="C6">
        <v>0</v>
      </c>
      <c r="D6" t="s">
        <v>18</v>
      </c>
      <c r="E6" t="s">
        <v>15</v>
      </c>
      <c r="F6" s="3">
        <f>C6*C4/1000/1000</f>
        <v>0</v>
      </c>
      <c r="J6">
        <v>0</v>
      </c>
      <c r="L6">
        <v>12.6463</v>
      </c>
      <c r="M6">
        <v>20.849599999999999</v>
      </c>
      <c r="N6">
        <v>14.591900000000001</v>
      </c>
      <c r="O6" s="2">
        <f>(N6-L6)/(M6-L6)*1000*1000</f>
        <v>237172.84507454329</v>
      </c>
      <c r="P6">
        <f>O6/1000</f>
        <v>237.17284507454329</v>
      </c>
    </row>
    <row r="7" spans="1:16">
      <c r="A7" t="s">
        <v>4</v>
      </c>
      <c r="B7" t="s">
        <v>13</v>
      </c>
      <c r="C7">
        <f>C5-C6</f>
        <v>86500</v>
      </c>
      <c r="D7" t="s">
        <v>18</v>
      </c>
      <c r="E7" t="s">
        <v>15</v>
      </c>
      <c r="F7" s="3">
        <f>C7*C4/1000/1000</f>
        <v>247.39</v>
      </c>
      <c r="J7">
        <f>J5-J6</f>
        <v>75600</v>
      </c>
    </row>
    <row r="8" spans="1:16">
      <c r="A8" t="s">
        <v>5</v>
      </c>
      <c r="B8" t="s">
        <v>13</v>
      </c>
      <c r="C8">
        <v>11045</v>
      </c>
      <c r="D8" t="s">
        <v>18</v>
      </c>
      <c r="E8" t="s">
        <v>15</v>
      </c>
      <c r="F8" s="3">
        <f>C8*C4/1000/1000</f>
        <v>31.588699999999999</v>
      </c>
      <c r="J8">
        <f>211.6*50</f>
        <v>10580</v>
      </c>
      <c r="K8">
        <f>J8*6.25</f>
        <v>66125</v>
      </c>
    </row>
    <row r="9" spans="1:16">
      <c r="A9" t="s">
        <v>41</v>
      </c>
      <c r="B9" t="s">
        <v>13</v>
      </c>
      <c r="C9" s="3">
        <f>(1.717+1.726+1.736)/3/((0.545+0.547+0.549)/3)*100*10*10</f>
        <v>31560.024375380868</v>
      </c>
      <c r="D9" t="s">
        <v>18</v>
      </c>
      <c r="E9" t="s">
        <v>15</v>
      </c>
      <c r="F9" s="3">
        <f>C9*C4/1000/1000</f>
        <v>90.261669713589271</v>
      </c>
    </row>
    <row r="10" spans="1:16">
      <c r="A10" t="s">
        <v>7</v>
      </c>
      <c r="C10">
        <v>0.08</v>
      </c>
      <c r="F10" s="3"/>
    </row>
    <row r="11" spans="1:16">
      <c r="A11" t="s">
        <v>8</v>
      </c>
      <c r="B11" t="s">
        <v>12</v>
      </c>
      <c r="C11">
        <v>2100</v>
      </c>
      <c r="F11" s="3"/>
    </row>
    <row r="12" spans="1:16">
      <c r="A12" t="s">
        <v>9</v>
      </c>
      <c r="B12" t="s">
        <v>14</v>
      </c>
      <c r="C12">
        <f>C11*5/1000</f>
        <v>10.5</v>
      </c>
      <c r="D12" t="s">
        <v>19</v>
      </c>
      <c r="E12" t="s">
        <v>15</v>
      </c>
      <c r="F12" s="3">
        <f>98.079*C12/2</f>
        <v>514.91474999999991</v>
      </c>
      <c r="H12">
        <f>C11/(C19)*H19</f>
        <v>10.742942802820847</v>
      </c>
    </row>
    <row r="13" spans="1:16">
      <c r="A13" t="s">
        <v>1</v>
      </c>
      <c r="B13" t="s">
        <v>12</v>
      </c>
      <c r="C13">
        <v>3300</v>
      </c>
      <c r="F13" s="3"/>
    </row>
    <row r="14" spans="1:16">
      <c r="A14" t="s">
        <v>2</v>
      </c>
      <c r="B14" t="s">
        <v>13</v>
      </c>
      <c r="C14">
        <v>56050</v>
      </c>
      <c r="D14" t="s">
        <v>18</v>
      </c>
      <c r="E14" t="s">
        <v>15</v>
      </c>
      <c r="F14" s="3">
        <f>C14*C13/1000/1000</f>
        <v>184.965</v>
      </c>
      <c r="J14">
        <f>1088*50</f>
        <v>54400</v>
      </c>
    </row>
    <row r="15" spans="1:16">
      <c r="A15" t="s">
        <v>3</v>
      </c>
      <c r="B15" t="s">
        <v>13</v>
      </c>
      <c r="C15">
        <v>1.9</v>
      </c>
      <c r="D15" t="s">
        <v>18</v>
      </c>
      <c r="E15" t="s">
        <v>15</v>
      </c>
      <c r="F15" s="3">
        <f>C15*C13/1000/1000</f>
        <v>6.2699999999999995E-3</v>
      </c>
      <c r="J15">
        <v>0</v>
      </c>
    </row>
    <row r="16" spans="1:16">
      <c r="A16" t="s">
        <v>4</v>
      </c>
      <c r="B16" t="s">
        <v>13</v>
      </c>
      <c r="C16">
        <f>C14-C15</f>
        <v>56048.1</v>
      </c>
      <c r="D16" t="s">
        <v>18</v>
      </c>
      <c r="E16" t="s">
        <v>15</v>
      </c>
      <c r="F16" s="3">
        <f>C16*C13/1000/1000</f>
        <v>184.95873</v>
      </c>
      <c r="J16">
        <f>J14-J15</f>
        <v>54400</v>
      </c>
    </row>
    <row r="17" spans="1:11">
      <c r="A17" t="s">
        <v>5</v>
      </c>
      <c r="B17" t="s">
        <v>13</v>
      </c>
      <c r="C17">
        <v>6430</v>
      </c>
      <c r="D17" t="s">
        <v>18</v>
      </c>
      <c r="E17" t="s">
        <v>15</v>
      </c>
      <c r="F17" s="3">
        <f>C17*C13/1000/1000</f>
        <v>21.219000000000001</v>
      </c>
      <c r="J17">
        <f>128.9*50</f>
        <v>6445</v>
      </c>
      <c r="K17">
        <f>J17*6.25</f>
        <v>40281.25</v>
      </c>
    </row>
    <row r="18" spans="1:11">
      <c r="A18" t="s">
        <v>41</v>
      </c>
      <c r="B18" t="s">
        <v>13</v>
      </c>
      <c r="C18" s="3">
        <f>(0.889+0.887)/2/((0.545+0.547+0.549)/3)*100*10*10</f>
        <v>16234.003656307126</v>
      </c>
      <c r="D18" t="s">
        <v>18</v>
      </c>
      <c r="E18" t="s">
        <v>15</v>
      </c>
      <c r="F18" s="3">
        <f>C18*C13/1000/1000</f>
        <v>53.572212065813517</v>
      </c>
    </row>
    <row r="19" spans="1:11">
      <c r="A19" t="s">
        <v>10</v>
      </c>
      <c r="B19" t="s">
        <v>15</v>
      </c>
      <c r="C19">
        <f>1774.84-49.97+1824.28-49.89</f>
        <v>3499.2599999999998</v>
      </c>
      <c r="H19">
        <f>H21/C21*C19</f>
        <v>17.901119062951846</v>
      </c>
    </row>
    <row r="20" spans="1:11">
      <c r="A20" t="s">
        <v>11</v>
      </c>
      <c r="B20" t="s">
        <v>16</v>
      </c>
      <c r="C20" s="1">
        <f>1-(20.7681-12.538)/(42.0036-12.538)</f>
        <v>0.7206878529539531</v>
      </c>
    </row>
    <row r="21" spans="1:11">
      <c r="A21" t="s">
        <v>17</v>
      </c>
      <c r="B21" t="s">
        <v>15</v>
      </c>
      <c r="C21" s="3">
        <f>C19*(1-C20)</f>
        <v>977.38582367235006</v>
      </c>
      <c r="H21">
        <v>5</v>
      </c>
    </row>
    <row r="22" spans="1:11">
      <c r="A22" t="s">
        <v>186</v>
      </c>
      <c r="C22" s="3">
        <f>F14+F5</f>
        <v>432.35500000000002</v>
      </c>
    </row>
    <row r="23" spans="1:11">
      <c r="A23" t="s">
        <v>187</v>
      </c>
      <c r="C23" s="3">
        <f>F8+F17</f>
        <v>52.807699999999997</v>
      </c>
    </row>
    <row r="24" spans="1:11">
      <c r="A24" t="s">
        <v>188</v>
      </c>
      <c r="C24" s="3">
        <f>F18+F9</f>
        <v>143.83388177940279</v>
      </c>
      <c r="H24">
        <f>H19+H12+H4</f>
        <v>43.274926825804897</v>
      </c>
    </row>
    <row r="26" spans="1:11">
      <c r="C26">
        <f>(C13-C11)*J5/C13</f>
        <v>27490.909090909092</v>
      </c>
    </row>
    <row r="31" spans="1:11">
      <c r="C31">
        <f>C13/C21</f>
        <v>3.376353452315124</v>
      </c>
      <c r="D31">
        <f>C4/C21*(J5/J14)</f>
        <v>4.0665198197736565</v>
      </c>
      <c r="E31">
        <f>C4/C21*(J8/J17)</f>
        <v>4.8035547331928852</v>
      </c>
      <c r="F31">
        <f>(C31+D31)*5</f>
        <v>37.214366360443904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2"/>
  <sheetViews>
    <sheetView workbookViewId="0">
      <pane xSplit="8" ySplit="4" topLeftCell="I11" activePane="bottomRight" state="frozen"/>
      <selection pane="topRight" activeCell="F1" sqref="F1"/>
      <selection pane="bottomLeft" activeCell="A4" sqref="A4"/>
      <selection pane="bottomRight" activeCell="J45" sqref="J45"/>
    </sheetView>
  </sheetViews>
  <sheetFormatPr baseColWidth="10" defaultRowHeight="15" x14ac:dyDescent="0"/>
  <cols>
    <col min="1" max="1" width="10.83203125" style="9"/>
    <col min="2" max="2" width="6.6640625" style="15" customWidth="1"/>
    <col min="3" max="3" width="10.1640625" style="16" bestFit="1" customWidth="1"/>
    <col min="4" max="5" width="10.1640625" style="16" customWidth="1"/>
    <col min="6" max="6" width="10.5" style="16" bestFit="1" customWidth="1"/>
    <col min="7" max="7" width="10.5" style="16" customWidth="1"/>
    <col min="8" max="8" width="8.5" style="17" bestFit="1" customWidth="1"/>
    <col min="9" max="9" width="6.1640625" style="15" customWidth="1"/>
    <col min="10" max="16" width="6.1640625" style="16" customWidth="1"/>
    <col min="17" max="17" width="6.1640625" style="17" customWidth="1"/>
    <col min="18" max="18" width="10.83203125" style="15"/>
    <col min="19" max="27" width="10.83203125" style="16"/>
    <col min="28" max="28" width="10.83203125" style="17"/>
    <col min="29" max="29" width="10.83203125" style="15"/>
    <col min="30" max="33" width="10.83203125" style="16"/>
    <col min="34" max="34" width="10.83203125" style="17"/>
    <col min="35" max="35" width="10.83203125" style="15"/>
    <col min="36" max="37" width="10.83203125" style="16"/>
    <col min="38" max="38" width="10.83203125" style="17"/>
    <col min="39" max="39" width="10.83203125" style="15"/>
    <col min="40" max="47" width="10.83203125" style="16"/>
    <col min="48" max="48" width="10.83203125" style="17"/>
  </cols>
  <sheetData>
    <row r="1" spans="1:51">
      <c r="A1" s="7" t="s">
        <v>37</v>
      </c>
      <c r="B1" s="204" t="s">
        <v>48</v>
      </c>
      <c r="C1" s="205"/>
      <c r="D1" s="205"/>
      <c r="E1" s="205"/>
      <c r="F1" s="205"/>
      <c r="G1" s="205"/>
      <c r="H1" s="206"/>
      <c r="I1" s="204" t="s">
        <v>47</v>
      </c>
      <c r="J1" s="205"/>
      <c r="K1" s="205"/>
      <c r="L1" s="205"/>
      <c r="M1" s="205"/>
      <c r="N1" s="205"/>
      <c r="O1" s="205"/>
      <c r="P1" s="205"/>
      <c r="Q1" s="206"/>
      <c r="R1" s="204" t="s">
        <v>76</v>
      </c>
      <c r="S1" s="205"/>
      <c r="T1" s="205"/>
      <c r="U1" s="205"/>
      <c r="V1" s="205"/>
      <c r="W1" s="205"/>
      <c r="X1" s="205"/>
      <c r="Y1" s="205"/>
      <c r="Z1" s="205"/>
      <c r="AA1" s="205"/>
      <c r="AB1" s="206"/>
      <c r="AC1" s="204" t="s">
        <v>58</v>
      </c>
      <c r="AD1" s="205"/>
      <c r="AE1" s="205"/>
      <c r="AF1" s="205"/>
      <c r="AG1" s="205"/>
      <c r="AH1" s="206"/>
      <c r="AI1" s="204" t="s">
        <v>63</v>
      </c>
      <c r="AJ1" s="205"/>
      <c r="AK1" s="205"/>
      <c r="AL1" s="206"/>
      <c r="AM1" s="204" t="s">
        <v>69</v>
      </c>
      <c r="AN1" s="205"/>
      <c r="AO1" s="205"/>
      <c r="AP1" s="205"/>
      <c r="AQ1" s="205"/>
      <c r="AR1" s="205"/>
      <c r="AS1" s="205"/>
      <c r="AT1" s="205"/>
      <c r="AU1" s="205"/>
      <c r="AV1" s="206"/>
    </row>
    <row r="2" spans="1:51">
      <c r="A2" s="8"/>
      <c r="B2" s="10" t="s">
        <v>49</v>
      </c>
      <c r="C2" s="11" t="s">
        <v>21</v>
      </c>
      <c r="D2" s="18" t="s">
        <v>109</v>
      </c>
      <c r="E2" s="18" t="s">
        <v>110</v>
      </c>
      <c r="F2" s="11" t="s">
        <v>22</v>
      </c>
      <c r="G2" s="209" t="s">
        <v>79</v>
      </c>
      <c r="H2" s="12" t="s">
        <v>23</v>
      </c>
      <c r="I2" s="10" t="s">
        <v>45</v>
      </c>
      <c r="J2" s="207" t="s">
        <v>35</v>
      </c>
      <c r="K2" s="207"/>
      <c r="L2" s="207"/>
      <c r="M2" s="207" t="s">
        <v>74</v>
      </c>
      <c r="N2" s="207"/>
      <c r="O2" s="207"/>
      <c r="P2" s="207" t="s">
        <v>75</v>
      </c>
      <c r="Q2" s="208"/>
      <c r="R2" s="10" t="s">
        <v>24</v>
      </c>
      <c r="S2" s="207" t="s">
        <v>50</v>
      </c>
      <c r="T2" s="207"/>
      <c r="U2" s="207" t="s">
        <v>53</v>
      </c>
      <c r="V2" s="207"/>
      <c r="W2" s="207" t="s">
        <v>39</v>
      </c>
      <c r="X2" s="207"/>
      <c r="Y2" s="207" t="s">
        <v>56</v>
      </c>
      <c r="Z2" s="207"/>
      <c r="AA2" s="207" t="s">
        <v>57</v>
      </c>
      <c r="AB2" s="208"/>
      <c r="AC2" s="210" t="s">
        <v>44</v>
      </c>
      <c r="AD2" s="207"/>
      <c r="AE2" s="207"/>
      <c r="AF2" s="207" t="s">
        <v>61</v>
      </c>
      <c r="AG2" s="207"/>
      <c r="AH2" s="208"/>
      <c r="AI2" s="10" t="s">
        <v>64</v>
      </c>
      <c r="AJ2" s="11" t="s">
        <v>65</v>
      </c>
      <c r="AK2" s="207" t="s">
        <v>78</v>
      </c>
      <c r="AL2" s="208"/>
      <c r="AM2" s="10" t="s">
        <v>25</v>
      </c>
      <c r="AN2" s="207" t="s">
        <v>26</v>
      </c>
      <c r="AO2" s="207"/>
      <c r="AP2" s="207"/>
      <c r="AQ2" s="11" t="s">
        <v>27</v>
      </c>
      <c r="AR2" s="207" t="s">
        <v>70</v>
      </c>
      <c r="AS2" s="207"/>
      <c r="AT2" s="207"/>
      <c r="AU2" s="207"/>
      <c r="AV2" s="208"/>
    </row>
    <row r="3" spans="1:51">
      <c r="A3" s="8"/>
      <c r="B3" s="10"/>
      <c r="C3" s="11"/>
      <c r="D3" s="18"/>
      <c r="E3" s="18"/>
      <c r="F3" s="11"/>
      <c r="G3" s="209"/>
      <c r="H3" s="12"/>
      <c r="I3" s="10"/>
      <c r="J3" s="11" t="s">
        <v>71</v>
      </c>
      <c r="K3" s="11" t="s">
        <v>72</v>
      </c>
      <c r="L3" s="11" t="s">
        <v>73</v>
      </c>
      <c r="M3" s="11" t="s">
        <v>71</v>
      </c>
      <c r="N3" s="11" t="s">
        <v>72</v>
      </c>
      <c r="O3" s="11" t="s">
        <v>73</v>
      </c>
      <c r="P3" s="11" t="s">
        <v>71</v>
      </c>
      <c r="Q3" s="12" t="s">
        <v>72</v>
      </c>
      <c r="R3" s="10"/>
      <c r="S3" s="11" t="s">
        <v>51</v>
      </c>
      <c r="T3" s="11" t="s">
        <v>52</v>
      </c>
      <c r="U3" s="11" t="s">
        <v>54</v>
      </c>
      <c r="V3" s="11" t="s">
        <v>55</v>
      </c>
      <c r="W3" s="11" t="s">
        <v>51</v>
      </c>
      <c r="X3" s="11" t="s">
        <v>52</v>
      </c>
      <c r="Y3" s="11" t="s">
        <v>51</v>
      </c>
      <c r="Z3" s="11" t="s">
        <v>52</v>
      </c>
      <c r="AA3" s="11" t="s">
        <v>51</v>
      </c>
      <c r="AB3" s="12" t="s">
        <v>52</v>
      </c>
      <c r="AC3" s="10" t="s">
        <v>51</v>
      </c>
      <c r="AD3" s="11" t="s">
        <v>59</v>
      </c>
      <c r="AE3" s="11" t="s">
        <v>60</v>
      </c>
      <c r="AF3" s="11" t="s">
        <v>28</v>
      </c>
      <c r="AG3" s="11" t="s">
        <v>29</v>
      </c>
      <c r="AH3" s="12" t="s">
        <v>30</v>
      </c>
      <c r="AI3" s="10"/>
      <c r="AJ3" s="11"/>
      <c r="AK3" s="11" t="s">
        <v>36</v>
      </c>
      <c r="AL3" s="12" t="s">
        <v>37</v>
      </c>
      <c r="AM3" s="10"/>
      <c r="AN3" s="11" t="s">
        <v>38</v>
      </c>
      <c r="AO3" s="11" t="s">
        <v>43</v>
      </c>
      <c r="AP3" s="11" t="s">
        <v>40</v>
      </c>
      <c r="AQ3" s="11"/>
      <c r="AR3" s="11" t="s">
        <v>44</v>
      </c>
      <c r="AS3" s="11" t="s">
        <v>28</v>
      </c>
      <c r="AT3" s="11" t="s">
        <v>80</v>
      </c>
      <c r="AU3" s="11" t="s">
        <v>34</v>
      </c>
      <c r="AV3" s="12" t="s">
        <v>30</v>
      </c>
    </row>
    <row r="4" spans="1:51" s="36" customFormat="1" ht="17" thickBot="1">
      <c r="A4" s="32"/>
      <c r="B4" s="33"/>
      <c r="C4" s="34" t="s">
        <v>15</v>
      </c>
      <c r="D4" s="34"/>
      <c r="E4" s="34" t="s">
        <v>15</v>
      </c>
      <c r="F4" s="34" t="s">
        <v>15</v>
      </c>
      <c r="G4" s="34" t="s">
        <v>15</v>
      </c>
      <c r="H4" s="35" t="s">
        <v>15</v>
      </c>
      <c r="I4" s="33" t="s">
        <v>46</v>
      </c>
      <c r="J4" s="34"/>
      <c r="K4" s="34"/>
      <c r="L4" s="34"/>
      <c r="M4" s="34"/>
      <c r="N4" s="34"/>
      <c r="O4" s="34"/>
      <c r="P4" s="34"/>
      <c r="Q4" s="35"/>
      <c r="R4" s="33" t="s">
        <v>62</v>
      </c>
      <c r="S4" s="34" t="s">
        <v>15</v>
      </c>
      <c r="T4" s="34" t="s">
        <v>15</v>
      </c>
      <c r="U4" s="34" t="s">
        <v>15</v>
      </c>
      <c r="V4" s="34" t="s">
        <v>15</v>
      </c>
      <c r="W4" s="34" t="s">
        <v>15</v>
      </c>
      <c r="X4" s="34" t="s">
        <v>15</v>
      </c>
      <c r="Y4" s="34" t="s">
        <v>15</v>
      </c>
      <c r="Z4" s="34" t="s">
        <v>15</v>
      </c>
      <c r="AA4" s="34" t="s">
        <v>15</v>
      </c>
      <c r="AB4" s="35" t="s">
        <v>15</v>
      </c>
      <c r="AC4" s="33" t="s">
        <v>15</v>
      </c>
      <c r="AD4" s="34" t="s">
        <v>15</v>
      </c>
      <c r="AE4" s="34" t="s">
        <v>15</v>
      </c>
      <c r="AF4" s="34" t="s">
        <v>77</v>
      </c>
      <c r="AG4" s="34" t="s">
        <v>77</v>
      </c>
      <c r="AH4" s="35" t="s">
        <v>77</v>
      </c>
      <c r="AI4" s="33" t="s">
        <v>67</v>
      </c>
      <c r="AJ4" s="34" t="s">
        <v>68</v>
      </c>
      <c r="AK4" s="34" t="s">
        <v>66</v>
      </c>
      <c r="AL4" s="35" t="s">
        <v>66</v>
      </c>
      <c r="AM4" s="33"/>
      <c r="AN4" s="34"/>
      <c r="AO4" s="34"/>
      <c r="AP4" s="34"/>
      <c r="AQ4" s="34"/>
      <c r="AR4" s="34"/>
      <c r="AS4" s="34"/>
      <c r="AT4" s="34"/>
      <c r="AU4" s="34"/>
      <c r="AV4" s="35"/>
    </row>
    <row r="5" spans="1:51">
      <c r="A5" s="8">
        <v>1</v>
      </c>
      <c r="B5" s="10" t="s">
        <v>33</v>
      </c>
      <c r="C5" s="13">
        <v>54.41</v>
      </c>
      <c r="D5" s="13" t="s">
        <v>89</v>
      </c>
      <c r="E5" s="13"/>
      <c r="F5" s="13">
        <v>0</v>
      </c>
      <c r="G5" s="13"/>
      <c r="H5" s="14">
        <v>0</v>
      </c>
      <c r="I5" s="22">
        <v>180</v>
      </c>
      <c r="J5" s="21">
        <v>0.6</v>
      </c>
      <c r="K5" s="21">
        <v>0.62638888888888888</v>
      </c>
      <c r="L5" s="21">
        <v>0.64722222222222225</v>
      </c>
      <c r="M5" s="11">
        <v>0</v>
      </c>
      <c r="N5" s="11">
        <v>104</v>
      </c>
      <c r="O5" s="11">
        <v>112</v>
      </c>
      <c r="P5" s="11">
        <v>31</v>
      </c>
      <c r="Q5" s="12">
        <v>300</v>
      </c>
      <c r="R5" s="10"/>
      <c r="S5" s="13"/>
      <c r="T5" s="13"/>
      <c r="U5" s="11"/>
      <c r="V5" s="11"/>
      <c r="W5" s="11"/>
      <c r="X5" s="11"/>
      <c r="Y5" s="11"/>
      <c r="Z5" s="11"/>
      <c r="AA5" s="11"/>
      <c r="AB5" s="12"/>
      <c r="AC5" s="10"/>
      <c r="AD5" s="11"/>
      <c r="AE5" s="11"/>
      <c r="AF5" s="11"/>
      <c r="AG5" s="11"/>
      <c r="AH5" s="12"/>
      <c r="AI5" s="10">
        <f>Q5</f>
        <v>300</v>
      </c>
      <c r="AJ5" s="11">
        <f>MAX(M5:O5)</f>
        <v>112</v>
      </c>
      <c r="AK5" s="26">
        <f>(K5-J5)*24*60</f>
        <v>38.000000000000028</v>
      </c>
      <c r="AL5" s="27">
        <f>(L5-K5)*24*60</f>
        <v>30.000000000000053</v>
      </c>
      <c r="AM5" s="28">
        <f t="shared" ref="AM5:AM16" si="0">(V5-U5)/C5</f>
        <v>0</v>
      </c>
      <c r="AN5" s="29">
        <f>(X5-W5)/C5</f>
        <v>0</v>
      </c>
      <c r="AO5" s="29">
        <f t="shared" ref="AO5:AO16" si="1">(Z5-Y5)/C5</f>
        <v>0</v>
      </c>
      <c r="AP5" s="29">
        <f t="shared" ref="AP5:AP16" si="2">(AB5-AA5)/C5</f>
        <v>0</v>
      </c>
      <c r="AQ5" s="30">
        <f>(100*AI5/1000/8.314/298*44)/C5</f>
        <v>9.7919439993096758E-3</v>
      </c>
      <c r="AR5" s="29"/>
      <c r="AS5" s="29">
        <f t="shared" ref="AS5:AS16" si="3">AF5*(T5-S5-H5)/1000/C5</f>
        <v>0</v>
      </c>
      <c r="AT5" s="29"/>
      <c r="AU5" s="29">
        <f t="shared" ref="AU5:AU18" si="4">(AG5)*(T5-S5-H5)/1000/C5</f>
        <v>0</v>
      </c>
      <c r="AV5" s="31">
        <f t="shared" ref="AV5:AV18" si="5">(AH5)*(T5-S5-H5)/1000/C5</f>
        <v>0</v>
      </c>
    </row>
    <row r="6" spans="1:51">
      <c r="A6" s="8">
        <v>2</v>
      </c>
      <c r="B6" s="10" t="s">
        <v>31</v>
      </c>
      <c r="C6" s="13">
        <v>5.0038999999999998</v>
      </c>
      <c r="D6" s="13" t="s">
        <v>89</v>
      </c>
      <c r="E6" s="13"/>
      <c r="F6" s="13">
        <v>50.119599999999998</v>
      </c>
      <c r="G6" s="13"/>
      <c r="H6" s="14">
        <v>0</v>
      </c>
      <c r="I6" s="22">
        <v>180</v>
      </c>
      <c r="J6" s="21">
        <v>0.56944444444444442</v>
      </c>
      <c r="K6" s="21">
        <v>0.63194444444444442</v>
      </c>
      <c r="L6" s="21">
        <v>0.67361111111111116</v>
      </c>
      <c r="M6" s="11">
        <v>10</v>
      </c>
      <c r="N6" s="11">
        <v>105</v>
      </c>
      <c r="O6" s="11">
        <v>109</v>
      </c>
      <c r="P6" s="11">
        <v>22</v>
      </c>
      <c r="Q6" s="12">
        <v>320</v>
      </c>
      <c r="R6" s="10">
        <v>965</v>
      </c>
      <c r="S6" s="13">
        <v>0</v>
      </c>
      <c r="T6" s="13">
        <v>50.59</v>
      </c>
      <c r="U6" s="13">
        <v>0</v>
      </c>
      <c r="V6" s="13">
        <v>0.33110000000000001</v>
      </c>
      <c r="W6" s="11">
        <v>27.8188</v>
      </c>
      <c r="X6" s="11">
        <v>28.854399999999998</v>
      </c>
      <c r="Y6" s="13">
        <v>27.487300000000001</v>
      </c>
      <c r="Z6" s="13">
        <v>28.106000000000002</v>
      </c>
      <c r="AA6" s="13">
        <v>30.812999999999999</v>
      </c>
      <c r="AB6" s="14">
        <v>31.2989</v>
      </c>
      <c r="AC6" s="20">
        <v>12.5585</v>
      </c>
      <c r="AD6" s="13">
        <v>24.994</v>
      </c>
      <c r="AE6" s="13">
        <v>12.9697</v>
      </c>
      <c r="AF6" s="24">
        <f>0.1798*50</f>
        <v>8.99</v>
      </c>
      <c r="AG6" s="24">
        <f>0.01898*50</f>
        <v>0.94900000000000007</v>
      </c>
      <c r="AH6" s="25">
        <f>0.06553*50</f>
        <v>3.2765000000000004</v>
      </c>
      <c r="AI6" s="10">
        <f t="shared" ref="AI6:AI18" si="6">Q6</f>
        <v>320</v>
      </c>
      <c r="AJ6" s="11">
        <f t="shared" ref="AJ6:AJ18" si="7">MAX(M6:O6)</f>
        <v>109</v>
      </c>
      <c r="AK6" s="26">
        <f t="shared" ref="AK6:AK18" si="8">(K6-J6)*24*60</f>
        <v>90</v>
      </c>
      <c r="AL6" s="27">
        <f t="shared" ref="AL6:AL18" si="9">(L6-K6)*24*60</f>
        <v>60.000000000000107</v>
      </c>
      <c r="AM6" s="28">
        <f t="shared" si="0"/>
        <v>6.6168388656847668E-2</v>
      </c>
      <c r="AN6" s="29">
        <f>(X6-W6)/C6</f>
        <v>0.20695857231359516</v>
      </c>
      <c r="AO6" s="29">
        <f t="shared" si="1"/>
        <v>0.12364355802474081</v>
      </c>
      <c r="AP6" s="29">
        <f t="shared" si="2"/>
        <v>9.7104258678231165E-2</v>
      </c>
      <c r="AQ6" s="30">
        <f>(100*R6/1000/8.314/298*44)/C6</f>
        <v>0.34248778249455702</v>
      </c>
      <c r="AR6" s="29">
        <f>(AE6-AC6)/(AD6-AC6)*(T6-S6-H6)/C6</f>
        <v>0.33430733966792553</v>
      </c>
      <c r="AS6" s="29">
        <f t="shared" si="3"/>
        <v>9.08899258578309E-2</v>
      </c>
      <c r="AT6" s="29"/>
      <c r="AU6" s="29">
        <f t="shared" si="4"/>
        <v>9.5944982913327616E-3</v>
      </c>
      <c r="AV6" s="31">
        <f t="shared" si="5"/>
        <v>3.3125788884669966E-2</v>
      </c>
    </row>
    <row r="7" spans="1:51">
      <c r="A7" s="8">
        <v>3</v>
      </c>
      <c r="B7" s="10" t="s">
        <v>32</v>
      </c>
      <c r="C7" s="13">
        <v>4.8761000000000001</v>
      </c>
      <c r="D7" s="13" t="s">
        <v>89</v>
      </c>
      <c r="E7" s="13"/>
      <c r="F7" s="13">
        <v>48.83</v>
      </c>
      <c r="G7" s="13"/>
      <c r="H7" s="14">
        <v>0</v>
      </c>
      <c r="I7" s="22">
        <v>180</v>
      </c>
      <c r="J7" s="21">
        <v>0.47083333333333338</v>
      </c>
      <c r="K7" s="21">
        <v>0.52013888888888882</v>
      </c>
      <c r="L7" s="21">
        <v>0.56180555555555556</v>
      </c>
      <c r="M7" s="11">
        <v>10</v>
      </c>
      <c r="N7" s="11">
        <v>107</v>
      </c>
      <c r="O7" s="11">
        <v>109</v>
      </c>
      <c r="P7" s="11">
        <v>23</v>
      </c>
      <c r="Q7" s="12">
        <v>320</v>
      </c>
      <c r="R7" s="10">
        <v>965</v>
      </c>
      <c r="S7" s="13">
        <v>101.54300000000001</v>
      </c>
      <c r="T7" s="13">
        <v>149.398</v>
      </c>
      <c r="U7" s="13">
        <v>0.31530000000000002</v>
      </c>
      <c r="V7" s="13">
        <v>0.80789999999999995</v>
      </c>
      <c r="W7" s="11">
        <v>33.327800000000003</v>
      </c>
      <c r="X7" s="11">
        <v>35.805900000000001</v>
      </c>
      <c r="Y7" s="13">
        <v>28.533300000000001</v>
      </c>
      <c r="Z7" s="13">
        <v>30.525400000000001</v>
      </c>
      <c r="AA7" s="13">
        <v>28.7393</v>
      </c>
      <c r="AB7" s="14">
        <v>29.001300000000001</v>
      </c>
      <c r="AC7" s="20">
        <v>12.553900000000001</v>
      </c>
      <c r="AD7" s="13">
        <v>19.953900000000001</v>
      </c>
      <c r="AE7" s="13">
        <v>12.613200000000001</v>
      </c>
      <c r="AF7" s="24">
        <v>7.0650000000000004</v>
      </c>
      <c r="AG7" s="24">
        <v>6.6</v>
      </c>
      <c r="AH7" s="25">
        <v>2.5720000000000001</v>
      </c>
      <c r="AI7" s="10">
        <f t="shared" si="6"/>
        <v>320</v>
      </c>
      <c r="AJ7" s="11">
        <f t="shared" si="7"/>
        <v>109</v>
      </c>
      <c r="AK7" s="26">
        <f t="shared" si="8"/>
        <v>70.999999999999829</v>
      </c>
      <c r="AL7" s="27">
        <f t="shared" si="9"/>
        <v>60.000000000000107</v>
      </c>
      <c r="AM7" s="28">
        <f t="shared" si="0"/>
        <v>0.1010233588318533</v>
      </c>
      <c r="AN7" s="29">
        <f>(X7-W7)/C7</f>
        <v>0.50821353130575619</v>
      </c>
      <c r="AO7" s="29">
        <f t="shared" si="1"/>
        <v>0.40854371321342892</v>
      </c>
      <c r="AP7" s="29">
        <f t="shared" si="2"/>
        <v>5.3731465720555455E-2</v>
      </c>
      <c r="AQ7" s="30">
        <f>(100*R7/1000/8.314/298*44)/C7</f>
        <v>0.35146420598931805</v>
      </c>
      <c r="AR7" s="29">
        <f>(AE7-AC7)/(AD7-AC7)*(T7-S7-H7)/C7</f>
        <v>7.8646190436863758E-2</v>
      </c>
      <c r="AS7" s="29">
        <f t="shared" si="3"/>
        <v>6.9337293123602858E-2</v>
      </c>
      <c r="AT7" s="29"/>
      <c r="AU7" s="29">
        <f t="shared" si="4"/>
        <v>6.477369208998994E-2</v>
      </c>
      <c r="AV7" s="31">
        <f t="shared" si="5"/>
        <v>2.5242111523553656E-2</v>
      </c>
    </row>
    <row r="8" spans="1:51">
      <c r="A8" s="8">
        <v>4</v>
      </c>
      <c r="B8" s="10" t="s">
        <v>31</v>
      </c>
      <c r="C8" s="13">
        <v>5.0012999999999996</v>
      </c>
      <c r="D8" s="13" t="s">
        <v>89</v>
      </c>
      <c r="E8" s="13"/>
      <c r="F8" s="13">
        <v>0</v>
      </c>
      <c r="G8" s="13"/>
      <c r="H8" s="14">
        <v>38.731900000000003</v>
      </c>
      <c r="I8" s="22">
        <v>180</v>
      </c>
      <c r="J8" s="21">
        <v>0.42569444444444443</v>
      </c>
      <c r="K8" s="21">
        <v>0.45902777777777781</v>
      </c>
      <c r="L8" s="21">
        <v>0.50069444444444444</v>
      </c>
      <c r="M8" s="11">
        <v>10</v>
      </c>
      <c r="N8" s="11">
        <v>125</v>
      </c>
      <c r="O8" s="11">
        <v>125</v>
      </c>
      <c r="P8" s="11">
        <v>23</v>
      </c>
      <c r="Q8" s="12">
        <v>310</v>
      </c>
      <c r="R8" s="10">
        <v>1050</v>
      </c>
      <c r="S8" s="13">
        <v>101.8523</v>
      </c>
      <c r="T8" s="13">
        <v>138.5224</v>
      </c>
      <c r="U8" s="13">
        <f>0.2902+41.8374</f>
        <v>42.127600000000001</v>
      </c>
      <c r="V8" s="13">
        <v>44.023000000000003</v>
      </c>
      <c r="W8" s="11">
        <f>41.1435+36.6608</f>
        <v>77.804300000000012</v>
      </c>
      <c r="X8" s="11">
        <f>41.3285+38.9231</f>
        <v>80.251599999999996</v>
      </c>
      <c r="Y8" s="13"/>
      <c r="Z8" s="13"/>
      <c r="AA8" s="13"/>
      <c r="AB8" s="14"/>
      <c r="AC8" s="20"/>
      <c r="AD8" s="13"/>
      <c r="AE8" s="13"/>
      <c r="AF8" s="24">
        <v>0</v>
      </c>
      <c r="AG8" s="24">
        <v>0</v>
      </c>
      <c r="AH8" s="25">
        <v>0</v>
      </c>
      <c r="AI8" s="10">
        <f t="shared" si="6"/>
        <v>310</v>
      </c>
      <c r="AJ8" s="11">
        <f t="shared" si="7"/>
        <v>125</v>
      </c>
      <c r="AK8" s="26">
        <f t="shared" si="8"/>
        <v>48.000000000000071</v>
      </c>
      <c r="AL8" s="27">
        <f t="shared" si="9"/>
        <v>59.999999999999943</v>
      </c>
      <c r="AM8" s="28">
        <f t="shared" si="0"/>
        <v>0.37898146481914746</v>
      </c>
      <c r="AN8" s="29">
        <f>(X8-W8)/C8</f>
        <v>0.48933277347889237</v>
      </c>
      <c r="AO8" s="29">
        <f t="shared" si="1"/>
        <v>0</v>
      </c>
      <c r="AP8" s="29">
        <f t="shared" si="2"/>
        <v>0</v>
      </c>
      <c r="AQ8" s="30">
        <f>(100*R8/1000/8.314/298*44)/C8</f>
        <v>0.37284883040580213</v>
      </c>
      <c r="AR8" s="29"/>
      <c r="AS8" s="29">
        <f t="shared" si="3"/>
        <v>0</v>
      </c>
      <c r="AT8" s="29"/>
      <c r="AU8" s="29">
        <f t="shared" si="4"/>
        <v>0</v>
      </c>
      <c r="AV8" s="31">
        <f t="shared" si="5"/>
        <v>0</v>
      </c>
    </row>
    <row r="9" spans="1:51">
      <c r="A9" s="8">
        <v>5</v>
      </c>
      <c r="B9" s="10" t="s">
        <v>31</v>
      </c>
      <c r="C9" s="13">
        <v>4.9538000000000002</v>
      </c>
      <c r="D9" s="13" t="s">
        <v>89</v>
      </c>
      <c r="E9" s="13"/>
      <c r="F9" s="13">
        <v>23.921900000000001</v>
      </c>
      <c r="G9" s="13"/>
      <c r="H9" s="14">
        <v>19.678699999999999</v>
      </c>
      <c r="I9" s="22">
        <v>180</v>
      </c>
      <c r="J9" s="21">
        <v>0.62569444444444444</v>
      </c>
      <c r="K9" s="21">
        <v>0.65972222222222221</v>
      </c>
      <c r="L9" s="21">
        <v>0.70138888888888884</v>
      </c>
      <c r="M9" s="11">
        <v>10</v>
      </c>
      <c r="N9" s="11">
        <v>126</v>
      </c>
      <c r="O9" s="11">
        <v>128</v>
      </c>
      <c r="P9" s="11">
        <v>25</v>
      </c>
      <c r="Q9" s="12">
        <v>310</v>
      </c>
      <c r="R9" s="10">
        <v>780</v>
      </c>
      <c r="S9" s="13">
        <v>101.3387</v>
      </c>
      <c r="T9" s="13">
        <v>144.7749</v>
      </c>
      <c r="U9" s="13">
        <v>48.883400000000002</v>
      </c>
      <c r="V9" s="13">
        <v>49.327800000000003</v>
      </c>
      <c r="W9" s="11">
        <v>31.139399999999998</v>
      </c>
      <c r="X9" s="11">
        <v>33.147799999999997</v>
      </c>
      <c r="Y9" s="13"/>
      <c r="Z9" s="13"/>
      <c r="AA9" s="13"/>
      <c r="AB9" s="14"/>
      <c r="AC9" s="20">
        <v>12.472899999999999</v>
      </c>
      <c r="AD9" s="13">
        <v>20.710699999999999</v>
      </c>
      <c r="AE9" s="13">
        <v>12.858700000000001</v>
      </c>
      <c r="AF9" s="24">
        <v>58.2</v>
      </c>
      <c r="AG9" s="24">
        <v>0.65249999999999997</v>
      </c>
      <c r="AH9" s="25">
        <v>3.5249999999999999</v>
      </c>
      <c r="AI9" s="10">
        <f t="shared" si="6"/>
        <v>310</v>
      </c>
      <c r="AJ9" s="11">
        <f t="shared" si="7"/>
        <v>128</v>
      </c>
      <c r="AK9" s="26">
        <f t="shared" si="8"/>
        <v>48.999999999999986</v>
      </c>
      <c r="AL9" s="27">
        <f t="shared" si="9"/>
        <v>59.999999999999943</v>
      </c>
      <c r="AM9" s="28">
        <f t="shared" si="0"/>
        <v>8.9708910331463054E-2</v>
      </c>
      <c r="AN9" s="29">
        <f>(X9-W9)/C9</f>
        <v>0.40542613751059753</v>
      </c>
      <c r="AO9" s="29">
        <f t="shared" si="1"/>
        <v>0</v>
      </c>
      <c r="AP9" s="29">
        <f t="shared" si="2"/>
        <v>0</v>
      </c>
      <c r="AQ9" s="30">
        <f>(100*R9/1000/8.314/298*44)/C9</f>
        <v>0.27962920380442136</v>
      </c>
      <c r="AR9" s="29">
        <f t="shared" ref="AR9:AR16" si="10">(AE9-AC9)/(AD9-AC9)*(T9-S9-H9)/C9</f>
        <v>0.22460180836375276</v>
      </c>
      <c r="AS9" s="29">
        <f t="shared" si="3"/>
        <v>0.27911633493479748</v>
      </c>
      <c r="AT9" s="29"/>
      <c r="AU9" s="29">
        <f t="shared" si="4"/>
        <v>3.1292681880576525E-3</v>
      </c>
      <c r="AV9" s="31">
        <f t="shared" si="5"/>
        <v>1.6905241935483869E-2</v>
      </c>
    </row>
    <row r="10" spans="1:51">
      <c r="A10" s="8">
        <v>6</v>
      </c>
      <c r="B10" s="10" t="s">
        <v>42</v>
      </c>
      <c r="C10" s="13">
        <v>5.0034999999999998</v>
      </c>
      <c r="D10" s="13" t="s">
        <v>89</v>
      </c>
      <c r="E10" s="13"/>
      <c r="F10" s="13">
        <v>49.339100000000002</v>
      </c>
      <c r="G10" s="13"/>
      <c r="H10" s="14">
        <v>0</v>
      </c>
      <c r="I10" s="22">
        <v>700</v>
      </c>
      <c r="J10" s="21">
        <v>0.40625</v>
      </c>
      <c r="K10" s="21">
        <v>0.44861111111111113</v>
      </c>
      <c r="L10" s="21">
        <v>0.49027777777777781</v>
      </c>
      <c r="M10" s="11">
        <v>10</v>
      </c>
      <c r="N10" s="11">
        <v>95</v>
      </c>
      <c r="O10" s="11">
        <v>96</v>
      </c>
      <c r="P10" s="11">
        <v>21</v>
      </c>
      <c r="Q10" s="12">
        <v>310</v>
      </c>
      <c r="R10" s="10"/>
      <c r="S10" s="13">
        <v>101.3205</v>
      </c>
      <c r="T10" s="13">
        <v>145.45480000000001</v>
      </c>
      <c r="U10" s="13">
        <v>49.881900000000002</v>
      </c>
      <c r="V10" s="13">
        <v>50.082099999999997</v>
      </c>
      <c r="W10" s="11"/>
      <c r="X10" s="11"/>
      <c r="Y10" s="13">
        <v>33.3307</v>
      </c>
      <c r="Z10" s="13">
        <v>33.603000000000002</v>
      </c>
      <c r="AA10" s="13">
        <v>55.667299999999997</v>
      </c>
      <c r="AB10" s="14">
        <v>55.965499999999999</v>
      </c>
      <c r="AC10" s="20">
        <v>12.636699999999999</v>
      </c>
      <c r="AD10" s="13">
        <v>21.0732</v>
      </c>
      <c r="AE10" s="13">
        <v>13.084899999999999</v>
      </c>
      <c r="AF10" s="24">
        <f>237.2*50/1000</f>
        <v>11.86</v>
      </c>
      <c r="AG10" s="24">
        <f>27.12*50/1000</f>
        <v>1.3560000000000001</v>
      </c>
      <c r="AH10" s="25">
        <f>57.63*50/1000</f>
        <v>2.8815</v>
      </c>
      <c r="AI10" s="10">
        <f t="shared" si="6"/>
        <v>310</v>
      </c>
      <c r="AJ10" s="11">
        <f t="shared" si="7"/>
        <v>96</v>
      </c>
      <c r="AK10" s="26">
        <f t="shared" si="8"/>
        <v>61.000000000000021</v>
      </c>
      <c r="AL10" s="27">
        <f t="shared" si="9"/>
        <v>60.000000000000028</v>
      </c>
      <c r="AM10" s="28">
        <f t="shared" si="0"/>
        <v>4.0011991605874944E-2</v>
      </c>
      <c r="AN10" s="29">
        <f t="shared" ref="AN10:AN16" si="11">AO10+AP10</f>
        <v>0.11402018586989161</v>
      </c>
      <c r="AO10" s="29">
        <f t="shared" si="1"/>
        <v>5.442190466673355E-2</v>
      </c>
      <c r="AP10" s="29">
        <f t="shared" si="2"/>
        <v>5.9598281203158063E-2</v>
      </c>
      <c r="AQ10" s="30">
        <f t="shared" ref="AQ10:AQ16" si="12">(100*R10/1000/8.314/298*44)/C10</f>
        <v>0</v>
      </c>
      <c r="AR10" s="29">
        <f t="shared" si="10"/>
        <v>0.46861035383451816</v>
      </c>
      <c r="AS10" s="29">
        <f t="shared" si="3"/>
        <v>0.10461333026881185</v>
      </c>
      <c r="AT10" s="29">
        <f>(AF10-AW10)*(T10-S10)/C10/1000</f>
        <v>0.90371365748211652</v>
      </c>
      <c r="AU10" s="29">
        <f t="shared" si="4"/>
        <v>1.196084956530429E-2</v>
      </c>
      <c r="AV10" s="31">
        <f t="shared" si="5"/>
        <v>2.5416805326271615E-2</v>
      </c>
      <c r="AW10" s="3">
        <f>0.6*(H10-AX10-AY10)*1000/50</f>
        <v>-90.593902864932019</v>
      </c>
      <c r="AX10" s="4">
        <f t="shared" ref="AX10:AX17" si="13">H10+F10-(T10-S10)</f>
        <v>5.2047999999999917</v>
      </c>
      <c r="AY10" s="5">
        <f t="shared" ref="AY10:AY17" si="14">AR10*C10</f>
        <v>2.3446919054110116</v>
      </c>
    </row>
    <row r="11" spans="1:51">
      <c r="A11" s="38">
        <v>7</v>
      </c>
      <c r="B11" s="10" t="s">
        <v>42</v>
      </c>
      <c r="C11" s="13">
        <v>5.0003000000000002</v>
      </c>
      <c r="D11" s="13" t="s">
        <v>89</v>
      </c>
      <c r="E11" s="13"/>
      <c r="F11" s="13">
        <v>25</v>
      </c>
      <c r="G11" s="13"/>
      <c r="H11" s="14">
        <v>19.755099999999999</v>
      </c>
      <c r="I11" s="22">
        <v>700</v>
      </c>
      <c r="J11" s="21">
        <v>0.6166666666666667</v>
      </c>
      <c r="K11" s="21">
        <v>0.66388888888888886</v>
      </c>
      <c r="L11" s="21">
        <v>0.7055555555555556</v>
      </c>
      <c r="M11" s="11">
        <v>10</v>
      </c>
      <c r="N11" s="11">
        <v>131</v>
      </c>
      <c r="O11" s="11">
        <v>132</v>
      </c>
      <c r="P11" s="11">
        <v>26</v>
      </c>
      <c r="Q11" s="12">
        <v>310</v>
      </c>
      <c r="R11" s="10"/>
      <c r="S11" s="13">
        <v>101.3192</v>
      </c>
      <c r="T11" s="13">
        <v>143.9468</v>
      </c>
      <c r="U11" s="13">
        <v>32.237099999999998</v>
      </c>
      <c r="V11" s="13">
        <v>32.443100000000001</v>
      </c>
      <c r="W11" s="11"/>
      <c r="X11" s="11"/>
      <c r="Y11" s="13">
        <v>11.37</v>
      </c>
      <c r="Z11" s="13">
        <v>12.3231</v>
      </c>
      <c r="AA11" s="13">
        <v>11.2242</v>
      </c>
      <c r="AB11" s="14">
        <v>11.6311</v>
      </c>
      <c r="AC11" s="20">
        <v>18.770199999999999</v>
      </c>
      <c r="AD11" s="13">
        <v>27.319500000000001</v>
      </c>
      <c r="AE11" s="13">
        <v>19.2651</v>
      </c>
      <c r="AF11" s="24">
        <f>1623*50/1000</f>
        <v>81.150000000000006</v>
      </c>
      <c r="AG11" s="24">
        <f>31.38*50/1000</f>
        <v>1.569</v>
      </c>
      <c r="AH11" s="25">
        <f>59.25*50/1000</f>
        <v>2.9624999999999999</v>
      </c>
      <c r="AI11" s="10">
        <f t="shared" si="6"/>
        <v>310</v>
      </c>
      <c r="AJ11" s="11">
        <f t="shared" si="7"/>
        <v>132</v>
      </c>
      <c r="AK11" s="26">
        <f t="shared" si="8"/>
        <v>67.999999999999915</v>
      </c>
      <c r="AL11" s="27">
        <f t="shared" si="9"/>
        <v>60.000000000000107</v>
      </c>
      <c r="AM11" s="28">
        <f t="shared" si="0"/>
        <v>4.1197528148311714E-2</v>
      </c>
      <c r="AN11" s="29">
        <f t="shared" si="11"/>
        <v>0.2719836809791415</v>
      </c>
      <c r="AO11" s="29">
        <f t="shared" si="1"/>
        <v>0.19060856348619101</v>
      </c>
      <c r="AP11" s="29">
        <f t="shared" si="2"/>
        <v>8.1375117492950469E-2</v>
      </c>
      <c r="AQ11" s="30">
        <f t="shared" si="12"/>
        <v>0</v>
      </c>
      <c r="AR11" s="29">
        <f>(AE11-AC11)/(AD11-AC11)*(T11-S11-H11)/C11</f>
        <v>0.26479176341298449</v>
      </c>
      <c r="AS11" s="29">
        <f t="shared" si="3"/>
        <v>0.37119840309581431</v>
      </c>
      <c r="AT11" s="29">
        <f>(AF11-AW11)*(T11-S11)/C11/1000</f>
        <v>-0.97605158968494932</v>
      </c>
      <c r="AU11" s="29">
        <f t="shared" si="4"/>
        <v>7.1769598824070555E-3</v>
      </c>
      <c r="AV11" s="31">
        <f t="shared" si="5"/>
        <v>1.3551143181409115E-2</v>
      </c>
      <c r="AW11" s="3">
        <f t="shared" ref="AW11:AW17" si="15">0.6*(H11-AX11-AY11)*1000/50</f>
        <v>195.64274094487263</v>
      </c>
      <c r="AX11" s="4">
        <f t="shared" si="13"/>
        <v>2.1274999999999977</v>
      </c>
      <c r="AY11" s="5">
        <f t="shared" si="14"/>
        <v>1.3240382545939464</v>
      </c>
    </row>
    <row r="12" spans="1:51">
      <c r="A12" s="38">
        <v>8</v>
      </c>
      <c r="B12" s="10" t="s">
        <v>42</v>
      </c>
      <c r="C12" s="13">
        <v>5.0030999999999999</v>
      </c>
      <c r="D12" s="13" t="s">
        <v>89</v>
      </c>
      <c r="E12" s="13"/>
      <c r="F12" s="13">
        <v>49.500300000000003</v>
      </c>
      <c r="G12" s="13"/>
      <c r="H12" s="14">
        <v>0</v>
      </c>
      <c r="I12" s="22">
        <v>180</v>
      </c>
      <c r="J12" s="21">
        <v>0.44027777777777777</v>
      </c>
      <c r="K12" s="21">
        <v>0.48125000000000001</v>
      </c>
      <c r="L12" s="21">
        <v>0.5229166666666667</v>
      </c>
      <c r="M12" s="11">
        <v>10</v>
      </c>
      <c r="N12" s="11">
        <v>93</v>
      </c>
      <c r="O12" s="11">
        <v>93</v>
      </c>
      <c r="P12" s="11">
        <v>23</v>
      </c>
      <c r="Q12" s="12">
        <v>310</v>
      </c>
      <c r="R12" s="10"/>
      <c r="S12" s="13">
        <v>101.456</v>
      </c>
      <c r="T12" s="13">
        <v>146.54239999999999</v>
      </c>
      <c r="U12" s="13">
        <v>31.3979</v>
      </c>
      <c r="V12" s="13">
        <v>31.657900000000001</v>
      </c>
      <c r="W12" s="11">
        <v>11.4398</v>
      </c>
      <c r="X12" s="11">
        <v>11.7121</v>
      </c>
      <c r="Y12" s="13">
        <v>11.4398</v>
      </c>
      <c r="Z12" s="13">
        <v>11.7121</v>
      </c>
      <c r="AA12" s="13">
        <v>17.805099999999999</v>
      </c>
      <c r="AB12" s="14">
        <v>18.305</v>
      </c>
      <c r="AC12" s="20">
        <v>12.5632</v>
      </c>
      <c r="AD12" s="13">
        <v>25.296600000000002</v>
      </c>
      <c r="AE12" s="13">
        <v>13.2475</v>
      </c>
      <c r="AF12" s="24">
        <f>181.2*50/1000</f>
        <v>9.06</v>
      </c>
      <c r="AG12" s="24">
        <f>11.69*50/1000</f>
        <v>0.58450000000000002</v>
      </c>
      <c r="AH12" s="25">
        <f>34.61*50/1000</f>
        <v>1.7304999999999999</v>
      </c>
      <c r="AI12" s="10">
        <f t="shared" si="6"/>
        <v>310</v>
      </c>
      <c r="AJ12" s="11">
        <f t="shared" si="7"/>
        <v>93</v>
      </c>
      <c r="AK12" s="26">
        <f t="shared" si="8"/>
        <v>59.000000000000028</v>
      </c>
      <c r="AL12" s="27">
        <f t="shared" si="9"/>
        <v>60.000000000000028</v>
      </c>
      <c r="AM12" s="28">
        <f t="shared" si="0"/>
        <v>5.1967779976414934E-2</v>
      </c>
      <c r="AN12" s="29">
        <f t="shared" si="11"/>
        <v>0.15434430652995138</v>
      </c>
      <c r="AO12" s="29">
        <f t="shared" si="1"/>
        <v>5.4426255721452606E-2</v>
      </c>
      <c r="AP12" s="29">
        <f t="shared" si="2"/>
        <v>9.9918050808498776E-2</v>
      </c>
      <c r="AQ12" s="30">
        <f t="shared" si="12"/>
        <v>0</v>
      </c>
      <c r="AR12" s="29">
        <f t="shared" si="10"/>
        <v>0.48429338190613025</v>
      </c>
      <c r="AS12" s="29">
        <f t="shared" si="3"/>
        <v>8.1645936319481902E-2</v>
      </c>
      <c r="AT12" s="29">
        <f>(AF12-AW12)*(T12-S12)/C12/1000</f>
        <v>0.82098700550405657</v>
      </c>
      <c r="AU12" s="29">
        <f t="shared" si="4"/>
        <v>5.267334412664147E-3</v>
      </c>
      <c r="AV12" s="31">
        <f t="shared" si="5"/>
        <v>1.5594734304731062E-2</v>
      </c>
      <c r="AW12" s="3">
        <f t="shared" si="15"/>
        <v>-82.042418628174943</v>
      </c>
      <c r="AX12" s="4">
        <f t="shared" si="13"/>
        <v>4.4139000000000195</v>
      </c>
      <c r="AY12" s="5">
        <f t="shared" si="14"/>
        <v>2.4229682190145603</v>
      </c>
    </row>
    <row r="13" spans="1:51">
      <c r="A13" s="8">
        <v>9</v>
      </c>
      <c r="B13" s="10" t="s">
        <v>42</v>
      </c>
      <c r="C13" s="13">
        <v>5.0003000000000002</v>
      </c>
      <c r="D13" s="13" t="s">
        <v>89</v>
      </c>
      <c r="E13" s="13"/>
      <c r="F13" s="13">
        <v>24.823</v>
      </c>
      <c r="G13" s="13"/>
      <c r="H13" s="14">
        <v>19.696999999999999</v>
      </c>
      <c r="I13" s="22">
        <v>180</v>
      </c>
      <c r="J13" s="21">
        <v>0.61388888888888882</v>
      </c>
      <c r="K13" s="21">
        <v>0.65972222222222221</v>
      </c>
      <c r="L13" s="21">
        <v>0.70138888888888884</v>
      </c>
      <c r="M13" s="11">
        <v>10</v>
      </c>
      <c r="N13" s="11">
        <v>109</v>
      </c>
      <c r="O13" s="11">
        <v>125</v>
      </c>
      <c r="P13" s="11">
        <v>25</v>
      </c>
      <c r="Q13" s="12">
        <v>310</v>
      </c>
      <c r="R13" s="10"/>
      <c r="S13" s="13">
        <v>101.3558</v>
      </c>
      <c r="T13" s="13">
        <v>142.7611</v>
      </c>
      <c r="U13" s="13">
        <v>49.536299999999997</v>
      </c>
      <c r="V13" s="13">
        <v>49.767800000000001</v>
      </c>
      <c r="W13" s="11"/>
      <c r="X13" s="11"/>
      <c r="Y13" s="13">
        <v>23.450299999999999</v>
      </c>
      <c r="Z13" s="13">
        <v>24.258299999999998</v>
      </c>
      <c r="AA13" s="13">
        <v>23.113099999999999</v>
      </c>
      <c r="AB13" s="14">
        <v>23.7758</v>
      </c>
      <c r="AC13" s="20">
        <v>13.030900000000001</v>
      </c>
      <c r="AD13" s="13">
        <v>16.285</v>
      </c>
      <c r="AE13" s="13">
        <v>13.294600000000001</v>
      </c>
      <c r="AF13" s="24">
        <f>1212*50/1000</f>
        <v>60.6</v>
      </c>
      <c r="AG13" s="24">
        <f>36.89*50/1000</f>
        <v>1.8445</v>
      </c>
      <c r="AH13" s="25">
        <f>64.65*50/1000</f>
        <v>3.2325000000000004</v>
      </c>
      <c r="AI13" s="10">
        <f t="shared" si="6"/>
        <v>310</v>
      </c>
      <c r="AJ13" s="11">
        <f t="shared" si="7"/>
        <v>125</v>
      </c>
      <c r="AK13" s="26">
        <f t="shared" si="8"/>
        <v>66.000000000000085</v>
      </c>
      <c r="AL13" s="27">
        <f t="shared" si="9"/>
        <v>59.999999999999943</v>
      </c>
      <c r="AM13" s="28">
        <f t="shared" si="0"/>
        <v>4.6297222166670808E-2</v>
      </c>
      <c r="AN13" s="29">
        <f t="shared" si="11"/>
        <v>0.29412235265884057</v>
      </c>
      <c r="AO13" s="29">
        <f t="shared" si="1"/>
        <v>0.16159030458172505</v>
      </c>
      <c r="AP13" s="29">
        <f t="shared" si="2"/>
        <v>0.13253204807711555</v>
      </c>
      <c r="AQ13" s="30">
        <f t="shared" si="12"/>
        <v>0</v>
      </c>
      <c r="AR13" s="29">
        <f t="shared" si="10"/>
        <v>0.35181065498197894</v>
      </c>
      <c r="AS13" s="29">
        <f t="shared" si="3"/>
        <v>0.2630888106713597</v>
      </c>
      <c r="AT13" s="29">
        <f>(AF13-AW13)*(T13-S13)/C13/1000</f>
        <v>-0.97112535466750249</v>
      </c>
      <c r="AU13" s="29">
        <f t="shared" si="4"/>
        <v>8.0077114073155604E-3</v>
      </c>
      <c r="AV13" s="31">
        <f t="shared" si="5"/>
        <v>1.4033573935563863E-2</v>
      </c>
      <c r="AW13" s="3">
        <f t="shared" si="15"/>
        <v>177.8776941827233</v>
      </c>
      <c r="AX13" s="4">
        <f t="shared" si="13"/>
        <v>3.1146999999999991</v>
      </c>
      <c r="AY13" s="5">
        <f t="shared" si="14"/>
        <v>1.7591588181063893</v>
      </c>
    </row>
    <row r="14" spans="1:51">
      <c r="A14" s="8">
        <v>10</v>
      </c>
      <c r="B14" s="10" t="s">
        <v>42</v>
      </c>
      <c r="C14" s="13">
        <v>5.0023</v>
      </c>
      <c r="D14" s="13" t="s">
        <v>89</v>
      </c>
      <c r="E14" s="13"/>
      <c r="F14" s="13">
        <v>39.494199999999999</v>
      </c>
      <c r="G14" s="13"/>
      <c r="H14" s="14">
        <v>8.0069999999999997</v>
      </c>
      <c r="I14" s="22">
        <v>180</v>
      </c>
      <c r="J14" s="21">
        <v>0.42499999999999999</v>
      </c>
      <c r="K14" s="21">
        <v>0.47152777777777777</v>
      </c>
      <c r="L14" s="21">
        <v>0.5131944444444444</v>
      </c>
      <c r="M14" s="11">
        <v>10</v>
      </c>
      <c r="N14" s="11">
        <v>105</v>
      </c>
      <c r="O14" s="11">
        <v>105</v>
      </c>
      <c r="P14" s="11">
        <v>27</v>
      </c>
      <c r="Q14" s="12">
        <v>310</v>
      </c>
      <c r="R14" s="10"/>
      <c r="S14" s="13">
        <v>101.39870000000001</v>
      </c>
      <c r="T14" s="13">
        <v>146.40860000000001</v>
      </c>
      <c r="U14" s="13">
        <v>50.9313</v>
      </c>
      <c r="V14" s="13">
        <v>51.1297</v>
      </c>
      <c r="W14" s="11"/>
      <c r="X14" s="11"/>
      <c r="Y14" s="13">
        <v>11.2705</v>
      </c>
      <c r="Z14" s="13">
        <v>11.7372</v>
      </c>
      <c r="AA14" s="13">
        <v>11.3545</v>
      </c>
      <c r="AB14" s="14">
        <v>11.8637</v>
      </c>
      <c r="AC14" s="20">
        <v>12.113899999999999</v>
      </c>
      <c r="AD14" s="13">
        <v>20.063099999999999</v>
      </c>
      <c r="AE14" s="13">
        <v>12.571899999999999</v>
      </c>
      <c r="AF14" s="24">
        <f>1049*50/1000</f>
        <v>52.45</v>
      </c>
      <c r="AG14" s="24">
        <f>19.35*50/1000</f>
        <v>0.96750000000000014</v>
      </c>
      <c r="AH14" s="25">
        <f>49.72*50/1000</f>
        <v>2.4860000000000002</v>
      </c>
      <c r="AI14" s="10">
        <f t="shared" si="6"/>
        <v>310</v>
      </c>
      <c r="AJ14" s="11">
        <f t="shared" si="7"/>
        <v>105</v>
      </c>
      <c r="AK14" s="26">
        <f t="shared" si="8"/>
        <v>67</v>
      </c>
      <c r="AL14" s="27">
        <f t="shared" si="9"/>
        <v>59.999999999999943</v>
      </c>
      <c r="AM14" s="28">
        <f t="shared" si="0"/>
        <v>3.9661755592427378E-2</v>
      </c>
      <c r="AN14" s="29">
        <f t="shared" si="11"/>
        <v>0.19509025848109857</v>
      </c>
      <c r="AO14" s="29">
        <f t="shared" si="1"/>
        <v>9.3297083341662729E-2</v>
      </c>
      <c r="AP14" s="29">
        <f t="shared" si="2"/>
        <v>0.10179317513943584</v>
      </c>
      <c r="AQ14" s="30">
        <f t="shared" si="12"/>
        <v>0</v>
      </c>
      <c r="AR14" s="29">
        <f t="shared" si="10"/>
        <v>0.42619473691525767</v>
      </c>
      <c r="AS14" s="29">
        <f t="shared" si="3"/>
        <v>0.38798194930332053</v>
      </c>
      <c r="AT14" s="29">
        <f t="shared" ref="AT14:AT19" si="16">(AF14-AW14)*(T14-S14)/C14/1000</f>
        <v>0.10657985116878635</v>
      </c>
      <c r="AU14" s="29">
        <f t="shared" si="4"/>
        <v>7.156769036243329E-3</v>
      </c>
      <c r="AV14" s="31">
        <f t="shared" si="5"/>
        <v>1.8389382763928597E-2</v>
      </c>
      <c r="AW14" s="3">
        <f t="shared" si="15"/>
        <v>40.604952810345729</v>
      </c>
      <c r="AX14" s="4">
        <f t="shared" si="13"/>
        <v>2.4912999999999954</v>
      </c>
      <c r="AY14" s="5">
        <f t="shared" si="14"/>
        <v>2.1319539324711934</v>
      </c>
    </row>
    <row r="15" spans="1:51">
      <c r="A15" s="8">
        <v>11</v>
      </c>
      <c r="B15" s="10" t="s">
        <v>42</v>
      </c>
      <c r="C15" s="13">
        <v>5.0061</v>
      </c>
      <c r="D15" s="13" t="s">
        <v>89</v>
      </c>
      <c r="E15" s="13"/>
      <c r="F15" s="13">
        <v>44.607700000000001</v>
      </c>
      <c r="G15" s="13"/>
      <c r="H15" s="14">
        <v>3.7719999999999998</v>
      </c>
      <c r="I15" s="22">
        <v>180</v>
      </c>
      <c r="J15" s="21">
        <v>0.60763888888888895</v>
      </c>
      <c r="K15" s="21">
        <v>0.65</v>
      </c>
      <c r="L15" s="21">
        <v>0.69236111111111109</v>
      </c>
      <c r="M15" s="11">
        <v>10</v>
      </c>
      <c r="N15" s="11">
        <v>95</v>
      </c>
      <c r="O15" s="11">
        <v>95</v>
      </c>
      <c r="P15" s="11">
        <v>27</v>
      </c>
      <c r="Q15" s="12">
        <v>310</v>
      </c>
      <c r="R15" s="10"/>
      <c r="S15" s="13">
        <v>101.34439999999999</v>
      </c>
      <c r="T15" s="13">
        <v>146.41839999999999</v>
      </c>
      <c r="U15" s="13">
        <v>32.208199999999998</v>
      </c>
      <c r="V15" s="13">
        <v>32.441099999999999</v>
      </c>
      <c r="W15" s="11"/>
      <c r="X15" s="11"/>
      <c r="Y15" s="13">
        <v>11.2524</v>
      </c>
      <c r="Z15" s="13">
        <v>11.747400000000001</v>
      </c>
      <c r="AA15" s="13">
        <v>23.372299999999999</v>
      </c>
      <c r="AB15" s="14">
        <v>23.771899999999999</v>
      </c>
      <c r="AC15" s="20">
        <v>12.537800000000001</v>
      </c>
      <c r="AD15" s="13">
        <v>19.116399999999999</v>
      </c>
      <c r="AE15" s="13">
        <v>12.9145</v>
      </c>
      <c r="AF15" s="24">
        <f>567.9*50/1000</f>
        <v>28.395</v>
      </c>
      <c r="AG15" s="24">
        <f>13.89*50/1000</f>
        <v>0.69450000000000001</v>
      </c>
      <c r="AH15" s="25">
        <f>37.67*50/1000</f>
        <v>1.8835</v>
      </c>
      <c r="AI15" s="10">
        <f t="shared" si="6"/>
        <v>310</v>
      </c>
      <c r="AJ15" s="11">
        <f t="shared" si="7"/>
        <v>95</v>
      </c>
      <c r="AK15" s="26">
        <f t="shared" si="8"/>
        <v>60.999999999999943</v>
      </c>
      <c r="AL15" s="27">
        <f t="shared" si="9"/>
        <v>60.999999999999943</v>
      </c>
      <c r="AM15" s="28">
        <f t="shared" si="0"/>
        <v>4.6523241645193017E-2</v>
      </c>
      <c r="AN15" s="29">
        <f t="shared" si="11"/>
        <v>0.17870198358003248</v>
      </c>
      <c r="AO15" s="29">
        <f t="shared" si="1"/>
        <v>9.88793671720503E-2</v>
      </c>
      <c r="AP15" s="29">
        <f t="shared" si="2"/>
        <v>7.9822616407982161E-2</v>
      </c>
      <c r="AQ15" s="30">
        <f t="shared" si="12"/>
        <v>0</v>
      </c>
      <c r="AR15" s="30">
        <f t="shared" si="10"/>
        <v>0.47242590227864689</v>
      </c>
      <c r="AS15" s="29">
        <f t="shared" si="3"/>
        <v>0.23426825073410437</v>
      </c>
      <c r="AT15" s="29">
        <f t="shared" si="16"/>
        <v>0.46081108901484147</v>
      </c>
      <c r="AU15" s="29">
        <f t="shared" si="4"/>
        <v>5.7298573740037157E-3</v>
      </c>
      <c r="AV15" s="31">
        <f t="shared" si="5"/>
        <v>1.5539505203651546E-2</v>
      </c>
      <c r="AW15" s="3">
        <f t="shared" si="15"/>
        <v>-22.784535712765631</v>
      </c>
      <c r="AX15" s="4">
        <f t="shared" si="13"/>
        <v>3.3057000000000016</v>
      </c>
      <c r="AY15" s="5">
        <f t="shared" si="14"/>
        <v>2.3650113093971341</v>
      </c>
    </row>
    <row r="16" spans="1:51">
      <c r="A16" s="8">
        <v>12</v>
      </c>
      <c r="B16" s="10" t="s">
        <v>42</v>
      </c>
      <c r="C16" s="13">
        <v>4.9949000000000003</v>
      </c>
      <c r="D16" s="13" t="s">
        <v>89</v>
      </c>
      <c r="E16" s="13"/>
      <c r="F16" s="13">
        <v>9.9467999999999996</v>
      </c>
      <c r="G16" s="13">
        <v>45.435899999999997</v>
      </c>
      <c r="H16" s="14">
        <v>0</v>
      </c>
      <c r="I16" s="22">
        <v>180</v>
      </c>
      <c r="J16" s="21">
        <v>0.3972222222222222</v>
      </c>
      <c r="K16" s="21">
        <v>0.43888888888888888</v>
      </c>
      <c r="L16" s="21">
        <v>0.48055555555555557</v>
      </c>
      <c r="M16" s="11">
        <v>10</v>
      </c>
      <c r="N16" s="11">
        <v>93</v>
      </c>
      <c r="O16" s="11">
        <v>95</v>
      </c>
      <c r="P16" s="11">
        <v>20</v>
      </c>
      <c r="Q16" s="12">
        <v>310</v>
      </c>
      <c r="R16" s="10">
        <v>1160</v>
      </c>
      <c r="S16" s="13">
        <v>101.3154</v>
      </c>
      <c r="T16" s="13">
        <v>147.19470000000001</v>
      </c>
      <c r="U16" s="13">
        <v>50.918700000000001</v>
      </c>
      <c r="V16" s="13">
        <v>52.224600000000002</v>
      </c>
      <c r="W16" s="11"/>
      <c r="X16" s="11"/>
      <c r="Y16" s="13">
        <v>23.288399999999999</v>
      </c>
      <c r="Z16" s="13">
        <v>23.381499999999999</v>
      </c>
      <c r="AA16" s="13">
        <v>22.981999999999999</v>
      </c>
      <c r="AB16" s="14">
        <v>24.229900000000001</v>
      </c>
      <c r="AC16" s="20">
        <v>12.560700000000001</v>
      </c>
      <c r="AD16" s="13">
        <v>25.140599999999999</v>
      </c>
      <c r="AE16" s="13">
        <v>14.852399999999999</v>
      </c>
      <c r="AF16" s="24">
        <f>386.5*50/1000</f>
        <v>19.324999999999999</v>
      </c>
      <c r="AG16" s="24">
        <f>43.62*50/1000</f>
        <v>2.181</v>
      </c>
      <c r="AH16" s="25">
        <f>95.21*50/1000</f>
        <v>4.7605000000000004</v>
      </c>
      <c r="AI16" s="10">
        <f t="shared" si="6"/>
        <v>310</v>
      </c>
      <c r="AJ16" s="11">
        <f t="shared" si="7"/>
        <v>95</v>
      </c>
      <c r="AK16" s="26">
        <f t="shared" si="8"/>
        <v>60.000000000000028</v>
      </c>
      <c r="AL16" s="27">
        <f t="shared" si="9"/>
        <v>60.000000000000028</v>
      </c>
      <c r="AM16" s="28">
        <f t="shared" si="0"/>
        <v>0.26144667560912149</v>
      </c>
      <c r="AN16" s="29">
        <f t="shared" si="11"/>
        <v>0.26847384332018676</v>
      </c>
      <c r="AO16" s="29">
        <f t="shared" si="1"/>
        <v>1.8639011792027815E-2</v>
      </c>
      <c r="AP16" s="29">
        <f t="shared" si="2"/>
        <v>0.24983483152815897</v>
      </c>
      <c r="AQ16" s="30">
        <f t="shared" si="12"/>
        <v>0.41243696616070374</v>
      </c>
      <c r="AR16" s="30">
        <f t="shared" si="10"/>
        <v>1.6732874781937745</v>
      </c>
      <c r="AS16" s="29">
        <f t="shared" si="3"/>
        <v>0.17750454914012298</v>
      </c>
      <c r="AT16" s="29">
        <f t="shared" si="16"/>
        <v>-2.8618432163214496</v>
      </c>
      <c r="AU16" s="29">
        <f t="shared" si="4"/>
        <v>2.0032984303990076E-2</v>
      </c>
      <c r="AV16" s="31">
        <f t="shared" si="5"/>
        <v>4.3726282337984763E-2</v>
      </c>
      <c r="AW16" s="3">
        <f t="shared" si="15"/>
        <v>330.89515650203919</v>
      </c>
      <c r="AX16" s="4">
        <f t="shared" si="13"/>
        <v>-35.932500000000019</v>
      </c>
      <c r="AY16" s="5">
        <f t="shared" si="14"/>
        <v>8.3579036248300849</v>
      </c>
    </row>
    <row r="17" spans="1:52">
      <c r="A17" s="8">
        <v>13</v>
      </c>
      <c r="B17" s="10" t="s">
        <v>42</v>
      </c>
      <c r="C17" s="13">
        <v>5.0004999999999997</v>
      </c>
      <c r="D17" s="13" t="s">
        <v>89</v>
      </c>
      <c r="E17" s="13"/>
      <c r="F17" s="13">
        <v>10.2796</v>
      </c>
      <c r="G17" s="13">
        <v>45.153399999999998</v>
      </c>
      <c r="H17" s="14">
        <v>0</v>
      </c>
      <c r="I17" s="22">
        <v>180</v>
      </c>
      <c r="J17" s="21">
        <v>0.57916666666666672</v>
      </c>
      <c r="K17" s="21">
        <v>0.61805555555555558</v>
      </c>
      <c r="L17" s="21">
        <v>0.65972222222222221</v>
      </c>
      <c r="M17" s="11">
        <v>10</v>
      </c>
      <c r="N17" s="11">
        <v>94</v>
      </c>
      <c r="O17" s="11">
        <v>96</v>
      </c>
      <c r="P17" s="11">
        <v>24</v>
      </c>
      <c r="Q17" s="12">
        <v>310</v>
      </c>
      <c r="R17" s="10">
        <v>480</v>
      </c>
      <c r="S17" s="13">
        <v>101.3231</v>
      </c>
      <c r="T17" s="13">
        <v>150.83619999999999</v>
      </c>
      <c r="U17" s="13">
        <v>32.208199999999998</v>
      </c>
      <c r="V17" s="13">
        <v>33.126600000000003</v>
      </c>
      <c r="W17" s="11"/>
      <c r="X17" s="11"/>
      <c r="Y17" s="13">
        <v>23.0091</v>
      </c>
      <c r="Z17" s="13">
        <v>23.0901</v>
      </c>
      <c r="AA17" s="13">
        <v>22.986799999999999</v>
      </c>
      <c r="AB17" s="14">
        <v>25.044699999999999</v>
      </c>
      <c r="AC17" s="20">
        <v>12.1136</v>
      </c>
      <c r="AD17" s="13">
        <v>24.2943</v>
      </c>
      <c r="AE17" s="13">
        <v>13.985300000000001</v>
      </c>
      <c r="AF17" s="24">
        <f>402.3*50/1000</f>
        <v>20.114999999999998</v>
      </c>
      <c r="AG17" s="24">
        <f>45.58*50/1000</f>
        <v>2.2789999999999999</v>
      </c>
      <c r="AH17" s="25">
        <f>97.08*50/1000</f>
        <v>4.8540000000000001</v>
      </c>
      <c r="AI17" s="10">
        <f t="shared" si="6"/>
        <v>310</v>
      </c>
      <c r="AJ17" s="11">
        <f t="shared" si="7"/>
        <v>96</v>
      </c>
      <c r="AK17" s="26">
        <f t="shared" si="8"/>
        <v>55.999999999999957</v>
      </c>
      <c r="AL17" s="27">
        <f t="shared" si="9"/>
        <v>59.999999999999943</v>
      </c>
      <c r="AM17" s="28">
        <f>(V17-U17)/C17</f>
        <v>0.18366163383661743</v>
      </c>
      <c r="AN17" s="29">
        <f>AO17+AP17</f>
        <v>0.42773722627737221</v>
      </c>
      <c r="AO17" s="29">
        <f>(Z17-Y17)/C17</f>
        <v>1.6198380161983706E-2</v>
      </c>
      <c r="AP17" s="29">
        <f>(AB17-AA17)/C17</f>
        <v>0.41153884611538849</v>
      </c>
      <c r="AQ17" s="30">
        <f>(100*R17/1000/8.314/298*44)/C17</f>
        <v>0.17047244811596907</v>
      </c>
      <c r="AR17" s="30">
        <f>(AE17-AC17)/(AD17-AC17)*(T17-S17-H17)/C17</f>
        <v>1.5214955270176107</v>
      </c>
      <c r="AS17" s="29">
        <f>AF17*(T17-S17-H17)/1000/C17</f>
        <v>0.19917128417158281</v>
      </c>
      <c r="AT17" s="29">
        <f t="shared" si="16"/>
        <v>-3.5585283242100565</v>
      </c>
      <c r="AU17" s="29">
        <f t="shared" si="4"/>
        <v>2.256581439856014E-2</v>
      </c>
      <c r="AV17" s="31">
        <f t="shared" si="5"/>
        <v>4.8062511228877114E-2</v>
      </c>
      <c r="AW17" s="3">
        <f t="shared" si="15"/>
        <v>379.50313940578121</v>
      </c>
      <c r="AX17" s="4">
        <f t="shared" si="13"/>
        <v>-39.233499999999992</v>
      </c>
      <c r="AY17" s="5">
        <f t="shared" si="14"/>
        <v>7.6082383828515621</v>
      </c>
    </row>
    <row r="18" spans="1:52">
      <c r="A18" s="8">
        <v>14</v>
      </c>
      <c r="B18" s="10" t="s">
        <v>42</v>
      </c>
      <c r="C18" s="13">
        <v>5.0091999999999999</v>
      </c>
      <c r="D18" s="13" t="s">
        <v>89</v>
      </c>
      <c r="E18" s="13"/>
      <c r="F18" s="13">
        <v>44.737499999999997</v>
      </c>
      <c r="G18" s="13">
        <v>0</v>
      </c>
      <c r="H18" s="14">
        <v>3.7366000000000001</v>
      </c>
      <c r="I18" s="22">
        <v>180</v>
      </c>
      <c r="J18" s="21">
        <v>0.40347222222222223</v>
      </c>
      <c r="K18" s="21">
        <v>0.45347222222222222</v>
      </c>
      <c r="L18" s="21">
        <v>0.49513888888888885</v>
      </c>
      <c r="M18" s="11">
        <v>10</v>
      </c>
      <c r="N18" s="11">
        <v>99</v>
      </c>
      <c r="O18" s="11">
        <v>99</v>
      </c>
      <c r="P18" s="11">
        <v>20</v>
      </c>
      <c r="Q18" s="12">
        <v>310</v>
      </c>
      <c r="R18" s="10">
        <v>990</v>
      </c>
      <c r="S18" s="13">
        <v>101.4646</v>
      </c>
      <c r="T18" s="13">
        <v>149.203</v>
      </c>
      <c r="U18" s="13">
        <v>49.531999999999996</v>
      </c>
      <c r="V18" s="13">
        <v>49.770400000000002</v>
      </c>
      <c r="W18" s="11"/>
      <c r="X18" s="11"/>
      <c r="Y18" s="13">
        <v>22.911200000000001</v>
      </c>
      <c r="Z18" s="13">
        <v>23.5063</v>
      </c>
      <c r="AA18" s="13">
        <v>23.133299999999998</v>
      </c>
      <c r="AB18" s="14">
        <v>23.448899999999998</v>
      </c>
      <c r="AC18" s="20">
        <v>18.770600000000002</v>
      </c>
      <c r="AD18" s="13">
        <v>31.525300000000001</v>
      </c>
      <c r="AE18" s="13">
        <v>19.4619</v>
      </c>
      <c r="AF18" s="24">
        <f>813.3*50/1000</f>
        <v>40.664999999999999</v>
      </c>
      <c r="AG18" s="24">
        <f>17.4*50/1000</f>
        <v>0.86999999999999988</v>
      </c>
      <c r="AH18" s="25">
        <f>49.43*50/1000</f>
        <v>2.4714999999999998</v>
      </c>
      <c r="AI18" s="10">
        <f t="shared" si="6"/>
        <v>310</v>
      </c>
      <c r="AJ18" s="11">
        <f t="shared" si="7"/>
        <v>99</v>
      </c>
      <c r="AK18" s="26">
        <f t="shared" si="8"/>
        <v>71.999999999999986</v>
      </c>
      <c r="AL18" s="27">
        <f t="shared" si="9"/>
        <v>59.999999999999943</v>
      </c>
      <c r="AM18" s="28">
        <f>(V18-U18)/C18</f>
        <v>4.7592429928931909E-2</v>
      </c>
      <c r="AN18" s="29">
        <f>AO18+AP18</f>
        <v>0.18180547792062574</v>
      </c>
      <c r="AO18" s="29">
        <f>(Z18-Y18)/C18</f>
        <v>0.1188014054140379</v>
      </c>
      <c r="AP18" s="29">
        <f>(AB18-AA18)/C18</f>
        <v>6.3004072506587849E-2</v>
      </c>
      <c r="AQ18" s="30">
        <f>(100*R18/1000/8.314/298*44)/C18</f>
        <v>0.35098876485427821</v>
      </c>
      <c r="AR18" s="30">
        <f>(AE18-AC18)/(AD18-AC18)*(T18-S18-H18)/C18</f>
        <v>0.47610021714278944</v>
      </c>
      <c r="AS18" s="29">
        <f>AF18*(T18-S18-H18)/1000/C18</f>
        <v>0.35720937415156107</v>
      </c>
      <c r="AT18" s="29">
        <f t="shared" si="16"/>
        <v>0.3170943499630019</v>
      </c>
      <c r="AU18" s="29">
        <f t="shared" si="4"/>
        <v>7.6422514573185321E-3</v>
      </c>
      <c r="AV18" s="31">
        <f t="shared" si="5"/>
        <v>2.1710143076738797E-2</v>
      </c>
      <c r="AW18" s="3">
        <f t="shared" ref="AW18:AW25" si="17">0.6*(H18-AX18-AY18)*1000/50</f>
        <v>7.392225507460056</v>
      </c>
      <c r="AX18" s="4">
        <f t="shared" ref="AX18:AX25" si="18">H18+F18-(T18-S18)</f>
        <v>0.73570000000000135</v>
      </c>
      <c r="AY18" s="5">
        <f t="shared" ref="AY18:AY25" si="19">AR18*C18</f>
        <v>2.3848812077116608</v>
      </c>
      <c r="AZ18" s="3">
        <f t="shared" ref="AZ18:AZ25" si="20">AF18-AW18</f>
        <v>33.272774492539945</v>
      </c>
    </row>
    <row r="19" spans="1:52">
      <c r="A19" s="38">
        <v>15</v>
      </c>
      <c r="B19" s="10" t="s">
        <v>42</v>
      </c>
      <c r="C19" s="13">
        <v>4.9991000000000003</v>
      </c>
      <c r="D19" s="13" t="s">
        <v>89</v>
      </c>
      <c r="E19" s="13"/>
      <c r="F19" s="13">
        <v>39.821899999999999</v>
      </c>
      <c r="G19" s="13">
        <v>0</v>
      </c>
      <c r="H19" s="14">
        <v>7.6346999999999996</v>
      </c>
      <c r="I19" s="22">
        <v>180</v>
      </c>
      <c r="J19" s="21">
        <v>0.58680555555555558</v>
      </c>
      <c r="K19" s="21">
        <v>0.63402777777777775</v>
      </c>
      <c r="L19" s="21">
        <v>0.67569444444444438</v>
      </c>
      <c r="M19" s="11">
        <v>10</v>
      </c>
      <c r="N19" s="11">
        <v>106</v>
      </c>
      <c r="O19" s="11">
        <v>106</v>
      </c>
      <c r="P19" s="11">
        <v>25</v>
      </c>
      <c r="Q19" s="12">
        <v>310</v>
      </c>
      <c r="R19" s="10">
        <v>320</v>
      </c>
      <c r="S19" s="13">
        <v>101.319</v>
      </c>
      <c r="T19" s="13">
        <v>147.99959999999999</v>
      </c>
      <c r="U19" s="13">
        <v>50.910899999999998</v>
      </c>
      <c r="V19" s="13">
        <v>51.107999999999997</v>
      </c>
      <c r="W19" s="11"/>
      <c r="X19" s="11"/>
      <c r="Y19" s="13">
        <v>23.2135</v>
      </c>
      <c r="Z19" s="13">
        <v>23.9069</v>
      </c>
      <c r="AA19" s="13">
        <v>23.3703</v>
      </c>
      <c r="AB19" s="14">
        <v>23.7224</v>
      </c>
      <c r="AC19" s="20">
        <v>12.5626</v>
      </c>
      <c r="AD19" s="13">
        <v>24.4389</v>
      </c>
      <c r="AE19" s="13">
        <v>13.2294</v>
      </c>
      <c r="AF19" s="24">
        <f>1166*50/1000</f>
        <v>58.3</v>
      </c>
      <c r="AG19" s="24">
        <f>(24.06+24.25)*50/1000</f>
        <v>2.4155000000000002</v>
      </c>
      <c r="AH19" s="25">
        <f>56.46*50/1000</f>
        <v>2.823</v>
      </c>
      <c r="AI19" s="10">
        <f t="shared" ref="AI19:AI29" si="21">Q19</f>
        <v>310</v>
      </c>
      <c r="AJ19" s="11">
        <f t="shared" ref="AJ19:AJ29" si="22">MAX(M19:O19)</f>
        <v>106</v>
      </c>
      <c r="AK19" s="26">
        <f t="shared" ref="AK19:AK29" si="23">(K19-J19)*24*60</f>
        <v>67.999999999999915</v>
      </c>
      <c r="AL19" s="27">
        <f t="shared" ref="AL19:AL29" si="24">(L19-K19)*24*60</f>
        <v>59.999999999999943</v>
      </c>
      <c r="AM19" s="28">
        <f>(V19-U19)/C19</f>
        <v>3.9427096877437721E-2</v>
      </c>
      <c r="AN19" s="29">
        <f>AO19+AP19</f>
        <v>0.20913764477605978</v>
      </c>
      <c r="AO19" s="29">
        <f>(Z19-Y19)/C19</f>
        <v>0.13870496689404102</v>
      </c>
      <c r="AP19" s="29">
        <f>(AB19-AA19)/C19</f>
        <v>7.0432677882018777E-2</v>
      </c>
      <c r="AQ19" s="30">
        <f>(100*R19/1000/8.314/298*44)/C19</f>
        <v>0.11368012599653313</v>
      </c>
      <c r="AR19" s="30">
        <f>(AE19-AC19)/(AD19-AC19)*(T19-S19-H19)/C19</f>
        <v>0.43852872374078766</v>
      </c>
      <c r="AS19" s="29">
        <f>AF19*(T19-S19-H19)/1000/C19</f>
        <v>0.45535715828849166</v>
      </c>
      <c r="AT19" s="29">
        <f t="shared" si="16"/>
        <v>2.1501101674440356E-2</v>
      </c>
      <c r="AU19" s="29">
        <f>(AG19)*(T19-S19-H19)/1000/C19</f>
        <v>1.8866470254645828E-2</v>
      </c>
      <c r="AV19" s="31">
        <f>(AH19)*(T19-S19-H19)/1000/C19</f>
        <v>2.2049284011121988E-2</v>
      </c>
      <c r="AW19" s="3">
        <f t="shared" si="17"/>
        <v>55.997412685768928</v>
      </c>
      <c r="AX19" s="4">
        <f t="shared" si="18"/>
        <v>0.77600000000001756</v>
      </c>
      <c r="AY19" s="5">
        <f t="shared" si="19"/>
        <v>2.1922489428525718</v>
      </c>
      <c r="AZ19" s="3">
        <f t="shared" si="20"/>
        <v>2.3025873142310687</v>
      </c>
    </row>
    <row r="20" spans="1:52">
      <c r="A20" s="8">
        <v>16</v>
      </c>
      <c r="B20" s="10" t="s">
        <v>42</v>
      </c>
      <c r="C20" s="13">
        <v>5.0114000000000001</v>
      </c>
      <c r="D20" s="13" t="s">
        <v>89</v>
      </c>
      <c r="E20" s="13"/>
      <c r="F20" s="13">
        <v>35.0062</v>
      </c>
      <c r="G20" s="13">
        <v>0</v>
      </c>
      <c r="H20" s="14">
        <f>7.699+3.753</f>
        <v>11.452</v>
      </c>
      <c r="I20" s="22">
        <v>180</v>
      </c>
      <c r="J20" s="21">
        <v>0.40069444444444446</v>
      </c>
      <c r="K20" s="21">
        <v>0.45</v>
      </c>
      <c r="L20" s="21">
        <v>0.49305555555555558</v>
      </c>
      <c r="M20" s="11">
        <v>10</v>
      </c>
      <c r="N20" s="11">
        <v>112</v>
      </c>
      <c r="O20" s="11">
        <v>114</v>
      </c>
      <c r="P20" s="11">
        <v>21</v>
      </c>
      <c r="Q20" s="12">
        <v>310</v>
      </c>
      <c r="R20" s="10">
        <v>880</v>
      </c>
      <c r="S20" s="13">
        <v>101.479</v>
      </c>
      <c r="T20" s="13">
        <v>144.48480000000001</v>
      </c>
      <c r="U20" s="13">
        <v>48.8352</v>
      </c>
      <c r="V20" s="13">
        <v>49.025199999999998</v>
      </c>
      <c r="W20" s="11"/>
      <c r="X20" s="11"/>
      <c r="Y20" s="13">
        <v>22.442</v>
      </c>
      <c r="Z20" s="13">
        <v>22.609200000000001</v>
      </c>
      <c r="AA20" s="13">
        <v>23.206700000000001</v>
      </c>
      <c r="AB20" s="14">
        <v>23.448599999999999</v>
      </c>
      <c r="AC20" s="20">
        <v>12.4732</v>
      </c>
      <c r="AD20" s="13">
        <v>23.444500000000001</v>
      </c>
      <c r="AE20" s="13">
        <v>13.3071</v>
      </c>
      <c r="AF20" s="24">
        <f>1426*50/1000</f>
        <v>71.3</v>
      </c>
      <c r="AG20" s="24">
        <f>16.81*50/1000</f>
        <v>0.84049999999999991</v>
      </c>
      <c r="AH20" s="25">
        <f>63.28*50/1000</f>
        <v>3.1640000000000001</v>
      </c>
      <c r="AI20" s="10">
        <f t="shared" si="21"/>
        <v>310</v>
      </c>
      <c r="AJ20" s="11">
        <f t="shared" si="22"/>
        <v>114</v>
      </c>
      <c r="AK20" s="26">
        <f t="shared" si="23"/>
        <v>70.999999999999986</v>
      </c>
      <c r="AL20" s="27">
        <f t="shared" si="24"/>
        <v>62.000000000000021</v>
      </c>
      <c r="AM20" s="28">
        <f>(V20-U20)/C20</f>
        <v>3.7913557089834724E-2</v>
      </c>
      <c r="AN20" s="29">
        <f>AO20+AP20</f>
        <v>8.1633874765534326E-2</v>
      </c>
      <c r="AO20" s="29">
        <f>(Z20-Y20)/C20</f>
        <v>3.3363930239055178E-2</v>
      </c>
      <c r="AP20" s="29">
        <f>(AB20-AA20)/C20</f>
        <v>4.826994452647914E-2</v>
      </c>
      <c r="AQ20" s="30">
        <f>(100*R20/1000/8.314/298*44)/C20</f>
        <v>0.31185304987438428</v>
      </c>
      <c r="AR20" s="30">
        <f>(AE20-AC20)/(AD20-AC20)*(T20-S20-H20)/C20</f>
        <v>0.47857331957641874</v>
      </c>
      <c r="AS20" s="29">
        <f>AF20*(T20-S20-H20)/1000/C20</f>
        <v>0.44893361934788695</v>
      </c>
      <c r="AT20" s="29">
        <f t="shared" ref="AT20:AT25" si="25">(AF20-AW20)*(T20-S20)/C20/1000</f>
        <v>3.5052962301284865E-2</v>
      </c>
      <c r="AU20" s="29">
        <f>(AG20)*(T20-S20-H20)/1000/C20</f>
        <v>5.2921277287783864E-3</v>
      </c>
      <c r="AV20" s="31">
        <f>(AH20)*(T20-S20-H20)/1000/C20</f>
        <v>1.9921822883824887E-2</v>
      </c>
      <c r="AW20" s="3">
        <f t="shared" si="17"/>
        <v>67.215331995296935</v>
      </c>
      <c r="AX20" s="4">
        <f t="shared" si="18"/>
        <v>3.4523999999999901</v>
      </c>
      <c r="AY20" s="5">
        <f t="shared" si="19"/>
        <v>2.398322333725265</v>
      </c>
      <c r="AZ20" s="3">
        <f t="shared" si="20"/>
        <v>4.0846680047030617</v>
      </c>
    </row>
    <row r="21" spans="1:52">
      <c r="A21" s="8">
        <v>17</v>
      </c>
      <c r="B21" s="10" t="s">
        <v>42</v>
      </c>
      <c r="C21" s="13">
        <v>5</v>
      </c>
      <c r="D21" s="13" t="s">
        <v>89</v>
      </c>
      <c r="E21" s="13"/>
      <c r="F21" s="13">
        <v>29.9314</v>
      </c>
      <c r="G21" s="13">
        <v>0</v>
      </c>
      <c r="H21" s="14">
        <f>7.6695+7.6258</f>
        <v>15.295300000000001</v>
      </c>
      <c r="I21" s="22">
        <v>180</v>
      </c>
      <c r="J21" s="21">
        <v>0.57291666666666663</v>
      </c>
      <c r="K21" s="21">
        <v>0.62152777777777779</v>
      </c>
      <c r="L21" s="21">
        <v>0.66319444444444442</v>
      </c>
      <c r="M21" s="11">
        <v>10</v>
      </c>
      <c r="N21" s="11">
        <v>121</v>
      </c>
      <c r="O21" s="11">
        <v>126</v>
      </c>
      <c r="P21" s="11">
        <v>26</v>
      </c>
      <c r="Q21" s="12">
        <v>310</v>
      </c>
      <c r="R21" s="10">
        <v>320</v>
      </c>
      <c r="S21" s="13">
        <v>102.3455</v>
      </c>
      <c r="T21" s="13">
        <v>144.43340000000001</v>
      </c>
      <c r="U21" s="13">
        <v>48.223100000000002</v>
      </c>
      <c r="V21" s="13">
        <v>48.433199999999999</v>
      </c>
      <c r="W21" s="11"/>
      <c r="X21" s="11"/>
      <c r="Y21" s="13">
        <v>23.2166</v>
      </c>
      <c r="Z21" s="13">
        <v>23.350100000000001</v>
      </c>
      <c r="AA21" s="13">
        <v>23.089400000000001</v>
      </c>
      <c r="AB21" s="14">
        <v>23.269500000000001</v>
      </c>
      <c r="AC21" s="20">
        <v>12.535399999999999</v>
      </c>
      <c r="AD21" s="13">
        <v>23.405999999999999</v>
      </c>
      <c r="AE21" s="13">
        <v>13.2607</v>
      </c>
      <c r="AF21" s="24">
        <f>1631*50/1000</f>
        <v>81.55</v>
      </c>
      <c r="AG21" s="24">
        <f>14.75*50/1000</f>
        <v>0.73750000000000004</v>
      </c>
      <c r="AH21" s="25">
        <f>75.7*50/1000</f>
        <v>3.7850000000000001</v>
      </c>
      <c r="AI21" s="10">
        <f t="shared" si="21"/>
        <v>310</v>
      </c>
      <c r="AJ21" s="11">
        <f t="shared" si="22"/>
        <v>126</v>
      </c>
      <c r="AK21" s="26">
        <f t="shared" si="23"/>
        <v>70.000000000000071</v>
      </c>
      <c r="AL21" s="27">
        <f t="shared" si="24"/>
        <v>59.999999999999943</v>
      </c>
      <c r="AM21" s="28">
        <f>(V21-U21)/C21</f>
        <v>4.2019999999999412E-2</v>
      </c>
      <c r="AN21" s="29">
        <f>AO21+AP21</f>
        <v>6.2720000000000192E-2</v>
      </c>
      <c r="AO21" s="29">
        <f>(Z21-Y21)/C21</f>
        <v>2.67000000000003E-2</v>
      </c>
      <c r="AP21" s="29">
        <f>(AB21-AA21)/C21</f>
        <v>3.6019999999999899E-2</v>
      </c>
      <c r="AQ21" s="30">
        <f>(100*R21/1000/8.314/298*44)/C21</f>
        <v>0.11365966357385375</v>
      </c>
      <c r="AR21" s="30">
        <f>(AE21-AC21)/(AD21-AC21)*(T21-S21-H21)/C21</f>
        <v>0.35752714256802792</v>
      </c>
      <c r="AS21" s="29">
        <f>AF21*(T21-S21-H21)/1000/C21</f>
        <v>0.43698730600000008</v>
      </c>
      <c r="AT21" s="29">
        <f t="shared" si="25"/>
        <v>-0.3609152867557337</v>
      </c>
      <c r="AU21" s="29">
        <f>(AG21)*(T21-S21-H21)/1000/C21</f>
        <v>3.9519085000000011E-3</v>
      </c>
      <c r="AV21" s="31">
        <f>(AH21)*(T21-S21-H21)/1000/C21</f>
        <v>2.0281998200000005E-2</v>
      </c>
      <c r="AW21" s="3">
        <f t="shared" si="17"/>
        <v>124.42637144591838</v>
      </c>
      <c r="AX21" s="4">
        <f t="shared" si="18"/>
        <v>3.1387999999999963</v>
      </c>
      <c r="AY21" s="5">
        <f t="shared" si="19"/>
        <v>1.7876357128401397</v>
      </c>
      <c r="AZ21" s="3">
        <f t="shared" si="20"/>
        <v>-42.87637144591838</v>
      </c>
    </row>
    <row r="22" spans="1:52">
      <c r="A22" s="8">
        <v>18</v>
      </c>
      <c r="B22" s="23" t="s">
        <v>89</v>
      </c>
      <c r="C22" s="13">
        <v>0</v>
      </c>
      <c r="D22" s="13" t="s">
        <v>89</v>
      </c>
      <c r="E22" s="13"/>
      <c r="F22" s="13">
        <v>24.499099999999999</v>
      </c>
      <c r="G22" s="13">
        <v>0</v>
      </c>
      <c r="H22" s="14">
        <v>19.905999999999999</v>
      </c>
      <c r="I22" s="22">
        <v>180</v>
      </c>
      <c r="J22" s="21">
        <v>0.4291666666666667</v>
      </c>
      <c r="K22" s="21">
        <v>0.47638888888888892</v>
      </c>
      <c r="L22" s="21">
        <v>0.5180555555555556</v>
      </c>
      <c r="M22" s="18">
        <v>10</v>
      </c>
      <c r="N22" s="18">
        <v>129</v>
      </c>
      <c r="O22" s="18">
        <v>143</v>
      </c>
      <c r="P22" s="18">
        <v>22</v>
      </c>
      <c r="Q22" s="19">
        <v>310</v>
      </c>
      <c r="R22" s="23">
        <v>800</v>
      </c>
      <c r="S22" s="13">
        <v>101.54</v>
      </c>
      <c r="T22" s="13">
        <v>136.29580000000001</v>
      </c>
      <c r="U22" s="13">
        <v>32.214399999999998</v>
      </c>
      <c r="V22" s="13">
        <v>32.219200000000001</v>
      </c>
      <c r="W22" s="18"/>
      <c r="X22" s="18"/>
      <c r="Y22" s="13"/>
      <c r="Z22" s="13"/>
      <c r="AA22" s="13"/>
      <c r="AB22" s="14"/>
      <c r="AC22" s="20">
        <v>13.059900000000001</v>
      </c>
      <c r="AD22" s="13">
        <v>25.4543</v>
      </c>
      <c r="AE22" s="13">
        <v>13.0763</v>
      </c>
      <c r="AF22" s="24">
        <f>1263*50/1000</f>
        <v>63.15</v>
      </c>
      <c r="AG22" s="24">
        <f>9.179*50/1000</f>
        <v>0.45894999999999997</v>
      </c>
      <c r="AH22" s="25">
        <f>32.8*50/1000</f>
        <v>1.6399999999999997</v>
      </c>
      <c r="AI22" s="23">
        <f t="shared" si="21"/>
        <v>310</v>
      </c>
      <c r="AJ22" s="18">
        <f t="shared" si="22"/>
        <v>143</v>
      </c>
      <c r="AK22" s="26">
        <f t="shared" si="23"/>
        <v>68</v>
      </c>
      <c r="AL22" s="27">
        <f t="shared" si="24"/>
        <v>60.000000000000028</v>
      </c>
      <c r="AM22" s="28" t="e">
        <f t="shared" ref="AM22:AM27" si="26">(V22-U22)/C22</f>
        <v>#DIV/0!</v>
      </c>
      <c r="AN22" s="29" t="e">
        <f t="shared" ref="AN22:AN29" si="27">AO22+AP22</f>
        <v>#DIV/0!</v>
      </c>
      <c r="AO22" s="29" t="e">
        <f t="shared" ref="AO22:AO29" si="28">(Z22-Y22)/C22</f>
        <v>#DIV/0!</v>
      </c>
      <c r="AP22" s="29" t="e">
        <f t="shared" ref="AP22:AP29" si="29">(AB22-AA22)/C22</f>
        <v>#DIV/0!</v>
      </c>
      <c r="AQ22" s="30" t="e">
        <f t="shared" ref="AQ22:AQ28" si="30">(100*R22/1000/8.314/298*44)/C22</f>
        <v>#DIV/0!</v>
      </c>
      <c r="AR22" s="30" t="e">
        <f t="shared" ref="AR22:AR29" si="31">(AE22-AC22)/(AD22-AC22)*(T22-S22-H22)/C22</f>
        <v>#DIV/0!</v>
      </c>
      <c r="AS22" s="29" t="e">
        <f t="shared" ref="AS22:AS29" si="32">AF22*(T22-S22-H22)/1000/C22</f>
        <v>#DIV/0!</v>
      </c>
      <c r="AT22" s="29" t="e">
        <f t="shared" si="25"/>
        <v>#DIV/0!</v>
      </c>
      <c r="AU22" s="29" t="e">
        <f t="shared" ref="AU22:AU29" si="33">(AG22)*(T22-S22-H22)/1000/C22</f>
        <v>#DIV/0!</v>
      </c>
      <c r="AV22" s="31" t="e">
        <f t="shared" ref="AV22:AV29" si="34">(AH22)*(T22-S22-H22)/1000/C22</f>
        <v>#DIV/0!</v>
      </c>
      <c r="AW22" s="3" t="e">
        <f t="shared" si="17"/>
        <v>#DIV/0!</v>
      </c>
      <c r="AX22" s="4">
        <f t="shared" si="18"/>
        <v>9.6492999999999896</v>
      </c>
      <c r="AY22" s="5" t="e">
        <f t="shared" si="19"/>
        <v>#DIV/0!</v>
      </c>
      <c r="AZ22" s="3" t="e">
        <f t="shared" si="20"/>
        <v>#DIV/0!</v>
      </c>
    </row>
    <row r="23" spans="1:52">
      <c r="A23" s="8">
        <v>19</v>
      </c>
      <c r="B23" s="23" t="s">
        <v>42</v>
      </c>
      <c r="C23" s="13">
        <v>5.0004999999999997</v>
      </c>
      <c r="D23" s="13" t="s">
        <v>89</v>
      </c>
      <c r="E23" s="13"/>
      <c r="F23" s="13">
        <v>25.0121</v>
      </c>
      <c r="G23" s="13">
        <v>0</v>
      </c>
      <c r="H23" s="14">
        <v>19.971299999999999</v>
      </c>
      <c r="I23" s="22">
        <v>180</v>
      </c>
      <c r="J23" s="21">
        <v>0.39374999999999999</v>
      </c>
      <c r="K23" s="21">
        <v>0.43472222222222223</v>
      </c>
      <c r="L23" s="21">
        <v>0.47638888888888892</v>
      </c>
      <c r="M23" s="18">
        <v>10</v>
      </c>
      <c r="N23" s="18">
        <v>128</v>
      </c>
      <c r="O23" s="18">
        <v>130</v>
      </c>
      <c r="P23" s="18">
        <v>21</v>
      </c>
      <c r="Q23" s="19">
        <v>310</v>
      </c>
      <c r="R23" s="23">
        <v>850</v>
      </c>
      <c r="S23" s="13">
        <v>101.3428</v>
      </c>
      <c r="T23" s="13">
        <v>137.93209999999999</v>
      </c>
      <c r="U23" s="13">
        <v>49.538699999999999</v>
      </c>
      <c r="V23" s="13">
        <v>49.777799999999999</v>
      </c>
      <c r="W23" s="18"/>
      <c r="X23" s="18"/>
      <c r="Y23" s="13">
        <v>25.854199999999999</v>
      </c>
      <c r="Z23" s="13">
        <v>25.904399999999999</v>
      </c>
      <c r="AA23" s="13">
        <v>25.4435</v>
      </c>
      <c r="AB23" s="14">
        <v>25.496099999999998</v>
      </c>
      <c r="AC23" s="20">
        <v>12.1143</v>
      </c>
      <c r="AD23" s="13">
        <v>24.994700000000002</v>
      </c>
      <c r="AE23" s="13">
        <v>12.805899999999999</v>
      </c>
      <c r="AF23" s="24">
        <f>1612/20</f>
        <v>80.599999999999994</v>
      </c>
      <c r="AG23" s="24">
        <f>23.79/20</f>
        <v>1.1895</v>
      </c>
      <c r="AH23" s="25">
        <f>80.99/20</f>
        <v>4.0495000000000001</v>
      </c>
      <c r="AI23" s="23">
        <f t="shared" si="21"/>
        <v>310</v>
      </c>
      <c r="AJ23" s="18">
        <f t="shared" si="22"/>
        <v>130</v>
      </c>
      <c r="AK23" s="26">
        <f t="shared" si="23"/>
        <v>59.000000000000028</v>
      </c>
      <c r="AL23" s="27">
        <f t="shared" si="24"/>
        <v>60.000000000000028</v>
      </c>
      <c r="AM23" s="28">
        <f t="shared" si="26"/>
        <v>4.7815218478152295E-2</v>
      </c>
      <c r="AN23" s="29">
        <f>AO23+AP23</f>
        <v>2.0557944205579132E-2</v>
      </c>
      <c r="AO23" s="29">
        <f t="shared" si="28"/>
        <v>1.003899610039001E-2</v>
      </c>
      <c r="AP23" s="29">
        <f t="shared" si="29"/>
        <v>1.0518948105189123E-2</v>
      </c>
      <c r="AQ23" s="30">
        <f t="shared" si="30"/>
        <v>0.30187829353869516</v>
      </c>
      <c r="AR23" s="30">
        <f t="shared" si="31"/>
        <v>0.17843948346384553</v>
      </c>
      <c r="AS23" s="29">
        <f t="shared" si="32"/>
        <v>0.26785537446255364</v>
      </c>
      <c r="AT23" s="29">
        <f t="shared" si="25"/>
        <v>-0.34843404182122206</v>
      </c>
      <c r="AU23" s="29">
        <f t="shared" si="33"/>
        <v>3.9530268973102679E-3</v>
      </c>
      <c r="AV23" s="31">
        <f t="shared" si="34"/>
        <v>1.3457572442755722E-2</v>
      </c>
      <c r="AW23" s="3">
        <f t="shared" si="17"/>
        <v>128.21896035526836</v>
      </c>
      <c r="AX23" s="4">
        <f t="shared" si="18"/>
        <v>8.3941000000000088</v>
      </c>
      <c r="AY23" s="5">
        <f t="shared" si="19"/>
        <v>0.89228663706095956</v>
      </c>
      <c r="AZ23" s="3">
        <f t="shared" si="20"/>
        <v>-47.618960355268371</v>
      </c>
    </row>
    <row r="24" spans="1:52">
      <c r="A24" s="8">
        <v>20</v>
      </c>
      <c r="B24" s="23" t="s">
        <v>42</v>
      </c>
      <c r="C24" s="13">
        <v>5.0080999999999998</v>
      </c>
      <c r="D24" s="13" t="s">
        <v>89</v>
      </c>
      <c r="E24" s="13"/>
      <c r="F24" s="13">
        <v>49.706299999999999</v>
      </c>
      <c r="G24" s="13">
        <v>0</v>
      </c>
      <c r="H24" s="14">
        <v>0</v>
      </c>
      <c r="I24" s="22">
        <v>180</v>
      </c>
      <c r="J24" s="21">
        <v>0.55902777777777779</v>
      </c>
      <c r="K24" s="21">
        <v>0.60277777777777775</v>
      </c>
      <c r="L24" s="21">
        <v>0.64444444444444449</v>
      </c>
      <c r="M24" s="18">
        <v>10</v>
      </c>
      <c r="N24" s="18">
        <v>94</v>
      </c>
      <c r="O24" s="18">
        <v>95</v>
      </c>
      <c r="P24" s="18">
        <v>24</v>
      </c>
      <c r="Q24" s="19">
        <v>310</v>
      </c>
      <c r="R24" s="23"/>
      <c r="S24" s="13">
        <v>101.3203</v>
      </c>
      <c r="T24" s="13">
        <v>130.84049999999999</v>
      </c>
      <c r="U24" s="13">
        <v>48.856999999999999</v>
      </c>
      <c r="V24" s="13">
        <v>49.223799999999997</v>
      </c>
      <c r="W24" s="18"/>
      <c r="X24" s="18"/>
      <c r="Y24" s="13">
        <v>23.212299999999999</v>
      </c>
      <c r="Z24" s="13">
        <v>23.278400000000001</v>
      </c>
      <c r="AA24" s="13">
        <v>23.799099999999999</v>
      </c>
      <c r="AB24" s="14">
        <v>24.0624</v>
      </c>
      <c r="AC24" s="20">
        <v>18.770700000000001</v>
      </c>
      <c r="AD24" s="13">
        <v>31.4312</v>
      </c>
      <c r="AE24" s="13">
        <v>19.8872</v>
      </c>
      <c r="AF24" s="24">
        <f>347/20</f>
        <v>17.350000000000001</v>
      </c>
      <c r="AG24" s="24">
        <f>6.303/20</f>
        <v>0.31514999999999999</v>
      </c>
      <c r="AH24" s="25">
        <f>43.84/20</f>
        <v>2.1920000000000002</v>
      </c>
      <c r="AI24" s="23">
        <f t="shared" si="21"/>
        <v>310</v>
      </c>
      <c r="AJ24" s="18">
        <f t="shared" si="22"/>
        <v>95</v>
      </c>
      <c r="AK24" s="26">
        <f t="shared" si="23"/>
        <v>62.999999999999936</v>
      </c>
      <c r="AL24" s="27">
        <f t="shared" si="24"/>
        <v>60.000000000000107</v>
      </c>
      <c r="AM24" s="28">
        <f t="shared" si="26"/>
        <v>7.3241349014595919E-2</v>
      </c>
      <c r="AN24" s="29">
        <f t="shared" si="27"/>
        <v>6.5773447015834999E-2</v>
      </c>
      <c r="AO24" s="29">
        <f t="shared" si="28"/>
        <v>1.3198618238454158E-2</v>
      </c>
      <c r="AP24" s="29">
        <f t="shared" si="29"/>
        <v>5.2574828777380844E-2</v>
      </c>
      <c r="AQ24" s="30">
        <f t="shared" si="30"/>
        <v>0</v>
      </c>
      <c r="AR24" s="30">
        <f t="shared" si="31"/>
        <v>0.51982142233164197</v>
      </c>
      <c r="AS24" s="29">
        <f t="shared" si="32"/>
        <v>0.10226941754357935</v>
      </c>
      <c r="AT24" s="29">
        <f t="shared" si="25"/>
        <v>1.7142536048232744</v>
      </c>
      <c r="AU24" s="29">
        <f t="shared" si="33"/>
        <v>1.857648814919829E-3</v>
      </c>
      <c r="AV24" s="31">
        <f t="shared" si="34"/>
        <v>1.2920724106946745E-2</v>
      </c>
      <c r="AW24" s="3">
        <f t="shared" si="17"/>
        <v>-273.47301198214927</v>
      </c>
      <c r="AX24" s="4">
        <f t="shared" si="18"/>
        <v>20.18610000000001</v>
      </c>
      <c r="AY24" s="5">
        <f t="shared" si="19"/>
        <v>2.6033176651790959</v>
      </c>
      <c r="AZ24" s="3">
        <f t="shared" si="20"/>
        <v>290.8230119821493</v>
      </c>
    </row>
    <row r="25" spans="1:52">
      <c r="A25" s="38">
        <v>21</v>
      </c>
      <c r="B25" s="23" t="s">
        <v>42</v>
      </c>
      <c r="C25" s="13">
        <v>5.0010000000000003</v>
      </c>
      <c r="D25" s="13" t="s">
        <v>89</v>
      </c>
      <c r="E25" s="13"/>
      <c r="F25" s="13">
        <v>0</v>
      </c>
      <c r="G25" s="13">
        <v>0</v>
      </c>
      <c r="H25" s="14">
        <v>39.006500000000003</v>
      </c>
      <c r="I25" s="22">
        <v>0</v>
      </c>
      <c r="J25" s="21">
        <v>0.46180555555555558</v>
      </c>
      <c r="K25" s="21">
        <v>0.48194444444444445</v>
      </c>
      <c r="L25" s="21">
        <v>0.52430555555555558</v>
      </c>
      <c r="M25" s="18">
        <v>10</v>
      </c>
      <c r="N25" s="18">
        <v>36</v>
      </c>
      <c r="O25" s="18">
        <v>36</v>
      </c>
      <c r="P25" s="18">
        <v>23</v>
      </c>
      <c r="Q25" s="19">
        <v>220</v>
      </c>
      <c r="R25" s="23"/>
      <c r="S25" s="13">
        <v>101.565</v>
      </c>
      <c r="T25" s="13">
        <v>132.91040000000001</v>
      </c>
      <c r="U25" s="13">
        <v>50.924300000000002</v>
      </c>
      <c r="V25" s="13">
        <v>53.921700000000001</v>
      </c>
      <c r="W25" s="18"/>
      <c r="X25" s="18"/>
      <c r="Y25" s="13">
        <v>23.255700000000001</v>
      </c>
      <c r="Z25" s="13">
        <v>23.3154</v>
      </c>
      <c r="AA25" s="13">
        <v>23.344200000000001</v>
      </c>
      <c r="AB25" s="14">
        <v>23.449100000000001</v>
      </c>
      <c r="AC25" s="20">
        <v>12.4733</v>
      </c>
      <c r="AD25" s="13">
        <v>20.286100000000001</v>
      </c>
      <c r="AE25" s="13">
        <v>12.696300000000001</v>
      </c>
      <c r="AF25" s="24">
        <f>1949/20</f>
        <v>97.45</v>
      </c>
      <c r="AG25" s="24">
        <f>0</f>
        <v>0</v>
      </c>
      <c r="AH25" s="25">
        <f>30.59/20</f>
        <v>1.5295000000000001</v>
      </c>
      <c r="AI25" s="23">
        <f t="shared" si="21"/>
        <v>220</v>
      </c>
      <c r="AJ25" s="18">
        <f t="shared" si="22"/>
        <v>36</v>
      </c>
      <c r="AK25" s="26">
        <f t="shared" si="23"/>
        <v>28.999999999999979</v>
      </c>
      <c r="AL25" s="27">
        <f t="shared" si="24"/>
        <v>61.000000000000021</v>
      </c>
      <c r="AM25" s="28">
        <f t="shared" si="26"/>
        <v>0.59936012797440485</v>
      </c>
      <c r="AN25" s="29">
        <f t="shared" si="27"/>
        <v>3.2913417316536707E-2</v>
      </c>
      <c r="AO25" s="29">
        <f t="shared" si="28"/>
        <v>1.1937612477504382E-2</v>
      </c>
      <c r="AP25" s="29">
        <f t="shared" si="29"/>
        <v>2.0975804839032323E-2</v>
      </c>
      <c r="AQ25" s="30">
        <f t="shared" si="30"/>
        <v>0</v>
      </c>
      <c r="AR25" s="30">
        <f t="shared" si="31"/>
        <v>-4.3725263241433304E-2</v>
      </c>
      <c r="AS25" s="29">
        <f t="shared" si="32"/>
        <v>-0.1492849820035991</v>
      </c>
      <c r="AT25" s="29">
        <f t="shared" si="25"/>
        <v>-1.763257665053966</v>
      </c>
      <c r="AU25" s="29">
        <f t="shared" si="33"/>
        <v>0</v>
      </c>
      <c r="AV25" s="31">
        <f t="shared" si="34"/>
        <v>-2.3430618776244722E-3</v>
      </c>
      <c r="AW25" s="3">
        <f t="shared" si="17"/>
        <v>378.76884049764499</v>
      </c>
      <c r="AX25" s="4">
        <f t="shared" si="18"/>
        <v>7.6610999999999905</v>
      </c>
      <c r="AY25" s="5">
        <f t="shared" si="19"/>
        <v>-0.21867004147040797</v>
      </c>
      <c r="AZ25" s="3">
        <f t="shared" si="20"/>
        <v>-281.318840497645</v>
      </c>
    </row>
    <row r="26" spans="1:52">
      <c r="A26" s="38">
        <v>22</v>
      </c>
      <c r="B26" s="23" t="s">
        <v>42</v>
      </c>
      <c r="C26" s="13">
        <v>4.9898999999999996</v>
      </c>
      <c r="D26" s="13" t="s">
        <v>89</v>
      </c>
      <c r="E26" s="13"/>
      <c r="F26" s="13">
        <v>49.606499999999997</v>
      </c>
      <c r="G26" s="13">
        <v>0</v>
      </c>
      <c r="H26" s="14">
        <v>0</v>
      </c>
      <c r="I26" s="22">
        <v>0</v>
      </c>
      <c r="J26" s="21">
        <v>0.59930555555555554</v>
      </c>
      <c r="K26" s="21">
        <v>0.61736111111111114</v>
      </c>
      <c r="L26" s="21">
        <v>0.65902777777777777</v>
      </c>
      <c r="M26" s="18">
        <v>10</v>
      </c>
      <c r="N26" s="18">
        <v>22</v>
      </c>
      <c r="O26" s="18">
        <v>23</v>
      </c>
      <c r="P26" s="18">
        <v>25</v>
      </c>
      <c r="Q26" s="19">
        <v>220</v>
      </c>
      <c r="R26" s="23"/>
      <c r="S26" s="13">
        <v>101.3449</v>
      </c>
      <c r="T26" s="13">
        <v>147.17420000000001</v>
      </c>
      <c r="U26" s="13">
        <v>49.532400000000003</v>
      </c>
      <c r="V26" s="13">
        <v>50.338999999999999</v>
      </c>
      <c r="W26" s="18"/>
      <c r="X26" s="18"/>
      <c r="Y26" s="13">
        <v>23.44</v>
      </c>
      <c r="Z26" s="13">
        <v>23.809100000000001</v>
      </c>
      <c r="AA26" s="13">
        <v>22.761700000000001</v>
      </c>
      <c r="AB26" s="14">
        <v>22.8691</v>
      </c>
      <c r="AC26" s="20">
        <v>12.534599999999999</v>
      </c>
      <c r="AD26" s="13">
        <v>28.665700000000001</v>
      </c>
      <c r="AE26" s="13">
        <v>13.520899999999999</v>
      </c>
      <c r="AF26" s="24">
        <f>420.9/20</f>
        <v>21.044999999999998</v>
      </c>
      <c r="AG26" s="24">
        <f>1.777/10</f>
        <v>0.1777</v>
      </c>
      <c r="AH26" s="25">
        <f>57.71/20</f>
        <v>2.8855</v>
      </c>
      <c r="AI26" s="23">
        <f t="shared" si="21"/>
        <v>220</v>
      </c>
      <c r="AJ26" s="18">
        <f t="shared" si="22"/>
        <v>23</v>
      </c>
      <c r="AK26" s="26">
        <f t="shared" si="23"/>
        <v>26.000000000000068</v>
      </c>
      <c r="AL26" s="27">
        <f t="shared" si="24"/>
        <v>59.999999999999943</v>
      </c>
      <c r="AM26" s="28">
        <f t="shared" si="26"/>
        <v>0.16164652598248383</v>
      </c>
      <c r="AN26" s="29">
        <f t="shared" si="27"/>
        <v>9.5492895649210999E-2</v>
      </c>
      <c r="AO26" s="29">
        <f t="shared" si="28"/>
        <v>7.3969418224814037E-2</v>
      </c>
      <c r="AP26" s="29">
        <f t="shared" si="29"/>
        <v>2.1523477424396961E-2</v>
      </c>
      <c r="AQ26" s="30">
        <f t="shared" si="30"/>
        <v>0</v>
      </c>
      <c r="AR26" s="30">
        <f t="shared" si="31"/>
        <v>0.56156034379831055</v>
      </c>
      <c r="AS26" s="29">
        <f t="shared" si="32"/>
        <v>0.19328596134191073</v>
      </c>
      <c r="AT26" s="29"/>
      <c r="AU26" s="29">
        <f t="shared" si="33"/>
        <v>1.6320701036092915E-3</v>
      </c>
      <c r="AV26" s="31">
        <f t="shared" si="34"/>
        <v>2.6501622307060275E-2</v>
      </c>
    </row>
    <row r="27" spans="1:52">
      <c r="A27" s="38">
        <v>23</v>
      </c>
      <c r="B27" s="23" t="s">
        <v>42</v>
      </c>
      <c r="C27" s="13">
        <v>5.0038999999999998</v>
      </c>
      <c r="D27" s="13" t="s">
        <v>89</v>
      </c>
      <c r="E27" s="13"/>
      <c r="F27" s="13">
        <v>25.109000000000002</v>
      </c>
      <c r="G27" s="13">
        <v>0</v>
      </c>
      <c r="H27" s="14">
        <v>19.787800000000001</v>
      </c>
      <c r="I27" s="22">
        <v>0</v>
      </c>
      <c r="J27" s="21">
        <v>0.40902777777777777</v>
      </c>
      <c r="K27" s="21">
        <v>0.4284722222222222</v>
      </c>
      <c r="L27" s="21">
        <v>0.47013888888888888</v>
      </c>
      <c r="M27" s="18">
        <v>10</v>
      </c>
      <c r="N27" s="18">
        <v>35</v>
      </c>
      <c r="O27" s="18">
        <v>35</v>
      </c>
      <c r="P27" s="18">
        <v>23</v>
      </c>
      <c r="Q27" s="19">
        <v>220</v>
      </c>
      <c r="R27" s="23"/>
      <c r="S27" s="13">
        <v>101.56359999999999</v>
      </c>
      <c r="T27" s="13">
        <v>142.46780000000001</v>
      </c>
      <c r="U27" s="13">
        <v>48.214700000000001</v>
      </c>
      <c r="V27" s="13">
        <v>49.243899999999996</v>
      </c>
      <c r="W27" s="18"/>
      <c r="X27" s="18"/>
      <c r="Y27" s="13">
        <v>23.119800000000001</v>
      </c>
      <c r="Z27" s="13">
        <v>23.214099999999998</v>
      </c>
      <c r="AA27" s="13">
        <v>23.275200000000002</v>
      </c>
      <c r="AB27" s="14">
        <v>23.368600000000001</v>
      </c>
      <c r="AC27" s="20">
        <v>12.1144</v>
      </c>
      <c r="AD27" s="13">
        <v>22.213699999999999</v>
      </c>
      <c r="AE27" s="13">
        <v>12.773099999999999</v>
      </c>
      <c r="AF27" s="24">
        <f>1775/20</f>
        <v>88.75</v>
      </c>
      <c r="AG27" s="24">
        <f>0</f>
        <v>0</v>
      </c>
      <c r="AH27" s="25">
        <f>79.7/20</f>
        <v>3.9850000000000003</v>
      </c>
      <c r="AI27" s="23">
        <f t="shared" si="21"/>
        <v>220</v>
      </c>
      <c r="AJ27" s="18">
        <f t="shared" si="22"/>
        <v>35</v>
      </c>
      <c r="AK27" s="26">
        <f t="shared" si="23"/>
        <v>27.999999999999979</v>
      </c>
      <c r="AL27" s="27">
        <f t="shared" si="24"/>
        <v>60.000000000000028</v>
      </c>
      <c r="AM27" s="28">
        <f t="shared" si="26"/>
        <v>0.20567956993544953</v>
      </c>
      <c r="AN27" s="29">
        <f t="shared" si="27"/>
        <v>3.7510741621534401E-2</v>
      </c>
      <c r="AO27" s="29">
        <f t="shared" si="28"/>
        <v>1.8845300665480316E-2</v>
      </c>
      <c r="AP27" s="29">
        <f t="shared" si="29"/>
        <v>1.8665440956054085E-2</v>
      </c>
      <c r="AQ27" s="30">
        <f t="shared" si="30"/>
        <v>0</v>
      </c>
      <c r="AR27" s="30">
        <f t="shared" si="31"/>
        <v>0.27523752785195738</v>
      </c>
      <c r="AS27" s="29">
        <f t="shared" si="32"/>
        <v>0.37452397130238441</v>
      </c>
      <c r="AT27" s="29"/>
      <c r="AU27" s="29">
        <f t="shared" si="33"/>
        <v>0</v>
      </c>
      <c r="AV27" s="31">
        <f t="shared" si="34"/>
        <v>1.6816653810028191E-2</v>
      </c>
    </row>
    <row r="28" spans="1:52">
      <c r="A28" s="8">
        <v>24</v>
      </c>
      <c r="B28" s="23" t="s">
        <v>42</v>
      </c>
      <c r="C28" s="13">
        <v>5.0045999999999999</v>
      </c>
      <c r="D28" s="13" t="s">
        <v>111</v>
      </c>
      <c r="E28" s="13">
        <v>4.9988999999999999</v>
      </c>
      <c r="F28" s="13">
        <v>25.0822</v>
      </c>
      <c r="G28" s="13">
        <v>0</v>
      </c>
      <c r="H28" s="14">
        <v>19.587800000000001</v>
      </c>
      <c r="I28" s="22">
        <v>0</v>
      </c>
      <c r="J28" s="21">
        <v>0.64027777777777783</v>
      </c>
      <c r="K28" s="21">
        <v>0.66249999999999998</v>
      </c>
      <c r="L28" s="21">
        <v>0.70416666666666661</v>
      </c>
      <c r="M28" s="18">
        <v>10</v>
      </c>
      <c r="N28" s="18">
        <v>36</v>
      </c>
      <c r="O28" s="18">
        <v>38</v>
      </c>
      <c r="P28" s="18">
        <v>25</v>
      </c>
      <c r="Q28" s="19">
        <v>220</v>
      </c>
      <c r="R28" s="23">
        <v>580</v>
      </c>
      <c r="S28" s="13">
        <v>101.31870000000001</v>
      </c>
      <c r="T28" s="13">
        <v>140.25290000000001</v>
      </c>
      <c r="U28" s="13">
        <v>48.860199999999999</v>
      </c>
      <c r="V28" s="13">
        <v>54.627200000000002</v>
      </c>
      <c r="W28" s="18"/>
      <c r="X28" s="18"/>
      <c r="Y28" s="13">
        <v>23.294</v>
      </c>
      <c r="Z28" s="13">
        <v>23.343299999999999</v>
      </c>
      <c r="AA28" s="13">
        <v>23.056899999999999</v>
      </c>
      <c r="AB28" s="14">
        <v>23.0809</v>
      </c>
      <c r="AC28" s="20">
        <v>18.770499999999998</v>
      </c>
      <c r="AD28" s="13">
        <v>31.622</v>
      </c>
      <c r="AE28" s="13">
        <v>19.659300000000002</v>
      </c>
      <c r="AF28" s="24"/>
      <c r="AG28" s="24"/>
      <c r="AH28" s="25"/>
      <c r="AI28" s="23">
        <f t="shared" si="21"/>
        <v>220</v>
      </c>
      <c r="AJ28" s="18">
        <f t="shared" si="22"/>
        <v>38</v>
      </c>
      <c r="AK28" s="26">
        <f t="shared" si="23"/>
        <v>31.999999999999886</v>
      </c>
      <c r="AL28" s="27">
        <f t="shared" si="24"/>
        <v>59.999999999999943</v>
      </c>
      <c r="AM28" s="28">
        <f t="shared" ref="AM28:AM38" si="35">(V28-U28-E28)/C28</f>
        <v>0.15347879950445653</v>
      </c>
      <c r="AN28" s="29">
        <f t="shared" si="27"/>
        <v>1.4646525196818867E-2</v>
      </c>
      <c r="AO28" s="29">
        <f t="shared" si="28"/>
        <v>9.8509371378329522E-3</v>
      </c>
      <c r="AP28" s="29">
        <f t="shared" si="29"/>
        <v>4.795588058985915E-3</v>
      </c>
      <c r="AQ28" s="30">
        <f t="shared" si="30"/>
        <v>0.2058187869436218</v>
      </c>
      <c r="AR28" s="30">
        <f t="shared" si="31"/>
        <v>0.26735050984934605</v>
      </c>
      <c r="AS28" s="29">
        <f t="shared" si="32"/>
        <v>0</v>
      </c>
      <c r="AT28" s="29"/>
      <c r="AU28" s="29">
        <f t="shared" si="33"/>
        <v>0</v>
      </c>
      <c r="AV28" s="31">
        <f t="shared" si="34"/>
        <v>0</v>
      </c>
    </row>
    <row r="29" spans="1:52">
      <c r="A29" s="8">
        <v>25</v>
      </c>
      <c r="B29" s="23" t="s">
        <v>42</v>
      </c>
      <c r="C29" s="13">
        <v>5.0038</v>
      </c>
      <c r="D29" s="13" t="s">
        <v>111</v>
      </c>
      <c r="E29" s="13">
        <v>4.9977999999999998</v>
      </c>
      <c r="F29" s="13">
        <v>0</v>
      </c>
      <c r="G29" s="13">
        <v>0</v>
      </c>
      <c r="H29" s="14">
        <v>38.965899999999998</v>
      </c>
      <c r="I29" s="22">
        <v>0</v>
      </c>
      <c r="J29" s="21">
        <v>0.4284722222222222</v>
      </c>
      <c r="K29" s="21">
        <v>0.44861111111111113</v>
      </c>
      <c r="L29" s="21">
        <v>0.49027777777777781</v>
      </c>
      <c r="M29" s="18">
        <v>10</v>
      </c>
      <c r="N29" s="18">
        <v>36</v>
      </c>
      <c r="O29" s="18">
        <v>38</v>
      </c>
      <c r="P29" s="18">
        <v>23</v>
      </c>
      <c r="Q29" s="19">
        <v>220</v>
      </c>
      <c r="R29" s="23">
        <v>830</v>
      </c>
      <c r="S29" s="13">
        <v>101.4383</v>
      </c>
      <c r="T29" s="13">
        <v>134.35990000000001</v>
      </c>
      <c r="U29" s="13">
        <v>49.897199999999998</v>
      </c>
      <c r="V29" s="13">
        <v>58.244100000000003</v>
      </c>
      <c r="W29" s="18"/>
      <c r="X29" s="18"/>
      <c r="Y29" s="13">
        <v>23.6873</v>
      </c>
      <c r="Z29" s="13">
        <v>23.732500000000002</v>
      </c>
      <c r="AA29" s="13">
        <v>23.3386</v>
      </c>
      <c r="AB29" s="14">
        <v>23.385400000000001</v>
      </c>
      <c r="AC29" s="20">
        <v>12.472899999999999</v>
      </c>
      <c r="AD29" s="13">
        <v>22.042100000000001</v>
      </c>
      <c r="AE29" s="13">
        <v>12.6746</v>
      </c>
      <c r="AF29" s="24"/>
      <c r="AG29" s="24"/>
      <c r="AH29" s="25"/>
      <c r="AI29" s="23">
        <f t="shared" si="21"/>
        <v>220</v>
      </c>
      <c r="AJ29" s="18">
        <f t="shared" si="22"/>
        <v>38</v>
      </c>
      <c r="AK29" s="26">
        <f t="shared" si="23"/>
        <v>29.000000000000057</v>
      </c>
      <c r="AL29" s="27">
        <f t="shared" si="24"/>
        <v>60.000000000000028</v>
      </c>
      <c r="AM29" s="28">
        <f t="shared" si="35"/>
        <v>0.6693113233942215</v>
      </c>
      <c r="AN29" s="29">
        <f t="shared" si="27"/>
        <v>1.8386026619769437E-2</v>
      </c>
      <c r="AO29" s="29">
        <f t="shared" si="28"/>
        <v>9.0331348175389185E-3</v>
      </c>
      <c r="AP29" s="29">
        <f t="shared" si="29"/>
        <v>9.3528918022305167E-3</v>
      </c>
      <c r="AQ29" s="30"/>
      <c r="AR29" s="30">
        <f t="shared" si="31"/>
        <v>-2.546105151532398E-2</v>
      </c>
      <c r="AS29" s="29">
        <f t="shared" si="32"/>
        <v>0</v>
      </c>
      <c r="AT29" s="29"/>
      <c r="AU29" s="29">
        <f t="shared" si="33"/>
        <v>0</v>
      </c>
      <c r="AV29" s="31">
        <f t="shared" si="34"/>
        <v>0</v>
      </c>
    </row>
    <row r="30" spans="1:52">
      <c r="A30" s="8">
        <v>26</v>
      </c>
      <c r="B30" s="23" t="s">
        <v>42</v>
      </c>
      <c r="C30" s="13">
        <v>4.9960000000000004</v>
      </c>
      <c r="D30" s="13" t="s">
        <v>111</v>
      </c>
      <c r="E30" s="13">
        <v>5.0057999999999998</v>
      </c>
      <c r="F30" s="13">
        <v>25.863</v>
      </c>
      <c r="G30" s="13">
        <v>0</v>
      </c>
      <c r="H30" s="14">
        <v>18.835799999999999</v>
      </c>
      <c r="I30" s="22">
        <v>0</v>
      </c>
      <c r="J30" s="21">
        <v>0.59444444444444444</v>
      </c>
      <c r="K30" s="21">
        <v>0.63611111111111118</v>
      </c>
      <c r="L30" s="21">
        <v>0.6777777777777777</v>
      </c>
      <c r="M30" s="18">
        <v>10</v>
      </c>
      <c r="N30" s="18">
        <v>137</v>
      </c>
      <c r="O30" s="18">
        <v>140</v>
      </c>
      <c r="P30" s="18">
        <v>25</v>
      </c>
      <c r="Q30" s="19">
        <v>310</v>
      </c>
      <c r="R30" s="23"/>
      <c r="S30" s="13">
        <v>101.35299999999999</v>
      </c>
      <c r="T30" s="13">
        <v>139.28870000000001</v>
      </c>
      <c r="U30" s="13">
        <v>48.209299999999999</v>
      </c>
      <c r="V30" s="13">
        <v>54.782899999999998</v>
      </c>
      <c r="W30" s="18"/>
      <c r="X30" s="18"/>
      <c r="Y30" s="13">
        <v>23.080200000000001</v>
      </c>
      <c r="Z30" s="13">
        <v>23.143699999999999</v>
      </c>
      <c r="AA30" s="13">
        <v>23.296700000000001</v>
      </c>
      <c r="AB30" s="14">
        <v>23.3614</v>
      </c>
      <c r="AC30" s="20">
        <v>12.1137</v>
      </c>
      <c r="AD30" s="13">
        <v>24.607600000000001</v>
      </c>
      <c r="AE30" s="13">
        <v>12.710900000000001</v>
      </c>
      <c r="AF30" s="24"/>
      <c r="AG30" s="24"/>
      <c r="AH30" s="25"/>
      <c r="AI30" s="23">
        <f t="shared" ref="AI30:AI38" si="36">Q30</f>
        <v>310</v>
      </c>
      <c r="AJ30" s="18">
        <f t="shared" ref="AJ30:AJ37" si="37">MAX(M30:O30)</f>
        <v>140</v>
      </c>
      <c r="AK30" s="26">
        <f t="shared" ref="AK30:AL38" si="38">(K30-J30)*24*60</f>
        <v>60.000000000000107</v>
      </c>
      <c r="AL30" s="27">
        <f>(L30-K30)*24*60</f>
        <v>59.999999999999787</v>
      </c>
      <c r="AM30" s="28">
        <f t="shared" si="35"/>
        <v>0.31381104883907107</v>
      </c>
      <c r="AN30" s="29">
        <f t="shared" ref="AN30:AN38" si="39">AO30+AP30</f>
        <v>2.5660528422737409E-2</v>
      </c>
      <c r="AO30" s="29">
        <f t="shared" ref="AO30:AO38" si="40">(Z30-Y30)/C30</f>
        <v>1.2710168134507139E-2</v>
      </c>
      <c r="AP30" s="29">
        <f t="shared" ref="AP30:AP38" si="41">(AB30-AA30)/C30</f>
        <v>1.2950360288230269E-2</v>
      </c>
      <c r="AQ30" s="30"/>
      <c r="AR30" s="30">
        <f t="shared" ref="AR30:AR37" si="42">(AE30-AC30)/(AD30-AC30)*(T30-S30-H30)/C30</f>
        <v>0.18273866053359455</v>
      </c>
      <c r="AS30" s="29">
        <f t="shared" ref="AS30:AS37" si="43">AF30*(T30-S30-H30)/1000/C30</f>
        <v>0</v>
      </c>
      <c r="AT30" s="29"/>
      <c r="AU30" s="29">
        <f t="shared" ref="AU30:AU37" si="44">(AG30)*(T30-S30-H30)/1000/C30</f>
        <v>0</v>
      </c>
      <c r="AV30" s="31">
        <f t="shared" ref="AV30:AV37" si="45">(AH30)*(T30-S30-H30)/1000/C30</f>
        <v>0</v>
      </c>
    </row>
    <row r="31" spans="1:52">
      <c r="A31" s="8">
        <v>27</v>
      </c>
      <c r="B31" s="23" t="s">
        <v>42</v>
      </c>
      <c r="C31" s="13">
        <v>4.9969000000000001</v>
      </c>
      <c r="D31" s="13" t="s">
        <v>111</v>
      </c>
      <c r="E31" s="13">
        <v>5.0048000000000004</v>
      </c>
      <c r="F31" s="13">
        <v>49.569299999999998</v>
      </c>
      <c r="G31" s="13">
        <v>0</v>
      </c>
      <c r="H31" s="14">
        <v>0</v>
      </c>
      <c r="I31" s="22">
        <v>0</v>
      </c>
      <c r="J31" s="21">
        <v>0.40069444444444446</v>
      </c>
      <c r="K31" s="21">
        <v>0.42083333333333334</v>
      </c>
      <c r="L31" s="21">
        <v>0.46249999999999997</v>
      </c>
      <c r="M31" s="18">
        <v>10</v>
      </c>
      <c r="N31" s="18">
        <v>21</v>
      </c>
      <c r="O31" s="18">
        <v>21</v>
      </c>
      <c r="P31" s="18">
        <v>22</v>
      </c>
      <c r="Q31" s="19">
        <v>220</v>
      </c>
      <c r="R31" s="23"/>
      <c r="S31" s="13">
        <v>101.455</v>
      </c>
      <c r="T31" s="13">
        <v>148.50880000000001</v>
      </c>
      <c r="U31" s="13">
        <v>49.525199999999998</v>
      </c>
      <c r="V31" s="13">
        <v>55.435000000000002</v>
      </c>
      <c r="W31" s="18"/>
      <c r="X31" s="18"/>
      <c r="Y31" s="13">
        <v>23.306799999999999</v>
      </c>
      <c r="Z31" s="13">
        <v>23.529199999999999</v>
      </c>
      <c r="AA31" s="13">
        <v>23.446899999999999</v>
      </c>
      <c r="AB31" s="14">
        <v>23.4983</v>
      </c>
      <c r="AC31" s="20">
        <v>12.535299999999999</v>
      </c>
      <c r="AD31" s="13">
        <v>23.351199999999999</v>
      </c>
      <c r="AE31" s="13">
        <v>13.241</v>
      </c>
      <c r="AF31" s="24"/>
      <c r="AG31" s="24"/>
      <c r="AH31" s="25"/>
      <c r="AI31" s="23">
        <f t="shared" si="36"/>
        <v>220</v>
      </c>
      <c r="AJ31" s="18">
        <f t="shared" si="37"/>
        <v>21</v>
      </c>
      <c r="AK31" s="26">
        <f t="shared" si="38"/>
        <v>28.999999999999979</v>
      </c>
      <c r="AL31" s="27">
        <f>(L31-K31)*24*60</f>
        <v>59.999999999999943</v>
      </c>
      <c r="AM31" s="28">
        <f t="shared" si="35"/>
        <v>0.18111228961956488</v>
      </c>
      <c r="AN31" s="29">
        <f t="shared" si="39"/>
        <v>5.4793972262803213E-2</v>
      </c>
      <c r="AO31" s="29">
        <f t="shared" si="40"/>
        <v>4.4507594708719483E-2</v>
      </c>
      <c r="AP31" s="29">
        <f t="shared" si="41"/>
        <v>1.0286377554083731E-2</v>
      </c>
      <c r="AQ31" s="30"/>
      <c r="AR31" s="30">
        <f t="shared" si="42"/>
        <v>0.61440041179343674</v>
      </c>
      <c r="AS31" s="29">
        <f t="shared" si="43"/>
        <v>0</v>
      </c>
      <c r="AT31" s="29"/>
      <c r="AU31" s="29">
        <f t="shared" si="44"/>
        <v>0</v>
      </c>
      <c r="AV31" s="31">
        <f t="shared" si="45"/>
        <v>0</v>
      </c>
    </row>
    <row r="32" spans="1:52">
      <c r="A32" s="8">
        <v>28</v>
      </c>
      <c r="B32" s="23" t="s">
        <v>42</v>
      </c>
      <c r="C32" s="13">
        <v>5.0608000000000004</v>
      </c>
      <c r="D32" s="13" t="s">
        <v>111</v>
      </c>
      <c r="E32" s="13">
        <v>5.0199999999999996</v>
      </c>
      <c r="F32" s="13">
        <v>49.585900000000002</v>
      </c>
      <c r="G32" s="13">
        <v>0</v>
      </c>
      <c r="H32" s="14">
        <v>0</v>
      </c>
      <c r="I32" s="22">
        <v>0</v>
      </c>
      <c r="J32" s="21">
        <v>0.54583333333333328</v>
      </c>
      <c r="K32" s="21">
        <v>0.58819444444444446</v>
      </c>
      <c r="L32" s="21">
        <v>0.62986111111111109</v>
      </c>
      <c r="M32" s="18">
        <v>10</v>
      </c>
      <c r="N32" s="18">
        <v>91</v>
      </c>
      <c r="O32" s="18">
        <v>95</v>
      </c>
      <c r="P32" s="18">
        <v>24</v>
      </c>
      <c r="Q32" s="19">
        <v>310</v>
      </c>
      <c r="R32" s="23">
        <v>0</v>
      </c>
      <c r="S32" s="13">
        <v>101.3194</v>
      </c>
      <c r="T32" s="13">
        <v>144.86619999999999</v>
      </c>
      <c r="U32" s="13">
        <v>49.881</v>
      </c>
      <c r="V32" s="13">
        <v>56.4587</v>
      </c>
      <c r="W32" s="18"/>
      <c r="X32" s="18"/>
      <c r="Y32" s="13">
        <v>23.0944</v>
      </c>
      <c r="Z32" s="13">
        <v>23.2362</v>
      </c>
      <c r="AA32" s="13">
        <v>26.164999999999999</v>
      </c>
      <c r="AB32" s="14">
        <v>26.398099999999999</v>
      </c>
      <c r="AC32" s="20">
        <v>12.5381</v>
      </c>
      <c r="AD32" s="13">
        <v>29.718499999999999</v>
      </c>
      <c r="AE32" s="13">
        <v>13.4375</v>
      </c>
      <c r="AF32" s="24"/>
      <c r="AG32" s="24"/>
      <c r="AH32" s="25"/>
      <c r="AI32" s="23">
        <f t="shared" si="36"/>
        <v>310</v>
      </c>
      <c r="AJ32" s="18">
        <f t="shared" si="37"/>
        <v>95</v>
      </c>
      <c r="AK32" s="26">
        <f t="shared" si="38"/>
        <v>61.000000000000099</v>
      </c>
      <c r="AL32" s="27">
        <f t="shared" si="38"/>
        <v>59.999999999999943</v>
      </c>
      <c r="AM32" s="28">
        <f t="shared" si="35"/>
        <v>0.30779718621561819</v>
      </c>
      <c r="AN32" s="29">
        <f t="shared" si="39"/>
        <v>7.4079196964906779E-2</v>
      </c>
      <c r="AO32" s="29">
        <f t="shared" si="40"/>
        <v>2.8019285488460305E-2</v>
      </c>
      <c r="AP32" s="29">
        <f t="shared" si="41"/>
        <v>4.6059911476446468E-2</v>
      </c>
      <c r="AQ32" s="30"/>
      <c r="AR32" s="30">
        <f t="shared" si="42"/>
        <v>0.45046046873124013</v>
      </c>
      <c r="AS32" s="29">
        <f t="shared" si="43"/>
        <v>0</v>
      </c>
      <c r="AT32" s="29"/>
      <c r="AU32" s="29">
        <f t="shared" si="44"/>
        <v>0</v>
      </c>
      <c r="AV32" s="31">
        <f t="shared" si="45"/>
        <v>0</v>
      </c>
    </row>
    <row r="33" spans="1:50">
      <c r="A33" s="8">
        <v>29</v>
      </c>
      <c r="B33" s="23" t="s">
        <v>42</v>
      </c>
      <c r="C33" s="13">
        <v>5.0038999999999998</v>
      </c>
      <c r="D33" s="13" t="s">
        <v>89</v>
      </c>
      <c r="E33" s="13">
        <v>0</v>
      </c>
      <c r="F33" s="13">
        <v>0</v>
      </c>
      <c r="G33" s="13">
        <v>0</v>
      </c>
      <c r="H33" s="14">
        <v>38.840600000000002</v>
      </c>
      <c r="I33" s="22">
        <v>180</v>
      </c>
      <c r="J33" s="21">
        <v>0.41041666666666665</v>
      </c>
      <c r="K33" s="21">
        <v>0.45416666666666666</v>
      </c>
      <c r="L33" s="21">
        <v>0.49583333333333335</v>
      </c>
      <c r="M33" s="18">
        <v>10</v>
      </c>
      <c r="N33" s="18">
        <v>136</v>
      </c>
      <c r="O33" s="18">
        <v>161</v>
      </c>
      <c r="P33" s="18">
        <v>23</v>
      </c>
      <c r="Q33" s="19">
        <v>310</v>
      </c>
      <c r="R33" s="23">
        <f>1000+890+740</f>
        <v>2630</v>
      </c>
      <c r="S33" s="13">
        <v>101.41289999999999</v>
      </c>
      <c r="T33" s="13">
        <v>132.27340000000001</v>
      </c>
      <c r="U33" s="13">
        <v>32.2057</v>
      </c>
      <c r="V33" s="13">
        <v>34.933100000000003</v>
      </c>
      <c r="W33" s="18"/>
      <c r="X33" s="18"/>
      <c r="Y33" s="13">
        <v>23.379300000000001</v>
      </c>
      <c r="Z33" s="13">
        <v>23.4633</v>
      </c>
      <c r="AA33" s="13">
        <v>23.667100000000001</v>
      </c>
      <c r="AB33" s="14">
        <v>23.727499999999999</v>
      </c>
      <c r="AC33" s="20">
        <v>13.0601</v>
      </c>
      <c r="AD33" s="13">
        <v>23.645399999999999</v>
      </c>
      <c r="AE33" s="13">
        <v>13.4421</v>
      </c>
      <c r="AF33" s="24"/>
      <c r="AG33" s="24"/>
      <c r="AH33" s="25"/>
      <c r="AI33" s="23">
        <f t="shared" si="36"/>
        <v>310</v>
      </c>
      <c r="AJ33" s="18">
        <f t="shared" si="37"/>
        <v>161</v>
      </c>
      <c r="AK33" s="26">
        <f t="shared" si="38"/>
        <v>63.000000000000014</v>
      </c>
      <c r="AL33" s="27">
        <f t="shared" si="38"/>
        <v>60.000000000000028</v>
      </c>
      <c r="AM33" s="28">
        <f t="shared" si="35"/>
        <v>0.5450548572113757</v>
      </c>
      <c r="AN33" s="29">
        <f t="shared" si="39"/>
        <v>2.8857491156897105E-2</v>
      </c>
      <c r="AO33" s="29">
        <f t="shared" si="40"/>
        <v>1.6786906213153666E-2</v>
      </c>
      <c r="AP33" s="29">
        <f t="shared" si="41"/>
        <v>1.2070584943743438E-2</v>
      </c>
      <c r="AQ33" s="30"/>
      <c r="AR33" s="30">
        <f t="shared" si="42"/>
        <v>-5.7551931501307697E-2</v>
      </c>
      <c r="AS33" s="29">
        <f t="shared" si="43"/>
        <v>0</v>
      </c>
      <c r="AT33" s="29"/>
      <c r="AU33" s="29">
        <f t="shared" si="44"/>
        <v>0</v>
      </c>
      <c r="AV33" s="31">
        <f t="shared" si="45"/>
        <v>0</v>
      </c>
    </row>
    <row r="34" spans="1:50">
      <c r="A34" s="8">
        <v>30</v>
      </c>
      <c r="B34" s="23" t="s">
        <v>42</v>
      </c>
      <c r="C34" s="13">
        <v>5.0046999999999997</v>
      </c>
      <c r="D34" s="13" t="s">
        <v>113</v>
      </c>
      <c r="E34" s="13">
        <v>5.0167000000000002</v>
      </c>
      <c r="F34" s="13">
        <v>25.043800000000001</v>
      </c>
      <c r="G34" s="13">
        <v>0</v>
      </c>
      <c r="H34" s="14">
        <v>19.5182</v>
      </c>
      <c r="I34" s="22">
        <v>180</v>
      </c>
      <c r="J34" s="21">
        <v>0.52013888888888882</v>
      </c>
      <c r="K34" s="21">
        <v>0.57500000000000007</v>
      </c>
      <c r="L34" s="21">
        <v>0.65833333333333333</v>
      </c>
      <c r="M34" s="18">
        <v>10</v>
      </c>
      <c r="N34" s="18">
        <v>135</v>
      </c>
      <c r="O34" s="18">
        <v>135</v>
      </c>
      <c r="P34" s="18">
        <v>25</v>
      </c>
      <c r="Q34" s="19">
        <v>310</v>
      </c>
      <c r="R34" s="23"/>
      <c r="S34" s="13">
        <v>101.3192</v>
      </c>
      <c r="T34" s="13">
        <v>128.87280000000001</v>
      </c>
      <c r="U34" s="13">
        <v>49.530999999999999</v>
      </c>
      <c r="V34" s="13">
        <v>55.903799999999997</v>
      </c>
      <c r="W34" s="18"/>
      <c r="X34" s="18"/>
      <c r="Y34" s="13">
        <v>25.8233</v>
      </c>
      <c r="Z34" s="13">
        <v>25.8947</v>
      </c>
      <c r="AA34" s="13">
        <v>25.7744</v>
      </c>
      <c r="AB34" s="14">
        <v>25.846499999999999</v>
      </c>
      <c r="AC34" s="20">
        <v>12.5351</v>
      </c>
      <c r="AD34" s="13">
        <v>28.2301</v>
      </c>
      <c r="AE34" s="13">
        <v>13.4971</v>
      </c>
      <c r="AF34" s="24"/>
      <c r="AG34" s="24"/>
      <c r="AH34" s="25"/>
      <c r="AI34" s="23">
        <f t="shared" si="36"/>
        <v>310</v>
      </c>
      <c r="AJ34" s="18">
        <f t="shared" si="37"/>
        <v>135</v>
      </c>
      <c r="AK34" s="26">
        <f t="shared" si="38"/>
        <v>79.000000000000199</v>
      </c>
      <c r="AL34" s="27">
        <f t="shared" si="38"/>
        <v>119.99999999999989</v>
      </c>
      <c r="AM34" s="28">
        <f t="shared" si="35"/>
        <v>0.27096529262493213</v>
      </c>
      <c r="AN34" s="29">
        <f t="shared" si="39"/>
        <v>2.8673047335504531E-2</v>
      </c>
      <c r="AO34" s="29">
        <f t="shared" si="40"/>
        <v>1.4266589405958515E-2</v>
      </c>
      <c r="AP34" s="29">
        <f t="shared" si="41"/>
        <v>1.4406457929546016E-2</v>
      </c>
      <c r="AQ34" s="30"/>
      <c r="AR34" s="30">
        <f t="shared" si="42"/>
        <v>9.8410899934374074E-2</v>
      </c>
      <c r="AS34" s="29">
        <f t="shared" si="43"/>
        <v>0</v>
      </c>
      <c r="AT34" s="29"/>
      <c r="AU34" s="29">
        <f t="shared" si="44"/>
        <v>0</v>
      </c>
      <c r="AV34" s="31">
        <f t="shared" si="45"/>
        <v>0</v>
      </c>
    </row>
    <row r="35" spans="1:50">
      <c r="A35" s="8">
        <v>31</v>
      </c>
      <c r="B35" s="23" t="s">
        <v>42</v>
      </c>
      <c r="C35" s="13">
        <v>5.0010000000000003</v>
      </c>
      <c r="D35" s="13" t="s">
        <v>113</v>
      </c>
      <c r="E35" s="13">
        <v>5.0038999999999998</v>
      </c>
      <c r="F35" s="13">
        <v>25.088899999999999</v>
      </c>
      <c r="G35" s="13">
        <v>0</v>
      </c>
      <c r="H35" s="14">
        <v>19.614699999999999</v>
      </c>
      <c r="I35" s="22">
        <v>180</v>
      </c>
      <c r="J35" s="21">
        <v>0.41597222222222219</v>
      </c>
      <c r="K35" s="21">
        <v>0.44166666666666665</v>
      </c>
      <c r="L35" s="21">
        <v>0.48333333333333334</v>
      </c>
      <c r="M35" s="18">
        <v>10</v>
      </c>
      <c r="N35" s="18">
        <v>35</v>
      </c>
      <c r="O35" s="18">
        <v>35</v>
      </c>
      <c r="P35" s="18">
        <v>23</v>
      </c>
      <c r="Q35" s="19">
        <v>220</v>
      </c>
      <c r="R35" s="23"/>
      <c r="S35" s="13">
        <v>101.4791</v>
      </c>
      <c r="T35" s="13">
        <v>140.03120000000001</v>
      </c>
      <c r="U35" s="13">
        <v>32.220999999999997</v>
      </c>
      <c r="V35" s="13">
        <v>37.712299999999999</v>
      </c>
      <c r="W35" s="18"/>
      <c r="X35" s="18"/>
      <c r="Y35" s="13"/>
      <c r="Z35" s="13"/>
      <c r="AA35" s="13"/>
      <c r="AB35" s="14"/>
      <c r="AC35" s="20">
        <v>12.556100000000001</v>
      </c>
      <c r="AD35" s="13">
        <v>21.7209</v>
      </c>
      <c r="AE35" s="13">
        <v>13.2171</v>
      </c>
      <c r="AF35" s="24"/>
      <c r="AG35" s="24"/>
      <c r="AH35" s="25"/>
      <c r="AI35" s="23">
        <f t="shared" si="36"/>
        <v>220</v>
      </c>
      <c r="AJ35" s="18">
        <f t="shared" si="37"/>
        <v>35</v>
      </c>
      <c r="AK35" s="26">
        <f t="shared" si="38"/>
        <v>37.000000000000028</v>
      </c>
      <c r="AL35" s="27">
        <f t="shared" si="38"/>
        <v>60.000000000000028</v>
      </c>
      <c r="AM35" s="28">
        <f t="shared" si="35"/>
        <v>9.7460507898420853E-2</v>
      </c>
      <c r="AN35" s="29">
        <f t="shared" si="39"/>
        <v>0</v>
      </c>
      <c r="AO35" s="29">
        <f t="shared" si="40"/>
        <v>0</v>
      </c>
      <c r="AP35" s="29">
        <f t="shared" si="41"/>
        <v>0</v>
      </c>
      <c r="AQ35" s="30"/>
      <c r="AR35" s="30">
        <f t="shared" si="42"/>
        <v>0.27311274389675133</v>
      </c>
      <c r="AS35" s="29">
        <f t="shared" si="43"/>
        <v>0</v>
      </c>
      <c r="AT35" s="29"/>
      <c r="AU35" s="29">
        <f t="shared" si="44"/>
        <v>0</v>
      </c>
      <c r="AV35" s="31">
        <f t="shared" si="45"/>
        <v>0</v>
      </c>
    </row>
    <row r="36" spans="1:50">
      <c r="A36" s="8">
        <v>32</v>
      </c>
      <c r="B36" s="23" t="s">
        <v>42</v>
      </c>
      <c r="C36" s="13">
        <v>5.0229999999999997</v>
      </c>
      <c r="D36" s="13" t="s">
        <v>113</v>
      </c>
      <c r="E36" s="13">
        <v>5.0136000000000003</v>
      </c>
      <c r="F36" s="13">
        <v>49.651800000000001</v>
      </c>
      <c r="G36" s="13">
        <v>0</v>
      </c>
      <c r="H36" s="14">
        <v>0</v>
      </c>
      <c r="I36" s="22">
        <v>180</v>
      </c>
      <c r="J36" s="21">
        <v>0.55625000000000002</v>
      </c>
      <c r="K36" s="21">
        <v>0.60277777777777775</v>
      </c>
      <c r="L36" s="21">
        <v>0.64513888888888882</v>
      </c>
      <c r="M36" s="18">
        <v>10</v>
      </c>
      <c r="N36" s="18">
        <v>96</v>
      </c>
      <c r="O36" s="18">
        <v>96</v>
      </c>
      <c r="P36" s="18">
        <v>25</v>
      </c>
      <c r="Q36" s="19">
        <v>310</v>
      </c>
      <c r="R36" s="23"/>
      <c r="S36" s="13">
        <v>101.3194</v>
      </c>
      <c r="T36" s="13">
        <v>136.57669999999999</v>
      </c>
      <c r="U36" s="13">
        <v>48.215600000000002</v>
      </c>
      <c r="V36" s="13">
        <v>54.138800000000003</v>
      </c>
      <c r="W36" s="18"/>
      <c r="X36" s="18"/>
      <c r="Y36" s="13">
        <v>26.2273</v>
      </c>
      <c r="Z36" s="13">
        <v>26.4039</v>
      </c>
      <c r="AA36" s="13">
        <v>25.476099999999999</v>
      </c>
      <c r="AB36" s="14">
        <v>25.651499999999999</v>
      </c>
      <c r="AC36" s="20">
        <v>11.4489</v>
      </c>
      <c r="AD36" s="13">
        <v>22.622199999999999</v>
      </c>
      <c r="AE36" s="13">
        <v>12.0816</v>
      </c>
      <c r="AF36" s="24"/>
      <c r="AG36" s="24"/>
      <c r="AH36" s="25"/>
      <c r="AI36" s="23">
        <f t="shared" si="36"/>
        <v>310</v>
      </c>
      <c r="AJ36" s="18">
        <f t="shared" si="37"/>
        <v>96</v>
      </c>
      <c r="AK36" s="26">
        <f t="shared" si="38"/>
        <v>66.999999999999915</v>
      </c>
      <c r="AL36" s="27">
        <f t="shared" si="38"/>
        <v>60.999999999999943</v>
      </c>
      <c r="AM36" s="28">
        <f t="shared" si="35"/>
        <v>0.181086999800916</v>
      </c>
      <c r="AN36" s="29">
        <f t="shared" si="39"/>
        <v>7.0077642842922616E-2</v>
      </c>
      <c r="AO36" s="29">
        <f t="shared" si="40"/>
        <v>3.515827194903455E-2</v>
      </c>
      <c r="AP36" s="29">
        <f t="shared" si="41"/>
        <v>3.4919370893888073E-2</v>
      </c>
      <c r="AQ36" s="30"/>
      <c r="AR36" s="30">
        <f t="shared" si="42"/>
        <v>0.39746807156181985</v>
      </c>
      <c r="AS36" s="29">
        <f t="shared" si="43"/>
        <v>0</v>
      </c>
      <c r="AT36" s="29"/>
      <c r="AU36" s="29">
        <f t="shared" si="44"/>
        <v>0</v>
      </c>
      <c r="AV36" s="31">
        <f t="shared" si="45"/>
        <v>0</v>
      </c>
    </row>
    <row r="37" spans="1:50">
      <c r="A37" s="8">
        <v>33</v>
      </c>
      <c r="B37" s="23" t="s">
        <v>42</v>
      </c>
      <c r="C37" s="13">
        <v>5.0015999999999998</v>
      </c>
      <c r="D37" s="13" t="s">
        <v>113</v>
      </c>
      <c r="E37" s="13">
        <v>5.0015999999999998</v>
      </c>
      <c r="F37" s="13">
        <v>0</v>
      </c>
      <c r="G37" s="13">
        <v>0</v>
      </c>
      <c r="H37" s="14">
        <v>39.011499999999998</v>
      </c>
      <c r="I37" s="22">
        <v>180</v>
      </c>
      <c r="J37" s="21">
        <v>0.40625</v>
      </c>
      <c r="K37" s="21">
        <v>0.42777777777777781</v>
      </c>
      <c r="L37" s="21">
        <v>0.4694444444444445</v>
      </c>
      <c r="M37" s="18">
        <v>10</v>
      </c>
      <c r="N37" s="18">
        <v>38</v>
      </c>
      <c r="O37" s="18">
        <v>37</v>
      </c>
      <c r="P37" s="18">
        <v>21</v>
      </c>
      <c r="Q37" s="19">
        <v>220</v>
      </c>
      <c r="R37" s="23"/>
      <c r="S37" s="13">
        <v>101.4551</v>
      </c>
      <c r="T37" s="13">
        <v>132.74430000000001</v>
      </c>
      <c r="U37" s="13">
        <v>49.889699999999998</v>
      </c>
      <c r="V37" s="13">
        <v>57.218000000000004</v>
      </c>
      <c r="W37" s="18"/>
      <c r="X37" s="18"/>
      <c r="Y37" s="13">
        <v>26.258299999999998</v>
      </c>
      <c r="Z37" s="13">
        <v>26.306799999999999</v>
      </c>
      <c r="AA37" s="13">
        <v>25.831600000000002</v>
      </c>
      <c r="AB37" s="14">
        <v>25.973099999999999</v>
      </c>
      <c r="AC37" s="20">
        <v>12.5349</v>
      </c>
      <c r="AD37" s="13">
        <v>21.1221</v>
      </c>
      <c r="AE37" s="13">
        <v>2.7250999999999999</v>
      </c>
      <c r="AF37" s="24"/>
      <c r="AG37" s="24"/>
      <c r="AH37" s="25"/>
      <c r="AI37" s="23">
        <f t="shared" si="36"/>
        <v>220</v>
      </c>
      <c r="AJ37" s="18">
        <f t="shared" si="37"/>
        <v>38</v>
      </c>
      <c r="AK37" s="26">
        <f t="shared" si="38"/>
        <v>31.00000000000005</v>
      </c>
      <c r="AL37" s="27">
        <f t="shared" si="38"/>
        <v>60.000000000000028</v>
      </c>
      <c r="AM37" s="28">
        <f t="shared" si="35"/>
        <v>0.46519113883557384</v>
      </c>
      <c r="AN37" s="29">
        <f t="shared" si="39"/>
        <v>3.7987843889954756E-2</v>
      </c>
      <c r="AO37" s="29">
        <f t="shared" si="40"/>
        <v>9.6968969929623824E-3</v>
      </c>
      <c r="AP37" s="29">
        <f t="shared" si="41"/>
        <v>2.8290946896992377E-2</v>
      </c>
      <c r="AQ37" s="30"/>
      <c r="AR37" s="30">
        <f t="shared" si="42"/>
        <v>1.7637876128381214</v>
      </c>
      <c r="AS37" s="29">
        <f t="shared" si="43"/>
        <v>0</v>
      </c>
      <c r="AT37" s="29"/>
      <c r="AU37" s="29">
        <f t="shared" si="44"/>
        <v>0</v>
      </c>
      <c r="AV37" s="31">
        <f t="shared" si="45"/>
        <v>0</v>
      </c>
    </row>
    <row r="38" spans="1:50">
      <c r="A38" s="8">
        <v>34</v>
      </c>
      <c r="B38" s="23" t="s">
        <v>42</v>
      </c>
      <c r="C38" s="13">
        <v>5.0077999999999996</v>
      </c>
      <c r="D38" s="13" t="s">
        <v>113</v>
      </c>
      <c r="E38" s="13">
        <v>5.0010000000000003</v>
      </c>
      <c r="F38" s="13">
        <v>25.143599999999999</v>
      </c>
      <c r="G38" s="13">
        <v>0</v>
      </c>
      <c r="H38" s="14" t="s">
        <v>114</v>
      </c>
      <c r="I38" s="22">
        <v>180</v>
      </c>
      <c r="J38" s="21">
        <v>0.57430555555555551</v>
      </c>
      <c r="K38" s="21">
        <v>0.60486111111111118</v>
      </c>
      <c r="L38" s="21">
        <v>0.64722222222222225</v>
      </c>
      <c r="M38" s="18">
        <v>10</v>
      </c>
      <c r="N38" s="18">
        <v>35</v>
      </c>
      <c r="O38" s="18">
        <v>35</v>
      </c>
      <c r="P38" s="18">
        <v>25</v>
      </c>
      <c r="Q38" s="19">
        <v>220</v>
      </c>
      <c r="R38" s="23">
        <v>0</v>
      </c>
      <c r="S38" s="13">
        <v>101.4139</v>
      </c>
      <c r="T38" s="13">
        <v>11.7201</v>
      </c>
      <c r="U38" s="13">
        <v>49.5349</v>
      </c>
      <c r="V38" s="13">
        <v>54.9925</v>
      </c>
      <c r="W38" s="18"/>
      <c r="X38" s="18"/>
      <c r="Y38" s="13">
        <v>26.184999999999999</v>
      </c>
      <c r="Z38" s="13">
        <v>26.221800000000002</v>
      </c>
      <c r="AA38" s="13">
        <v>25.852599999999999</v>
      </c>
      <c r="AB38" s="14">
        <v>25.869700000000002</v>
      </c>
      <c r="AC38" s="20">
        <v>12.5383</v>
      </c>
      <c r="AD38" s="13">
        <v>4.0953999999999997</v>
      </c>
      <c r="AE38" s="13">
        <v>13.335699999999999</v>
      </c>
      <c r="AF38" s="24"/>
      <c r="AG38" s="24"/>
      <c r="AH38" s="25"/>
      <c r="AI38" s="23">
        <f t="shared" si="36"/>
        <v>220</v>
      </c>
      <c r="AJ38" s="18"/>
      <c r="AK38" s="26">
        <f t="shared" si="38"/>
        <v>44.000000000000163</v>
      </c>
      <c r="AL38" s="27"/>
      <c r="AM38" s="28">
        <f t="shared" si="35"/>
        <v>9.1177762690203099E-2</v>
      </c>
      <c r="AN38" s="29">
        <f t="shared" si="39"/>
        <v>1.0763209393347545E-2</v>
      </c>
      <c r="AO38" s="29">
        <f t="shared" si="40"/>
        <v>7.3485362833985097E-3</v>
      </c>
      <c r="AP38" s="29">
        <f t="shared" si="41"/>
        <v>3.4146731099490356E-3</v>
      </c>
      <c r="AQ38" s="30"/>
      <c r="AR38" s="30"/>
      <c r="AS38" s="29"/>
      <c r="AT38" s="29"/>
      <c r="AU38" s="29"/>
      <c r="AV38" s="31"/>
    </row>
    <row r="39" spans="1:50">
      <c r="A39" s="8">
        <v>35</v>
      </c>
      <c r="B39" s="23" t="s">
        <v>42</v>
      </c>
      <c r="C39" s="13">
        <v>4.9983000000000004</v>
      </c>
      <c r="D39" s="13" t="s">
        <v>113</v>
      </c>
      <c r="E39" s="13">
        <v>5.0033000000000003</v>
      </c>
      <c r="F39" s="13">
        <v>49.752200000000002</v>
      </c>
      <c r="G39" s="13">
        <v>0</v>
      </c>
      <c r="H39" s="14">
        <v>0</v>
      </c>
      <c r="I39" s="22">
        <v>180</v>
      </c>
      <c r="J39" s="21">
        <v>0.37986111111111115</v>
      </c>
      <c r="K39" s="21"/>
      <c r="L39" s="21"/>
      <c r="M39" s="18">
        <v>10</v>
      </c>
      <c r="N39" s="18"/>
      <c r="O39" s="18"/>
      <c r="P39" s="18">
        <v>21</v>
      </c>
      <c r="Q39" s="19"/>
      <c r="R39" s="23"/>
      <c r="S39" s="13"/>
      <c r="T39" s="13"/>
      <c r="U39" s="13"/>
      <c r="V39" s="13"/>
      <c r="W39" s="18"/>
      <c r="X39" s="18"/>
      <c r="Y39" s="13"/>
      <c r="Z39" s="13"/>
      <c r="AA39" s="13"/>
      <c r="AB39" s="14"/>
      <c r="AC39" s="20"/>
      <c r="AD39" s="13"/>
      <c r="AE39" s="13"/>
      <c r="AF39" s="24"/>
      <c r="AG39" s="24"/>
      <c r="AH39" s="25"/>
      <c r="AI39" s="23"/>
      <c r="AJ39" s="18"/>
      <c r="AK39" s="26"/>
      <c r="AL39" s="27"/>
      <c r="AM39" s="28"/>
      <c r="AN39" s="29"/>
      <c r="AO39" s="29"/>
      <c r="AP39" s="29"/>
      <c r="AQ39" s="30"/>
      <c r="AR39" s="30"/>
      <c r="AS39" s="29"/>
      <c r="AT39" s="29"/>
      <c r="AU39" s="29"/>
      <c r="AV39" s="31"/>
    </row>
    <row r="41" spans="1:50">
      <c r="A41" s="8">
        <v>0</v>
      </c>
      <c r="B41" s="10"/>
      <c r="C41" s="13"/>
      <c r="D41" s="13"/>
      <c r="E41" s="13"/>
      <c r="F41" s="13"/>
      <c r="G41" s="13"/>
      <c r="H41" s="14"/>
      <c r="I41" s="22"/>
      <c r="J41" s="21"/>
      <c r="K41" s="21"/>
      <c r="L41" s="21"/>
      <c r="M41" s="11"/>
      <c r="N41" s="11"/>
      <c r="O41" s="11"/>
      <c r="P41" s="11"/>
      <c r="Q41" s="12"/>
      <c r="R41" s="10"/>
      <c r="S41" s="13"/>
      <c r="T41" s="13"/>
      <c r="U41" s="13"/>
      <c r="V41" s="13"/>
      <c r="W41" s="11"/>
      <c r="X41" s="11"/>
      <c r="Y41" s="13"/>
      <c r="Z41" s="13"/>
      <c r="AA41" s="13"/>
      <c r="AB41" s="14"/>
      <c r="AC41" s="20"/>
      <c r="AD41" s="13"/>
      <c r="AE41" s="13"/>
      <c r="AF41" s="24"/>
      <c r="AG41" s="24"/>
      <c r="AH41" s="25"/>
      <c r="AI41" s="10"/>
      <c r="AJ41" s="11"/>
      <c r="AK41" s="26"/>
      <c r="AL41" s="27"/>
      <c r="AM41" s="28">
        <f>(AM10+AM12)/2</f>
        <v>4.5989885791144935E-2</v>
      </c>
      <c r="AN41" s="29">
        <f t="shared" ref="AN41:AV41" si="46">(AN10+AN12)/2</f>
        <v>0.1341822461999215</v>
      </c>
      <c r="AO41" s="29">
        <f t="shared" si="46"/>
        <v>5.4424080194093075E-2</v>
      </c>
      <c r="AP41" s="29">
        <f t="shared" si="46"/>
        <v>7.9758166005828413E-2</v>
      </c>
      <c r="AQ41" s="30">
        <f t="shared" si="46"/>
        <v>0</v>
      </c>
      <c r="AR41" s="30">
        <f t="shared" si="46"/>
        <v>0.47645186787032423</v>
      </c>
      <c r="AS41" s="29">
        <f t="shared" si="46"/>
        <v>9.3129633294146877E-2</v>
      </c>
      <c r="AT41" s="29">
        <f t="shared" si="46"/>
        <v>0.86235033149308649</v>
      </c>
      <c r="AU41" s="29">
        <f t="shared" si="46"/>
        <v>8.6140919889842182E-3</v>
      </c>
      <c r="AV41" s="31">
        <f t="shared" si="46"/>
        <v>2.050576981550134E-2</v>
      </c>
      <c r="AX41" s="4"/>
    </row>
    <row r="42" spans="1:50">
      <c r="A42" s="8">
        <v>0.2</v>
      </c>
      <c r="B42" s="10"/>
      <c r="C42" s="13"/>
      <c r="D42" s="13"/>
      <c r="E42" s="13"/>
      <c r="F42" s="13"/>
      <c r="G42" s="13"/>
      <c r="H42" s="14"/>
      <c r="I42" s="22"/>
      <c r="J42" s="21"/>
      <c r="K42" s="21"/>
      <c r="L42" s="21"/>
      <c r="M42" s="11"/>
      <c r="N42" s="11"/>
      <c r="O42" s="11"/>
      <c r="P42" s="11"/>
      <c r="Q42" s="12"/>
      <c r="R42" s="10"/>
      <c r="S42" s="13"/>
      <c r="T42" s="13"/>
      <c r="U42" s="13"/>
      <c r="V42" s="13"/>
      <c r="W42" s="11"/>
      <c r="X42" s="11"/>
      <c r="Y42" s="13"/>
      <c r="Z42" s="13"/>
      <c r="AA42" s="13"/>
      <c r="AB42" s="14"/>
      <c r="AC42" s="20"/>
      <c r="AD42" s="13"/>
      <c r="AE42" s="13"/>
      <c r="AF42" s="24"/>
      <c r="AG42" s="24"/>
      <c r="AH42" s="25"/>
      <c r="AI42" s="10"/>
      <c r="AJ42" s="11"/>
      <c r="AK42" s="26"/>
      <c r="AL42" s="27"/>
      <c r="AM42" s="28">
        <f>(AM15+AM18)/2</f>
        <v>4.7057835787062463E-2</v>
      </c>
      <c r="AN42" s="29">
        <f t="shared" ref="AN42:AV42" si="47">(AN15+AN18)/2</f>
        <v>0.18025373075032911</v>
      </c>
      <c r="AO42" s="29">
        <f t="shared" si="47"/>
        <v>0.1088403862930441</v>
      </c>
      <c r="AP42" s="29">
        <f t="shared" si="47"/>
        <v>7.1413344457285005E-2</v>
      </c>
      <c r="AQ42" s="30">
        <f t="shared" si="47"/>
        <v>0.17549438242713911</v>
      </c>
      <c r="AR42" s="30">
        <f t="shared" si="47"/>
        <v>0.47426305971071814</v>
      </c>
      <c r="AS42" s="29">
        <f t="shared" si="47"/>
        <v>0.29573881244283273</v>
      </c>
      <c r="AT42" s="29">
        <f t="shared" si="47"/>
        <v>0.38895271948892168</v>
      </c>
      <c r="AU42" s="29">
        <f t="shared" si="47"/>
        <v>6.6860544156611239E-3</v>
      </c>
      <c r="AV42" s="31">
        <f t="shared" si="47"/>
        <v>1.8624824140195173E-2</v>
      </c>
      <c r="AX42" s="4"/>
    </row>
    <row r="43" spans="1:50">
      <c r="A43" s="8">
        <v>0.4</v>
      </c>
      <c r="B43" s="10"/>
      <c r="C43" s="13"/>
      <c r="D43" s="13"/>
      <c r="E43" s="13"/>
      <c r="F43" s="13"/>
      <c r="G43" s="13"/>
      <c r="H43" s="14"/>
      <c r="I43" s="22"/>
      <c r="J43" s="21"/>
      <c r="K43" s="21"/>
      <c r="L43" s="21"/>
      <c r="M43" s="11"/>
      <c r="N43" s="11"/>
      <c r="O43" s="11"/>
      <c r="P43" s="11"/>
      <c r="Q43" s="12"/>
      <c r="R43" s="10"/>
      <c r="S43" s="13"/>
      <c r="T43" s="13"/>
      <c r="U43" s="13"/>
      <c r="V43" s="13"/>
      <c r="W43" s="11"/>
      <c r="X43" s="11"/>
      <c r="Y43" s="13"/>
      <c r="Z43" s="13"/>
      <c r="AA43" s="13"/>
      <c r="AB43" s="14"/>
      <c r="AC43" s="20"/>
      <c r="AD43" s="13"/>
      <c r="AE43" s="13"/>
      <c r="AF43" s="24"/>
      <c r="AG43" s="24"/>
      <c r="AH43" s="25"/>
      <c r="AI43" s="10"/>
      <c r="AJ43" s="11"/>
      <c r="AK43" s="26"/>
      <c r="AL43" s="27"/>
      <c r="AM43" s="28">
        <f>(AM14+AM19)/2</f>
        <v>3.9544426234932553E-2</v>
      </c>
      <c r="AN43" s="29">
        <f t="shared" ref="AN43:AV43" si="48">(AN14+AN19)/2</f>
        <v>0.20211395162857917</v>
      </c>
      <c r="AO43" s="29">
        <f>(AO14+AO19)/2</f>
        <v>0.11600102511785187</v>
      </c>
      <c r="AP43" s="29">
        <f t="shared" si="48"/>
        <v>8.61129265107273E-2</v>
      </c>
      <c r="AQ43" s="30">
        <f t="shared" si="48"/>
        <v>5.6840062998266563E-2</v>
      </c>
      <c r="AR43" s="30">
        <f t="shared" si="48"/>
        <v>0.43236173032802266</v>
      </c>
      <c r="AS43" s="29">
        <f t="shared" si="48"/>
        <v>0.42166955379590609</v>
      </c>
      <c r="AT43" s="29">
        <f t="shared" si="48"/>
        <v>6.4040476421613354E-2</v>
      </c>
      <c r="AU43" s="29">
        <f t="shared" si="48"/>
        <v>1.3011619645444578E-2</v>
      </c>
      <c r="AV43" s="31">
        <f t="shared" si="48"/>
        <v>2.0219333387525292E-2</v>
      </c>
      <c r="AX43" s="4"/>
    </row>
    <row r="44" spans="1:50">
      <c r="A44" s="8">
        <v>0.6</v>
      </c>
      <c r="B44" s="10"/>
      <c r="C44" s="13"/>
      <c r="D44" s="13"/>
      <c r="E44" s="13"/>
      <c r="F44" s="13"/>
      <c r="G44" s="13"/>
      <c r="H44" s="14"/>
      <c r="I44" s="22"/>
      <c r="J44" s="21"/>
      <c r="K44" s="21"/>
      <c r="L44" s="21"/>
      <c r="M44" s="11"/>
      <c r="N44" s="11"/>
      <c r="O44" s="11"/>
      <c r="P44" s="11"/>
      <c r="Q44" s="12"/>
      <c r="R44" s="10"/>
      <c r="S44" s="13"/>
      <c r="T44" s="13"/>
      <c r="U44" s="13"/>
      <c r="V44" s="13"/>
      <c r="W44" s="11"/>
      <c r="X44" s="11"/>
      <c r="Y44" s="13"/>
      <c r="Z44" s="13"/>
      <c r="AA44" s="13"/>
      <c r="AB44" s="14"/>
      <c r="AC44" s="20"/>
      <c r="AD44" s="13"/>
      <c r="AE44" s="13"/>
      <c r="AF44" s="24"/>
      <c r="AG44" s="24"/>
      <c r="AH44" s="25"/>
      <c r="AI44" s="10"/>
      <c r="AJ44" s="11"/>
      <c r="AK44" s="26"/>
      <c r="AL44" s="27"/>
      <c r="AM44" s="28">
        <f>AM20</f>
        <v>3.7913557089834724E-2</v>
      </c>
      <c r="AN44" s="29">
        <f t="shared" ref="AN44:AV44" si="49">AN20</f>
        <v>8.1633874765534326E-2</v>
      </c>
      <c r="AO44" s="29">
        <f t="shared" si="49"/>
        <v>3.3363930239055178E-2</v>
      </c>
      <c r="AP44" s="29">
        <f t="shared" si="49"/>
        <v>4.826994452647914E-2</v>
      </c>
      <c r="AQ44" s="30">
        <f t="shared" si="49"/>
        <v>0.31185304987438428</v>
      </c>
      <c r="AR44" s="30">
        <f t="shared" si="49"/>
        <v>0.47857331957641874</v>
      </c>
      <c r="AS44" s="29">
        <f t="shared" si="49"/>
        <v>0.44893361934788695</v>
      </c>
      <c r="AT44" s="29">
        <f t="shared" si="49"/>
        <v>3.5052962301284865E-2</v>
      </c>
      <c r="AU44" s="29">
        <f t="shared" si="49"/>
        <v>5.2921277287783864E-3</v>
      </c>
      <c r="AV44" s="31">
        <f t="shared" si="49"/>
        <v>1.9921822883824887E-2</v>
      </c>
      <c r="AX44" s="4"/>
    </row>
    <row r="45" spans="1:50">
      <c r="A45" s="8">
        <v>0.8</v>
      </c>
      <c r="B45" s="10"/>
      <c r="C45" s="13"/>
      <c r="D45" s="13"/>
      <c r="E45" s="13"/>
      <c r="F45" s="13"/>
      <c r="G45" s="13"/>
      <c r="H45" s="14"/>
      <c r="I45" s="22"/>
      <c r="J45" s="21"/>
      <c r="K45" s="21"/>
      <c r="L45" s="21"/>
      <c r="M45" s="11"/>
      <c r="N45" s="11"/>
      <c r="O45" s="11"/>
      <c r="P45" s="11"/>
      <c r="Q45" s="12"/>
      <c r="R45" s="10"/>
      <c r="S45" s="13"/>
      <c r="T45" s="13"/>
      <c r="U45" s="13"/>
      <c r="V45" s="13"/>
      <c r="W45" s="11"/>
      <c r="X45" s="11"/>
      <c r="Y45" s="13"/>
      <c r="Z45" s="13"/>
      <c r="AA45" s="13"/>
      <c r="AB45" s="14"/>
      <c r="AC45" s="20"/>
      <c r="AD45" s="13"/>
      <c r="AE45" s="13"/>
      <c r="AF45" s="24"/>
      <c r="AG45" s="24"/>
      <c r="AH45" s="25"/>
      <c r="AI45" s="10"/>
      <c r="AJ45" s="11"/>
      <c r="AK45" s="26"/>
      <c r="AL45" s="27"/>
      <c r="AM45" s="28">
        <f>AM21</f>
        <v>4.2019999999999412E-2</v>
      </c>
      <c r="AN45" s="29">
        <f t="shared" ref="AN45:AV45" si="50">AN21</f>
        <v>6.2720000000000192E-2</v>
      </c>
      <c r="AO45" s="29">
        <f t="shared" si="50"/>
        <v>2.67000000000003E-2</v>
      </c>
      <c r="AP45" s="29">
        <f t="shared" si="50"/>
        <v>3.6019999999999899E-2</v>
      </c>
      <c r="AQ45" s="30">
        <f t="shared" si="50"/>
        <v>0.11365966357385375</v>
      </c>
      <c r="AR45" s="30"/>
      <c r="AS45" s="29">
        <f t="shared" si="50"/>
        <v>0.43698730600000008</v>
      </c>
      <c r="AT45" s="29">
        <f t="shared" si="50"/>
        <v>-0.3609152867557337</v>
      </c>
      <c r="AU45" s="29">
        <f t="shared" si="50"/>
        <v>3.9519085000000011E-3</v>
      </c>
      <c r="AV45" s="31">
        <f t="shared" si="50"/>
        <v>2.0281998200000005E-2</v>
      </c>
      <c r="AX45" s="4"/>
    </row>
    <row r="46" spans="1:50">
      <c r="A46" s="8">
        <v>1</v>
      </c>
      <c r="B46" s="10"/>
      <c r="C46" s="13"/>
      <c r="D46" s="13"/>
      <c r="E46" s="13"/>
      <c r="F46" s="13"/>
      <c r="G46" s="13"/>
      <c r="H46" s="14"/>
      <c r="I46" s="22"/>
      <c r="J46" s="21"/>
      <c r="K46" s="21"/>
      <c r="L46" s="21"/>
      <c r="M46" s="11"/>
      <c r="N46" s="11"/>
      <c r="O46" s="11"/>
      <c r="P46" s="11"/>
      <c r="Q46" s="12"/>
      <c r="R46" s="10"/>
      <c r="S46" s="13"/>
      <c r="T46" s="13"/>
      <c r="U46" s="13"/>
      <c r="V46" s="13"/>
      <c r="W46" s="11"/>
      <c r="X46" s="11"/>
      <c r="Y46" s="13"/>
      <c r="Z46" s="13"/>
      <c r="AA46" s="13"/>
      <c r="AB46" s="14"/>
      <c r="AC46" s="20"/>
      <c r="AD46" s="13"/>
      <c r="AE46" s="13"/>
      <c r="AF46" s="24"/>
      <c r="AG46" s="24"/>
      <c r="AH46" s="25"/>
      <c r="AI46" s="10"/>
      <c r="AJ46" s="11"/>
      <c r="AK46" s="26"/>
      <c r="AL46" s="27"/>
      <c r="AM46" s="28">
        <f>(AM11+AM13)/2</f>
        <v>4.3747375157491261E-2</v>
      </c>
      <c r="AN46" s="29">
        <f t="shared" ref="AN46:AV46" si="51">(AN11+AN13)/2</f>
        <v>0.28305301681899103</v>
      </c>
      <c r="AO46" s="29">
        <f t="shared" si="51"/>
        <v>0.17609943403395803</v>
      </c>
      <c r="AP46" s="29">
        <f t="shared" si="51"/>
        <v>0.106953582785033</v>
      </c>
      <c r="AQ46" s="30">
        <f t="shared" si="51"/>
        <v>0</v>
      </c>
      <c r="AR46" s="30">
        <f>(AR11+AR13)/2</f>
        <v>0.30830120919748172</v>
      </c>
      <c r="AS46" s="29">
        <f t="shared" si="51"/>
        <v>0.317143606883587</v>
      </c>
      <c r="AT46" s="29">
        <f t="shared" si="51"/>
        <v>-0.97358847217622591</v>
      </c>
      <c r="AU46" s="29">
        <f t="shared" si="51"/>
        <v>7.592335644861308E-3</v>
      </c>
      <c r="AV46" s="31">
        <f t="shared" si="51"/>
        <v>1.3792358558486489E-2</v>
      </c>
      <c r="AX46" s="4"/>
    </row>
    <row r="47" spans="1:50">
      <c r="A47" s="8" t="s">
        <v>83</v>
      </c>
      <c r="B47" s="10"/>
      <c r="C47" s="13"/>
      <c r="D47" s="13"/>
      <c r="E47" s="13"/>
      <c r="F47" s="13"/>
      <c r="G47" s="13"/>
      <c r="H47" s="14"/>
      <c r="I47" s="22"/>
      <c r="J47" s="21"/>
      <c r="K47" s="21"/>
      <c r="L47" s="21"/>
      <c r="M47" s="11"/>
      <c r="N47" s="11"/>
      <c r="O47" s="11"/>
      <c r="P47" s="11"/>
      <c r="Q47" s="12"/>
      <c r="R47" s="10"/>
      <c r="S47" s="13"/>
      <c r="T47" s="13"/>
      <c r="U47" s="13"/>
      <c r="V47" s="13"/>
      <c r="W47" s="11"/>
      <c r="X47" s="11"/>
      <c r="Y47" s="13"/>
      <c r="Z47" s="13"/>
      <c r="AA47" s="13"/>
      <c r="AB47" s="14"/>
      <c r="AC47" s="20"/>
      <c r="AD47" s="13"/>
      <c r="AE47" s="13"/>
      <c r="AF47" s="24"/>
      <c r="AG47" s="24"/>
      <c r="AH47" s="25"/>
      <c r="AI47" s="10"/>
      <c r="AJ47" s="11"/>
      <c r="AK47" s="26"/>
      <c r="AL47" s="27"/>
      <c r="AM47" s="28">
        <f>_xlfn.STDEV.P(AM10,AM12)</f>
        <v>5.9778941852699947E-3</v>
      </c>
      <c r="AN47" s="29">
        <f t="shared" ref="AN47:AV47" si="52">_xlfn.STDEV.P(AN10,AN12)</f>
        <v>2.0162060330029818E-2</v>
      </c>
      <c r="AO47" s="29">
        <f t="shared" si="52"/>
        <v>2.1755273595276681E-6</v>
      </c>
      <c r="AP47" s="29">
        <f t="shared" si="52"/>
        <v>2.0159884802670391E-2</v>
      </c>
      <c r="AQ47" s="30">
        <f t="shared" si="52"/>
        <v>0</v>
      </c>
      <c r="AR47" s="30">
        <f t="shared" si="52"/>
        <v>7.8415140358060464E-3</v>
      </c>
      <c r="AS47" s="29">
        <f t="shared" si="52"/>
        <v>1.1483696974664981E-2</v>
      </c>
      <c r="AT47" s="29">
        <f t="shared" si="52"/>
        <v>4.1363325989029975E-2</v>
      </c>
      <c r="AU47" s="29">
        <f t="shared" si="52"/>
        <v>3.3467575763200725E-3</v>
      </c>
      <c r="AV47" s="31">
        <f t="shared" si="52"/>
        <v>4.9110355107702649E-3</v>
      </c>
      <c r="AX47" s="4"/>
    </row>
    <row r="48" spans="1:50">
      <c r="A48" s="8" t="s">
        <v>84</v>
      </c>
      <c r="B48" s="10"/>
      <c r="C48" s="13"/>
      <c r="D48" s="13"/>
      <c r="E48" s="13"/>
      <c r="F48" s="13"/>
      <c r="G48" s="13"/>
      <c r="H48" s="14"/>
      <c r="I48" s="22"/>
      <c r="J48" s="21"/>
      <c r="K48" s="21"/>
      <c r="L48" s="21"/>
      <c r="M48" s="11"/>
      <c r="N48" s="11"/>
      <c r="O48" s="11"/>
      <c r="P48" s="11"/>
      <c r="Q48" s="12"/>
      <c r="R48" s="10"/>
      <c r="S48" s="13"/>
      <c r="T48" s="13"/>
      <c r="U48" s="13"/>
      <c r="V48" s="13"/>
      <c r="W48" s="11"/>
      <c r="X48" s="11"/>
      <c r="Y48" s="13"/>
      <c r="Z48" s="13"/>
      <c r="AA48" s="13"/>
      <c r="AB48" s="14"/>
      <c r="AC48" s="20"/>
      <c r="AD48" s="13"/>
      <c r="AE48" s="13"/>
      <c r="AF48" s="24"/>
      <c r="AG48" s="24"/>
      <c r="AH48" s="25"/>
      <c r="AI48" s="10"/>
      <c r="AJ48" s="11"/>
      <c r="AK48" s="26"/>
      <c r="AL48" s="27"/>
      <c r="AM48" s="28">
        <f>_xlfn.STDEV.P(AM15,AM18)</f>
        <v>5.3459414186944609E-4</v>
      </c>
      <c r="AN48" s="29">
        <f t="shared" ref="AN48:AV48" si="53">_xlfn.STDEV.P(AN15,AN18)</f>
        <v>1.5517471702966301E-3</v>
      </c>
      <c r="AO48" s="29">
        <f t="shared" si="53"/>
        <v>9.9610191209937998E-3</v>
      </c>
      <c r="AP48" s="29">
        <f t="shared" si="53"/>
        <v>8.4092719506971558E-3</v>
      </c>
      <c r="AQ48" s="30">
        <f t="shared" si="53"/>
        <v>0.17549438242713911</v>
      </c>
      <c r="AR48" s="30">
        <f t="shared" si="53"/>
        <v>1.8371574320712736E-3</v>
      </c>
      <c r="AS48" s="29">
        <f t="shared" si="53"/>
        <v>6.1470561708728284E-2</v>
      </c>
      <c r="AT48" s="29">
        <f t="shared" si="53"/>
        <v>7.1858369525919868E-2</v>
      </c>
      <c r="AU48" s="29">
        <f t="shared" si="53"/>
        <v>9.561970416574082E-4</v>
      </c>
      <c r="AV48" s="31">
        <f t="shared" si="53"/>
        <v>3.0853189365436257E-3</v>
      </c>
      <c r="AX48" s="4"/>
    </row>
    <row r="49" spans="1:50">
      <c r="A49" s="8" t="s">
        <v>85</v>
      </c>
      <c r="B49" s="10"/>
      <c r="C49" s="13"/>
      <c r="D49" s="13"/>
      <c r="E49" s="13"/>
      <c r="F49" s="13"/>
      <c r="G49" s="13"/>
      <c r="H49" s="14"/>
      <c r="I49" s="22"/>
      <c r="J49" s="21"/>
      <c r="K49" s="21"/>
      <c r="L49" s="21"/>
      <c r="M49" s="11"/>
      <c r="N49" s="11"/>
      <c r="O49" s="11"/>
      <c r="P49" s="11"/>
      <c r="Q49" s="12"/>
      <c r="R49" s="10"/>
      <c r="S49" s="13"/>
      <c r="T49" s="13"/>
      <c r="U49" s="13"/>
      <c r="V49" s="13"/>
      <c r="W49" s="11"/>
      <c r="X49" s="11"/>
      <c r="Y49" s="13"/>
      <c r="Z49" s="13"/>
      <c r="AA49" s="13"/>
      <c r="AB49" s="14"/>
      <c r="AC49" s="20"/>
      <c r="AD49" s="13"/>
      <c r="AE49" s="13"/>
      <c r="AF49" s="24"/>
      <c r="AG49" s="24"/>
      <c r="AH49" s="25"/>
      <c r="AI49" s="10"/>
      <c r="AJ49" s="11"/>
      <c r="AK49" s="26"/>
      <c r="AL49" s="27"/>
      <c r="AM49" s="28">
        <f>_xlfn.STDEV.P(AM14,AM19)</f>
        <v>1.1732935749482823E-4</v>
      </c>
      <c r="AN49" s="29">
        <f t="shared" ref="AN49:AV49" si="54">_xlfn.STDEV.P(AN14,AN19)</f>
        <v>7.0236931474806086E-3</v>
      </c>
      <c r="AO49" s="29">
        <f t="shared" si="54"/>
        <v>2.2703941776189122E-2</v>
      </c>
      <c r="AP49" s="29">
        <f t="shared" si="54"/>
        <v>1.5680248628708565E-2</v>
      </c>
      <c r="AQ49" s="30">
        <f t="shared" si="54"/>
        <v>5.6840062998266563E-2</v>
      </c>
      <c r="AR49" s="30">
        <f t="shared" si="54"/>
        <v>6.1669934127649984E-3</v>
      </c>
      <c r="AS49" s="29">
        <f t="shared" si="54"/>
        <v>3.3687604492585566E-2</v>
      </c>
      <c r="AT49" s="29">
        <f t="shared" si="54"/>
        <v>4.2539374747172988E-2</v>
      </c>
      <c r="AU49" s="29">
        <f t="shared" si="54"/>
        <v>5.8548506092012537E-3</v>
      </c>
      <c r="AV49" s="31">
        <f t="shared" si="54"/>
        <v>1.8299506235966954E-3</v>
      </c>
      <c r="AX49" s="4"/>
    </row>
    <row r="50" spans="1:50">
      <c r="A50" s="8" t="s">
        <v>87</v>
      </c>
      <c r="B50" s="10"/>
      <c r="C50" s="13"/>
      <c r="D50" s="13"/>
      <c r="E50" s="13"/>
      <c r="F50" s="13"/>
      <c r="G50" s="13"/>
      <c r="H50" s="14"/>
      <c r="I50" s="22"/>
      <c r="J50" s="21"/>
      <c r="K50" s="21"/>
      <c r="L50" s="21"/>
      <c r="M50" s="11"/>
      <c r="N50" s="11"/>
      <c r="O50" s="11"/>
      <c r="P50" s="11"/>
      <c r="Q50" s="12"/>
      <c r="R50" s="10"/>
      <c r="S50" s="13"/>
      <c r="T50" s="13"/>
      <c r="U50" s="13"/>
      <c r="V50" s="13"/>
      <c r="W50" s="11"/>
      <c r="X50" s="11"/>
      <c r="Y50" s="13"/>
      <c r="Z50" s="13"/>
      <c r="AA50" s="13"/>
      <c r="AB50" s="14"/>
      <c r="AC50" s="20"/>
      <c r="AD50" s="13"/>
      <c r="AE50" s="13"/>
      <c r="AF50" s="24"/>
      <c r="AG50" s="24"/>
      <c r="AH50" s="25"/>
      <c r="AI50" s="10"/>
      <c r="AJ50" s="11"/>
      <c r="AK50" s="26"/>
      <c r="AL50" s="27"/>
      <c r="AM50" s="28"/>
      <c r="AN50" s="29"/>
      <c r="AO50" s="29"/>
      <c r="AP50" s="29"/>
      <c r="AQ50" s="30"/>
      <c r="AR50" s="30"/>
      <c r="AS50" s="29"/>
      <c r="AT50" s="29"/>
      <c r="AU50" s="29"/>
      <c r="AV50" s="31"/>
      <c r="AX50" s="4"/>
    </row>
    <row r="51" spans="1:50">
      <c r="A51" s="8" t="s">
        <v>88</v>
      </c>
      <c r="B51" s="10"/>
      <c r="C51" s="13"/>
      <c r="D51" s="13"/>
      <c r="E51" s="13"/>
      <c r="F51" s="13"/>
      <c r="G51" s="13"/>
      <c r="H51" s="14"/>
      <c r="I51" s="22"/>
      <c r="J51" s="21"/>
      <c r="K51" s="21"/>
      <c r="L51" s="21"/>
      <c r="M51" s="11"/>
      <c r="N51" s="11"/>
      <c r="O51" s="11"/>
      <c r="P51" s="11"/>
      <c r="Q51" s="12"/>
      <c r="R51" s="10"/>
      <c r="S51" s="13"/>
      <c r="T51" s="13"/>
      <c r="U51" s="13"/>
      <c r="V51" s="13"/>
      <c r="W51" s="11"/>
      <c r="X51" s="11"/>
      <c r="Y51" s="13"/>
      <c r="Z51" s="13"/>
      <c r="AA51" s="13"/>
      <c r="AB51" s="14"/>
      <c r="AC51" s="20"/>
      <c r="AD51" s="13"/>
      <c r="AE51" s="13"/>
      <c r="AF51" s="24"/>
      <c r="AG51" s="24"/>
      <c r="AH51" s="25"/>
      <c r="AI51" s="10"/>
      <c r="AJ51" s="11"/>
      <c r="AK51" s="26"/>
      <c r="AL51" s="27"/>
      <c r="AM51" s="28"/>
      <c r="AN51" s="29"/>
      <c r="AO51" s="29"/>
      <c r="AP51" s="29"/>
      <c r="AQ51" s="30"/>
      <c r="AR51" s="30"/>
      <c r="AS51" s="29"/>
      <c r="AT51" s="29"/>
      <c r="AU51" s="29"/>
      <c r="AV51" s="31"/>
      <c r="AX51" s="4"/>
    </row>
    <row r="52" spans="1:50">
      <c r="A52" s="8" t="s">
        <v>86</v>
      </c>
      <c r="B52" s="10"/>
      <c r="C52" s="13"/>
      <c r="D52" s="13"/>
      <c r="E52" s="13"/>
      <c r="F52" s="13"/>
      <c r="G52" s="13"/>
      <c r="H52" s="14"/>
      <c r="I52" s="22"/>
      <c r="J52" s="21"/>
      <c r="K52" s="21"/>
      <c r="L52" s="21"/>
      <c r="M52" s="11"/>
      <c r="N52" s="11"/>
      <c r="O52" s="11"/>
      <c r="P52" s="11"/>
      <c r="Q52" s="12"/>
      <c r="R52" s="10"/>
      <c r="S52" s="13"/>
      <c r="T52" s="13"/>
      <c r="U52" s="13"/>
      <c r="V52" s="13"/>
      <c r="W52" s="11"/>
      <c r="X52" s="11"/>
      <c r="Y52" s="13"/>
      <c r="Z52" s="13"/>
      <c r="AA52" s="13"/>
      <c r="AB52" s="14"/>
      <c r="AC52" s="20"/>
      <c r="AD52" s="13"/>
      <c r="AE52" s="13"/>
      <c r="AF52" s="24"/>
      <c r="AG52" s="24"/>
      <c r="AH52" s="25"/>
      <c r="AI52" s="10"/>
      <c r="AJ52" s="11"/>
      <c r="AK52" s="26"/>
      <c r="AL52" s="27"/>
      <c r="AM52" s="28">
        <f t="shared" ref="AM52:AV52" si="55">_xlfn.STDEV.P(AM11,AM13)</f>
        <v>2.5498470091795469E-3</v>
      </c>
      <c r="AN52" s="29">
        <f t="shared" si="55"/>
        <v>1.1069335839849537E-2</v>
      </c>
      <c r="AO52" s="29">
        <f t="shared" si="55"/>
        <v>1.4509129452232983E-2</v>
      </c>
      <c r="AP52" s="29">
        <f t="shared" si="55"/>
        <v>2.5578465292082596E-2</v>
      </c>
      <c r="AQ52" s="30">
        <f t="shared" si="55"/>
        <v>0</v>
      </c>
      <c r="AR52" s="30">
        <f t="shared" si="55"/>
        <v>4.3509445784497218E-2</v>
      </c>
      <c r="AS52" s="29">
        <f t="shared" si="55"/>
        <v>5.405479621222728E-2</v>
      </c>
      <c r="AT52" s="29">
        <f t="shared" si="55"/>
        <v>2.4631175087234114E-3</v>
      </c>
      <c r="AU52" s="29">
        <f t="shared" si="55"/>
        <v>4.1537576245425246E-4</v>
      </c>
      <c r="AV52" s="31">
        <f t="shared" si="55"/>
        <v>2.4121537707737402E-4</v>
      </c>
      <c r="AX52" s="4"/>
    </row>
  </sheetData>
  <mergeCells count="20">
    <mergeCell ref="W2:X2"/>
    <mergeCell ref="Y2:Z2"/>
    <mergeCell ref="AA2:AB2"/>
    <mergeCell ref="R1:AB1"/>
    <mergeCell ref="AM1:AV1"/>
    <mergeCell ref="AN2:AP2"/>
    <mergeCell ref="AR2:AV2"/>
    <mergeCell ref="G2:G3"/>
    <mergeCell ref="AC2:AE2"/>
    <mergeCell ref="AF2:AH2"/>
    <mergeCell ref="AC1:AH1"/>
    <mergeCell ref="AI1:AL1"/>
    <mergeCell ref="J2:L2"/>
    <mergeCell ref="M2:O2"/>
    <mergeCell ref="P2:Q2"/>
    <mergeCell ref="AK2:AL2"/>
    <mergeCell ref="I1:Q1"/>
    <mergeCell ref="B1:H1"/>
    <mergeCell ref="S2:T2"/>
    <mergeCell ref="U2:V2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"/>
  <sheetViews>
    <sheetView workbookViewId="0">
      <selection activeCell="L8" sqref="L8"/>
    </sheetView>
  </sheetViews>
  <sheetFormatPr baseColWidth="10" defaultRowHeight="15" x14ac:dyDescent="0"/>
  <sheetData>
    <row r="1" spans="2:17">
      <c r="P1">
        <v>655</v>
      </c>
      <c r="Q1" t="s">
        <v>108</v>
      </c>
    </row>
    <row r="2" spans="2:17">
      <c r="B2" t="s">
        <v>90</v>
      </c>
      <c r="C2" t="s">
        <v>91</v>
      </c>
      <c r="D2" t="s">
        <v>92</v>
      </c>
      <c r="E2" t="s">
        <v>93</v>
      </c>
      <c r="F2" t="s">
        <v>94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</row>
    <row r="3" spans="2:17">
      <c r="B3" t="s">
        <v>102</v>
      </c>
      <c r="C3">
        <v>2.4891999999999999</v>
      </c>
      <c r="D3">
        <v>2.5047000000000001</v>
      </c>
      <c r="E3">
        <v>3.7747999999999999</v>
      </c>
      <c r="G3">
        <f>D3-C3</f>
        <v>1.5500000000000291E-2</v>
      </c>
      <c r="H3">
        <f>E3-D3</f>
        <v>1.2700999999999998</v>
      </c>
      <c r="I3">
        <f>F3-C3</f>
        <v>-2.4891999999999999</v>
      </c>
      <c r="J3" s="6">
        <f>(G3-I3)/G3</f>
        <v>161.59354838709373</v>
      </c>
      <c r="K3">
        <f>(G3-I3)/(H3/$P$1)</f>
        <v>1291.692386426266</v>
      </c>
    </row>
    <row r="4" spans="2:17">
      <c r="B4" t="s">
        <v>95</v>
      </c>
      <c r="C4">
        <v>2.4830999999999999</v>
      </c>
      <c r="D4">
        <v>2.4958</v>
      </c>
      <c r="E4">
        <v>3.6383000000000001</v>
      </c>
      <c r="F4">
        <v>2.4855</v>
      </c>
      <c r="G4">
        <f t="shared" ref="G4:G10" si="0">D4-C4</f>
        <v>1.2700000000000156E-2</v>
      </c>
      <c r="H4">
        <f t="shared" ref="H4:H10" si="1">E4-D4</f>
        <v>1.1425000000000001</v>
      </c>
      <c r="I4">
        <f t="shared" ref="I4:I10" si="2">F4-C4</f>
        <v>2.4000000000001798E-3</v>
      </c>
      <c r="J4" s="6">
        <f t="shared" ref="J4:J10" si="3">(G4-I4)/G4</f>
        <v>0.81102362204723222</v>
      </c>
      <c r="K4">
        <f t="shared" ref="K4:K10" si="4">(G4-I4)/(H4/$P$1)</f>
        <v>5.9050328227570974</v>
      </c>
    </row>
    <row r="5" spans="2:17">
      <c r="B5" t="s">
        <v>96</v>
      </c>
      <c r="C5">
        <v>2.5171999999999999</v>
      </c>
      <c r="D5">
        <v>2.524</v>
      </c>
      <c r="E5">
        <v>3.762</v>
      </c>
      <c r="F5">
        <v>2.5184000000000002</v>
      </c>
      <c r="G5">
        <f t="shared" si="0"/>
        <v>6.8000000000001393E-3</v>
      </c>
      <c r="H5">
        <f t="shared" si="1"/>
        <v>1.238</v>
      </c>
      <c r="I5">
        <f t="shared" si="2"/>
        <v>1.2000000000003119E-3</v>
      </c>
      <c r="J5" s="6">
        <f t="shared" si="3"/>
        <v>0.82352941176466365</v>
      </c>
      <c r="K5">
        <f t="shared" si="4"/>
        <v>2.9628432956380348</v>
      </c>
    </row>
    <row r="6" spans="2:17">
      <c r="B6" t="s">
        <v>97</v>
      </c>
      <c r="C6">
        <v>2.5217000000000001</v>
      </c>
      <c r="D6">
        <v>2.5310999999999999</v>
      </c>
      <c r="E6">
        <v>3.7997999999999998</v>
      </c>
      <c r="G6">
        <f t="shared" si="0"/>
        <v>9.3999999999998529E-3</v>
      </c>
      <c r="H6">
        <f t="shared" si="1"/>
        <v>1.2686999999999999</v>
      </c>
      <c r="I6">
        <f t="shared" si="2"/>
        <v>-2.5217000000000001</v>
      </c>
      <c r="J6" s="6">
        <f t="shared" si="3"/>
        <v>269.26595744681271</v>
      </c>
      <c r="K6">
        <f t="shared" si="4"/>
        <v>1306.7474580279024</v>
      </c>
    </row>
    <row r="7" spans="2:17">
      <c r="B7" t="s">
        <v>98</v>
      </c>
      <c r="C7">
        <v>2.4796</v>
      </c>
      <c r="D7">
        <v>2.5024000000000002</v>
      </c>
      <c r="E7">
        <v>3.7418</v>
      </c>
      <c r="G7">
        <f t="shared" si="0"/>
        <v>2.2800000000000153E-2</v>
      </c>
      <c r="H7">
        <f t="shared" si="1"/>
        <v>1.2393999999999998</v>
      </c>
      <c r="I7">
        <f t="shared" si="2"/>
        <v>-2.4796</v>
      </c>
      <c r="J7" s="6">
        <f t="shared" si="3"/>
        <v>109.75438596491155</v>
      </c>
      <c r="K7">
        <f t="shared" si="4"/>
        <v>1322.4721639502989</v>
      </c>
    </row>
    <row r="8" spans="2:17">
      <c r="B8" t="s">
        <v>99</v>
      </c>
      <c r="C8">
        <v>2.5173000000000001</v>
      </c>
      <c r="D8">
        <v>2.5324</v>
      </c>
      <c r="E8">
        <v>3.7225999999999999</v>
      </c>
      <c r="G8">
        <f t="shared" si="0"/>
        <v>1.5099999999999891E-2</v>
      </c>
      <c r="H8">
        <f t="shared" si="1"/>
        <v>1.1901999999999999</v>
      </c>
      <c r="I8">
        <f t="shared" si="2"/>
        <v>-2.5173000000000001</v>
      </c>
      <c r="J8" s="6">
        <f t="shared" si="3"/>
        <v>167.70860927152438</v>
      </c>
      <c r="K8">
        <f t="shared" si="4"/>
        <v>1393.6498067551672</v>
      </c>
    </row>
    <row r="9" spans="2:17">
      <c r="B9" t="s">
        <v>100</v>
      </c>
      <c r="C9">
        <v>2.5506000000000002</v>
      </c>
      <c r="D9">
        <v>2.5583999999999998</v>
      </c>
      <c r="E9">
        <v>3.8073999999999999</v>
      </c>
      <c r="G9">
        <f t="shared" si="0"/>
        <v>7.799999999999585E-3</v>
      </c>
      <c r="H9">
        <f t="shared" si="1"/>
        <v>1.2490000000000001</v>
      </c>
      <c r="I9">
        <f t="shared" si="2"/>
        <v>-2.5506000000000002</v>
      </c>
      <c r="J9" s="6">
        <f t="shared" si="3"/>
        <v>328.00000000001739</v>
      </c>
      <c r="K9">
        <f t="shared" si="4"/>
        <v>1341.6749399519613</v>
      </c>
    </row>
    <row r="10" spans="2:17">
      <c r="B10" t="s">
        <v>101</v>
      </c>
      <c r="C10">
        <v>2.5091999999999999</v>
      </c>
      <c r="D10">
        <v>2.5211000000000001</v>
      </c>
      <c r="E10">
        <v>3.8111999999999999</v>
      </c>
      <c r="F10">
        <v>2.5110000000000001</v>
      </c>
      <c r="G10">
        <f t="shared" si="0"/>
        <v>1.1900000000000244E-2</v>
      </c>
      <c r="H10">
        <f t="shared" si="1"/>
        <v>1.2900999999999998</v>
      </c>
      <c r="I10">
        <f t="shared" si="2"/>
        <v>1.8000000000002458E-3</v>
      </c>
      <c r="J10" s="6">
        <f t="shared" si="3"/>
        <v>0.84873949579830177</v>
      </c>
      <c r="K10">
        <f t="shared" si="4"/>
        <v>5.1278970622432372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Algae cake work-up</vt:lpstr>
      <vt:lpstr>Catalysts yields</vt:lpstr>
      <vt:lpstr>Impact of IPA conc. filtered</vt:lpstr>
      <vt:lpstr>Algae Preparation</vt:lpstr>
      <vt:lpstr>Raw data</vt:lpstr>
      <vt:lpstr>GC-MS samples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Wagner</dc:creator>
  <cp:lastModifiedBy>Jonathan Wagner</cp:lastModifiedBy>
  <dcterms:created xsi:type="dcterms:W3CDTF">2015-07-14T21:33:48Z</dcterms:created>
  <dcterms:modified xsi:type="dcterms:W3CDTF">2016-10-10T13:21:57Z</dcterms:modified>
</cp:coreProperties>
</file>