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MechEng\ResearchProjects\GPHammond\RC-ME3917\Papers\2016 Circular economy\Applying ME interventions\"/>
    </mc:Choice>
  </mc:AlternateContent>
  <bookViews>
    <workbookView xWindow="0" yWindow="0" windowWidth="28800" windowHeight="11385" tabRatio="692"/>
  </bookViews>
  <sheets>
    <sheet name="Notes" sheetId="2" r:id="rId1"/>
    <sheet name="Approaches Details" sheetId="1" r:id="rId2"/>
    <sheet name="Approaches Groups" sheetId="10" r:id="rId3"/>
    <sheet name="Additional information" sheetId="4" r:id="rId4"/>
    <sheet name="Secondary Flows" sheetId="11" r:id="rId5"/>
    <sheet name="Industry Table" sheetId="8" r:id="rId6"/>
    <sheet name="Product Table" sheetId="7" r:id="rId7"/>
    <sheet name="Region Table" sheetId="5" r:id="rId8"/>
    <sheet name="References" sheetId="3" r:id="rId9"/>
  </sheets>
  <definedNames>
    <definedName name="advancedEstimate">'Approaches Details'!$K$1</definedName>
    <definedName name="extremeEstimate">'Approaches Details'!$M$1</definedName>
    <definedName name="intermediateEstimate">'Approaches Details'!$I$1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5" i="1" l="1"/>
  <c r="J185" i="1"/>
  <c r="A67" i="1"/>
  <c r="L184" i="1" l="1"/>
  <c r="J184" i="1"/>
  <c r="M85" i="1" l="1"/>
  <c r="M83" i="1"/>
  <c r="M82" i="1"/>
  <c r="M80" i="1"/>
  <c r="M59" i="1"/>
  <c r="M57" i="1"/>
  <c r="K59" i="1"/>
  <c r="K57" i="1"/>
  <c r="M64" i="1"/>
  <c r="M62" i="1"/>
  <c r="M61" i="1"/>
  <c r="M60" i="1"/>
  <c r="K64" i="1"/>
  <c r="K62" i="1"/>
  <c r="K61" i="1"/>
  <c r="K60" i="1"/>
  <c r="K83" i="1" l="1"/>
  <c r="I83" i="1"/>
  <c r="K82" i="1"/>
  <c r="I82" i="1"/>
  <c r="K80" i="1"/>
  <c r="I80" i="1"/>
  <c r="M153" i="1"/>
  <c r="I153" i="1"/>
  <c r="K153" i="1"/>
  <c r="M201" i="1" l="1"/>
  <c r="M152" i="1"/>
  <c r="M151" i="1"/>
  <c r="M150" i="1"/>
  <c r="M149" i="1"/>
  <c r="M148" i="1"/>
  <c r="M129" i="1"/>
  <c r="M127" i="1"/>
  <c r="M122" i="1"/>
  <c r="M121" i="1"/>
  <c r="M120" i="1"/>
  <c r="M119" i="1"/>
  <c r="M118" i="1"/>
  <c r="M117" i="1"/>
  <c r="M116" i="1"/>
  <c r="M115" i="1"/>
  <c r="M114" i="1"/>
  <c r="M113" i="1"/>
  <c r="M112" i="1"/>
  <c r="M110" i="1"/>
  <c r="M109" i="1"/>
  <c r="M108" i="1"/>
  <c r="M107" i="1"/>
  <c r="M106" i="1"/>
  <c r="M105" i="1"/>
  <c r="M104" i="1"/>
  <c r="M103" i="1"/>
  <c r="M102" i="1"/>
  <c r="M101" i="1"/>
  <c r="M100" i="1"/>
  <c r="M97" i="1"/>
  <c r="M96" i="1"/>
  <c r="M95" i="1"/>
  <c r="M94" i="1"/>
  <c r="M93" i="1"/>
  <c r="M91" i="1"/>
  <c r="M90" i="1"/>
  <c r="M89" i="1"/>
  <c r="M88" i="1"/>
  <c r="M78" i="1"/>
  <c r="M77" i="1"/>
  <c r="M76" i="1"/>
  <c r="M75" i="1"/>
  <c r="M50" i="1"/>
  <c r="M48" i="1"/>
  <c r="M46" i="1"/>
  <c r="M45" i="1"/>
  <c r="M66" i="1"/>
  <c r="M55" i="1"/>
  <c r="I43" i="1"/>
  <c r="I39" i="1"/>
  <c r="I35" i="1"/>
  <c r="I31" i="1"/>
  <c r="I27" i="1"/>
  <c r="I25" i="1"/>
  <c r="I23" i="1"/>
  <c r="I19" i="1"/>
  <c r="I15" i="1"/>
  <c r="I12" i="1"/>
  <c r="I8" i="1"/>
  <c r="I4" i="1"/>
  <c r="M39" i="1"/>
  <c r="M35" i="1"/>
  <c r="M31" i="1"/>
  <c r="M27" i="1"/>
  <c r="M25" i="1"/>
  <c r="M23" i="1"/>
  <c r="M19" i="1"/>
  <c r="M15" i="1"/>
  <c r="M8" i="1"/>
  <c r="M4" i="1"/>
  <c r="L65" i="1"/>
  <c r="J65" i="1"/>
  <c r="I61" i="1"/>
  <c r="I62" i="1"/>
  <c r="I64" i="1"/>
  <c r="H64" i="1"/>
  <c r="H61" i="1"/>
  <c r="H12" i="1"/>
  <c r="I60" i="1"/>
  <c r="H25" i="1"/>
  <c r="H23" i="1"/>
  <c r="H19" i="1"/>
  <c r="H15" i="1"/>
  <c r="O15" i="1"/>
  <c r="H43" i="1"/>
  <c r="H39" i="1"/>
  <c r="H35" i="1"/>
  <c r="H8" i="1"/>
  <c r="H4" i="1"/>
  <c r="C65" i="1"/>
  <c r="C61" i="1"/>
  <c r="D64" i="1"/>
  <c r="D62" i="1"/>
  <c r="C26" i="1"/>
  <c r="C23" i="1"/>
  <c r="C25" i="1"/>
  <c r="D23" i="1"/>
  <c r="D63" i="1"/>
  <c r="D24" i="1"/>
  <c r="C64" i="1"/>
  <c r="D26" i="1"/>
  <c r="D25" i="1"/>
  <c r="C24" i="1"/>
  <c r="D61" i="1"/>
  <c r="D65" i="1"/>
  <c r="M613" i="1" l="1"/>
  <c r="K613" i="1"/>
  <c r="I613" i="1"/>
  <c r="M609" i="1"/>
  <c r="K609" i="1"/>
  <c r="I609" i="1"/>
  <c r="M605" i="1"/>
  <c r="K605" i="1"/>
  <c r="I605" i="1"/>
  <c r="M602" i="1"/>
  <c r="K602" i="1"/>
  <c r="I602" i="1"/>
  <c r="M599" i="1"/>
  <c r="K599" i="1"/>
  <c r="I599" i="1"/>
  <c r="M596" i="1"/>
  <c r="K596" i="1"/>
  <c r="I596" i="1"/>
  <c r="M593" i="1"/>
  <c r="K593" i="1"/>
  <c r="I593" i="1"/>
  <c r="M590" i="1"/>
  <c r="K590" i="1"/>
  <c r="I590" i="1"/>
  <c r="M587" i="1"/>
  <c r="K587" i="1"/>
  <c r="I587" i="1"/>
  <c r="M584" i="1"/>
  <c r="K584" i="1"/>
  <c r="I584" i="1"/>
  <c r="M581" i="1"/>
  <c r="K581" i="1"/>
  <c r="I581" i="1"/>
  <c r="M578" i="1"/>
  <c r="K578" i="1"/>
  <c r="I578" i="1"/>
  <c r="M575" i="1"/>
  <c r="K575" i="1"/>
  <c r="I575" i="1"/>
  <c r="M572" i="1"/>
  <c r="K572" i="1"/>
  <c r="I572" i="1"/>
  <c r="M569" i="1"/>
  <c r="K569" i="1"/>
  <c r="I569" i="1"/>
  <c r="M566" i="1"/>
  <c r="K566" i="1"/>
  <c r="I566" i="1"/>
  <c r="M563" i="1"/>
  <c r="K563" i="1"/>
  <c r="I563" i="1"/>
  <c r="M560" i="1"/>
  <c r="K560" i="1"/>
  <c r="I560" i="1"/>
  <c r="M556" i="1"/>
  <c r="K556" i="1"/>
  <c r="I556" i="1"/>
  <c r="M552" i="1"/>
  <c r="K552" i="1"/>
  <c r="I552" i="1"/>
  <c r="M548" i="1"/>
  <c r="K548" i="1"/>
  <c r="I548" i="1"/>
  <c r="M544" i="1"/>
  <c r="K544" i="1"/>
  <c r="I544" i="1"/>
  <c r="M540" i="1"/>
  <c r="K540" i="1"/>
  <c r="I540" i="1"/>
  <c r="M536" i="1"/>
  <c r="K536" i="1"/>
  <c r="I536" i="1"/>
  <c r="M532" i="1"/>
  <c r="K532" i="1"/>
  <c r="I532" i="1"/>
  <c r="M528" i="1"/>
  <c r="K528" i="1"/>
  <c r="I528" i="1"/>
  <c r="M524" i="1"/>
  <c r="K524" i="1"/>
  <c r="I524" i="1"/>
  <c r="M520" i="1"/>
  <c r="K520" i="1"/>
  <c r="I520" i="1"/>
  <c r="M516" i="1"/>
  <c r="K516" i="1"/>
  <c r="I516" i="1"/>
  <c r="M512" i="1"/>
  <c r="K512" i="1"/>
  <c r="I512" i="1"/>
  <c r="M508" i="1"/>
  <c r="K508" i="1"/>
  <c r="I508" i="1"/>
  <c r="M504" i="1"/>
  <c r="K504" i="1"/>
  <c r="I504" i="1"/>
  <c r="M500" i="1"/>
  <c r="K500" i="1"/>
  <c r="I500" i="1"/>
  <c r="M496" i="1"/>
  <c r="K496" i="1"/>
  <c r="I496" i="1"/>
  <c r="M492" i="1"/>
  <c r="K492" i="1"/>
  <c r="I492" i="1"/>
  <c r="M488" i="1"/>
  <c r="K488" i="1"/>
  <c r="I488" i="1"/>
  <c r="M484" i="1"/>
  <c r="K484" i="1"/>
  <c r="I484" i="1"/>
  <c r="M480" i="1"/>
  <c r="K480" i="1"/>
  <c r="I480" i="1"/>
  <c r="M476" i="1"/>
  <c r="K476" i="1"/>
  <c r="I476" i="1"/>
  <c r="M472" i="1"/>
  <c r="K472" i="1"/>
  <c r="I472" i="1"/>
  <c r="M468" i="1"/>
  <c r="K468" i="1"/>
  <c r="I468" i="1"/>
  <c r="M464" i="1"/>
  <c r="K464" i="1"/>
  <c r="I464" i="1"/>
  <c r="M460" i="1"/>
  <c r="K460" i="1"/>
  <c r="I460" i="1"/>
  <c r="M456" i="1"/>
  <c r="K456" i="1"/>
  <c r="I456" i="1"/>
  <c r="M452" i="1"/>
  <c r="K452" i="1"/>
  <c r="I452" i="1"/>
  <c r="M448" i="1"/>
  <c r="K448" i="1"/>
  <c r="I448" i="1"/>
  <c r="M444" i="1"/>
  <c r="K444" i="1"/>
  <c r="I444" i="1"/>
  <c r="M440" i="1"/>
  <c r="K440" i="1"/>
  <c r="I440" i="1"/>
  <c r="M436" i="1"/>
  <c r="K436" i="1"/>
  <c r="I436" i="1"/>
  <c r="M432" i="1"/>
  <c r="K432" i="1"/>
  <c r="I432" i="1"/>
  <c r="M428" i="1"/>
  <c r="K428" i="1"/>
  <c r="I428" i="1"/>
  <c r="M424" i="1"/>
  <c r="K424" i="1"/>
  <c r="I424" i="1"/>
  <c r="M420" i="1"/>
  <c r="K420" i="1"/>
  <c r="I420" i="1"/>
  <c r="M416" i="1"/>
  <c r="K416" i="1"/>
  <c r="I416" i="1"/>
  <c r="M412" i="1"/>
  <c r="K412" i="1"/>
  <c r="I412" i="1"/>
  <c r="M408" i="1"/>
  <c r="K408" i="1"/>
  <c r="I408" i="1"/>
  <c r="M404" i="1"/>
  <c r="K404" i="1"/>
  <c r="I404" i="1"/>
  <c r="M400" i="1"/>
  <c r="K400" i="1"/>
  <c r="I400" i="1"/>
  <c r="M396" i="1"/>
  <c r="K396" i="1"/>
  <c r="I396" i="1"/>
  <c r="M392" i="1"/>
  <c r="K392" i="1"/>
  <c r="I392" i="1"/>
  <c r="M388" i="1"/>
  <c r="K388" i="1"/>
  <c r="I388" i="1"/>
  <c r="M384" i="1"/>
  <c r="K384" i="1"/>
  <c r="I384" i="1"/>
  <c r="M380" i="1"/>
  <c r="K380" i="1"/>
  <c r="I380" i="1"/>
  <c r="M376" i="1"/>
  <c r="K376" i="1"/>
  <c r="I376" i="1"/>
  <c r="M372" i="1"/>
  <c r="K372" i="1"/>
  <c r="I372" i="1"/>
  <c r="M368" i="1"/>
  <c r="K368" i="1"/>
  <c r="I368" i="1"/>
  <c r="M364" i="1"/>
  <c r="K364" i="1"/>
  <c r="I364" i="1"/>
  <c r="M360" i="1"/>
  <c r="K360" i="1"/>
  <c r="I360" i="1"/>
  <c r="M356" i="1"/>
  <c r="K356" i="1"/>
  <c r="I356" i="1"/>
  <c r="M352" i="1"/>
  <c r="K352" i="1"/>
  <c r="I352" i="1"/>
  <c r="M348" i="1"/>
  <c r="K348" i="1"/>
  <c r="I348" i="1"/>
  <c r="M344" i="1"/>
  <c r="K344" i="1"/>
  <c r="I344" i="1"/>
  <c r="M340" i="1"/>
  <c r="K340" i="1"/>
  <c r="I340" i="1"/>
  <c r="M336" i="1"/>
  <c r="K336" i="1"/>
  <c r="I336" i="1"/>
  <c r="H616" i="1"/>
  <c r="H612" i="1"/>
  <c r="H608" i="1"/>
  <c r="H604" i="1"/>
  <c r="H601" i="1"/>
  <c r="H598" i="1"/>
  <c r="H595" i="1"/>
  <c r="H592" i="1"/>
  <c r="H589" i="1"/>
  <c r="H586" i="1"/>
  <c r="H583" i="1"/>
  <c r="H580" i="1"/>
  <c r="H577" i="1"/>
  <c r="H574" i="1"/>
  <c r="H571" i="1"/>
  <c r="H568" i="1"/>
  <c r="H565" i="1"/>
  <c r="H562" i="1"/>
  <c r="H559" i="1"/>
  <c r="H558" i="1"/>
  <c r="H557" i="1"/>
  <c r="H555" i="1"/>
  <c r="H554" i="1"/>
  <c r="H553" i="1"/>
  <c r="H551" i="1"/>
  <c r="H550" i="1"/>
  <c r="H549" i="1"/>
  <c r="H547" i="1"/>
  <c r="H546" i="1"/>
  <c r="H545" i="1"/>
  <c r="H543" i="1"/>
  <c r="H542" i="1"/>
  <c r="H541" i="1"/>
  <c r="H539" i="1"/>
  <c r="H538" i="1"/>
  <c r="H537" i="1"/>
  <c r="H535" i="1"/>
  <c r="H534" i="1"/>
  <c r="H533" i="1"/>
  <c r="H531" i="1"/>
  <c r="H530" i="1"/>
  <c r="H529" i="1"/>
  <c r="H527" i="1"/>
  <c r="H526" i="1"/>
  <c r="H525" i="1"/>
  <c r="H523" i="1"/>
  <c r="H522" i="1"/>
  <c r="H521" i="1"/>
  <c r="H519" i="1"/>
  <c r="H518" i="1"/>
  <c r="H517" i="1"/>
  <c r="H515" i="1"/>
  <c r="H514" i="1"/>
  <c r="H513" i="1"/>
  <c r="H511" i="1"/>
  <c r="H510" i="1"/>
  <c r="H509" i="1"/>
  <c r="H507" i="1"/>
  <c r="H506" i="1"/>
  <c r="H505" i="1"/>
  <c r="H503" i="1"/>
  <c r="H502" i="1"/>
  <c r="H501" i="1"/>
  <c r="H499" i="1"/>
  <c r="H498" i="1"/>
  <c r="H497" i="1"/>
  <c r="H495" i="1"/>
  <c r="H494" i="1"/>
  <c r="H493" i="1"/>
  <c r="H491" i="1"/>
  <c r="H490" i="1"/>
  <c r="H489" i="1"/>
  <c r="H487" i="1"/>
  <c r="H486" i="1"/>
  <c r="H485" i="1"/>
  <c r="H483" i="1"/>
  <c r="H482" i="1"/>
  <c r="H481" i="1"/>
  <c r="H479" i="1"/>
  <c r="H478" i="1"/>
  <c r="H477" i="1"/>
  <c r="H475" i="1"/>
  <c r="H474" i="1"/>
  <c r="H473" i="1"/>
  <c r="H471" i="1"/>
  <c r="H470" i="1"/>
  <c r="H469" i="1"/>
  <c r="H467" i="1"/>
  <c r="H466" i="1"/>
  <c r="H465" i="1"/>
  <c r="H463" i="1"/>
  <c r="H462" i="1"/>
  <c r="H461" i="1"/>
  <c r="H459" i="1"/>
  <c r="H458" i="1"/>
  <c r="H457" i="1"/>
  <c r="H455" i="1"/>
  <c r="H454" i="1"/>
  <c r="H453" i="1"/>
  <c r="H451" i="1"/>
  <c r="H450" i="1"/>
  <c r="H449" i="1"/>
  <c r="H447" i="1"/>
  <c r="H446" i="1"/>
  <c r="H445" i="1"/>
  <c r="H443" i="1"/>
  <c r="H442" i="1"/>
  <c r="H441" i="1"/>
  <c r="H439" i="1"/>
  <c r="H438" i="1"/>
  <c r="H437" i="1"/>
  <c r="H435" i="1"/>
  <c r="H434" i="1"/>
  <c r="H433" i="1"/>
  <c r="H431" i="1"/>
  <c r="H430" i="1"/>
  <c r="H429" i="1"/>
  <c r="H427" i="1"/>
  <c r="H426" i="1"/>
  <c r="H425" i="1"/>
  <c r="H423" i="1"/>
  <c r="H422" i="1"/>
  <c r="H421" i="1"/>
  <c r="H419" i="1"/>
  <c r="H418" i="1"/>
  <c r="H417" i="1"/>
  <c r="H415" i="1"/>
  <c r="H414" i="1"/>
  <c r="H413" i="1"/>
  <c r="H411" i="1"/>
  <c r="H410" i="1"/>
  <c r="H409" i="1"/>
  <c r="H407" i="1"/>
  <c r="H406" i="1"/>
  <c r="H405" i="1"/>
  <c r="H403" i="1"/>
  <c r="H402" i="1"/>
  <c r="H401" i="1"/>
  <c r="H399" i="1"/>
  <c r="H398" i="1"/>
  <c r="H397" i="1"/>
  <c r="H395" i="1"/>
  <c r="H394" i="1"/>
  <c r="H393" i="1"/>
  <c r="H391" i="1"/>
  <c r="H390" i="1"/>
  <c r="H389" i="1"/>
  <c r="H387" i="1"/>
  <c r="H386" i="1"/>
  <c r="H385" i="1"/>
  <c r="H383" i="1"/>
  <c r="H382" i="1"/>
  <c r="H381" i="1"/>
  <c r="H379" i="1"/>
  <c r="H378" i="1"/>
  <c r="H377" i="1"/>
  <c r="H375" i="1"/>
  <c r="H374" i="1"/>
  <c r="H373" i="1"/>
  <c r="H371" i="1"/>
  <c r="H370" i="1"/>
  <c r="H369" i="1"/>
  <c r="H367" i="1"/>
  <c r="H366" i="1"/>
  <c r="H365" i="1"/>
  <c r="H363" i="1"/>
  <c r="H362" i="1"/>
  <c r="H361" i="1"/>
  <c r="H359" i="1"/>
  <c r="H358" i="1"/>
  <c r="H357" i="1"/>
  <c r="H355" i="1"/>
  <c r="H354" i="1"/>
  <c r="H353" i="1"/>
  <c r="H351" i="1"/>
  <c r="H350" i="1"/>
  <c r="H349" i="1"/>
  <c r="H347" i="1"/>
  <c r="H346" i="1"/>
  <c r="H345" i="1"/>
  <c r="H343" i="1"/>
  <c r="H342" i="1"/>
  <c r="H341" i="1"/>
  <c r="H339" i="1"/>
  <c r="H338" i="1"/>
  <c r="H337" i="1"/>
  <c r="M333" i="1"/>
  <c r="K333" i="1"/>
  <c r="I333" i="1"/>
  <c r="M330" i="1"/>
  <c r="K330" i="1"/>
  <c r="I330" i="1"/>
  <c r="M327" i="1"/>
  <c r="K327" i="1"/>
  <c r="I327" i="1"/>
  <c r="M324" i="1"/>
  <c r="K324" i="1"/>
  <c r="I324" i="1"/>
  <c r="M321" i="1"/>
  <c r="K321" i="1"/>
  <c r="I321" i="1"/>
  <c r="M318" i="1"/>
  <c r="K318" i="1"/>
  <c r="I318" i="1"/>
  <c r="M315" i="1"/>
  <c r="K315" i="1"/>
  <c r="I315" i="1"/>
  <c r="M312" i="1"/>
  <c r="K312" i="1"/>
  <c r="I312" i="1"/>
  <c r="M309" i="1"/>
  <c r="K309" i="1"/>
  <c r="I309" i="1"/>
  <c r="M306" i="1"/>
  <c r="K306" i="1"/>
  <c r="I306" i="1"/>
  <c r="M303" i="1"/>
  <c r="K303" i="1"/>
  <c r="I303" i="1"/>
  <c r="M300" i="1"/>
  <c r="K300" i="1"/>
  <c r="I300" i="1"/>
  <c r="M297" i="1"/>
  <c r="K297" i="1"/>
  <c r="I297" i="1"/>
  <c r="M294" i="1"/>
  <c r="K294" i="1"/>
  <c r="I294" i="1"/>
  <c r="M291" i="1"/>
  <c r="K291" i="1"/>
  <c r="I291" i="1"/>
  <c r="M288" i="1"/>
  <c r="K288" i="1"/>
  <c r="I288" i="1"/>
  <c r="M285" i="1"/>
  <c r="K285" i="1"/>
  <c r="I285" i="1"/>
  <c r="M282" i="1"/>
  <c r="K282" i="1"/>
  <c r="I282" i="1"/>
  <c r="M279" i="1"/>
  <c r="K279" i="1"/>
  <c r="I279" i="1"/>
  <c r="M276" i="1"/>
  <c r="K276" i="1"/>
  <c r="I276" i="1"/>
  <c r="M273" i="1"/>
  <c r="K273" i="1"/>
  <c r="I273" i="1"/>
  <c r="M270" i="1"/>
  <c r="K270" i="1"/>
  <c r="I270" i="1"/>
  <c r="M267" i="1"/>
  <c r="K267" i="1"/>
  <c r="I267" i="1"/>
  <c r="M264" i="1"/>
  <c r="K264" i="1"/>
  <c r="I264" i="1"/>
  <c r="M261" i="1"/>
  <c r="K261" i="1"/>
  <c r="I261" i="1"/>
  <c r="M258" i="1"/>
  <c r="K258" i="1"/>
  <c r="I258" i="1"/>
  <c r="M255" i="1"/>
  <c r="K255" i="1"/>
  <c r="I255" i="1"/>
  <c r="M252" i="1"/>
  <c r="K252" i="1"/>
  <c r="I252" i="1"/>
  <c r="M249" i="1"/>
  <c r="K249" i="1"/>
  <c r="I249" i="1"/>
  <c r="M246" i="1"/>
  <c r="K246" i="1"/>
  <c r="I246" i="1"/>
  <c r="M243" i="1"/>
  <c r="K243" i="1"/>
  <c r="I243" i="1"/>
  <c r="M240" i="1"/>
  <c r="K240" i="1"/>
  <c r="I240" i="1"/>
  <c r="M237" i="1"/>
  <c r="K237" i="1"/>
  <c r="I237" i="1"/>
  <c r="M234" i="1"/>
  <c r="K234" i="1"/>
  <c r="I234" i="1"/>
  <c r="M231" i="1"/>
  <c r="K231" i="1"/>
  <c r="I231" i="1"/>
  <c r="M228" i="1"/>
  <c r="K228" i="1"/>
  <c r="I228" i="1"/>
  <c r="M225" i="1"/>
  <c r="K225" i="1"/>
  <c r="I225" i="1"/>
  <c r="M222" i="1"/>
  <c r="K222" i="1"/>
  <c r="I222" i="1"/>
  <c r="M219" i="1"/>
  <c r="K219" i="1"/>
  <c r="I219" i="1"/>
  <c r="M216" i="1"/>
  <c r="K216" i="1"/>
  <c r="I216" i="1"/>
  <c r="M213" i="1"/>
  <c r="K213" i="1"/>
  <c r="I213" i="1"/>
  <c r="M210" i="1"/>
  <c r="K210" i="1"/>
  <c r="I210" i="1"/>
  <c r="I209" i="1"/>
  <c r="J209" i="1"/>
  <c r="L209" i="1"/>
  <c r="M207" i="1"/>
  <c r="K207" i="1"/>
  <c r="I207" i="1"/>
  <c r="M204" i="1"/>
  <c r="K204" i="1"/>
  <c r="I204" i="1"/>
  <c r="K201" i="1"/>
  <c r="I201" i="1"/>
  <c r="M198" i="1"/>
  <c r="K198" i="1"/>
  <c r="I198" i="1"/>
  <c r="M195" i="1"/>
  <c r="K195" i="1"/>
  <c r="I195" i="1"/>
  <c r="M192" i="1"/>
  <c r="K192" i="1"/>
  <c r="I192" i="1"/>
  <c r="M189" i="1"/>
  <c r="K189" i="1"/>
  <c r="I189" i="1"/>
  <c r="H191" i="1"/>
  <c r="H194" i="1"/>
  <c r="H197" i="1"/>
  <c r="H200" i="1"/>
  <c r="H203" i="1"/>
  <c r="H206" i="1"/>
  <c r="H209" i="1"/>
  <c r="H212" i="1"/>
  <c r="H215" i="1"/>
  <c r="H218" i="1"/>
  <c r="H221" i="1"/>
  <c r="H224" i="1"/>
  <c r="H227" i="1"/>
  <c r="H230" i="1"/>
  <c r="H233" i="1"/>
  <c r="H236" i="1"/>
  <c r="H239" i="1"/>
  <c r="H242" i="1"/>
  <c r="H245" i="1"/>
  <c r="H248" i="1"/>
  <c r="H251" i="1"/>
  <c r="H254" i="1"/>
  <c r="H257" i="1"/>
  <c r="H260" i="1"/>
  <c r="H263" i="1"/>
  <c r="H266" i="1"/>
  <c r="H269" i="1"/>
  <c r="H272" i="1"/>
  <c r="H275" i="1"/>
  <c r="H278" i="1"/>
  <c r="H281" i="1"/>
  <c r="H284" i="1"/>
  <c r="H287" i="1"/>
  <c r="H290" i="1"/>
  <c r="H293" i="1"/>
  <c r="H296" i="1"/>
  <c r="H299" i="1"/>
  <c r="H302" i="1"/>
  <c r="H305" i="1"/>
  <c r="H308" i="1"/>
  <c r="H311" i="1"/>
  <c r="H314" i="1"/>
  <c r="H317" i="1"/>
  <c r="H320" i="1"/>
  <c r="H323" i="1"/>
  <c r="H326" i="1"/>
  <c r="H329" i="1"/>
  <c r="H332" i="1"/>
  <c r="H335" i="1"/>
  <c r="M186" i="1"/>
  <c r="M181" i="1"/>
  <c r="M176" i="1"/>
  <c r="M175" i="1"/>
  <c r="M170" i="1"/>
  <c r="M169" i="1"/>
  <c r="M163" i="1"/>
  <c r="M158" i="1"/>
  <c r="M164" i="1"/>
  <c r="M155" i="1"/>
  <c r="K155" i="1"/>
  <c r="I155" i="1"/>
  <c r="M130" i="1"/>
  <c r="M125" i="1"/>
  <c r="K183" i="1"/>
  <c r="K182" i="1"/>
  <c r="I183" i="1"/>
  <c r="I182" i="1"/>
  <c r="M183" i="1"/>
  <c r="M182" i="1"/>
  <c r="M145" i="1"/>
  <c r="M146" i="1"/>
  <c r="M144" i="1"/>
  <c r="M143" i="1"/>
  <c r="M141" i="1"/>
  <c r="M140" i="1"/>
  <c r="M139" i="1"/>
  <c r="M138" i="1"/>
  <c r="M136" i="1"/>
  <c r="M135" i="1"/>
  <c r="M134" i="1"/>
  <c r="M133" i="1"/>
  <c r="M71" i="1"/>
  <c r="M67" i="1"/>
  <c r="I88" i="1"/>
  <c r="K88" i="1"/>
  <c r="J85" i="1"/>
  <c r="I85" i="1"/>
  <c r="I77" i="1"/>
  <c r="K77" i="1"/>
  <c r="K152" i="1"/>
  <c r="I152" i="1"/>
  <c r="K76" i="1"/>
  <c r="I76" i="1"/>
  <c r="K50" i="1" l="1"/>
  <c r="I50" i="1"/>
  <c r="I54" i="1"/>
  <c r="I52" i="1"/>
  <c r="I59" i="1"/>
  <c r="I57" i="1"/>
  <c r="K55" i="1"/>
  <c r="I55" i="1"/>
  <c r="H121" i="1" l="1"/>
  <c r="H120" i="1"/>
  <c r="K120" i="1"/>
  <c r="K121" i="1"/>
  <c r="I120" i="1"/>
  <c r="I121" i="1"/>
  <c r="I96" i="1"/>
  <c r="K96" i="1"/>
  <c r="H108" i="1"/>
  <c r="K94" i="1"/>
  <c r="I94" i="1"/>
  <c r="K108" i="1"/>
  <c r="K109" i="1"/>
  <c r="I108" i="1"/>
  <c r="H109" i="1"/>
  <c r="I109" i="1"/>
  <c r="D92" i="1"/>
  <c r="C92" i="1"/>
  <c r="J59" i="1" l="1"/>
  <c r="J49" i="1"/>
  <c r="K48" i="1"/>
  <c r="I48" i="1"/>
  <c r="H48" i="1"/>
  <c r="J54" i="1"/>
  <c r="L82" i="1"/>
  <c r="J82" i="1"/>
  <c r="K91" i="1"/>
  <c r="I91" i="1"/>
  <c r="L109" i="1"/>
  <c r="J109" i="1"/>
  <c r="L121" i="1"/>
  <c r="J121" i="1"/>
  <c r="L93" i="1"/>
  <c r="L94" i="1" s="1"/>
  <c r="J93" i="1"/>
  <c r="J94" i="1" s="1"/>
  <c r="K93" i="1"/>
  <c r="I93" i="1"/>
  <c r="H118" i="1"/>
  <c r="L118" i="1"/>
  <c r="L120" i="1" s="1"/>
  <c r="K118" i="1"/>
  <c r="J118" i="1"/>
  <c r="J120" i="1" s="1"/>
  <c r="I118" i="1"/>
  <c r="L106" i="1"/>
  <c r="L108" i="1" s="1"/>
  <c r="J106" i="1"/>
  <c r="J108" i="1" s="1"/>
  <c r="H106" i="1"/>
  <c r="K72" i="4"/>
  <c r="K88" i="4"/>
  <c r="H119" i="1"/>
  <c r="H107" i="1"/>
  <c r="D49" i="1"/>
  <c r="D60" i="1"/>
  <c r="D82" i="1"/>
  <c r="C109" i="1"/>
  <c r="C117" i="1"/>
  <c r="D107" i="1"/>
  <c r="C66" i="1"/>
  <c r="C54" i="1"/>
  <c r="C111" i="1"/>
  <c r="D115" i="1"/>
  <c r="D116" i="1"/>
  <c r="C121" i="1"/>
  <c r="C94" i="1"/>
  <c r="D46" i="1"/>
  <c r="D110" i="1"/>
  <c r="D47" i="1"/>
  <c r="D45" i="1"/>
  <c r="D66" i="1"/>
  <c r="C47" i="1"/>
  <c r="C58" i="1"/>
  <c r="C48" i="1"/>
  <c r="C51" i="1"/>
  <c r="C114" i="1"/>
  <c r="D59" i="1"/>
  <c r="D111" i="1"/>
  <c r="D112" i="1"/>
  <c r="D54" i="1"/>
  <c r="C107" i="1"/>
  <c r="D52" i="1"/>
  <c r="D94" i="1"/>
  <c r="C108" i="1"/>
  <c r="C49" i="1"/>
  <c r="C62" i="1"/>
  <c r="D114" i="1"/>
  <c r="D108" i="1"/>
  <c r="C60" i="1"/>
  <c r="C119" i="1"/>
  <c r="D119" i="1"/>
  <c r="C113" i="1"/>
  <c r="C82" i="1"/>
  <c r="C115" i="1"/>
  <c r="D118" i="1"/>
  <c r="C63" i="1"/>
  <c r="C116" i="1"/>
  <c r="D58" i="1"/>
  <c r="D93" i="1"/>
  <c r="D48" i="1"/>
  <c r="C91" i="1"/>
  <c r="D121" i="1"/>
  <c r="D117" i="1"/>
  <c r="D53" i="1"/>
  <c r="C45" i="1"/>
  <c r="D51" i="1"/>
  <c r="C53" i="1"/>
  <c r="D109" i="1"/>
  <c r="D122" i="1"/>
  <c r="C93" i="1"/>
  <c r="D91" i="1"/>
  <c r="C46" i="1"/>
  <c r="C120" i="1"/>
  <c r="C81" i="1"/>
  <c r="C52" i="1"/>
  <c r="C57" i="1"/>
  <c r="D113" i="1"/>
  <c r="C118" i="1"/>
  <c r="C80" i="1"/>
  <c r="C50" i="1"/>
  <c r="D50" i="1"/>
  <c r="C59" i="1"/>
  <c r="C122" i="1"/>
  <c r="C112" i="1"/>
  <c r="D81" i="1"/>
  <c r="C110" i="1"/>
  <c r="D120" i="1"/>
  <c r="D57" i="1"/>
  <c r="L49" i="1" l="1"/>
  <c r="L54" i="1"/>
  <c r="L59" i="1"/>
  <c r="K97" i="1"/>
  <c r="I97" i="1"/>
  <c r="H97" i="1"/>
  <c r="L98" i="1"/>
  <c r="J98" i="1"/>
  <c r="K95" i="1"/>
  <c r="I95" i="1"/>
  <c r="C96" i="1"/>
  <c r="D96" i="1"/>
  <c r="C97" i="1"/>
  <c r="D98" i="1"/>
  <c r="D97" i="1"/>
  <c r="C98" i="1"/>
  <c r="H112" i="1" l="1"/>
  <c r="K112" i="1"/>
  <c r="J112" i="1"/>
  <c r="I112" i="1"/>
  <c r="H100" i="1"/>
  <c r="K90" i="1"/>
  <c r="H90" i="1"/>
  <c r="K100" i="1"/>
  <c r="J100" i="1"/>
  <c r="I100" i="1"/>
  <c r="L116" i="1"/>
  <c r="K116" i="1"/>
  <c r="J116" i="1"/>
  <c r="H116" i="1"/>
  <c r="L104" i="1"/>
  <c r="J104" i="1"/>
  <c r="H104" i="1"/>
  <c r="K104" i="1"/>
  <c r="L115" i="1"/>
  <c r="H115" i="1"/>
  <c r="H122" i="1"/>
  <c r="L113" i="1"/>
  <c r="J113" i="1"/>
  <c r="L101" i="1"/>
  <c r="J101" i="1"/>
  <c r="D100" i="1"/>
  <c r="C100" i="1"/>
  <c r="D95" i="1"/>
  <c r="C95" i="1"/>
  <c r="H102" i="1" l="1"/>
  <c r="H114" i="1"/>
  <c r="K101" i="1"/>
  <c r="I101" i="1"/>
  <c r="H117" i="1"/>
  <c r="H113" i="1"/>
  <c r="K68" i="4"/>
  <c r="H71" i="1" l="1"/>
  <c r="L74" i="1"/>
  <c r="J74" i="1"/>
  <c r="L73" i="1"/>
  <c r="J73" i="1"/>
  <c r="L72" i="1"/>
  <c r="J72" i="1"/>
  <c r="L71" i="1"/>
  <c r="K71" i="1"/>
  <c r="J71" i="1"/>
  <c r="I71" i="1"/>
  <c r="K78" i="1"/>
  <c r="I78" i="1"/>
  <c r="H77" i="1"/>
  <c r="H76" i="1"/>
  <c r="H75" i="1"/>
  <c r="K75" i="1"/>
  <c r="I75" i="1"/>
  <c r="D71" i="1"/>
  <c r="C72" i="1"/>
  <c r="C78" i="1"/>
  <c r="C71" i="1"/>
  <c r="D73" i="1"/>
  <c r="C73" i="1"/>
  <c r="D74" i="1"/>
  <c r="C74" i="1"/>
  <c r="D72" i="1"/>
  <c r="D78" i="1"/>
  <c r="K74" i="4" l="1"/>
  <c r="K73" i="4"/>
  <c r="K71" i="4"/>
  <c r="K70" i="4"/>
  <c r="K69" i="4"/>
  <c r="K90" i="4"/>
  <c r="K89" i="4"/>
  <c r="K87" i="4"/>
  <c r="K86" i="4"/>
  <c r="K85" i="4"/>
  <c r="K84" i="4"/>
  <c r="J117" i="1"/>
  <c r="L117" i="1"/>
  <c r="K113" i="1"/>
  <c r="K114" i="1"/>
  <c r="K115" i="1"/>
  <c r="K117" i="1"/>
  <c r="K119" i="1"/>
  <c r="I113" i="1"/>
  <c r="I114" i="1"/>
  <c r="I115" i="1"/>
  <c r="I117" i="1"/>
  <c r="I119" i="1"/>
  <c r="L146" i="1"/>
  <c r="L145" i="1"/>
  <c r="L144" i="1"/>
  <c r="L143" i="1"/>
  <c r="L141" i="1"/>
  <c r="L140" i="1"/>
  <c r="L139" i="1"/>
  <c r="L138" i="1"/>
  <c r="J146" i="1"/>
  <c r="J145" i="1"/>
  <c r="J144" i="1"/>
  <c r="J143" i="1"/>
  <c r="J141" i="1"/>
  <c r="J140" i="1"/>
  <c r="J139" i="1"/>
  <c r="J138" i="1"/>
  <c r="L136" i="1"/>
  <c r="L135" i="1"/>
  <c r="J136" i="1"/>
  <c r="J135" i="1"/>
  <c r="L134" i="1"/>
  <c r="J134" i="1"/>
  <c r="J133" i="1"/>
  <c r="D281" i="4"/>
  <c r="C281" i="4"/>
  <c r="D279" i="4"/>
  <c r="E279" i="4"/>
  <c r="E281" i="4" s="1"/>
  <c r="F279" i="4"/>
  <c r="F281" i="4" s="1"/>
  <c r="C279" i="4"/>
  <c r="B281" i="4" l="1"/>
  <c r="C282" i="4" s="1"/>
  <c r="E282" i="4" l="1"/>
  <c r="F282" i="4"/>
  <c r="D282" i="4"/>
  <c r="I186" i="1"/>
  <c r="I130" i="1"/>
  <c r="I125" i="1"/>
  <c r="I151" i="1"/>
  <c r="I150" i="1"/>
  <c r="I149" i="1"/>
  <c r="I148" i="1"/>
  <c r="I129" i="1"/>
  <c r="I127" i="1"/>
  <c r="I122" i="1"/>
  <c r="I107" i="1"/>
  <c r="I105" i="1"/>
  <c r="I106" i="1"/>
  <c r="I103" i="1"/>
  <c r="I110" i="1"/>
  <c r="I102" i="1"/>
  <c r="I90" i="1"/>
  <c r="I89" i="1"/>
  <c r="I46" i="1"/>
  <c r="I45" i="1"/>
  <c r="I66" i="1"/>
  <c r="K186" i="1"/>
  <c r="K130" i="1"/>
  <c r="K125" i="1"/>
  <c r="K151" i="1"/>
  <c r="K150" i="1"/>
  <c r="K149" i="1"/>
  <c r="K148" i="1"/>
  <c r="K129" i="1"/>
  <c r="K127" i="1"/>
  <c r="K110" i="1"/>
  <c r="K103" i="1"/>
  <c r="K106" i="1"/>
  <c r="K105" i="1"/>
  <c r="K107" i="1"/>
  <c r="K122" i="1"/>
  <c r="K102" i="1"/>
  <c r="K89" i="1"/>
  <c r="K45" i="1"/>
  <c r="K46" i="1"/>
  <c r="K66" i="1"/>
  <c r="K144" i="1" l="1"/>
  <c r="K146" i="1"/>
  <c r="I146" i="1"/>
  <c r="I144" i="1"/>
  <c r="H144" i="1"/>
  <c r="K141" i="1"/>
  <c r="K139" i="1"/>
  <c r="I141" i="1"/>
  <c r="I139" i="1"/>
  <c r="K136" i="1"/>
  <c r="K134" i="1"/>
  <c r="I136" i="1"/>
  <c r="I134" i="1"/>
  <c r="L616" i="1"/>
  <c r="J616" i="1"/>
  <c r="L615" i="1"/>
  <c r="J615" i="1"/>
  <c r="L612" i="1"/>
  <c r="J612" i="1"/>
  <c r="L611" i="1"/>
  <c r="J611" i="1"/>
  <c r="L607" i="1"/>
  <c r="J607" i="1"/>
  <c r="J608" i="1"/>
  <c r="L614" i="1"/>
  <c r="K614" i="1"/>
  <c r="J614" i="1"/>
  <c r="L610" i="1"/>
  <c r="K610" i="1"/>
  <c r="J610" i="1"/>
  <c r="L606" i="1"/>
  <c r="K606" i="1"/>
  <c r="J606" i="1"/>
  <c r="L557" i="1"/>
  <c r="K557" i="1"/>
  <c r="J557" i="1"/>
  <c r="L553" i="1"/>
  <c r="K553" i="1"/>
  <c r="J553" i="1"/>
  <c r="L549" i="1"/>
  <c r="K549" i="1"/>
  <c r="J549" i="1"/>
  <c r="L545" i="1"/>
  <c r="K545" i="1"/>
  <c r="J545" i="1"/>
  <c r="L541" i="1"/>
  <c r="K541" i="1"/>
  <c r="J541" i="1"/>
  <c r="L537" i="1"/>
  <c r="K537" i="1"/>
  <c r="J537" i="1"/>
  <c r="L533" i="1"/>
  <c r="K533" i="1"/>
  <c r="J533" i="1"/>
  <c r="L529" i="1"/>
  <c r="K529" i="1"/>
  <c r="J529" i="1"/>
  <c r="L525" i="1"/>
  <c r="K525" i="1"/>
  <c r="J525" i="1"/>
  <c r="L521" i="1"/>
  <c r="K521" i="1"/>
  <c r="J521" i="1"/>
  <c r="L517" i="1"/>
  <c r="K517" i="1"/>
  <c r="J517" i="1"/>
  <c r="L513" i="1"/>
  <c r="K513" i="1"/>
  <c r="J513" i="1"/>
  <c r="L509" i="1"/>
  <c r="K509" i="1"/>
  <c r="J509" i="1"/>
  <c r="L505" i="1"/>
  <c r="K505" i="1"/>
  <c r="J505" i="1"/>
  <c r="L501" i="1"/>
  <c r="K501" i="1"/>
  <c r="J501" i="1"/>
  <c r="L497" i="1"/>
  <c r="K497" i="1"/>
  <c r="J497" i="1"/>
  <c r="L493" i="1"/>
  <c r="K493" i="1"/>
  <c r="J493" i="1"/>
  <c r="L489" i="1"/>
  <c r="K489" i="1"/>
  <c r="J489" i="1"/>
  <c r="L485" i="1"/>
  <c r="K485" i="1"/>
  <c r="J485" i="1"/>
  <c r="L481" i="1"/>
  <c r="K481" i="1"/>
  <c r="J481" i="1"/>
  <c r="L477" i="1"/>
  <c r="K477" i="1"/>
  <c r="J477" i="1"/>
  <c r="L473" i="1"/>
  <c r="K473" i="1"/>
  <c r="J473" i="1"/>
  <c r="L469" i="1"/>
  <c r="K469" i="1"/>
  <c r="J469" i="1"/>
  <c r="L465" i="1"/>
  <c r="K465" i="1"/>
  <c r="J465" i="1"/>
  <c r="L461" i="1"/>
  <c r="K461" i="1"/>
  <c r="J461" i="1"/>
  <c r="L457" i="1"/>
  <c r="K457" i="1"/>
  <c r="J457" i="1"/>
  <c r="L453" i="1"/>
  <c r="K453" i="1"/>
  <c r="J453" i="1"/>
  <c r="L449" i="1"/>
  <c r="K449" i="1"/>
  <c r="J449" i="1"/>
  <c r="L445" i="1"/>
  <c r="K445" i="1"/>
  <c r="J445" i="1"/>
  <c r="L441" i="1"/>
  <c r="K441" i="1"/>
  <c r="J441" i="1"/>
  <c r="L437" i="1"/>
  <c r="K437" i="1"/>
  <c r="J437" i="1"/>
  <c r="L433" i="1"/>
  <c r="K433" i="1"/>
  <c r="J433" i="1"/>
  <c r="L429" i="1"/>
  <c r="K429" i="1"/>
  <c r="J429" i="1"/>
  <c r="L425" i="1"/>
  <c r="K425" i="1"/>
  <c r="J425" i="1"/>
  <c r="L421" i="1"/>
  <c r="K421" i="1"/>
  <c r="J421" i="1"/>
  <c r="L417" i="1"/>
  <c r="K417" i="1"/>
  <c r="J417" i="1"/>
  <c r="L413" i="1"/>
  <c r="K413" i="1"/>
  <c r="J413" i="1"/>
  <c r="L409" i="1"/>
  <c r="K409" i="1"/>
  <c r="J409" i="1"/>
  <c r="L405" i="1"/>
  <c r="K405" i="1"/>
  <c r="J405" i="1"/>
  <c r="L401" i="1"/>
  <c r="K401" i="1"/>
  <c r="J401" i="1"/>
  <c r="L397" i="1"/>
  <c r="K397" i="1"/>
  <c r="J397" i="1"/>
  <c r="L393" i="1"/>
  <c r="K393" i="1"/>
  <c r="J393" i="1"/>
  <c r="L389" i="1"/>
  <c r="K389" i="1"/>
  <c r="J389" i="1"/>
  <c r="L385" i="1"/>
  <c r="K385" i="1"/>
  <c r="J385" i="1"/>
  <c r="L381" i="1"/>
  <c r="K381" i="1"/>
  <c r="J381" i="1"/>
  <c r="L377" i="1"/>
  <c r="K377" i="1"/>
  <c r="J377" i="1"/>
  <c r="L373" i="1"/>
  <c r="K373" i="1"/>
  <c r="J373" i="1"/>
  <c r="L369" i="1"/>
  <c r="K369" i="1"/>
  <c r="J369" i="1"/>
  <c r="L365" i="1"/>
  <c r="K365" i="1"/>
  <c r="J365" i="1"/>
  <c r="I337" i="1"/>
  <c r="L361" i="1"/>
  <c r="K361" i="1"/>
  <c r="J361" i="1"/>
  <c r="L357" i="1"/>
  <c r="K357" i="1"/>
  <c r="J357" i="1"/>
  <c r="L353" i="1"/>
  <c r="K353" i="1"/>
  <c r="J353" i="1"/>
  <c r="L349" i="1"/>
  <c r="K349" i="1"/>
  <c r="J349" i="1"/>
  <c r="L345" i="1"/>
  <c r="K345" i="1"/>
  <c r="J345" i="1"/>
  <c r="L341" i="1"/>
  <c r="K341" i="1"/>
  <c r="J341" i="1"/>
  <c r="L337" i="1"/>
  <c r="J337" i="1"/>
  <c r="H101" i="1"/>
  <c r="H110" i="1"/>
  <c r="H103" i="1"/>
  <c r="J103" i="1"/>
  <c r="L103" i="1"/>
  <c r="H89" i="1"/>
  <c r="J89" i="1"/>
  <c r="L89" i="1" s="1"/>
  <c r="H105" i="1"/>
  <c r="J105" i="1"/>
  <c r="L105" i="1"/>
  <c r="L86" i="1"/>
  <c r="L84" i="1"/>
  <c r="J84" i="1"/>
  <c r="L63" i="1"/>
  <c r="J63" i="1"/>
  <c r="C89" i="1"/>
  <c r="D104" i="1"/>
  <c r="C132" i="1"/>
  <c r="C106" i="1"/>
  <c r="D137" i="1"/>
  <c r="D101" i="1"/>
  <c r="D106" i="1"/>
  <c r="D102" i="1"/>
  <c r="D99" i="1"/>
  <c r="C103" i="1"/>
  <c r="D90" i="1"/>
  <c r="D142" i="1"/>
  <c r="C101" i="1"/>
  <c r="C104" i="1"/>
  <c r="C99" i="1"/>
  <c r="D103" i="1"/>
  <c r="C142" i="1"/>
  <c r="D132" i="1"/>
  <c r="C90" i="1"/>
  <c r="D89" i="1"/>
  <c r="C137" i="1"/>
  <c r="C102" i="1"/>
  <c r="D105" i="1"/>
  <c r="C105" i="1"/>
  <c r="L67" i="1" l="1"/>
  <c r="J68" i="1"/>
  <c r="J69" i="1"/>
  <c r="J70" i="1"/>
  <c r="L68" i="1"/>
  <c r="L69" i="1"/>
  <c r="L70" i="1"/>
  <c r="H143" i="1"/>
  <c r="K145" i="1"/>
  <c r="I145" i="1"/>
  <c r="K143" i="1"/>
  <c r="K140" i="1"/>
  <c r="K138" i="1"/>
  <c r="K135" i="1"/>
  <c r="K133" i="1"/>
  <c r="I140" i="1"/>
  <c r="I135" i="1"/>
  <c r="I143" i="1"/>
  <c r="I138" i="1"/>
  <c r="I133" i="1"/>
  <c r="B197" i="4"/>
  <c r="L133" i="1"/>
  <c r="E192" i="4"/>
  <c r="G187" i="4"/>
  <c r="E193" i="4" s="1"/>
  <c r="G188" i="4"/>
  <c r="G189" i="4"/>
  <c r="G190" i="4"/>
  <c r="G191" i="4"/>
  <c r="G186" i="4"/>
  <c r="H187" i="4"/>
  <c r="F193" i="4" s="1"/>
  <c r="F194" i="4" s="1"/>
  <c r="H188" i="4"/>
  <c r="H189" i="4"/>
  <c r="H190" i="4"/>
  <c r="H191" i="4"/>
  <c r="H186" i="4"/>
  <c r="D130" i="1"/>
  <c r="C131" i="1"/>
  <c r="D138" i="1"/>
  <c r="D182" i="1"/>
  <c r="C183" i="1"/>
  <c r="D123" i="1"/>
  <c r="D184" i="1"/>
  <c r="D141" i="1"/>
  <c r="D144" i="1"/>
  <c r="C141" i="1"/>
  <c r="C184" i="1"/>
  <c r="C144" i="1"/>
  <c r="D133" i="1"/>
  <c r="D134" i="1"/>
  <c r="D140" i="1"/>
  <c r="D143" i="1"/>
  <c r="D136" i="1"/>
  <c r="D124" i="1"/>
  <c r="C140" i="1"/>
  <c r="C135" i="1"/>
  <c r="C133" i="1"/>
  <c r="C145" i="1"/>
  <c r="C182" i="1"/>
  <c r="D131" i="1"/>
  <c r="C134" i="1"/>
  <c r="D183" i="1"/>
  <c r="D146" i="1"/>
  <c r="D145" i="1"/>
  <c r="C136" i="1"/>
  <c r="C139" i="1"/>
  <c r="D139" i="1"/>
  <c r="C146" i="1"/>
  <c r="D135" i="1"/>
  <c r="C143" i="1"/>
  <c r="D185" i="1"/>
  <c r="C138" i="1"/>
  <c r="D125" i="1"/>
  <c r="C185" i="1"/>
  <c r="F192" i="4" l="1"/>
  <c r="D154" i="1"/>
  <c r="C153" i="1"/>
  <c r="C123" i="1"/>
  <c r="D153" i="1"/>
  <c r="C155" i="1"/>
  <c r="C124" i="1"/>
  <c r="C130" i="1"/>
  <c r="C154" i="1"/>
  <c r="C125" i="1"/>
  <c r="D155" i="1"/>
  <c r="J52" i="1" l="1"/>
  <c r="L52" i="1" l="1"/>
  <c r="J67" i="1"/>
  <c r="H45" i="1"/>
  <c r="H46" i="1"/>
  <c r="H66" i="1"/>
  <c r="E115" i="4"/>
  <c r="D115" i="4"/>
  <c r="H101" i="4" s="1"/>
  <c r="F115" i="4" l="1"/>
  <c r="H112" i="4"/>
  <c r="H113" i="4"/>
  <c r="H109" i="4"/>
  <c r="H105" i="4"/>
  <c r="H108" i="4"/>
  <c r="H104" i="4"/>
  <c r="H115" i="4"/>
  <c r="H111" i="4"/>
  <c r="H107" i="4"/>
  <c r="H103" i="4"/>
  <c r="H114" i="4"/>
  <c r="H110" i="4"/>
  <c r="H106" i="4"/>
  <c r="H102" i="4"/>
  <c r="E152" i="4"/>
  <c r="F144" i="4"/>
  <c r="L608" i="1" l="1"/>
  <c r="I616" i="1"/>
  <c r="I612" i="1"/>
  <c r="I608" i="1"/>
  <c r="L604" i="1"/>
  <c r="J604" i="1"/>
  <c r="I604" i="1"/>
  <c r="L603" i="1"/>
  <c r="J603" i="1"/>
  <c r="L601" i="1"/>
  <c r="J601" i="1"/>
  <c r="I601" i="1"/>
  <c r="L600" i="1"/>
  <c r="J600" i="1"/>
  <c r="L598" i="1"/>
  <c r="J598" i="1"/>
  <c r="I598" i="1"/>
  <c r="L597" i="1"/>
  <c r="J597" i="1"/>
  <c r="L595" i="1"/>
  <c r="J595" i="1"/>
  <c r="I595" i="1"/>
  <c r="L594" i="1"/>
  <c r="J594" i="1"/>
  <c r="L592" i="1"/>
  <c r="J592" i="1"/>
  <c r="I592" i="1"/>
  <c r="L591" i="1"/>
  <c r="J591" i="1"/>
  <c r="L589" i="1"/>
  <c r="J589" i="1"/>
  <c r="I589" i="1"/>
  <c r="L588" i="1"/>
  <c r="J588" i="1"/>
  <c r="L586" i="1"/>
  <c r="J586" i="1"/>
  <c r="I586" i="1"/>
  <c r="L585" i="1"/>
  <c r="J585" i="1"/>
  <c r="L583" i="1"/>
  <c r="J583" i="1"/>
  <c r="I583" i="1"/>
  <c r="L582" i="1"/>
  <c r="J582" i="1"/>
  <c r="M264" i="4"/>
  <c r="M262" i="4"/>
  <c r="I263" i="4"/>
  <c r="I266" i="4"/>
  <c r="I261" i="4"/>
  <c r="I260" i="4"/>
  <c r="I256" i="4"/>
  <c r="I255"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03" i="4"/>
  <c r="F268" i="4"/>
  <c r="I257" i="4" s="1"/>
  <c r="E268" i="4"/>
  <c r="D268" i="4"/>
  <c r="I258" i="4" l="1"/>
  <c r="M255" i="4"/>
  <c r="L580" i="1"/>
  <c r="J580" i="1"/>
  <c r="I580" i="1"/>
  <c r="L579" i="1"/>
  <c r="J579" i="1"/>
  <c r="L577" i="1"/>
  <c r="J577" i="1"/>
  <c r="I577" i="1"/>
  <c r="L576" i="1"/>
  <c r="J576" i="1"/>
  <c r="L574" i="1"/>
  <c r="J574" i="1"/>
  <c r="I574" i="1"/>
  <c r="L573" i="1"/>
  <c r="J573" i="1"/>
  <c r="L571" i="1"/>
  <c r="J571" i="1"/>
  <c r="I571" i="1"/>
  <c r="L570" i="1"/>
  <c r="J570" i="1"/>
  <c r="L568" i="1"/>
  <c r="J568" i="1"/>
  <c r="I568" i="1"/>
  <c r="L567" i="1"/>
  <c r="J567" i="1"/>
  <c r="L565" i="1"/>
  <c r="J565" i="1"/>
  <c r="I565" i="1"/>
  <c r="L564" i="1"/>
  <c r="J564" i="1"/>
  <c r="L562" i="1"/>
  <c r="J562" i="1"/>
  <c r="I562" i="1"/>
  <c r="L561" i="1"/>
  <c r="J561" i="1"/>
  <c r="L558" i="1"/>
  <c r="J558" i="1"/>
  <c r="I558" i="1"/>
  <c r="L554" i="1"/>
  <c r="J554" i="1"/>
  <c r="I554" i="1"/>
  <c r="L550" i="1"/>
  <c r="J550" i="1"/>
  <c r="I550" i="1"/>
  <c r="L546" i="1"/>
  <c r="J546" i="1"/>
  <c r="I546" i="1"/>
  <c r="L542" i="1"/>
  <c r="J542" i="1"/>
  <c r="I542" i="1"/>
  <c r="L538" i="1"/>
  <c r="J538" i="1"/>
  <c r="I538" i="1"/>
  <c r="L534" i="1"/>
  <c r="J534" i="1"/>
  <c r="I534" i="1"/>
  <c r="L530" i="1"/>
  <c r="J530" i="1"/>
  <c r="I530" i="1"/>
  <c r="L526" i="1"/>
  <c r="J526" i="1"/>
  <c r="I526" i="1"/>
  <c r="L522" i="1"/>
  <c r="J522" i="1"/>
  <c r="I522" i="1"/>
  <c r="L518" i="1"/>
  <c r="J518" i="1"/>
  <c r="I518" i="1"/>
  <c r="L514" i="1"/>
  <c r="J514" i="1"/>
  <c r="I514" i="1"/>
  <c r="L510" i="1"/>
  <c r="J510" i="1"/>
  <c r="I510" i="1"/>
  <c r="L506" i="1"/>
  <c r="J506" i="1"/>
  <c r="I506" i="1"/>
  <c r="L502" i="1"/>
  <c r="J502" i="1"/>
  <c r="I502" i="1"/>
  <c r="L498" i="1"/>
  <c r="J498" i="1"/>
  <c r="I498" i="1"/>
  <c r="L494" i="1"/>
  <c r="J494" i="1"/>
  <c r="I494" i="1"/>
  <c r="L490" i="1"/>
  <c r="J490" i="1"/>
  <c r="I490" i="1"/>
  <c r="L486" i="1"/>
  <c r="J486" i="1"/>
  <c r="I486" i="1"/>
  <c r="L482" i="1"/>
  <c r="J482" i="1"/>
  <c r="I482" i="1"/>
  <c r="L478" i="1"/>
  <c r="J478" i="1"/>
  <c r="I478" i="1"/>
  <c r="L474" i="1"/>
  <c r="J474" i="1"/>
  <c r="I474" i="1"/>
  <c r="L470" i="1"/>
  <c r="J470" i="1"/>
  <c r="I470" i="1"/>
  <c r="L466" i="1"/>
  <c r="J466" i="1"/>
  <c r="I466" i="1"/>
  <c r="L462" i="1"/>
  <c r="J462" i="1"/>
  <c r="I462" i="1"/>
  <c r="L458" i="1"/>
  <c r="J458" i="1"/>
  <c r="I458" i="1"/>
  <c r="L454" i="1"/>
  <c r="J454" i="1"/>
  <c r="I454" i="1"/>
  <c r="L450" i="1"/>
  <c r="J450" i="1"/>
  <c r="I450" i="1"/>
  <c r="L446" i="1"/>
  <c r="J446" i="1"/>
  <c r="I446" i="1"/>
  <c r="L442" i="1"/>
  <c r="J442" i="1"/>
  <c r="I442" i="1"/>
  <c r="L438" i="1"/>
  <c r="J438" i="1"/>
  <c r="I438" i="1"/>
  <c r="L434" i="1"/>
  <c r="J434" i="1"/>
  <c r="I434" i="1"/>
  <c r="L430" i="1"/>
  <c r="J430" i="1"/>
  <c r="I430" i="1"/>
  <c r="L426" i="1"/>
  <c r="J426" i="1"/>
  <c r="I426" i="1"/>
  <c r="L422" i="1"/>
  <c r="J422" i="1"/>
  <c r="I422" i="1"/>
  <c r="L418" i="1"/>
  <c r="J418" i="1"/>
  <c r="I418" i="1"/>
  <c r="L414" i="1"/>
  <c r="J414" i="1"/>
  <c r="I414" i="1"/>
  <c r="L410" i="1"/>
  <c r="J410" i="1"/>
  <c r="I410" i="1"/>
  <c r="L406" i="1"/>
  <c r="J406" i="1"/>
  <c r="I406" i="1"/>
  <c r="L402" i="1"/>
  <c r="J402" i="1"/>
  <c r="I402" i="1"/>
  <c r="L398" i="1"/>
  <c r="J398" i="1"/>
  <c r="I398" i="1"/>
  <c r="L394" i="1"/>
  <c r="J394" i="1"/>
  <c r="I394" i="1"/>
  <c r="L390" i="1"/>
  <c r="J390" i="1"/>
  <c r="I390" i="1"/>
  <c r="L386" i="1"/>
  <c r="J386" i="1"/>
  <c r="I386" i="1"/>
  <c r="L382" i="1"/>
  <c r="J382" i="1"/>
  <c r="I382" i="1"/>
  <c r="L378" i="1"/>
  <c r="J378" i="1"/>
  <c r="I378" i="1"/>
  <c r="L374" i="1"/>
  <c r="J374" i="1"/>
  <c r="I374" i="1"/>
  <c r="L370" i="1"/>
  <c r="J370" i="1"/>
  <c r="I370" i="1"/>
  <c r="L366" i="1"/>
  <c r="J366" i="1"/>
  <c r="I366" i="1"/>
  <c r="L362" i="1"/>
  <c r="J362" i="1"/>
  <c r="I362" i="1"/>
  <c r="L358" i="1"/>
  <c r="J358" i="1"/>
  <c r="I358" i="1"/>
  <c r="L354" i="1"/>
  <c r="J354" i="1"/>
  <c r="I354" i="1"/>
  <c r="L350" i="1"/>
  <c r="J350" i="1"/>
  <c r="I350" i="1"/>
  <c r="L346" i="1"/>
  <c r="J346" i="1"/>
  <c r="I346" i="1"/>
  <c r="L342" i="1"/>
  <c r="J342" i="1"/>
  <c r="I342" i="1"/>
  <c r="L338" i="1"/>
  <c r="J338" i="1"/>
  <c r="L559" i="1"/>
  <c r="J559" i="1"/>
  <c r="L555" i="1"/>
  <c r="J555" i="1"/>
  <c r="L551" i="1"/>
  <c r="J551" i="1"/>
  <c r="L547" i="1"/>
  <c r="J547" i="1"/>
  <c r="L543" i="1"/>
  <c r="J543" i="1"/>
  <c r="L539" i="1"/>
  <c r="J539" i="1"/>
  <c r="L535" i="1"/>
  <c r="J535" i="1"/>
  <c r="L531" i="1"/>
  <c r="J531" i="1"/>
  <c r="L527" i="1"/>
  <c r="J527" i="1"/>
  <c r="L523" i="1"/>
  <c r="J523" i="1"/>
  <c r="L519" i="1"/>
  <c r="J519" i="1"/>
  <c r="L515" i="1"/>
  <c r="J515" i="1"/>
  <c r="L511" i="1"/>
  <c r="J511" i="1"/>
  <c r="L507" i="1"/>
  <c r="J507" i="1"/>
  <c r="L503" i="1"/>
  <c r="J503" i="1"/>
  <c r="L499" i="1"/>
  <c r="J499" i="1"/>
  <c r="L495" i="1"/>
  <c r="J495" i="1"/>
  <c r="L491" i="1"/>
  <c r="J491" i="1"/>
  <c r="L487" i="1"/>
  <c r="J487" i="1"/>
  <c r="L483" i="1"/>
  <c r="J483" i="1"/>
  <c r="L479" i="1"/>
  <c r="J479" i="1"/>
  <c r="L475" i="1"/>
  <c r="J475" i="1"/>
  <c r="L471" i="1"/>
  <c r="J471" i="1"/>
  <c r="L467" i="1"/>
  <c r="J467" i="1"/>
  <c r="L463" i="1"/>
  <c r="J463" i="1"/>
  <c r="L459" i="1"/>
  <c r="J459" i="1"/>
  <c r="L455" i="1"/>
  <c r="J455" i="1"/>
  <c r="L451" i="1"/>
  <c r="J451" i="1"/>
  <c r="L447" i="1"/>
  <c r="J447" i="1"/>
  <c r="L443" i="1"/>
  <c r="J443" i="1"/>
  <c r="L439" i="1"/>
  <c r="J439" i="1"/>
  <c r="L435" i="1"/>
  <c r="J435" i="1"/>
  <c r="L431" i="1"/>
  <c r="J431" i="1"/>
  <c r="L427" i="1"/>
  <c r="J427" i="1"/>
  <c r="L423" i="1"/>
  <c r="J423" i="1"/>
  <c r="L419" i="1"/>
  <c r="J419" i="1"/>
  <c r="L415" i="1"/>
  <c r="J415" i="1"/>
  <c r="L411" i="1"/>
  <c r="J411" i="1"/>
  <c r="L407" i="1"/>
  <c r="J407" i="1"/>
  <c r="L403" i="1"/>
  <c r="J403" i="1"/>
  <c r="L399" i="1"/>
  <c r="J399" i="1"/>
  <c r="L395" i="1"/>
  <c r="J395" i="1"/>
  <c r="L391" i="1"/>
  <c r="J391" i="1"/>
  <c r="L387" i="1"/>
  <c r="J387" i="1"/>
  <c r="L383" i="1"/>
  <c r="J383" i="1"/>
  <c r="L379" i="1"/>
  <c r="J379" i="1"/>
  <c r="L375" i="1"/>
  <c r="J375" i="1"/>
  <c r="L371" i="1"/>
  <c r="J371" i="1"/>
  <c r="L367" i="1"/>
  <c r="J367" i="1"/>
  <c r="L363" i="1"/>
  <c r="J363" i="1"/>
  <c r="L359" i="1"/>
  <c r="J359" i="1"/>
  <c r="L355" i="1"/>
  <c r="J355" i="1"/>
  <c r="L351" i="1"/>
  <c r="J351" i="1"/>
  <c r="L347" i="1"/>
  <c r="J347" i="1"/>
  <c r="L343" i="1"/>
  <c r="J343" i="1"/>
  <c r="L339" i="1"/>
  <c r="J339" i="1"/>
  <c r="E38" i="4" l="1"/>
  <c r="E39" i="4"/>
  <c r="E40" i="4"/>
  <c r="E46" i="4"/>
  <c r="E47" i="4"/>
  <c r="E45" i="4"/>
  <c r="F136" i="4"/>
  <c r="D136" i="4"/>
  <c r="I559" i="1"/>
  <c r="I557" i="1"/>
  <c r="I555" i="1"/>
  <c r="I553" i="1"/>
  <c r="I551" i="1"/>
  <c r="I549" i="1"/>
  <c r="I547" i="1"/>
  <c r="I545" i="1"/>
  <c r="I543" i="1"/>
  <c r="I541" i="1"/>
  <c r="I539" i="1"/>
  <c r="I537" i="1"/>
  <c r="I535" i="1"/>
  <c r="I533" i="1"/>
  <c r="I531" i="1"/>
  <c r="I529" i="1"/>
  <c r="I527" i="1"/>
  <c r="I525" i="1"/>
  <c r="I523" i="1"/>
  <c r="I521" i="1"/>
  <c r="I519" i="1"/>
  <c r="I517" i="1"/>
  <c r="I515" i="1"/>
  <c r="I513" i="1"/>
  <c r="I511" i="1"/>
  <c r="I509" i="1"/>
  <c r="I507" i="1"/>
  <c r="I505" i="1"/>
  <c r="I503" i="1"/>
  <c r="I501" i="1"/>
  <c r="I499" i="1"/>
  <c r="I497" i="1"/>
  <c r="I495" i="1"/>
  <c r="I493" i="1"/>
  <c r="I491" i="1"/>
  <c r="I489" i="1"/>
  <c r="I487" i="1"/>
  <c r="I485" i="1"/>
  <c r="I483" i="1"/>
  <c r="I481" i="1"/>
  <c r="I479" i="1"/>
  <c r="I477" i="1"/>
  <c r="I475" i="1"/>
  <c r="I473" i="1"/>
  <c r="I471" i="1"/>
  <c r="I469" i="1"/>
  <c r="I467" i="1"/>
  <c r="I465" i="1"/>
  <c r="I463" i="1"/>
  <c r="I461" i="1"/>
  <c r="I459" i="1"/>
  <c r="I457" i="1"/>
  <c r="I455" i="1"/>
  <c r="I453" i="1"/>
  <c r="I451" i="1"/>
  <c r="I449" i="1"/>
  <c r="I447" i="1"/>
  <c r="I445" i="1"/>
  <c r="I443" i="1"/>
  <c r="I441" i="1"/>
  <c r="I439" i="1"/>
  <c r="I437" i="1"/>
  <c r="I435" i="1"/>
  <c r="I433" i="1"/>
  <c r="I431" i="1"/>
  <c r="I429" i="1"/>
  <c r="I427" i="1"/>
  <c r="I425" i="1"/>
  <c r="I423" i="1"/>
  <c r="I421" i="1"/>
  <c r="I419" i="1"/>
  <c r="I417" i="1"/>
  <c r="I415" i="1"/>
  <c r="I413" i="1"/>
  <c r="I411" i="1"/>
  <c r="I409" i="1"/>
  <c r="I407" i="1"/>
  <c r="I405" i="1"/>
  <c r="I403" i="1"/>
  <c r="I401" i="1"/>
  <c r="I399" i="1"/>
  <c r="I397" i="1"/>
  <c r="I395" i="1"/>
  <c r="I393" i="1"/>
  <c r="I391" i="1"/>
  <c r="I389" i="1"/>
  <c r="I387" i="1"/>
  <c r="I385" i="1"/>
  <c r="I383" i="1"/>
  <c r="I381" i="1"/>
  <c r="I379" i="1"/>
  <c r="I377" i="1"/>
  <c r="I375" i="1"/>
  <c r="I373" i="1"/>
  <c r="I371" i="1"/>
  <c r="I369" i="1"/>
  <c r="I367" i="1"/>
  <c r="I365" i="1"/>
  <c r="I363" i="1"/>
  <c r="I361" i="1"/>
  <c r="I359" i="1"/>
  <c r="I357" i="1"/>
  <c r="I355" i="1"/>
  <c r="I353" i="1"/>
  <c r="I351" i="1"/>
  <c r="I349" i="1"/>
  <c r="I347" i="1"/>
  <c r="I345" i="1"/>
  <c r="I343" i="1"/>
  <c r="I341" i="1"/>
  <c r="K337" i="1"/>
  <c r="J191" i="1"/>
  <c r="J190" i="1"/>
  <c r="I339" i="1" l="1"/>
  <c r="I338" i="1"/>
  <c r="I204" i="4"/>
  <c r="K204" i="4"/>
  <c r="I205" i="4"/>
  <c r="K205" i="4"/>
  <c r="I206" i="4"/>
  <c r="K206" i="4"/>
  <c r="I207" i="4"/>
  <c r="K207" i="4"/>
  <c r="I208" i="4"/>
  <c r="K208" i="4"/>
  <c r="I209" i="4"/>
  <c r="K209" i="4"/>
  <c r="I210" i="4"/>
  <c r="K210" i="4"/>
  <c r="I211" i="4"/>
  <c r="K211" i="4"/>
  <c r="I212" i="4"/>
  <c r="K212" i="4"/>
  <c r="I213" i="4"/>
  <c r="K213" i="4"/>
  <c r="I214" i="4"/>
  <c r="K214" i="4"/>
  <c r="I215" i="4"/>
  <c r="K215" i="4"/>
  <c r="I216" i="4"/>
  <c r="K216" i="4"/>
  <c r="I217" i="4"/>
  <c r="K217" i="4"/>
  <c r="I218" i="4"/>
  <c r="K218" i="4"/>
  <c r="I219" i="4"/>
  <c r="K219" i="4"/>
  <c r="I220" i="4"/>
  <c r="K220" i="4"/>
  <c r="I221" i="4"/>
  <c r="K221" i="4"/>
  <c r="I222" i="4"/>
  <c r="K222" i="4"/>
  <c r="I223" i="4"/>
  <c r="K223" i="4"/>
  <c r="I224" i="4"/>
  <c r="K224" i="4"/>
  <c r="I225" i="4"/>
  <c r="K225" i="4"/>
  <c r="I226" i="4"/>
  <c r="K226" i="4"/>
  <c r="I227" i="4"/>
  <c r="K227" i="4"/>
  <c r="I228" i="4"/>
  <c r="K228" i="4"/>
  <c r="I229" i="4"/>
  <c r="K229" i="4"/>
  <c r="I230" i="4"/>
  <c r="K230" i="4"/>
  <c r="I231" i="4"/>
  <c r="K231" i="4"/>
  <c r="I232" i="4"/>
  <c r="K232" i="4"/>
  <c r="I233" i="4"/>
  <c r="K233" i="4"/>
  <c r="I234" i="4"/>
  <c r="K234" i="4"/>
  <c r="I235" i="4"/>
  <c r="K235" i="4"/>
  <c r="I236" i="4"/>
  <c r="K236" i="4"/>
  <c r="I237" i="4"/>
  <c r="K237" i="4"/>
  <c r="I238" i="4"/>
  <c r="K238" i="4"/>
  <c r="I239" i="4"/>
  <c r="K239" i="4"/>
  <c r="I240" i="4"/>
  <c r="K240" i="4"/>
  <c r="I241" i="4"/>
  <c r="K241" i="4"/>
  <c r="I242" i="4"/>
  <c r="K242" i="4"/>
  <c r="I243" i="4"/>
  <c r="K243" i="4"/>
  <c r="I244" i="4"/>
  <c r="K244" i="4"/>
  <c r="I245" i="4"/>
  <c r="K245" i="4"/>
  <c r="I246" i="4"/>
  <c r="K246" i="4"/>
  <c r="I247" i="4"/>
  <c r="K247" i="4"/>
  <c r="I248" i="4"/>
  <c r="K248" i="4"/>
  <c r="I249" i="4"/>
  <c r="K249" i="4"/>
  <c r="I250" i="4"/>
  <c r="K250" i="4"/>
  <c r="I251" i="4"/>
  <c r="K251" i="4"/>
  <c r="K203" i="4"/>
  <c r="I203" i="4"/>
  <c r="L335" i="1" l="1"/>
  <c r="J335" i="1"/>
  <c r="I335" i="1"/>
  <c r="L332" i="1"/>
  <c r="J332" i="1"/>
  <c r="I332" i="1"/>
  <c r="L329" i="1"/>
  <c r="J329" i="1"/>
  <c r="I329" i="1"/>
  <c r="L326" i="1"/>
  <c r="J326" i="1"/>
  <c r="I326" i="1"/>
  <c r="L323" i="1"/>
  <c r="J323" i="1"/>
  <c r="I323" i="1"/>
  <c r="L320" i="1"/>
  <c r="J320" i="1"/>
  <c r="I320" i="1"/>
  <c r="L317" i="1"/>
  <c r="J317" i="1"/>
  <c r="I317" i="1"/>
  <c r="L314" i="1"/>
  <c r="J314" i="1"/>
  <c r="I314" i="1"/>
  <c r="L311" i="1"/>
  <c r="J311" i="1"/>
  <c r="I311" i="1"/>
  <c r="L308" i="1"/>
  <c r="J308" i="1"/>
  <c r="I308" i="1"/>
  <c r="L305" i="1"/>
  <c r="J305" i="1"/>
  <c r="I305" i="1"/>
  <c r="L302" i="1"/>
  <c r="J302" i="1"/>
  <c r="I302" i="1"/>
  <c r="L299" i="1"/>
  <c r="J299" i="1"/>
  <c r="I299" i="1"/>
  <c r="L296" i="1"/>
  <c r="J296" i="1"/>
  <c r="I296" i="1"/>
  <c r="L293" i="1"/>
  <c r="J293" i="1"/>
  <c r="I293" i="1"/>
  <c r="L290" i="1"/>
  <c r="J290" i="1"/>
  <c r="I290" i="1"/>
  <c r="L287" i="1"/>
  <c r="J287" i="1"/>
  <c r="I287" i="1"/>
  <c r="L284" i="1"/>
  <c r="J284" i="1"/>
  <c r="I284" i="1"/>
  <c r="L281" i="1"/>
  <c r="J281" i="1"/>
  <c r="I281" i="1"/>
  <c r="L278" i="1"/>
  <c r="J278" i="1"/>
  <c r="I278" i="1"/>
  <c r="L275" i="1"/>
  <c r="J275" i="1"/>
  <c r="I275" i="1"/>
  <c r="L272" i="1"/>
  <c r="J272" i="1"/>
  <c r="I272" i="1"/>
  <c r="L269" i="1"/>
  <c r="J269" i="1"/>
  <c r="I269" i="1"/>
  <c r="L266" i="1"/>
  <c r="J266" i="1"/>
  <c r="I266" i="1"/>
  <c r="L263" i="1"/>
  <c r="J263" i="1"/>
  <c r="I263" i="1"/>
  <c r="L260" i="1"/>
  <c r="J260" i="1"/>
  <c r="I260" i="1"/>
  <c r="L257" i="1"/>
  <c r="J257" i="1"/>
  <c r="I257" i="1"/>
  <c r="L254" i="1"/>
  <c r="J254" i="1"/>
  <c r="I254" i="1"/>
  <c r="L251" i="1"/>
  <c r="J251" i="1"/>
  <c r="I251" i="1"/>
  <c r="L248" i="1"/>
  <c r="J248" i="1"/>
  <c r="I248" i="1"/>
  <c r="L245" i="1"/>
  <c r="J245" i="1"/>
  <c r="I245" i="1"/>
  <c r="L242" i="1"/>
  <c r="J242" i="1"/>
  <c r="I242" i="1"/>
  <c r="L239" i="1"/>
  <c r="J239" i="1"/>
  <c r="I239" i="1"/>
  <c r="L236" i="1"/>
  <c r="J236" i="1"/>
  <c r="I236" i="1"/>
  <c r="L233" i="1"/>
  <c r="J233" i="1"/>
  <c r="I233" i="1"/>
  <c r="L230" i="1"/>
  <c r="J230" i="1"/>
  <c r="I230" i="1"/>
  <c r="L227" i="1"/>
  <c r="J227" i="1"/>
  <c r="I227" i="1"/>
  <c r="L224" i="1"/>
  <c r="J224" i="1"/>
  <c r="I224" i="1"/>
  <c r="L221" i="1"/>
  <c r="J221" i="1"/>
  <c r="I221" i="1"/>
  <c r="L218" i="1"/>
  <c r="J218" i="1"/>
  <c r="I218" i="1"/>
  <c r="L215" i="1"/>
  <c r="J215" i="1"/>
  <c r="I215" i="1"/>
  <c r="L212" i="1"/>
  <c r="J212" i="1"/>
  <c r="I212" i="1"/>
  <c r="L206" i="1"/>
  <c r="J206" i="1"/>
  <c r="I206" i="1"/>
  <c r="L203" i="1"/>
  <c r="J203" i="1"/>
  <c r="I203" i="1"/>
  <c r="L200" i="1"/>
  <c r="J200" i="1"/>
  <c r="I200" i="1"/>
  <c r="L197" i="1"/>
  <c r="J197" i="1"/>
  <c r="I197" i="1"/>
  <c r="L194" i="1"/>
  <c r="J194" i="1"/>
  <c r="I194" i="1"/>
  <c r="L191" i="1"/>
  <c r="I191" i="1"/>
  <c r="L334" i="1"/>
  <c r="J334" i="1"/>
  <c r="L331" i="1"/>
  <c r="J331" i="1"/>
  <c r="L328" i="1"/>
  <c r="J328" i="1"/>
  <c r="L325" i="1"/>
  <c r="J325" i="1"/>
  <c r="L322" i="1"/>
  <c r="J322" i="1"/>
  <c r="L319" i="1"/>
  <c r="J319" i="1"/>
  <c r="L316" i="1"/>
  <c r="J316" i="1"/>
  <c r="L313" i="1"/>
  <c r="J313" i="1"/>
  <c r="L310" i="1"/>
  <c r="J310" i="1"/>
  <c r="L307" i="1"/>
  <c r="J307" i="1"/>
  <c r="L304" i="1"/>
  <c r="J304" i="1"/>
  <c r="L301" i="1"/>
  <c r="J301" i="1"/>
  <c r="L298" i="1"/>
  <c r="J298" i="1"/>
  <c r="L295" i="1"/>
  <c r="J295" i="1"/>
  <c r="L292" i="1"/>
  <c r="J292" i="1"/>
  <c r="L289" i="1"/>
  <c r="J289" i="1"/>
  <c r="L286" i="1"/>
  <c r="J286" i="1"/>
  <c r="L283" i="1"/>
  <c r="J283" i="1"/>
  <c r="L280" i="1"/>
  <c r="J280" i="1"/>
  <c r="L277" i="1"/>
  <c r="J277" i="1"/>
  <c r="L274" i="1"/>
  <c r="J274" i="1"/>
  <c r="L271" i="1"/>
  <c r="J271" i="1"/>
  <c r="L268" i="1"/>
  <c r="J268" i="1"/>
  <c r="L265" i="1"/>
  <c r="J265" i="1"/>
  <c r="L262" i="1"/>
  <c r="J262" i="1"/>
  <c r="L259" i="1"/>
  <c r="J259" i="1"/>
  <c r="L256" i="1"/>
  <c r="J256" i="1"/>
  <c r="L253" i="1"/>
  <c r="J253" i="1"/>
  <c r="L250" i="1"/>
  <c r="J250" i="1"/>
  <c r="L247" i="1"/>
  <c r="J247" i="1"/>
  <c r="L244" i="1"/>
  <c r="J244" i="1"/>
  <c r="L241" i="1"/>
  <c r="J241" i="1"/>
  <c r="L238" i="1"/>
  <c r="J238" i="1"/>
  <c r="L235" i="1"/>
  <c r="J235" i="1"/>
  <c r="L232" i="1"/>
  <c r="J232" i="1"/>
  <c r="L229" i="1"/>
  <c r="J229" i="1"/>
  <c r="L226" i="1"/>
  <c r="J226" i="1"/>
  <c r="L223" i="1"/>
  <c r="J223" i="1"/>
  <c r="L220" i="1"/>
  <c r="J220" i="1"/>
  <c r="L217" i="1"/>
  <c r="J217" i="1"/>
  <c r="L214" i="1"/>
  <c r="J214" i="1"/>
  <c r="L211" i="1"/>
  <c r="J211" i="1"/>
  <c r="L208" i="1"/>
  <c r="J208" i="1"/>
  <c r="L205" i="1"/>
  <c r="J205" i="1"/>
  <c r="L202" i="1"/>
  <c r="J202" i="1"/>
  <c r="L199" i="1"/>
  <c r="J199" i="1"/>
  <c r="L196" i="1"/>
  <c r="J196" i="1"/>
  <c r="L193" i="1"/>
  <c r="J193" i="1"/>
  <c r="L190" i="1"/>
  <c r="H168" i="4" l="1"/>
  <c r="H173" i="4"/>
  <c r="H172" i="4"/>
  <c r="H171" i="4"/>
  <c r="H170" i="4"/>
  <c r="H167" i="4"/>
  <c r="H166" i="4"/>
  <c r="N7" i="1" l="1"/>
  <c r="N6" i="1"/>
  <c r="N5" i="1"/>
  <c r="N4" i="1"/>
  <c r="L180" i="1" l="1"/>
  <c r="J180" i="1"/>
  <c r="L179" i="1"/>
  <c r="J179" i="1"/>
  <c r="L178" i="1"/>
  <c r="J178" i="1"/>
  <c r="L177" i="1"/>
  <c r="J177" i="1"/>
  <c r="L168" i="1"/>
  <c r="J168" i="1"/>
  <c r="L167" i="1"/>
  <c r="J167" i="1"/>
  <c r="L166" i="1"/>
  <c r="J166" i="1"/>
  <c r="L165" i="1"/>
  <c r="J165" i="1"/>
  <c r="L174" i="1"/>
  <c r="J174" i="1"/>
  <c r="L173" i="1"/>
  <c r="J173" i="1"/>
  <c r="L172" i="1"/>
  <c r="J172" i="1"/>
  <c r="L171" i="1"/>
  <c r="J171" i="1"/>
  <c r="J12" i="1"/>
  <c r="D41" i="4"/>
  <c r="E41" i="4"/>
  <c r="G41" i="4"/>
  <c r="D42" i="4"/>
  <c r="E42" i="4"/>
  <c r="G42" i="4"/>
  <c r="D43" i="4"/>
  <c r="E43" i="4"/>
  <c r="G43" i="4"/>
  <c r="D44" i="4"/>
  <c r="E44" i="4"/>
  <c r="G44" i="4"/>
  <c r="D38" i="4"/>
  <c r="G38" i="4"/>
  <c r="D39" i="4"/>
  <c r="G39" i="4"/>
  <c r="D40" i="4"/>
  <c r="G40" i="4"/>
  <c r="D46" i="4"/>
  <c r="G46" i="4"/>
  <c r="D47" i="4"/>
  <c r="G47" i="4"/>
  <c r="D45" i="4"/>
  <c r="G45" i="4"/>
  <c r="D51" i="4"/>
  <c r="E51" i="4"/>
  <c r="G51" i="4"/>
  <c r="D52" i="4"/>
  <c r="E52" i="4"/>
  <c r="G52" i="4"/>
  <c r="D53" i="4"/>
  <c r="E53" i="4"/>
  <c r="G53" i="4"/>
  <c r="D54" i="4"/>
  <c r="E54" i="4"/>
  <c r="G54" i="4"/>
  <c r="D55" i="4"/>
  <c r="E55" i="4"/>
  <c r="G55" i="4"/>
  <c r="D48" i="4"/>
  <c r="E48" i="4"/>
  <c r="G48" i="4"/>
  <c r="D49" i="4"/>
  <c r="E49" i="4"/>
  <c r="G49" i="4"/>
  <c r="D50" i="4"/>
  <c r="E50" i="4"/>
  <c r="G50" i="4"/>
  <c r="D59" i="4"/>
  <c r="E59" i="4"/>
  <c r="G59" i="4"/>
  <c r="D60" i="4"/>
  <c r="E60" i="4"/>
  <c r="G60" i="4"/>
  <c r="D61" i="4"/>
  <c r="E61" i="4"/>
  <c r="G61" i="4"/>
  <c r="D56" i="4"/>
  <c r="E56" i="4"/>
  <c r="G56" i="4"/>
  <c r="D57" i="4"/>
  <c r="E57" i="4"/>
  <c r="G57" i="4"/>
  <c r="D58" i="4"/>
  <c r="E58" i="4"/>
  <c r="G58" i="4"/>
  <c r="C29" i="4"/>
  <c r="C30" i="4"/>
  <c r="C31" i="4"/>
  <c r="C32" i="4"/>
  <c r="C27" i="4"/>
  <c r="C26" i="4"/>
  <c r="C25" i="4"/>
  <c r="C24" i="4"/>
  <c r="F6" i="4"/>
  <c r="G6" i="4"/>
  <c r="F7" i="4"/>
  <c r="G7" i="4"/>
  <c r="F8" i="4"/>
  <c r="G8" i="4"/>
  <c r="F9" i="4"/>
  <c r="G9" i="4"/>
  <c r="F10" i="4"/>
  <c r="G10" i="4"/>
  <c r="F11" i="4"/>
  <c r="G11" i="4"/>
  <c r="F12" i="4"/>
  <c r="G12" i="4"/>
  <c r="F13" i="4"/>
  <c r="G13" i="4"/>
  <c r="F14" i="4"/>
  <c r="G14" i="4"/>
  <c r="F15" i="4"/>
  <c r="G15" i="4"/>
  <c r="F16" i="4"/>
  <c r="G16" i="4"/>
  <c r="F17" i="4"/>
  <c r="D31" i="4" s="1"/>
  <c r="G17" i="4"/>
  <c r="F18" i="4"/>
  <c r="G18" i="4"/>
  <c r="F19" i="4"/>
  <c r="G19" i="4"/>
  <c r="F20" i="4"/>
  <c r="G20" i="4"/>
  <c r="G5" i="4"/>
  <c r="F5" i="4"/>
  <c r="D29" i="4" l="1"/>
  <c r="D26" i="4"/>
  <c r="D32" i="4"/>
  <c r="D24" i="4"/>
  <c r="D25" i="4"/>
  <c r="D30" i="4"/>
  <c r="D27" i="4"/>
  <c r="L129" i="1"/>
  <c r="I67" i="1" l="1"/>
  <c r="K67" i="1"/>
  <c r="J80" i="1"/>
  <c r="L80" i="1"/>
  <c r="L66" i="1"/>
  <c r="L45" i="1"/>
  <c r="J47" i="1"/>
  <c r="J129" i="1"/>
  <c r="L47" i="1" l="1"/>
  <c r="J86" i="1"/>
  <c r="J57" i="1"/>
  <c r="L136" i="4"/>
  <c r="L57" i="1" l="1"/>
  <c r="A5" i="1"/>
  <c r="A6" i="1" s="1"/>
  <c r="A7" i="1" s="1"/>
  <c r="A8" i="1" s="1"/>
  <c r="A9" i="1" l="1"/>
  <c r="A10" i="1" s="1"/>
  <c r="A11" i="1" s="1"/>
  <c r="N10" i="1"/>
  <c r="N9" i="1"/>
  <c r="N8" i="1"/>
  <c r="N11" i="1"/>
  <c r="A12" i="1" l="1"/>
  <c r="A13" i="1" s="1"/>
  <c r="A14" i="1" s="1"/>
  <c r="A15" i="1" s="1"/>
  <c r="A16" i="1" s="1"/>
  <c r="A17" i="1" s="1"/>
  <c r="A18" i="1" s="1"/>
  <c r="A19" i="1" s="1"/>
  <c r="N18" i="1" l="1"/>
  <c r="N16" i="1"/>
  <c r="N17" i="1"/>
  <c r="N15" i="1"/>
  <c r="N12" i="1"/>
  <c r="N13" i="1"/>
  <c r="N14" i="1"/>
  <c r="A20" i="1"/>
  <c r="A21" i="1" s="1"/>
  <c r="A22" i="1" s="1"/>
  <c r="A23" i="1" s="1"/>
  <c r="N21" i="1"/>
  <c r="N20" i="1"/>
  <c r="N19" i="1"/>
  <c r="N22" i="1"/>
  <c r="L162" i="1"/>
  <c r="L161" i="1"/>
  <c r="L160" i="1"/>
  <c r="L159" i="1"/>
  <c r="K158" i="1"/>
  <c r="I158" i="1"/>
  <c r="J162" i="1"/>
  <c r="J161" i="1"/>
  <c r="J160" i="1"/>
  <c r="J159" i="1"/>
  <c r="K176" i="1"/>
  <c r="K181" i="1" s="1"/>
  <c r="K170" i="1"/>
  <c r="K175" i="1" s="1"/>
  <c r="I176" i="1"/>
  <c r="I181" i="1" s="1"/>
  <c r="I170" i="1"/>
  <c r="I175" i="1" s="1"/>
  <c r="K164" i="1"/>
  <c r="K169" i="1" s="1"/>
  <c r="I164" i="1"/>
  <c r="I169" i="1" s="1"/>
  <c r="N24" i="1" l="1"/>
  <c r="N23" i="1"/>
  <c r="A24" i="1"/>
  <c r="A25" i="1" s="1"/>
  <c r="I163" i="1"/>
  <c r="K163" i="1"/>
  <c r="A26" i="1" l="1"/>
  <c r="A27" i="1" s="1"/>
  <c r="N27" i="1" s="1"/>
  <c r="N26" i="1"/>
  <c r="N25" i="1"/>
  <c r="N29" i="1"/>
  <c r="J151" i="1"/>
  <c r="J150" i="1"/>
  <c r="J149" i="1"/>
  <c r="J148" i="1"/>
  <c r="A28" i="1" l="1"/>
  <c r="A29" i="1" s="1"/>
  <c r="A30" i="1" s="1"/>
  <c r="A31" i="1" s="1"/>
  <c r="N33" i="1" s="1"/>
  <c r="N30" i="1"/>
  <c r="N28" i="1"/>
  <c r="N32" i="1" l="1"/>
  <c r="A32" i="1"/>
  <c r="A33" i="1" s="1"/>
  <c r="A34" i="1" s="1"/>
  <c r="A35" i="1" s="1"/>
  <c r="N38" i="1" s="1"/>
  <c r="N34" i="1"/>
  <c r="N31" i="1"/>
  <c r="N37" i="1" l="1"/>
  <c r="N35" i="1"/>
  <c r="A36" i="1"/>
  <c r="A37" i="1" s="1"/>
  <c r="A38" i="1" s="1"/>
  <c r="A39" i="1" s="1"/>
  <c r="N36" i="1"/>
  <c r="N40" i="1" l="1"/>
  <c r="N39" i="1"/>
  <c r="N42" i="1"/>
  <c r="N41" i="1"/>
  <c r="A40" i="1"/>
  <c r="A41" i="1" s="1"/>
  <c r="A42" i="1" s="1"/>
  <c r="A43" i="1" s="1"/>
  <c r="E160" i="4"/>
  <c r="G160" i="4"/>
  <c r="E159" i="4"/>
  <c r="G159" i="4"/>
  <c r="E158" i="4"/>
  <c r="G158" i="4"/>
  <c r="E157" i="4"/>
  <c r="G157" i="4"/>
  <c r="E156" i="4"/>
  <c r="G156" i="4"/>
  <c r="E155" i="4"/>
  <c r="G155" i="4"/>
  <c r="E154" i="4"/>
  <c r="G154" i="4"/>
  <c r="E153" i="4"/>
  <c r="G153" i="4"/>
  <c r="G152" i="4"/>
  <c r="F147" i="4"/>
  <c r="F146" i="4"/>
  <c r="F145" i="4"/>
  <c r="F143" i="4"/>
  <c r="F142" i="4"/>
  <c r="F141" i="4"/>
  <c r="F140" i="4"/>
  <c r="A44" i="1" l="1"/>
  <c r="A45" i="1" s="1"/>
  <c r="N44" i="1"/>
  <c r="N43" i="1"/>
  <c r="L151" i="1"/>
  <c r="L150" i="1"/>
  <c r="L149" i="1"/>
  <c r="L148" i="1"/>
  <c r="N45" i="1"/>
  <c r="A46" i="1"/>
  <c r="D188" i="1"/>
  <c r="D186" i="1"/>
  <c r="C188" i="1"/>
  <c r="C187" i="1"/>
  <c r="D152" i="1"/>
  <c r="D187" i="1"/>
  <c r="C186" i="1"/>
  <c r="C152" i="1"/>
  <c r="N47" i="1" l="1"/>
  <c r="N46" i="1"/>
  <c r="A47" i="1"/>
  <c r="A48" i="1" s="1"/>
  <c r="N49" i="1" l="1"/>
  <c r="N48" i="1"/>
  <c r="A49" i="1"/>
  <c r="A50" i="1" s="1"/>
  <c r="N50" i="1" l="1"/>
  <c r="A51" i="1"/>
  <c r="N52" i="1" l="1"/>
  <c r="N51" i="1"/>
  <c r="A52" i="1"/>
  <c r="A53" i="1" s="1"/>
  <c r="N54" i="1" l="1"/>
  <c r="N53" i="1"/>
  <c r="A54" i="1"/>
  <c r="A55" i="1" s="1"/>
  <c r="N55" i="1" l="1"/>
  <c r="A56" i="1"/>
  <c r="N56" i="1" l="1"/>
  <c r="N57" i="1"/>
  <c r="A57" i="1"/>
  <c r="A58" i="1" s="1"/>
  <c r="N58" i="1" l="1"/>
  <c r="N59" i="1"/>
  <c r="A59" i="1"/>
  <c r="A60" i="1" s="1"/>
  <c r="N60" i="1" l="1"/>
  <c r="A61" i="1"/>
  <c r="N61" i="1" l="1"/>
  <c r="A62" i="1"/>
  <c r="N62" i="1" l="1"/>
  <c r="N63" i="1"/>
  <c r="A63" i="1"/>
  <c r="A64" i="1" s="1"/>
  <c r="N64" i="1" l="1"/>
  <c r="N65" i="1"/>
  <c r="A65" i="1"/>
  <c r="A66" i="1" s="1"/>
  <c r="N66" i="1" l="1"/>
  <c r="N69" i="1" l="1"/>
  <c r="N70" i="1"/>
  <c r="N68" i="1"/>
  <c r="N67" i="1"/>
  <c r="A68" i="1"/>
  <c r="A69" i="1" s="1"/>
  <c r="A70" i="1" s="1"/>
  <c r="A71" i="1" s="1"/>
  <c r="N73" i="1" l="1"/>
  <c r="N74" i="1"/>
  <c r="N72" i="1"/>
  <c r="N71" i="1"/>
  <c r="A72" i="1"/>
  <c r="A73" i="1" s="1"/>
  <c r="A74" i="1" s="1"/>
  <c r="A75" i="1" s="1"/>
  <c r="C200" i="1"/>
  <c r="C165" i="1"/>
  <c r="D554" i="1"/>
  <c r="C519" i="1"/>
  <c r="D416" i="1"/>
  <c r="C474" i="1"/>
  <c r="C421" i="1"/>
  <c r="D282" i="1"/>
  <c r="D420" i="1"/>
  <c r="D70" i="1"/>
  <c r="C346" i="1"/>
  <c r="D563" i="1"/>
  <c r="C250" i="1"/>
  <c r="C461" i="1"/>
  <c r="D409" i="1"/>
  <c r="D201" i="1"/>
  <c r="D580" i="1"/>
  <c r="D288" i="1"/>
  <c r="C447" i="1"/>
  <c r="D37" i="1"/>
  <c r="D313" i="1"/>
  <c r="C335" i="1"/>
  <c r="C28" i="1"/>
  <c r="D209" i="1"/>
  <c r="C150" i="1"/>
  <c r="D553" i="1"/>
  <c r="D227" i="1"/>
  <c r="D365" i="1"/>
  <c r="D270" i="1"/>
  <c r="D385" i="1"/>
  <c r="C284" i="1"/>
  <c r="D276" i="1"/>
  <c r="D458" i="1"/>
  <c r="C473" i="1"/>
  <c r="D498" i="1"/>
  <c r="D601" i="1"/>
  <c r="C126" i="1"/>
  <c r="D382" i="1"/>
  <c r="C529" i="1"/>
  <c r="D375" i="1"/>
  <c r="C382" i="1"/>
  <c r="C409" i="1"/>
  <c r="D576" i="1"/>
  <c r="D373" i="1"/>
  <c r="D411" i="1"/>
  <c r="C537" i="1"/>
  <c r="D192" i="1"/>
  <c r="D161" i="1"/>
  <c r="D436" i="1"/>
  <c r="D600" i="1"/>
  <c r="C502" i="1"/>
  <c r="D474" i="1"/>
  <c r="D495" i="1"/>
  <c r="D80" i="1"/>
  <c r="C177" i="1"/>
  <c r="C221" i="1"/>
  <c r="C43" i="1"/>
  <c r="C568" i="1"/>
  <c r="C591" i="1"/>
  <c r="D502" i="1"/>
  <c r="D443" i="1"/>
  <c r="D172" i="1"/>
  <c r="C527" i="1"/>
  <c r="C576" i="1"/>
  <c r="D319" i="1"/>
  <c r="D514" i="1"/>
  <c r="C334" i="1"/>
  <c r="C256" i="1"/>
  <c r="D151" i="1"/>
  <c r="D345" i="1"/>
  <c r="D414" i="1"/>
  <c r="C4" i="1"/>
  <c r="D189" i="1"/>
  <c r="D542" i="1"/>
  <c r="D354" i="1"/>
  <c r="D232" i="1"/>
  <c r="D371" i="1"/>
  <c r="D244" i="1"/>
  <c r="C237" i="1"/>
  <c r="D157" i="1"/>
  <c r="C366" i="1"/>
  <c r="C435" i="1"/>
  <c r="D181" i="1"/>
  <c r="D497" i="1"/>
  <c r="C455" i="1"/>
  <c r="D508" i="1"/>
  <c r="D249" i="1"/>
  <c r="D441" i="1"/>
  <c r="D501" i="1"/>
  <c r="C299" i="1"/>
  <c r="C496" i="1"/>
  <c r="C422" i="1"/>
  <c r="C390" i="1"/>
  <c r="D180" i="1"/>
  <c r="C488" i="1"/>
  <c r="D357" i="1"/>
  <c r="C341" i="1"/>
  <c r="D463" i="1"/>
  <c r="C339" i="1"/>
  <c r="D175" i="1"/>
  <c r="D177" i="1"/>
  <c r="C596" i="1"/>
  <c r="D540" i="1"/>
  <c r="C388" i="1"/>
  <c r="D487" i="1"/>
  <c r="D351" i="1"/>
  <c r="D42" i="1"/>
  <c r="C170" i="1"/>
  <c r="C307" i="1"/>
  <c r="C383" i="1"/>
  <c r="D412" i="1"/>
  <c r="C227" i="1"/>
  <c r="D369" i="1"/>
  <c r="D361" i="1"/>
  <c r="D612" i="1"/>
  <c r="C431" i="1"/>
  <c r="D402" i="1"/>
  <c r="C149" i="1"/>
  <c r="C407" i="1"/>
  <c r="C268" i="1"/>
  <c r="C454" i="1"/>
  <c r="C375" i="1"/>
  <c r="C193" i="1"/>
  <c r="C418" i="1"/>
  <c r="C202" i="1"/>
  <c r="D465" i="1"/>
  <c r="D404" i="1"/>
  <c r="C295" i="1"/>
  <c r="D254" i="1"/>
  <c r="C214" i="1"/>
  <c r="D389" i="1"/>
  <c r="D68" i="1"/>
  <c r="C492" i="1"/>
  <c r="C523" i="1"/>
  <c r="C365" i="1"/>
  <c r="D296" i="1"/>
  <c r="C44" i="1"/>
  <c r="D475" i="1"/>
  <c r="D43" i="1"/>
  <c r="C380" i="1"/>
  <c r="D470" i="1"/>
  <c r="D337" i="1"/>
  <c r="C225" i="1"/>
  <c r="D453" i="1"/>
  <c r="C262" i="1"/>
  <c r="C542" i="1"/>
  <c r="D28" i="1"/>
  <c r="D168" i="1"/>
  <c r="D222" i="1"/>
  <c r="C522" i="1"/>
  <c r="D32" i="1"/>
  <c r="D431" i="1"/>
  <c r="C259" i="1"/>
  <c r="C69" i="1"/>
  <c r="C598" i="1"/>
  <c r="C500" i="1"/>
  <c r="C251" i="1"/>
  <c r="D434" i="1"/>
  <c r="D178" i="1"/>
  <c r="C545" i="1"/>
  <c r="C197" i="1"/>
  <c r="D491" i="1"/>
  <c r="C573" i="1"/>
  <c r="D585" i="1"/>
  <c r="D289" i="1"/>
  <c r="D293" i="1"/>
  <c r="D550" i="1"/>
  <c r="C498" i="1"/>
  <c r="D205" i="1"/>
  <c r="C397" i="1"/>
  <c r="C159" i="1"/>
  <c r="D169" i="1"/>
  <c r="D292" i="1"/>
  <c r="C218" i="1"/>
  <c r="C314" i="1"/>
  <c r="C33" i="1"/>
  <c r="D377" i="1"/>
  <c r="C413" i="1"/>
  <c r="C313" i="1"/>
  <c r="C430" i="1"/>
  <c r="D428" i="1"/>
  <c r="C161" i="1"/>
  <c r="C180" i="1"/>
  <c r="C169" i="1"/>
  <c r="C543" i="1"/>
  <c r="C308" i="1"/>
  <c r="C470" i="1"/>
  <c r="C353" i="1"/>
  <c r="C326" i="1"/>
  <c r="D196" i="1"/>
  <c r="D582" i="1"/>
  <c r="D331" i="1"/>
  <c r="C385" i="1"/>
  <c r="C372" i="1"/>
  <c r="C206" i="1"/>
  <c r="C428" i="1"/>
  <c r="D372" i="1"/>
  <c r="C16" i="1"/>
  <c r="D541" i="1"/>
  <c r="D44" i="1"/>
  <c r="D603" i="1"/>
  <c r="D228" i="1"/>
  <c r="D522" i="1"/>
  <c r="D171" i="1"/>
  <c r="C240" i="1"/>
  <c r="C433" i="1"/>
  <c r="C486" i="1"/>
  <c r="D176" i="1"/>
  <c r="D263" i="1"/>
  <c r="C147" i="1"/>
  <c r="C306" i="1"/>
  <c r="C269" i="1"/>
  <c r="C429" i="1"/>
  <c r="D363" i="1"/>
  <c r="C462" i="1"/>
  <c r="C361" i="1"/>
  <c r="C273" i="1"/>
  <c r="C546" i="1"/>
  <c r="C471" i="1"/>
  <c r="C30" i="1"/>
  <c r="D259" i="1"/>
  <c r="C217" i="1"/>
  <c r="D324" i="1"/>
  <c r="C337" i="1"/>
  <c r="C248" i="1"/>
  <c r="D275" i="1"/>
  <c r="C294" i="1"/>
  <c r="D571" i="1"/>
  <c r="D224" i="1"/>
  <c r="C583" i="1"/>
  <c r="D473" i="1"/>
  <c r="D450" i="1"/>
  <c r="D405" i="1"/>
  <c r="D604" i="1"/>
  <c r="C127" i="1"/>
  <c r="C541" i="1"/>
  <c r="C356" i="1"/>
  <c r="C201" i="1"/>
  <c r="D245" i="1"/>
  <c r="D286" i="1"/>
  <c r="C156" i="1"/>
  <c r="D159" i="1"/>
  <c r="D457" i="1"/>
  <c r="D193" i="1"/>
  <c r="D562" i="1"/>
  <c r="C331" i="1"/>
  <c r="D537" i="1"/>
  <c r="D55" i="1"/>
  <c r="C9" i="1"/>
  <c r="C222" i="1"/>
  <c r="C215" i="1"/>
  <c r="D607" i="1"/>
  <c r="C525" i="1"/>
  <c r="C364" i="1"/>
  <c r="D558" i="1"/>
  <c r="C244" i="1"/>
  <c r="C305" i="1"/>
  <c r="D127" i="1"/>
  <c r="D461" i="1"/>
  <c r="C263" i="1"/>
  <c r="D590" i="1"/>
  <c r="C581" i="1"/>
  <c r="D217" i="1"/>
  <c r="C510" i="1"/>
  <c r="C8" i="1"/>
  <c r="C321" i="1"/>
  <c r="D14" i="1"/>
  <c r="C580" i="1"/>
  <c r="C600" i="1"/>
  <c r="D191" i="1"/>
  <c r="D309" i="1"/>
  <c r="D471" i="1"/>
  <c r="C570" i="1"/>
  <c r="D299" i="1"/>
  <c r="D484" i="1"/>
  <c r="C27" i="1"/>
  <c r="D332" i="1"/>
  <c r="D199" i="1"/>
  <c r="D462" i="1"/>
  <c r="C405" i="1"/>
  <c r="D387" i="1"/>
  <c r="C271" i="1"/>
  <c r="D158" i="1"/>
  <c r="D433" i="1"/>
  <c r="C509" i="1"/>
  <c r="C513" i="1"/>
  <c r="C178" i="1"/>
  <c r="D230" i="1"/>
  <c r="C292" i="1"/>
  <c r="D317" i="1"/>
  <c r="C615" i="1"/>
  <c r="D226" i="1"/>
  <c r="D148" i="1"/>
  <c r="D320" i="1"/>
  <c r="C179" i="1"/>
  <c r="D566" i="1"/>
  <c r="C460" i="1"/>
  <c r="D527" i="1"/>
  <c r="D518" i="1"/>
  <c r="C485" i="1"/>
  <c r="C446" i="1"/>
  <c r="D503" i="1"/>
  <c r="C189" i="1"/>
  <c r="D598" i="1"/>
  <c r="D511" i="1"/>
  <c r="D427" i="1"/>
  <c r="D380" i="1"/>
  <c r="D480" i="1"/>
  <c r="D315" i="1"/>
  <c r="C553" i="1"/>
  <c r="C14" i="1"/>
  <c r="C13" i="1"/>
  <c r="C367" i="1"/>
  <c r="D76" i="1"/>
  <c r="D218" i="1"/>
  <c r="D519" i="1"/>
  <c r="D565" i="1"/>
  <c r="D243" i="1"/>
  <c r="C253" i="1"/>
  <c r="C607" i="1"/>
  <c r="C296" i="1"/>
  <c r="C343" i="1"/>
  <c r="D18" i="1"/>
  <c r="C595" i="1"/>
  <c r="D575" i="1"/>
  <c r="C245" i="1"/>
  <c r="C226" i="1"/>
  <c r="C533" i="1"/>
  <c r="C497" i="1"/>
  <c r="C336" i="1"/>
  <c r="C377" i="1"/>
  <c r="C516" i="1"/>
  <c r="D306" i="1"/>
  <c r="C173" i="1"/>
  <c r="C602" i="1"/>
  <c r="D605" i="1"/>
  <c r="D531" i="1"/>
  <c r="D311" i="1"/>
  <c r="C511" i="1"/>
  <c r="C287" i="1"/>
  <c r="C85" i="1"/>
  <c r="D248" i="1"/>
  <c r="C278" i="1"/>
  <c r="D318" i="1"/>
  <c r="C467" i="1"/>
  <c r="C351" i="1"/>
  <c r="D40" i="1"/>
  <c r="C590" i="1"/>
  <c r="D517" i="1"/>
  <c r="D547" i="1"/>
  <c r="D246" i="1"/>
  <c r="D5" i="1"/>
  <c r="C318" i="1"/>
  <c r="D239" i="1"/>
  <c r="D56" i="1"/>
  <c r="D265" i="1"/>
  <c r="C192" i="1"/>
  <c r="D204" i="1"/>
  <c r="C494" i="1"/>
  <c r="D468" i="1"/>
  <c r="C309" i="1"/>
  <c r="C564" i="1"/>
  <c r="C242" i="1"/>
  <c r="D588" i="1"/>
  <c r="D10" i="1"/>
  <c r="D407" i="1"/>
  <c r="D308" i="1"/>
  <c r="C270" i="1"/>
  <c r="D535" i="1"/>
  <c r="C432" i="1"/>
  <c r="D374" i="1"/>
  <c r="C329" i="1"/>
  <c r="D16" i="1"/>
  <c r="C362" i="1"/>
  <c r="C84" i="1"/>
  <c r="C466" i="1"/>
  <c r="C458" i="1"/>
  <c r="D214" i="1"/>
  <c r="C434" i="1"/>
  <c r="C211" i="1"/>
  <c r="C281" i="1"/>
  <c r="C157" i="1"/>
  <c r="C487" i="1"/>
  <c r="D355" i="1"/>
  <c r="D160" i="1"/>
  <c r="C164" i="1"/>
  <c r="D507" i="1"/>
  <c r="D390" i="1"/>
  <c r="D399" i="1"/>
  <c r="C410" i="1"/>
  <c r="D381" i="1"/>
  <c r="C601" i="1"/>
  <c r="D147" i="1"/>
  <c r="C195" i="1"/>
  <c r="C168" i="1"/>
  <c r="D86" i="1"/>
  <c r="C398" i="1"/>
  <c r="D512" i="1"/>
  <c r="D596" i="1"/>
  <c r="D207" i="1"/>
  <c r="D616" i="1"/>
  <c r="D298" i="1"/>
  <c r="D335" i="1"/>
  <c r="C396" i="1"/>
  <c r="D260" i="1"/>
  <c r="D447" i="1"/>
  <c r="D613" i="1"/>
  <c r="D33" i="1"/>
  <c r="C472" i="1"/>
  <c r="C363" i="1"/>
  <c r="C374" i="1"/>
  <c r="C517" i="1"/>
  <c r="D406" i="1"/>
  <c r="D400" i="1"/>
  <c r="C468" i="1"/>
  <c r="D295" i="1"/>
  <c r="C212" i="1"/>
  <c r="C252" i="1"/>
  <c r="D513" i="1"/>
  <c r="D21" i="1"/>
  <c r="C175" i="1"/>
  <c r="C481" i="1"/>
  <c r="C393" i="1"/>
  <c r="D83" i="1"/>
  <c r="D534" i="1"/>
  <c r="C478" i="1"/>
  <c r="D597" i="1"/>
  <c r="C610" i="1"/>
  <c r="C384" i="1"/>
  <c r="C459" i="1"/>
  <c r="C298" i="1"/>
  <c r="C504" i="1"/>
  <c r="D439" i="1"/>
  <c r="D4" i="1"/>
  <c r="D29" i="1"/>
  <c r="C322" i="1"/>
  <c r="C549" i="1"/>
  <c r="D593" i="1"/>
  <c r="D240" i="1"/>
  <c r="C609" i="1"/>
  <c r="D356" i="1"/>
  <c r="C411" i="1"/>
  <c r="D589" i="1"/>
  <c r="D348" i="1"/>
  <c r="C368" i="1"/>
  <c r="C562" i="1"/>
  <c r="C360" i="1"/>
  <c r="D555" i="1"/>
  <c r="C15" i="1"/>
  <c r="D403" i="1"/>
  <c r="C479" i="1"/>
  <c r="D560" i="1"/>
  <c r="C286" i="1"/>
  <c r="D12" i="1"/>
  <c r="D250" i="1"/>
  <c r="C204" i="1"/>
  <c r="C442" i="1"/>
  <c r="D430" i="1"/>
  <c r="C448" i="1"/>
  <c r="D561" i="1"/>
  <c r="C538" i="1"/>
  <c r="C283" i="1"/>
  <c r="D476" i="1"/>
  <c r="D538" i="1"/>
  <c r="C199" i="1"/>
  <c r="C210" i="1"/>
  <c r="D283" i="1"/>
  <c r="C275" i="1"/>
  <c r="D515" i="1"/>
  <c r="D352" i="1"/>
  <c r="D368" i="1"/>
  <c r="C176" i="1"/>
  <c r="C158" i="1"/>
  <c r="D285" i="1"/>
  <c r="D251" i="1"/>
  <c r="D197" i="1"/>
  <c r="D570" i="1"/>
  <c r="C561" i="1"/>
  <c r="D340" i="1"/>
  <c r="D170" i="1"/>
  <c r="C310" i="1"/>
  <c r="C503" i="1"/>
  <c r="D509" i="1"/>
  <c r="C555" i="1"/>
  <c r="C469" i="1"/>
  <c r="C392" i="1"/>
  <c r="C464" i="1"/>
  <c r="C597" i="1"/>
  <c r="C450" i="1"/>
  <c r="C163" i="1"/>
  <c r="C514" i="1"/>
  <c r="C291" i="1"/>
  <c r="C316" i="1"/>
  <c r="D499" i="1"/>
  <c r="D271" i="1"/>
  <c r="D466" i="1"/>
  <c r="D529" i="1"/>
  <c r="C539" i="1"/>
  <c r="C279" i="1"/>
  <c r="D556" i="1"/>
  <c r="C324" i="1"/>
  <c r="C483" i="1"/>
  <c r="C603" i="1"/>
  <c r="C427" i="1"/>
  <c r="C475" i="1"/>
  <c r="D533" i="1"/>
  <c r="D432" i="1"/>
  <c r="D341" i="1"/>
  <c r="C482" i="1"/>
  <c r="D278" i="1"/>
  <c r="C325" i="1"/>
  <c r="C512" i="1"/>
  <c r="D422" i="1"/>
  <c r="D360" i="1"/>
  <c r="C207" i="1"/>
  <c r="C167" i="1"/>
  <c r="C194" i="1"/>
  <c r="D423" i="1"/>
  <c r="D393" i="1"/>
  <c r="C171" i="1"/>
  <c r="D11" i="1"/>
  <c r="D572" i="1"/>
  <c r="D378" i="1"/>
  <c r="D523" i="1"/>
  <c r="C547" i="1"/>
  <c r="D316" i="1"/>
  <c r="D504" i="1"/>
  <c r="D543" i="1"/>
  <c r="C289" i="1"/>
  <c r="D446" i="1"/>
  <c r="C22" i="1"/>
  <c r="D334" i="1"/>
  <c r="C285" i="1"/>
  <c r="D85" i="1"/>
  <c r="D415" i="1"/>
  <c r="C524" i="1"/>
  <c r="D330" i="1"/>
  <c r="D408" i="1"/>
  <c r="C350" i="1"/>
  <c r="D564" i="1"/>
  <c r="C42" i="1"/>
  <c r="C83" i="1"/>
  <c r="C594" i="1"/>
  <c r="C79" i="1"/>
  <c r="D584" i="1"/>
  <c r="D410" i="1"/>
  <c r="D343" i="1"/>
  <c r="C301" i="1"/>
  <c r="D435" i="1"/>
  <c r="C406" i="1"/>
  <c r="C376" i="1"/>
  <c r="C10" i="1"/>
  <c r="C358" i="1"/>
  <c r="C557" i="1"/>
  <c r="C556" i="1"/>
  <c r="C438" i="1"/>
  <c r="D302" i="1"/>
  <c r="D258" i="1"/>
  <c r="C6" i="1"/>
  <c r="C490" i="1"/>
  <c r="D577" i="1"/>
  <c r="C451" i="1"/>
  <c r="D490" i="1"/>
  <c r="C373" i="1"/>
  <c r="C68" i="1"/>
  <c r="D22" i="1"/>
  <c r="C7" i="1"/>
  <c r="D364" i="1"/>
  <c r="D203" i="1"/>
  <c r="C319" i="1"/>
  <c r="D333" i="1"/>
  <c r="C425" i="1"/>
  <c r="D280" i="1"/>
  <c r="C528" i="1"/>
  <c r="C404" i="1"/>
  <c r="C191" i="1"/>
  <c r="C243" i="1"/>
  <c r="C414" i="1"/>
  <c r="C344" i="1"/>
  <c r="C439" i="1"/>
  <c r="C608" i="1"/>
  <c r="D294" i="1"/>
  <c r="C224" i="1"/>
  <c r="D236" i="1"/>
  <c r="D568" i="1"/>
  <c r="C437" i="1"/>
  <c r="D606" i="1"/>
  <c r="C11" i="1"/>
  <c r="C378" i="1"/>
  <c r="D190" i="1"/>
  <c r="D424" i="1"/>
  <c r="D75" i="1"/>
  <c r="C371" i="1"/>
  <c r="C233" i="1"/>
  <c r="C209" i="1"/>
  <c r="C232" i="1"/>
  <c r="D417" i="1"/>
  <c r="C274" i="1"/>
  <c r="C148" i="1"/>
  <c r="D488" i="1"/>
  <c r="C231" i="1"/>
  <c r="D367" i="1"/>
  <c r="C484" i="1"/>
  <c r="D220" i="1"/>
  <c r="D464" i="1"/>
  <c r="D39" i="1"/>
  <c r="C348" i="1"/>
  <c r="C611" i="1"/>
  <c r="D20" i="1"/>
  <c r="C395" i="1"/>
  <c r="C347" i="1"/>
  <c r="D592" i="1"/>
  <c r="C369" i="1"/>
  <c r="D198" i="1"/>
  <c r="C338" i="1"/>
  <c r="C35" i="1"/>
  <c r="D481" i="1"/>
  <c r="D7" i="1"/>
  <c r="D277" i="1"/>
  <c r="D492" i="1"/>
  <c r="D34" i="1"/>
  <c r="D421" i="1"/>
  <c r="D267" i="1"/>
  <c r="D521" i="1"/>
  <c r="D129" i="1"/>
  <c r="D413" i="1"/>
  <c r="C223" i="1"/>
  <c r="D241" i="1"/>
  <c r="D36" i="1"/>
  <c r="D445" i="1"/>
  <c r="D545" i="1"/>
  <c r="D310" i="1"/>
  <c r="D567" i="1"/>
  <c r="C491" i="1"/>
  <c r="D30" i="1"/>
  <c r="C592" i="1"/>
  <c r="C506" i="1"/>
  <c r="C616" i="1"/>
  <c r="C403" i="1"/>
  <c r="C582" i="1"/>
  <c r="D31" i="1"/>
  <c r="D573" i="1"/>
  <c r="D392" i="1"/>
  <c r="C452" i="1"/>
  <c r="D444" i="1"/>
  <c r="D579" i="1"/>
  <c r="D321" i="1"/>
  <c r="C282" i="1"/>
  <c r="D587" i="1"/>
  <c r="D206" i="1"/>
  <c r="D128" i="1"/>
  <c r="C586" i="1"/>
  <c r="D583" i="1"/>
  <c r="C327" i="1"/>
  <c r="D370" i="1"/>
  <c r="C345" i="1"/>
  <c r="C605" i="1"/>
  <c r="D242" i="1"/>
  <c r="C567" i="1"/>
  <c r="C234" i="1"/>
  <c r="D599" i="1"/>
  <c r="D346" i="1"/>
  <c r="D167" i="1"/>
  <c r="C456" i="1"/>
  <c r="C531" i="1"/>
  <c r="D350" i="1"/>
  <c r="C162" i="1"/>
  <c r="C128" i="1"/>
  <c r="D211" i="1"/>
  <c r="C420" i="1"/>
  <c r="C575" i="1"/>
  <c r="C521" i="1"/>
  <c r="C302" i="1"/>
  <c r="D156" i="1"/>
  <c r="C515" i="1"/>
  <c r="D84" i="1"/>
  <c r="D557" i="1"/>
  <c r="D233" i="1"/>
  <c r="C67" i="1"/>
  <c r="D485" i="1"/>
  <c r="C536" i="1"/>
  <c r="C551" i="1"/>
  <c r="C312" i="1"/>
  <c r="D88" i="1"/>
  <c r="D479" i="1"/>
  <c r="D358" i="1"/>
  <c r="C423" i="1"/>
  <c r="D452" i="1"/>
  <c r="D559" i="1"/>
  <c r="D614" i="1"/>
  <c r="D215" i="1"/>
  <c r="C266" i="1"/>
  <c r="C526" i="1"/>
  <c r="C303" i="1"/>
  <c r="D264" i="1"/>
  <c r="C288" i="1"/>
  <c r="D544" i="1"/>
  <c r="C588" i="1"/>
  <c r="C415" i="1"/>
  <c r="C401" i="1"/>
  <c r="D312" i="1"/>
  <c r="C277" i="1"/>
  <c r="D305" i="1"/>
  <c r="C441" i="1"/>
  <c r="D162" i="1"/>
  <c r="C172" i="1"/>
  <c r="C17" i="1"/>
  <c r="C416" i="1"/>
  <c r="C489" i="1"/>
  <c r="C520" i="1"/>
  <c r="C317" i="1"/>
  <c r="C412" i="1"/>
  <c r="C29" i="1"/>
  <c r="D208" i="1"/>
  <c r="D359" i="1"/>
  <c r="C181" i="1"/>
  <c r="D322" i="1"/>
  <c r="C424" i="1"/>
  <c r="C534" i="1"/>
  <c r="C349" i="1"/>
  <c r="D174" i="1"/>
  <c r="C440" i="1"/>
  <c r="C559" i="1"/>
  <c r="D611" i="1"/>
  <c r="D269" i="1"/>
  <c r="D67" i="1"/>
  <c r="C391" i="1"/>
  <c r="C585" i="1"/>
  <c r="C571" i="1"/>
  <c r="D349" i="1"/>
  <c r="C198" i="1"/>
  <c r="C261" i="1"/>
  <c r="C540" i="1"/>
  <c r="C254" i="1"/>
  <c r="C330" i="1"/>
  <c r="C419" i="1"/>
  <c r="D525" i="1"/>
  <c r="C604" i="1"/>
  <c r="D520" i="1"/>
  <c r="D448" i="1"/>
  <c r="C379" i="1"/>
  <c r="C276" i="1"/>
  <c r="D398" i="1"/>
  <c r="D366" i="1"/>
  <c r="D548" i="1"/>
  <c r="C213" i="1"/>
  <c r="D376" i="1"/>
  <c r="D268" i="1"/>
  <c r="C387" i="1"/>
  <c r="C357" i="1"/>
  <c r="D41" i="1"/>
  <c r="D323" i="1"/>
  <c r="D602" i="1"/>
  <c r="D200" i="1"/>
  <c r="C311" i="1"/>
  <c r="C75" i="1"/>
  <c r="D530" i="1"/>
  <c r="C443" i="1"/>
  <c r="C290" i="1"/>
  <c r="D261" i="1"/>
  <c r="C495" i="1"/>
  <c r="C476" i="1"/>
  <c r="D595" i="1"/>
  <c r="D493" i="1"/>
  <c r="C463" i="1"/>
  <c r="C444" i="1"/>
  <c r="C280" i="1"/>
  <c r="D329" i="1"/>
  <c r="D379" i="1"/>
  <c r="C255" i="1"/>
  <c r="C426" i="1"/>
  <c r="D266" i="1"/>
  <c r="D290" i="1"/>
  <c r="D27" i="1"/>
  <c r="D528" i="1"/>
  <c r="D326" i="1"/>
  <c r="D253" i="1"/>
  <c r="C129" i="1"/>
  <c r="D594" i="1"/>
  <c r="D516" i="1"/>
  <c r="D496" i="1"/>
  <c r="D546" i="1"/>
  <c r="C578" i="1"/>
  <c r="C267" i="1"/>
  <c r="C436" i="1"/>
  <c r="C293" i="1"/>
  <c r="C249" i="1"/>
  <c r="D574" i="1"/>
  <c r="C230" i="1"/>
  <c r="D338" i="1"/>
  <c r="D69" i="1"/>
  <c r="C566" i="1"/>
  <c r="D163" i="1"/>
  <c r="C32" i="1"/>
  <c r="D195" i="1"/>
  <c r="D252" i="1"/>
  <c r="D524" i="1"/>
  <c r="C572" i="1"/>
  <c r="C565" i="1"/>
  <c r="D164" i="1"/>
  <c r="C480" i="1"/>
  <c r="C87" i="1"/>
  <c r="C386" i="1"/>
  <c r="D194" i="1"/>
  <c r="C587" i="1"/>
  <c r="D173" i="1"/>
  <c r="C355" i="1"/>
  <c r="C37" i="1"/>
  <c r="D38" i="1"/>
  <c r="D210" i="1"/>
  <c r="D353" i="1"/>
  <c r="C258" i="1"/>
  <c r="D327" i="1"/>
  <c r="D256" i="1"/>
  <c r="D274" i="1"/>
  <c r="C88" i="1"/>
  <c r="D396" i="1"/>
  <c r="C352" i="1"/>
  <c r="D459" i="1"/>
  <c r="D384" i="1"/>
  <c r="D150" i="1"/>
  <c r="C606" i="1"/>
  <c r="D391" i="1"/>
  <c r="C304" i="1"/>
  <c r="C264" i="1"/>
  <c r="C20" i="1"/>
  <c r="C247" i="1"/>
  <c r="C216" i="1"/>
  <c r="D419" i="1"/>
  <c r="C219" i="1"/>
  <c r="D440" i="1"/>
  <c r="D221" i="1"/>
  <c r="C359" i="1"/>
  <c r="D304" i="1"/>
  <c r="C241" i="1"/>
  <c r="C19" i="1"/>
  <c r="D460" i="1"/>
  <c r="C208" i="1"/>
  <c r="C5" i="1"/>
  <c r="C563" i="1"/>
  <c r="C453" i="1"/>
  <c r="C236" i="1"/>
  <c r="C499" i="1"/>
  <c r="D438" i="1"/>
  <c r="D336" i="1"/>
  <c r="C272" i="1"/>
  <c r="D325" i="1"/>
  <c r="C190" i="1"/>
  <c r="C554" i="1"/>
  <c r="C12" i="1"/>
  <c r="C36" i="1"/>
  <c r="D307" i="1"/>
  <c r="D219" i="1"/>
  <c r="D344" i="1"/>
  <c r="C584" i="1"/>
  <c r="C449" i="1"/>
  <c r="D19" i="1"/>
  <c r="D202" i="1"/>
  <c r="C41" i="1"/>
  <c r="D483" i="1"/>
  <c r="D149" i="1"/>
  <c r="C265" i="1"/>
  <c r="C34" i="1"/>
  <c r="C246" i="1"/>
  <c r="C40" i="1"/>
  <c r="D456" i="1"/>
  <c r="D179" i="1"/>
  <c r="C160" i="1"/>
  <c r="D386" i="1"/>
  <c r="D549" i="1"/>
  <c r="D166" i="1"/>
  <c r="C550" i="1"/>
  <c r="C354" i="1"/>
  <c r="D394" i="1"/>
  <c r="D347" i="1"/>
  <c r="D165" i="1"/>
  <c r="D234" i="1"/>
  <c r="C238" i="1"/>
  <c r="D526" i="1"/>
  <c r="C394" i="1"/>
  <c r="D429" i="1"/>
  <c r="C300" i="1"/>
  <c r="C535" i="1"/>
  <c r="D510" i="1"/>
  <c r="D449" i="1"/>
  <c r="C228" i="1"/>
  <c r="D397" i="1"/>
  <c r="D262" i="1"/>
  <c r="C505" i="1"/>
  <c r="D17" i="1"/>
  <c r="D383" i="1"/>
  <c r="C381" i="1"/>
  <c r="D455" i="1"/>
  <c r="D13" i="1"/>
  <c r="D532" i="1"/>
  <c r="C77" i="1"/>
  <c r="C558" i="1"/>
  <c r="D255" i="1"/>
  <c r="D247" i="1"/>
  <c r="D451" i="1"/>
  <c r="D339" i="1"/>
  <c r="C315" i="1"/>
  <c r="D586" i="1"/>
  <c r="C574" i="1"/>
  <c r="D437" i="1"/>
  <c r="C205" i="1"/>
  <c r="D87" i="1"/>
  <c r="D362" i="1"/>
  <c r="C389" i="1"/>
  <c r="D223" i="1"/>
  <c r="C70" i="1"/>
  <c r="C257" i="1"/>
  <c r="D300" i="1"/>
  <c r="D9" i="1"/>
  <c r="C76" i="1"/>
  <c r="C400" i="1"/>
  <c r="C612" i="1"/>
  <c r="D467" i="1"/>
  <c r="C399" i="1"/>
  <c r="C260" i="1"/>
  <c r="C493" i="1"/>
  <c r="C501" i="1"/>
  <c r="C239" i="1"/>
  <c r="C328" i="1"/>
  <c r="C465" i="1"/>
  <c r="C544" i="1"/>
  <c r="D237" i="1"/>
  <c r="C342" i="1"/>
  <c r="C38" i="1"/>
  <c r="D216" i="1"/>
  <c r="C417" i="1"/>
  <c r="D225" i="1"/>
  <c r="D454" i="1"/>
  <c r="D505" i="1"/>
  <c r="D486" i="1"/>
  <c r="C333" i="1"/>
  <c r="D477" i="1"/>
  <c r="C332" i="1"/>
  <c r="D482" i="1"/>
  <c r="C31" i="1"/>
  <c r="D8" i="1"/>
  <c r="C408" i="1"/>
  <c r="C297" i="1"/>
  <c r="D536" i="1"/>
  <c r="C579" i="1"/>
  <c r="D284" i="1"/>
  <c r="C151" i="1"/>
  <c r="D212" i="1"/>
  <c r="D279" i="1"/>
  <c r="C507" i="1"/>
  <c r="C577" i="1"/>
  <c r="D297" i="1"/>
  <c r="D395" i="1"/>
  <c r="D442" i="1"/>
  <c r="C370" i="1"/>
  <c r="D615" i="1"/>
  <c r="D287" i="1"/>
  <c r="C508" i="1"/>
  <c r="D610" i="1"/>
  <c r="C203" i="1"/>
  <c r="C323" i="1"/>
  <c r="C196" i="1"/>
  <c r="C560" i="1"/>
  <c r="C532" i="1"/>
  <c r="D229" i="1"/>
  <c r="D539" i="1"/>
  <c r="D231" i="1"/>
  <c r="C589" i="1"/>
  <c r="C599" i="1"/>
  <c r="D79" i="1"/>
  <c r="D591" i="1"/>
  <c r="D238" i="1"/>
  <c r="D272" i="1"/>
  <c r="D581" i="1"/>
  <c r="C614" i="1"/>
  <c r="C86" i="1"/>
  <c r="C402" i="1"/>
  <c r="C39" i="1"/>
  <c r="D551" i="1"/>
  <c r="C174" i="1"/>
  <c r="D6" i="1"/>
  <c r="D213" i="1"/>
  <c r="D314" i="1"/>
  <c r="D235" i="1"/>
  <c r="C569" i="1"/>
  <c r="C18" i="1"/>
  <c r="D328" i="1"/>
  <c r="D425" i="1"/>
  <c r="D578" i="1"/>
  <c r="D552" i="1"/>
  <c r="C457" i="1"/>
  <c r="D35" i="1"/>
  <c r="D273" i="1"/>
  <c r="D609" i="1"/>
  <c r="C235" i="1"/>
  <c r="C530" i="1"/>
  <c r="C613" i="1"/>
  <c r="C229" i="1"/>
  <c r="D77" i="1"/>
  <c r="C166" i="1"/>
  <c r="C340" i="1"/>
  <c r="D469" i="1"/>
  <c r="D418" i="1"/>
  <c r="D569" i="1"/>
  <c r="C445" i="1"/>
  <c r="D301" i="1"/>
  <c r="D303" i="1"/>
  <c r="D472" i="1"/>
  <c r="D281" i="1"/>
  <c r="C518" i="1"/>
  <c r="D388" i="1"/>
  <c r="C477" i="1"/>
  <c r="D426" i="1"/>
  <c r="C320" i="1"/>
  <c r="D478" i="1"/>
  <c r="D342" i="1"/>
  <c r="C56" i="1"/>
  <c r="D401" i="1"/>
  <c r="C55" i="1"/>
  <c r="C548" i="1"/>
  <c r="D608" i="1"/>
  <c r="D494" i="1"/>
  <c r="C21" i="1"/>
  <c r="C220" i="1"/>
  <c r="D506" i="1"/>
  <c r="D15" i="1"/>
  <c r="D500" i="1"/>
  <c r="D257" i="1"/>
  <c r="C593" i="1"/>
  <c r="D291" i="1"/>
  <c r="C552" i="1"/>
  <c r="D489" i="1"/>
  <c r="N75" i="1" l="1"/>
  <c r="A76" i="1"/>
  <c r="N76" i="1" l="1"/>
  <c r="A77" i="1"/>
  <c r="N77" i="1" l="1"/>
  <c r="A78" i="1"/>
  <c r="N78" i="1" l="1"/>
  <c r="A79" i="1"/>
  <c r="N80" i="1" l="1"/>
  <c r="A80" i="1"/>
  <c r="A81" i="1" s="1"/>
  <c r="N79" i="1"/>
  <c r="N81" i="1" l="1"/>
  <c r="N82" i="1"/>
  <c r="A82" i="1"/>
  <c r="A83" i="1" s="1"/>
  <c r="N83" i="1" l="1"/>
  <c r="N84" i="1"/>
  <c r="A84" i="1"/>
  <c r="A85" i="1" s="1"/>
  <c r="N85" i="1" l="1"/>
  <c r="N86" i="1"/>
  <c r="A86" i="1"/>
  <c r="A87" i="1" s="1"/>
  <c r="N88" i="1" l="1"/>
  <c r="A88" i="1"/>
  <c r="A89" i="1" s="1"/>
  <c r="N87" i="1"/>
  <c r="N89" i="1" l="1"/>
  <c r="A90" i="1"/>
  <c r="N90" i="1" l="1"/>
  <c r="A91" i="1"/>
  <c r="A92" i="1" l="1"/>
  <c r="N91" i="1"/>
  <c r="N93" i="1" l="1"/>
  <c r="N95" i="1"/>
  <c r="N96" i="1"/>
  <c r="N92" i="1"/>
  <c r="N94" i="1"/>
  <c r="A93" i="1"/>
  <c r="A94" i="1" s="1"/>
  <c r="A95" i="1" s="1"/>
  <c r="A96" i="1" s="1"/>
  <c r="A97" i="1" s="1"/>
  <c r="N97" i="1" l="1"/>
  <c r="A98" i="1"/>
  <c r="A99" i="1" s="1"/>
  <c r="N98" i="1"/>
  <c r="N104" i="1" l="1"/>
  <c r="N110" i="1"/>
  <c r="N102" i="1"/>
  <c r="N101" i="1"/>
  <c r="N107" i="1"/>
  <c r="N105" i="1"/>
  <c r="N106" i="1"/>
  <c r="N99" i="1"/>
  <c r="N109" i="1"/>
  <c r="N108" i="1"/>
  <c r="N100" i="1"/>
  <c r="A100" i="1"/>
  <c r="A101" i="1" s="1"/>
  <c r="A102" i="1" s="1"/>
  <c r="A103" i="1" s="1"/>
  <c r="A104" i="1" s="1"/>
  <c r="A105" i="1" s="1"/>
  <c r="A106" i="1" s="1"/>
  <c r="A107" i="1" s="1"/>
  <c r="A108" i="1" s="1"/>
  <c r="A109" i="1" s="1"/>
  <c r="A110" i="1" s="1"/>
  <c r="A111" i="1" s="1"/>
  <c r="N103" i="1"/>
  <c r="N111" i="1" l="1"/>
  <c r="N112" i="1"/>
  <c r="N119" i="1"/>
  <c r="N120" i="1"/>
  <c r="N117" i="1"/>
  <c r="N113" i="1"/>
  <c r="N115" i="1"/>
  <c r="N118" i="1"/>
  <c r="N114" i="1"/>
  <c r="N121" i="1"/>
  <c r="A112" i="1"/>
  <c r="A113" i="1" s="1"/>
  <c r="A114" i="1" s="1"/>
  <c r="A115" i="1" s="1"/>
  <c r="A116" i="1" s="1"/>
  <c r="A117" i="1" s="1"/>
  <c r="A118" i="1" s="1"/>
  <c r="A119" i="1" s="1"/>
  <c r="A120" i="1" s="1"/>
  <c r="A121" i="1" s="1"/>
  <c r="A122" i="1" s="1"/>
  <c r="N116" i="1"/>
  <c r="N122" i="1" l="1"/>
  <c r="A123" i="1"/>
  <c r="A124" i="1" l="1"/>
  <c r="N123" i="1"/>
  <c r="N124" i="1" l="1"/>
  <c r="A125" i="1"/>
  <c r="N125" i="1" l="1"/>
  <c r="A126" i="1"/>
  <c r="N126" i="1" l="1"/>
  <c r="A127" i="1"/>
  <c r="A128" i="1" s="1"/>
  <c r="N127" i="1"/>
  <c r="N129" i="1" l="1"/>
  <c r="N128" i="1"/>
  <c r="A129" i="1"/>
  <c r="A130" i="1" s="1"/>
  <c r="N131" i="1" l="1"/>
  <c r="N130" i="1"/>
  <c r="A131" i="1"/>
  <c r="A132" i="1" s="1"/>
  <c r="N135" i="1" l="1"/>
  <c r="N134" i="1"/>
  <c r="N133" i="1"/>
  <c r="N132" i="1"/>
  <c r="N136" i="1"/>
  <c r="A133" i="1"/>
  <c r="A134" i="1" s="1"/>
  <c r="A135" i="1" s="1"/>
  <c r="A136" i="1" s="1"/>
  <c r="A137" i="1" s="1"/>
  <c r="N141" i="1" l="1"/>
  <c r="N139" i="1"/>
  <c r="N137" i="1"/>
  <c r="N140" i="1"/>
  <c r="N138" i="1"/>
  <c r="A138" i="1"/>
  <c r="A139" i="1" s="1"/>
  <c r="A140" i="1" s="1"/>
  <c r="A141" i="1" s="1"/>
  <c r="A142" i="1" s="1"/>
  <c r="N146" i="1" l="1"/>
  <c r="N144" i="1"/>
  <c r="N145" i="1"/>
  <c r="N142" i="1"/>
  <c r="N143" i="1"/>
  <c r="A143" i="1"/>
  <c r="A144" i="1" s="1"/>
  <c r="A145" i="1" s="1"/>
  <c r="A146" i="1" s="1"/>
  <c r="A147" i="1" s="1"/>
  <c r="A148" i="1" l="1"/>
  <c r="A149" i="1" s="1"/>
  <c r="A150" i="1" s="1"/>
  <c r="A151" i="1" s="1"/>
  <c r="A152" i="1" s="1"/>
  <c r="N150" i="1"/>
  <c r="N147" i="1"/>
  <c r="N151" i="1"/>
  <c r="N149" i="1"/>
  <c r="N148" i="1"/>
  <c r="A153" i="1" l="1"/>
  <c r="N152" i="1"/>
  <c r="A154" i="1" l="1"/>
  <c r="A155" i="1" s="1"/>
  <c r="N153" i="1"/>
  <c r="N154" i="1"/>
  <c r="A156" i="1" l="1"/>
  <c r="N155" i="1"/>
  <c r="A157" i="1" l="1"/>
  <c r="N156" i="1"/>
  <c r="A158" i="1" l="1"/>
  <c r="N157" i="1"/>
  <c r="A159" i="1" l="1"/>
  <c r="A160" i="1" s="1"/>
  <c r="A161" i="1" s="1"/>
  <c r="A162" i="1" s="1"/>
  <c r="A163" i="1" s="1"/>
  <c r="N161" i="1"/>
  <c r="N162" i="1"/>
  <c r="N160" i="1"/>
  <c r="N159" i="1"/>
  <c r="N158" i="1"/>
  <c r="A164" i="1" l="1"/>
  <c r="N163" i="1"/>
  <c r="N167" i="1" l="1"/>
  <c r="N165" i="1"/>
  <c r="N166" i="1"/>
  <c r="N164" i="1"/>
  <c r="A165" i="1"/>
  <c r="A166" i="1" s="1"/>
  <c r="A167" i="1" s="1"/>
  <c r="A168" i="1" s="1"/>
  <c r="A169" i="1" s="1"/>
  <c r="N168" i="1"/>
  <c r="N169" i="1" l="1"/>
  <c r="A170" i="1"/>
  <c r="N172" i="1" l="1"/>
  <c r="N174" i="1"/>
  <c r="A171" i="1"/>
  <c r="A172" i="1" s="1"/>
  <c r="A173" i="1" s="1"/>
  <c r="A174" i="1" s="1"/>
  <c r="A175" i="1" s="1"/>
  <c r="N170" i="1"/>
  <c r="N173" i="1"/>
  <c r="N171" i="1"/>
  <c r="A176" i="1" l="1"/>
  <c r="N175" i="1"/>
  <c r="N180" i="1" l="1"/>
  <c r="N178" i="1"/>
  <c r="A177" i="1"/>
  <c r="A178" i="1" s="1"/>
  <c r="A179" i="1" s="1"/>
  <c r="A180" i="1" s="1"/>
  <c r="A181" i="1" s="1"/>
  <c r="N177" i="1"/>
  <c r="N179" i="1"/>
  <c r="N176" i="1"/>
  <c r="A182" i="1" l="1"/>
  <c r="N181" i="1"/>
  <c r="N182" i="1" l="1"/>
  <c r="A183" i="1"/>
  <c r="N183" i="1" l="1"/>
  <c r="N184" i="1"/>
  <c r="A184" i="1"/>
  <c r="A185" i="1" s="1"/>
  <c r="N185" i="1" l="1"/>
  <c r="A186" i="1"/>
  <c r="N186" i="1" l="1"/>
  <c r="N187" i="1"/>
  <c r="N188" i="1"/>
  <c r="A187" i="1"/>
  <c r="A188" i="1" s="1"/>
  <c r="A189" i="1" s="1"/>
  <c r="N191" i="1" l="1"/>
  <c r="A190" i="1"/>
  <c r="A191" i="1" s="1"/>
  <c r="A192" i="1" s="1"/>
  <c r="N189" i="1"/>
  <c r="N190" i="1"/>
  <c r="N193" i="1" l="1"/>
  <c r="N194" i="1"/>
  <c r="A193" i="1"/>
  <c r="A194" i="1" s="1"/>
  <c r="A195" i="1" s="1"/>
  <c r="N192" i="1"/>
  <c r="N197" i="1" l="1"/>
  <c r="A196" i="1"/>
  <c r="A197" i="1" s="1"/>
  <c r="A198" i="1" s="1"/>
  <c r="N196" i="1"/>
  <c r="N195" i="1"/>
  <c r="N198" i="1" l="1"/>
  <c r="N200" i="1"/>
  <c r="N199" i="1"/>
  <c r="A199" i="1"/>
  <c r="A200" i="1" s="1"/>
  <c r="A201" i="1" s="1"/>
  <c r="N203" i="1" l="1"/>
  <c r="N202" i="1"/>
  <c r="A202" i="1"/>
  <c r="A203" i="1" s="1"/>
  <c r="A204" i="1" s="1"/>
  <c r="N201" i="1"/>
  <c r="N206" i="1" l="1"/>
  <c r="N204" i="1"/>
  <c r="N205" i="1"/>
  <c r="A205" i="1"/>
  <c r="A206" i="1" s="1"/>
  <c r="A207" i="1" s="1"/>
  <c r="N209" i="1" l="1"/>
  <c r="N208" i="1"/>
  <c r="N207" i="1"/>
  <c r="A208" i="1"/>
  <c r="A209" i="1" s="1"/>
  <c r="A210" i="1" s="1"/>
  <c r="N211" i="1" l="1"/>
  <c r="N210" i="1"/>
  <c r="N212" i="1"/>
  <c r="A211" i="1"/>
  <c r="A212" i="1" s="1"/>
  <c r="A213" i="1" s="1"/>
  <c r="N215" i="1" l="1"/>
  <c r="A214" i="1"/>
  <c r="A215" i="1" s="1"/>
  <c r="A216" i="1" s="1"/>
  <c r="N214" i="1"/>
  <c r="N213" i="1"/>
  <c r="N218" i="1" l="1"/>
  <c r="N216" i="1"/>
  <c r="N217" i="1"/>
  <c r="A217" i="1"/>
  <c r="A218" i="1" s="1"/>
  <c r="A219" i="1" s="1"/>
  <c r="N219" i="1" l="1"/>
  <c r="N220" i="1"/>
  <c r="N221" i="1"/>
  <c r="A220" i="1"/>
  <c r="A221" i="1" s="1"/>
  <c r="A222" i="1" s="1"/>
  <c r="N222" i="1" l="1"/>
  <c r="N224" i="1"/>
  <c r="N223" i="1"/>
  <c r="A223" i="1"/>
  <c r="A224" i="1" s="1"/>
  <c r="A225" i="1" s="1"/>
  <c r="N225" i="1" l="1"/>
  <c r="N227" i="1"/>
  <c r="N226" i="1"/>
  <c r="A226" i="1"/>
  <c r="A227" i="1" s="1"/>
  <c r="A228" i="1" s="1"/>
  <c r="N228" i="1" l="1"/>
  <c r="N230" i="1"/>
  <c r="A229" i="1"/>
  <c r="A230" i="1" s="1"/>
  <c r="A231" i="1" s="1"/>
  <c r="N229" i="1"/>
  <c r="N232" i="1" l="1"/>
  <c r="N231" i="1"/>
  <c r="N233" i="1"/>
  <c r="A232" i="1"/>
  <c r="A233" i="1" s="1"/>
  <c r="A234" i="1" s="1"/>
  <c r="N234" i="1" l="1"/>
  <c r="N236" i="1"/>
  <c r="N235" i="1"/>
  <c r="A235" i="1"/>
  <c r="A236" i="1" s="1"/>
  <c r="A237" i="1" s="1"/>
  <c r="N237" i="1" l="1"/>
  <c r="N238" i="1"/>
  <c r="N239" i="1"/>
  <c r="A238" i="1"/>
  <c r="A239" i="1" s="1"/>
  <c r="A240" i="1" s="1"/>
  <c r="N241" i="1" l="1"/>
  <c r="N242" i="1"/>
  <c r="N240" i="1"/>
  <c r="A241" i="1"/>
  <c r="A242" i="1" s="1"/>
  <c r="A243" i="1" s="1"/>
  <c r="N244" i="1" l="1"/>
  <c r="N243" i="1"/>
  <c r="N245" i="1"/>
  <c r="A244" i="1"/>
  <c r="A245" i="1" s="1"/>
  <c r="A246" i="1" s="1"/>
  <c r="N246" i="1" l="1"/>
  <c r="N247" i="1"/>
  <c r="N248" i="1"/>
  <c r="A247" i="1"/>
  <c r="A248" i="1" s="1"/>
  <c r="A249" i="1" s="1"/>
  <c r="N251" i="1" l="1"/>
  <c r="N250" i="1"/>
  <c r="N249" i="1"/>
  <c r="A250" i="1"/>
  <c r="A251" i="1" s="1"/>
  <c r="A252" i="1" s="1"/>
  <c r="N254" i="1" l="1"/>
  <c r="N253" i="1"/>
  <c r="N252" i="1"/>
  <c r="A253" i="1"/>
  <c r="A254" i="1" s="1"/>
  <c r="A255" i="1" s="1"/>
  <c r="N255" i="1" l="1"/>
  <c r="N256" i="1"/>
  <c r="N257" i="1"/>
  <c r="A256" i="1"/>
  <c r="A257" i="1" s="1"/>
  <c r="A258" i="1" s="1"/>
  <c r="N258" i="1" l="1"/>
  <c r="N259" i="1"/>
  <c r="A259" i="1"/>
  <c r="A260" i="1" s="1"/>
  <c r="A261" i="1" s="1"/>
  <c r="N260" i="1"/>
  <c r="N263" i="1" l="1"/>
  <c r="N262" i="1"/>
  <c r="N261" i="1"/>
  <c r="A262" i="1"/>
  <c r="A263" i="1" s="1"/>
  <c r="A264" i="1" s="1"/>
  <c r="N265" i="1" l="1"/>
  <c r="N264" i="1"/>
  <c r="A265" i="1"/>
  <c r="A266" i="1" s="1"/>
  <c r="A267" i="1" s="1"/>
  <c r="N266" i="1"/>
  <c r="N269" i="1" l="1"/>
  <c r="N267" i="1"/>
  <c r="N268" i="1"/>
  <c r="A268" i="1"/>
  <c r="A269" i="1" s="1"/>
  <c r="A270" i="1" s="1"/>
  <c r="N270" i="1" l="1"/>
  <c r="N271" i="1"/>
  <c r="N272" i="1"/>
  <c r="A271" i="1"/>
  <c r="A272" i="1" s="1"/>
  <c r="A273" i="1" s="1"/>
  <c r="N274" i="1" l="1"/>
  <c r="N273" i="1"/>
  <c r="N275" i="1"/>
  <c r="A274" i="1"/>
  <c r="A275" i="1" s="1"/>
  <c r="A276" i="1" s="1"/>
  <c r="N277" i="1" l="1"/>
  <c r="N276" i="1"/>
  <c r="N278" i="1"/>
  <c r="A277" i="1"/>
  <c r="A278" i="1" s="1"/>
  <c r="A279" i="1" s="1"/>
  <c r="N279" i="1" l="1"/>
  <c r="N281" i="1"/>
  <c r="N280" i="1"/>
  <c r="A280" i="1"/>
  <c r="A281" i="1" s="1"/>
  <c r="A282" i="1" s="1"/>
  <c r="N282" i="1" l="1"/>
  <c r="N284" i="1"/>
  <c r="N283" i="1"/>
  <c r="A283" i="1"/>
  <c r="A284" i="1" s="1"/>
  <c r="A285" i="1" s="1"/>
  <c r="N285" i="1" l="1"/>
  <c r="A286" i="1"/>
  <c r="A287" i="1" s="1"/>
  <c r="A288" i="1" s="1"/>
  <c r="N286" i="1"/>
  <c r="N287" i="1"/>
  <c r="N289" i="1" l="1"/>
  <c r="N288" i="1"/>
  <c r="N290" i="1"/>
  <c r="A289" i="1"/>
  <c r="A290" i="1" s="1"/>
  <c r="A291" i="1" s="1"/>
  <c r="N293" i="1" l="1"/>
  <c r="N291" i="1"/>
  <c r="A292" i="1"/>
  <c r="A293" i="1" s="1"/>
  <c r="A294" i="1" s="1"/>
  <c r="N292" i="1"/>
  <c r="N294" i="1" l="1"/>
  <c r="N296" i="1"/>
  <c r="N295" i="1"/>
  <c r="A295" i="1"/>
  <c r="A296" i="1" s="1"/>
  <c r="A297" i="1" s="1"/>
  <c r="N298" i="1" l="1"/>
  <c r="N299" i="1"/>
  <c r="A298" i="1"/>
  <c r="A299" i="1" s="1"/>
  <c r="A300" i="1" s="1"/>
  <c r="N297" i="1"/>
  <c r="N300" i="1" l="1"/>
  <c r="N302" i="1"/>
  <c r="N301" i="1"/>
  <c r="A301" i="1"/>
  <c r="A302" i="1" s="1"/>
  <c r="A303" i="1" s="1"/>
  <c r="N305" i="1" l="1"/>
  <c r="N304" i="1"/>
  <c r="N303" i="1"/>
  <c r="A304" i="1"/>
  <c r="A305" i="1" s="1"/>
  <c r="A306" i="1" s="1"/>
  <c r="N307" i="1" l="1"/>
  <c r="N306" i="1"/>
  <c r="N308" i="1"/>
  <c r="A307" i="1"/>
  <c r="A308" i="1" s="1"/>
  <c r="A309" i="1" s="1"/>
  <c r="N311" i="1" l="1"/>
  <c r="N309" i="1"/>
  <c r="N310" i="1"/>
  <c r="A310" i="1"/>
  <c r="A311" i="1" s="1"/>
  <c r="A312" i="1" s="1"/>
  <c r="N314" i="1" l="1"/>
  <c r="N312" i="1"/>
  <c r="N313" i="1"/>
  <c r="A313" i="1"/>
  <c r="A314" i="1" s="1"/>
  <c r="A315" i="1" s="1"/>
  <c r="N315" i="1" l="1"/>
  <c r="N316" i="1"/>
  <c r="N317" i="1"/>
  <c r="A316" i="1"/>
  <c r="A317" i="1" s="1"/>
  <c r="A318" i="1" s="1"/>
  <c r="N318" i="1" l="1"/>
  <c r="N320" i="1"/>
  <c r="N319" i="1"/>
  <c r="A319" i="1"/>
  <c r="A320" i="1" s="1"/>
  <c r="A321" i="1" s="1"/>
  <c r="N322" i="1" l="1"/>
  <c r="N321" i="1"/>
  <c r="N323" i="1"/>
  <c r="A322" i="1"/>
  <c r="A323" i="1" s="1"/>
  <c r="A324" i="1" s="1"/>
  <c r="N326" i="1" l="1"/>
  <c r="N325" i="1"/>
  <c r="N324" i="1"/>
  <c r="A325" i="1"/>
  <c r="A326" i="1" s="1"/>
  <c r="A327" i="1" s="1"/>
  <c r="N328" i="1" l="1"/>
  <c r="N327" i="1"/>
  <c r="N329" i="1"/>
  <c r="A328" i="1"/>
  <c r="A329" i="1" s="1"/>
  <c r="A330" i="1" s="1"/>
  <c r="N330" i="1" l="1"/>
  <c r="N331" i="1"/>
  <c r="N332" i="1"/>
  <c r="A331" i="1"/>
  <c r="A332" i="1" s="1"/>
  <c r="A333" i="1" s="1"/>
  <c r="N335" i="1" l="1"/>
  <c r="N333" i="1"/>
  <c r="A334" i="1"/>
  <c r="A335" i="1" s="1"/>
  <c r="A336" i="1" s="1"/>
  <c r="N334" i="1"/>
  <c r="N336" i="1" l="1"/>
  <c r="N339" i="1"/>
  <c r="N338" i="1"/>
  <c r="A337" i="1"/>
  <c r="N337" i="1" l="1"/>
  <c r="A338" i="1"/>
  <c r="A339" i="1" s="1"/>
  <c r="A340" i="1" s="1"/>
  <c r="N340" i="1" l="1"/>
  <c r="N342" i="1"/>
  <c r="N343" i="1"/>
  <c r="A341" i="1"/>
  <c r="A342" i="1" l="1"/>
  <c r="A343" i="1" s="1"/>
  <c r="A344" i="1" s="1"/>
  <c r="N341" i="1"/>
  <c r="N346" i="1" l="1"/>
  <c r="N344" i="1"/>
  <c r="N347" i="1"/>
  <c r="A345" i="1"/>
  <c r="N345" i="1" l="1"/>
  <c r="A346" i="1"/>
  <c r="A347" i="1" s="1"/>
  <c r="A348" i="1" s="1"/>
  <c r="N348" i="1" l="1"/>
  <c r="A349" i="1"/>
  <c r="N351" i="1"/>
  <c r="N350" i="1"/>
  <c r="N349" i="1" l="1"/>
  <c r="A350" i="1"/>
  <c r="A351" i="1" s="1"/>
  <c r="A352" i="1" s="1"/>
  <c r="N352" i="1" l="1"/>
  <c r="N355" i="1"/>
  <c r="A353" i="1"/>
  <c r="N354" i="1"/>
  <c r="N353" i="1" l="1"/>
  <c r="A354" i="1"/>
  <c r="A355" i="1" s="1"/>
  <c r="A356" i="1" s="1"/>
  <c r="N358" i="1" l="1"/>
  <c r="N359" i="1"/>
  <c r="N356" i="1"/>
  <c r="A357" i="1"/>
  <c r="A358" i="1" l="1"/>
  <c r="A359" i="1" s="1"/>
  <c r="A360" i="1" s="1"/>
  <c r="N357" i="1"/>
  <c r="N363" i="1" l="1"/>
  <c r="N362" i="1"/>
  <c r="N360" i="1"/>
  <c r="A361" i="1"/>
  <c r="N361" i="1" l="1"/>
  <c r="A362" i="1"/>
  <c r="A363" i="1" s="1"/>
  <c r="A364" i="1" s="1"/>
  <c r="N366" i="1" l="1"/>
  <c r="N364" i="1"/>
  <c r="N367" i="1"/>
  <c r="A365" i="1"/>
  <c r="N365" i="1" l="1"/>
  <c r="A366" i="1"/>
  <c r="A367" i="1" s="1"/>
  <c r="A368" i="1" s="1"/>
  <c r="N368" i="1" l="1"/>
  <c r="N371" i="1"/>
  <c r="A369" i="1"/>
  <c r="N370" i="1"/>
  <c r="N369" i="1" l="1"/>
  <c r="A370" i="1"/>
  <c r="A371" i="1" s="1"/>
  <c r="A372" i="1" s="1"/>
  <c r="N374" i="1" l="1"/>
  <c r="N372" i="1"/>
  <c r="N375" i="1"/>
  <c r="A373" i="1"/>
  <c r="N373" i="1" l="1"/>
  <c r="A374" i="1"/>
  <c r="A375" i="1" s="1"/>
  <c r="A376" i="1" s="1"/>
  <c r="N379" i="1" l="1"/>
  <c r="N376" i="1"/>
  <c r="N378" i="1"/>
  <c r="A377" i="1"/>
  <c r="N377" i="1" l="1"/>
  <c r="A378" i="1"/>
  <c r="A379" i="1" s="1"/>
  <c r="A380" i="1" s="1"/>
  <c r="N382" i="1" l="1"/>
  <c r="N383" i="1"/>
  <c r="N380" i="1"/>
  <c r="A381" i="1"/>
  <c r="N381" i="1" l="1"/>
  <c r="A382" i="1"/>
  <c r="A383" i="1" s="1"/>
  <c r="A384" i="1" s="1"/>
  <c r="N386" i="1" l="1"/>
  <c r="A385" i="1"/>
  <c r="N387" i="1"/>
  <c r="N384" i="1"/>
  <c r="N385" i="1" l="1"/>
  <c r="A386" i="1"/>
  <c r="A387" i="1" s="1"/>
  <c r="A388" i="1" s="1"/>
  <c r="N390" i="1" l="1"/>
  <c r="N388" i="1"/>
  <c r="N391" i="1"/>
  <c r="A389" i="1"/>
  <c r="N389" i="1" l="1"/>
  <c r="A390" i="1"/>
  <c r="A391" i="1" s="1"/>
  <c r="A392" i="1" s="1"/>
  <c r="N392" i="1" l="1"/>
  <c r="N394" i="1"/>
  <c r="A393" i="1"/>
  <c r="N395" i="1"/>
  <c r="N393" i="1" l="1"/>
  <c r="A394" i="1"/>
  <c r="A395" i="1" s="1"/>
  <c r="A396" i="1" s="1"/>
  <c r="N396" i="1" l="1"/>
  <c r="N398" i="1"/>
  <c r="N399" i="1"/>
  <c r="A397" i="1"/>
  <c r="N397" i="1" l="1"/>
  <c r="A398" i="1"/>
  <c r="A399" i="1" s="1"/>
  <c r="A400" i="1" s="1"/>
  <c r="N402" i="1" l="1"/>
  <c r="N400" i="1"/>
  <c r="N403" i="1"/>
  <c r="A401" i="1"/>
  <c r="N401" i="1" l="1"/>
  <c r="A402" i="1"/>
  <c r="A403" i="1" s="1"/>
  <c r="A404" i="1" s="1"/>
  <c r="N406" i="1" l="1"/>
  <c r="N407" i="1"/>
  <c r="N404" i="1"/>
  <c r="A405" i="1"/>
  <c r="N405" i="1" l="1"/>
  <c r="A406" i="1"/>
  <c r="A407" i="1" s="1"/>
  <c r="A408" i="1" s="1"/>
  <c r="N411" i="1" l="1"/>
  <c r="N408" i="1"/>
  <c r="N410" i="1"/>
  <c r="A409" i="1"/>
  <c r="N409" i="1" l="1"/>
  <c r="A410" i="1"/>
  <c r="A411" i="1" s="1"/>
  <c r="A412" i="1" s="1"/>
  <c r="N414" i="1" l="1"/>
  <c r="N412" i="1"/>
  <c r="N415" i="1"/>
  <c r="A413" i="1"/>
  <c r="N413" i="1" l="1"/>
  <c r="A414" i="1"/>
  <c r="A415" i="1" s="1"/>
  <c r="A416" i="1" s="1"/>
  <c r="N416" i="1" l="1"/>
  <c r="N418" i="1"/>
  <c r="N419" i="1"/>
  <c r="A417" i="1"/>
  <c r="N417" i="1" l="1"/>
  <c r="A418" i="1"/>
  <c r="A419" i="1" s="1"/>
  <c r="A420" i="1" s="1"/>
  <c r="N420" i="1" l="1"/>
  <c r="A421" i="1"/>
  <c r="N422" i="1"/>
  <c r="N423" i="1"/>
  <c r="N421" i="1" l="1"/>
  <c r="A422" i="1"/>
  <c r="A423" i="1" s="1"/>
  <c r="A424" i="1" s="1"/>
  <c r="N424" i="1" l="1"/>
  <c r="N426" i="1"/>
  <c r="N427" i="1"/>
  <c r="A425" i="1"/>
  <c r="N425" i="1" l="1"/>
  <c r="A426" i="1"/>
  <c r="A427" i="1" s="1"/>
  <c r="A428" i="1" s="1"/>
  <c r="N431" i="1" l="1"/>
  <c r="N428" i="1"/>
  <c r="N430" i="1"/>
  <c r="A429" i="1"/>
  <c r="A430" i="1" l="1"/>
  <c r="A431" i="1" s="1"/>
  <c r="A432" i="1" s="1"/>
  <c r="N429" i="1"/>
  <c r="N432" i="1" l="1"/>
  <c r="N434" i="1"/>
  <c r="N435" i="1"/>
  <c r="A433" i="1"/>
  <c r="N433" i="1" l="1"/>
  <c r="A434" i="1"/>
  <c r="A435" i="1" s="1"/>
  <c r="A436" i="1" s="1"/>
  <c r="N438" i="1" l="1"/>
  <c r="N436" i="1"/>
  <c r="N439" i="1"/>
  <c r="A437" i="1"/>
  <c r="N437" i="1" l="1"/>
  <c r="A438" i="1"/>
  <c r="A439" i="1" s="1"/>
  <c r="A440" i="1" s="1"/>
  <c r="N443" i="1" l="1"/>
  <c r="N440" i="1"/>
  <c r="N442" i="1"/>
  <c r="A441" i="1"/>
  <c r="N441" i="1" l="1"/>
  <c r="A442" i="1"/>
  <c r="A443" i="1" s="1"/>
  <c r="A444" i="1" s="1"/>
  <c r="N444" i="1" l="1"/>
  <c r="N446" i="1"/>
  <c r="A445" i="1"/>
  <c r="N447" i="1"/>
  <c r="N445" i="1" l="1"/>
  <c r="A446" i="1"/>
  <c r="A447" i="1" s="1"/>
  <c r="A448" i="1" s="1"/>
  <c r="N448" i="1" l="1"/>
  <c r="N451" i="1"/>
  <c r="N450" i="1"/>
  <c r="A449" i="1"/>
  <c r="N449" i="1" l="1"/>
  <c r="A450" i="1"/>
  <c r="A451" i="1" s="1"/>
  <c r="A452" i="1" s="1"/>
  <c r="N455" i="1" l="1"/>
  <c r="N454" i="1"/>
  <c r="N452" i="1"/>
  <c r="A453" i="1"/>
  <c r="A454" i="1" l="1"/>
  <c r="A455" i="1" s="1"/>
  <c r="A456" i="1" s="1"/>
  <c r="N453" i="1"/>
  <c r="N459" i="1" l="1"/>
  <c r="N456" i="1"/>
  <c r="N458" i="1"/>
  <c r="A457" i="1"/>
  <c r="N457" i="1" l="1"/>
  <c r="A458" i="1"/>
  <c r="A459" i="1" s="1"/>
  <c r="A460" i="1" s="1"/>
  <c r="N463" i="1" l="1"/>
  <c r="N460" i="1"/>
  <c r="A461" i="1"/>
  <c r="N462" i="1"/>
  <c r="A462" i="1" l="1"/>
  <c r="A463" i="1" s="1"/>
  <c r="A464" i="1" s="1"/>
  <c r="N461" i="1"/>
  <c r="N467" i="1" l="1"/>
  <c r="N466" i="1"/>
  <c r="N464" i="1"/>
  <c r="A465" i="1"/>
  <c r="N465" i="1" l="1"/>
  <c r="A466" i="1"/>
  <c r="A467" i="1" s="1"/>
  <c r="A468" i="1" s="1"/>
  <c r="N471" i="1" l="1"/>
  <c r="N470" i="1"/>
  <c r="N468" i="1"/>
  <c r="A469" i="1"/>
  <c r="N469" i="1" l="1"/>
  <c r="A470" i="1"/>
  <c r="A471" i="1" s="1"/>
  <c r="A472" i="1" s="1"/>
  <c r="N472" i="1" l="1"/>
  <c r="N474" i="1"/>
  <c r="N475" i="1"/>
  <c r="A473" i="1"/>
  <c r="A474" i="1" l="1"/>
  <c r="A475" i="1" s="1"/>
  <c r="A476" i="1" s="1"/>
  <c r="N473" i="1"/>
  <c r="N476" i="1" l="1"/>
  <c r="N479" i="1"/>
  <c r="A477" i="1"/>
  <c r="N478" i="1"/>
  <c r="N477" i="1" l="1"/>
  <c r="A478" i="1"/>
  <c r="A479" i="1" s="1"/>
  <c r="A480" i="1" s="1"/>
  <c r="N482" i="1" l="1"/>
  <c r="N483" i="1"/>
  <c r="N480" i="1"/>
  <c r="A481" i="1"/>
  <c r="N481" i="1" l="1"/>
  <c r="A482" i="1"/>
  <c r="A483" i="1" s="1"/>
  <c r="A484" i="1" s="1"/>
  <c r="N487" i="1" l="1"/>
  <c r="N484" i="1"/>
  <c r="N486" i="1"/>
  <c r="A485" i="1"/>
  <c r="N485" i="1" l="1"/>
  <c r="A486" i="1"/>
  <c r="A487" i="1" s="1"/>
  <c r="A488" i="1" s="1"/>
  <c r="N488" i="1" l="1"/>
  <c r="N490" i="1"/>
  <c r="N491" i="1"/>
  <c r="A489" i="1"/>
  <c r="N489" i="1" l="1"/>
  <c r="A490" i="1"/>
  <c r="A491" i="1" s="1"/>
  <c r="A492" i="1" s="1"/>
  <c r="N492" i="1" l="1"/>
  <c r="N495" i="1"/>
  <c r="N494" i="1"/>
  <c r="A493" i="1"/>
  <c r="N493" i="1" l="1"/>
  <c r="A494" i="1"/>
  <c r="A495" i="1" s="1"/>
  <c r="A496" i="1" s="1"/>
  <c r="N499" i="1" l="1"/>
  <c r="N496" i="1"/>
  <c r="N498" i="1"/>
  <c r="A497" i="1"/>
  <c r="N497" i="1" l="1"/>
  <c r="A498" i="1"/>
  <c r="A499" i="1" s="1"/>
  <c r="A500" i="1" s="1"/>
  <c r="N500" i="1" l="1"/>
  <c r="N503" i="1"/>
  <c r="A501" i="1"/>
  <c r="N502" i="1"/>
  <c r="N501" i="1" l="1"/>
  <c r="A502" i="1"/>
  <c r="A503" i="1" s="1"/>
  <c r="A504" i="1" s="1"/>
  <c r="N506" i="1" l="1"/>
  <c r="N507" i="1"/>
  <c r="N504" i="1"/>
  <c r="A505" i="1"/>
  <c r="A506" i="1" l="1"/>
  <c r="A507" i="1" s="1"/>
  <c r="A508" i="1" s="1"/>
  <c r="N505" i="1"/>
  <c r="N511" i="1" l="1"/>
  <c r="N510" i="1"/>
  <c r="N508" i="1"/>
  <c r="A509" i="1"/>
  <c r="N509" i="1" l="1"/>
  <c r="A510" i="1"/>
  <c r="A511" i="1" s="1"/>
  <c r="A512" i="1" s="1"/>
  <c r="N515" i="1" l="1"/>
  <c r="N514" i="1"/>
  <c r="N512" i="1"/>
  <c r="A513" i="1"/>
  <c r="A514" i="1" l="1"/>
  <c r="A515" i="1" s="1"/>
  <c r="A516" i="1" s="1"/>
  <c r="N513" i="1"/>
  <c r="N516" i="1" l="1"/>
  <c r="N518" i="1"/>
  <c r="A517" i="1"/>
  <c r="N519" i="1"/>
  <c r="N517" i="1" l="1"/>
  <c r="A518" i="1"/>
  <c r="A519" i="1" s="1"/>
  <c r="A520" i="1" s="1"/>
  <c r="N522" i="1" l="1"/>
  <c r="N520" i="1"/>
  <c r="A521" i="1"/>
  <c r="N523" i="1"/>
  <c r="A522" i="1" l="1"/>
  <c r="A523" i="1" s="1"/>
  <c r="A524" i="1" s="1"/>
  <c r="N521" i="1"/>
  <c r="N527" i="1" l="1"/>
  <c r="N526" i="1"/>
  <c r="N524" i="1"/>
  <c r="A525" i="1"/>
  <c r="N525" i="1" l="1"/>
  <c r="A526" i="1"/>
  <c r="A527" i="1" s="1"/>
  <c r="A528" i="1" s="1"/>
  <c r="N528" i="1" l="1"/>
  <c r="N531" i="1"/>
  <c r="N530" i="1"/>
  <c r="A529" i="1"/>
  <c r="N529" i="1" l="1"/>
  <c r="A530" i="1"/>
  <c r="A531" i="1" s="1"/>
  <c r="A532" i="1" s="1"/>
  <c r="N532" i="1" l="1"/>
  <c r="N535" i="1"/>
  <c r="N534" i="1"/>
  <c r="A533" i="1"/>
  <c r="A534" i="1" l="1"/>
  <c r="A535" i="1" s="1"/>
  <c r="A536" i="1" s="1"/>
  <c r="N533" i="1"/>
  <c r="N536" i="1" l="1"/>
  <c r="N539" i="1"/>
  <c r="N538" i="1"/>
  <c r="A537" i="1"/>
  <c r="N537" i="1" l="1"/>
  <c r="A538" i="1"/>
  <c r="A539" i="1" s="1"/>
  <c r="A540" i="1" s="1"/>
  <c r="N543" i="1" l="1"/>
  <c r="N540" i="1"/>
  <c r="N542" i="1"/>
  <c r="A541" i="1"/>
  <c r="A542" i="1" l="1"/>
  <c r="A543" i="1" s="1"/>
  <c r="A544" i="1" s="1"/>
  <c r="N541" i="1"/>
  <c r="N544" i="1" l="1"/>
  <c r="N546" i="1"/>
  <c r="N547" i="1"/>
  <c r="A545" i="1"/>
  <c r="A546" i="1" l="1"/>
  <c r="A547" i="1" s="1"/>
  <c r="A548" i="1" s="1"/>
  <c r="N545" i="1"/>
  <c r="N550" i="1" l="1"/>
  <c r="N551" i="1"/>
  <c r="N548" i="1"/>
  <c r="A549" i="1"/>
  <c r="N549" i="1" l="1"/>
  <c r="A550" i="1"/>
  <c r="A551" i="1" s="1"/>
  <c r="A552" i="1" s="1"/>
  <c r="N554" i="1" l="1"/>
  <c r="N552" i="1"/>
  <c r="N555" i="1"/>
  <c r="A553" i="1"/>
  <c r="N553" i="1" l="1"/>
  <c r="A554" i="1"/>
  <c r="A555" i="1" s="1"/>
  <c r="A556" i="1" s="1"/>
  <c r="N559" i="1" l="1"/>
  <c r="N558" i="1"/>
  <c r="N556" i="1"/>
  <c r="A557" i="1"/>
  <c r="N557" i="1" l="1"/>
  <c r="A558" i="1"/>
  <c r="A559" i="1" s="1"/>
  <c r="A560" i="1" s="1"/>
  <c r="N562" i="1" l="1"/>
  <c r="A561" i="1"/>
  <c r="A562" i="1" s="1"/>
  <c r="A563" i="1" s="1"/>
  <c r="N561" i="1"/>
  <c r="N560" i="1"/>
  <c r="A564" i="1" l="1"/>
  <c r="A565" i="1" s="1"/>
  <c r="A566" i="1" s="1"/>
  <c r="N564" i="1"/>
  <c r="N563" i="1"/>
  <c r="N565" i="1"/>
  <c r="N566" i="1" l="1"/>
  <c r="N568" i="1"/>
  <c r="A567" i="1"/>
  <c r="A568" i="1" s="1"/>
  <c r="A569" i="1" s="1"/>
  <c r="N567" i="1"/>
  <c r="A570" i="1" l="1"/>
  <c r="A571" i="1" s="1"/>
  <c r="A572" i="1" s="1"/>
  <c r="N569" i="1"/>
  <c r="N570" i="1"/>
  <c r="N571" i="1"/>
  <c r="N574" i="1" l="1"/>
  <c r="A573" i="1"/>
  <c r="A574" i="1" s="1"/>
  <c r="A575" i="1" s="1"/>
  <c r="N572" i="1"/>
  <c r="N573" i="1"/>
  <c r="N577" i="1" l="1"/>
  <c r="N575" i="1"/>
  <c r="A576" i="1"/>
  <c r="A577" i="1" s="1"/>
  <c r="A578" i="1" s="1"/>
  <c r="N576" i="1"/>
  <c r="N580" i="1" l="1"/>
  <c r="N578" i="1"/>
  <c r="N579" i="1"/>
  <c r="A579" i="1"/>
  <c r="A580" i="1" s="1"/>
  <c r="A581" i="1" s="1"/>
  <c r="N583" i="1" l="1"/>
  <c r="A582" i="1"/>
  <c r="A583" i="1" s="1"/>
  <c r="A584" i="1" s="1"/>
  <c r="N581" i="1"/>
  <c r="N582" i="1"/>
  <c r="N585" i="1" l="1"/>
  <c r="N586" i="1"/>
  <c r="N584" i="1"/>
  <c r="A585" i="1"/>
  <c r="A586" i="1" s="1"/>
  <c r="A587" i="1" s="1"/>
  <c r="N589" i="1" l="1"/>
  <c r="N587" i="1"/>
  <c r="N588" i="1"/>
  <c r="A588" i="1"/>
  <c r="A589" i="1" s="1"/>
  <c r="A590" i="1" s="1"/>
  <c r="A591" i="1" l="1"/>
  <c r="A592" i="1" s="1"/>
  <c r="A593" i="1" s="1"/>
  <c r="N590" i="1"/>
  <c r="N592" i="1"/>
  <c r="N591" i="1"/>
  <c r="N594" i="1" l="1"/>
  <c r="A594" i="1"/>
  <c r="A595" i="1" s="1"/>
  <c r="A596" i="1" s="1"/>
  <c r="N593" i="1"/>
  <c r="N595" i="1"/>
  <c r="N596" i="1" l="1"/>
  <c r="N598" i="1"/>
  <c r="A597" i="1"/>
  <c r="A598" i="1" s="1"/>
  <c r="A599" i="1" s="1"/>
  <c r="N597" i="1"/>
  <c r="N600" i="1" l="1"/>
  <c r="A600" i="1"/>
  <c r="A601" i="1" s="1"/>
  <c r="A602" i="1" s="1"/>
  <c r="N599" i="1"/>
  <c r="N601" i="1"/>
  <c r="A603" i="1" l="1"/>
  <c r="A604" i="1" s="1"/>
  <c r="A605" i="1" s="1"/>
  <c r="N602" i="1"/>
  <c r="N604" i="1"/>
  <c r="N603" i="1"/>
  <c r="N608" i="1" l="1"/>
  <c r="N607" i="1"/>
  <c r="N605" i="1"/>
  <c r="A606" i="1"/>
  <c r="N606" i="1" l="1"/>
  <c r="A607" i="1"/>
  <c r="A608" i="1" s="1"/>
  <c r="A609" i="1" s="1"/>
  <c r="A610" i="1" l="1"/>
  <c r="N609" i="1"/>
  <c r="N612" i="1"/>
  <c r="N611" i="1"/>
  <c r="A611" i="1" l="1"/>
  <c r="A612" i="1" s="1"/>
  <c r="A613" i="1" s="1"/>
  <c r="N610" i="1"/>
  <c r="N616" i="1" l="1"/>
  <c r="A614" i="1"/>
  <c r="N613" i="1"/>
  <c r="N615" i="1"/>
  <c r="A615" i="1" l="1"/>
  <c r="A616" i="1" s="1"/>
  <c r="N614" i="1"/>
</calcChain>
</file>

<file path=xl/sharedStrings.xml><?xml version="1.0" encoding="utf-8"?>
<sst xmlns="http://schemas.openxmlformats.org/spreadsheetml/2006/main" count="1032" uniqueCount="817">
  <si>
    <t>Notes</t>
  </si>
  <si>
    <t>#</t>
  </si>
  <si>
    <t>Reducing material content of products</t>
  </si>
  <si>
    <t>More effective materials (e.g. stronger steel)</t>
  </si>
  <si>
    <t>More careful design (e.g. not over-specifying)</t>
  </si>
  <si>
    <t>Reuse</t>
  </si>
  <si>
    <t>Increasing value of product (e.g. more advanced ICT, selling service)</t>
  </si>
  <si>
    <t>Life extension</t>
  </si>
  <si>
    <t>More durable design</t>
  </si>
  <si>
    <t>More intensive use</t>
  </si>
  <si>
    <t>Sharing schemes</t>
  </si>
  <si>
    <t>Optimising scheduling of use (e.g. transport, machinery)</t>
  </si>
  <si>
    <t>Packaging</t>
  </si>
  <si>
    <t>Steel</t>
  </si>
  <si>
    <t>Vehicles</t>
  </si>
  <si>
    <t>Rebar</t>
  </si>
  <si>
    <t>Construction</t>
  </si>
  <si>
    <t>Lightweighting</t>
  </si>
  <si>
    <t>Fabrication yield improvement</t>
  </si>
  <si>
    <t>Other</t>
  </si>
  <si>
    <t>Industrial equipment</t>
  </si>
  <si>
    <t>Buildings</t>
  </si>
  <si>
    <t>i.e. increasing yield from 73 to 82%</t>
  </si>
  <si>
    <t>Sector</t>
  </si>
  <si>
    <t>Sections</t>
  </si>
  <si>
    <t>Sheet</t>
  </si>
  <si>
    <t>Rail</t>
  </si>
  <si>
    <t>Tubes</t>
  </si>
  <si>
    <t>Total</t>
  </si>
  <si>
    <t>Industrial</t>
  </si>
  <si>
    <t>Commercial</t>
  </si>
  <si>
    <t>Offices</t>
  </si>
  <si>
    <t>Public</t>
  </si>
  <si>
    <t>Residential</t>
  </si>
  <si>
    <t>Infrastructure</t>
  </si>
  <si>
    <t>Utilities</t>
  </si>
  <si>
    <t>Bridges</t>
  </si>
  <si>
    <t>Electric cookers</t>
  </si>
  <si>
    <t>Microwave ovens</t>
  </si>
  <si>
    <t>Refrigerators and freezers</t>
  </si>
  <si>
    <t>Washing machines, dishwashers, and tumble dryers</t>
  </si>
  <si>
    <t>Vacuum cleaners and carpet cleaners</t>
  </si>
  <si>
    <t>Small work or personal care appliances</t>
  </si>
  <si>
    <t>Hi-fi and stereo</t>
  </si>
  <si>
    <t>Radio and personal radio, stereo, and CD</t>
  </si>
  <si>
    <t>Televisions</t>
  </si>
  <si>
    <t>Video equipment</t>
  </si>
  <si>
    <t>Telephones, faxes, and answer machines</t>
  </si>
  <si>
    <t>Mobile phones and pagers</t>
  </si>
  <si>
    <t>Computers and peripherals</t>
  </si>
  <si>
    <t>Toys</t>
  </si>
  <si>
    <t>Home and garden tools</t>
  </si>
  <si>
    <t>Bauxite extraction</t>
  </si>
  <si>
    <t>Iron ore sintering</t>
  </si>
  <si>
    <t>Alumina production</t>
  </si>
  <si>
    <t>Steelmaking</t>
  </si>
  <si>
    <t>Smelting</t>
  </si>
  <si>
    <t>Casting</t>
  </si>
  <si>
    <t>Ingot casting</t>
  </si>
  <si>
    <t>Remelting</t>
  </si>
  <si>
    <t>Preheating</t>
  </si>
  <si>
    <t>Sawing</t>
  </si>
  <si>
    <t>Casting &amp; Homogenise</t>
  </si>
  <si>
    <t>Scalping</t>
  </si>
  <si>
    <t>Hot rolling I beam</t>
  </si>
  <si>
    <t>Hot rolling coil</t>
  </si>
  <si>
    <t>Preheating &amp; hot roll</t>
  </si>
  <si>
    <t>Pickling</t>
  </si>
  <si>
    <t>Edge cropping</t>
  </si>
  <si>
    <t>Cold rolling</t>
  </si>
  <si>
    <t>Levelling</t>
  </si>
  <si>
    <t>Galvanizing</t>
  </si>
  <si>
    <t>Stretching</t>
  </si>
  <si>
    <t>Slitting</t>
  </si>
  <si>
    <t>Heat treatment</t>
  </si>
  <si>
    <t>Blanking for car door</t>
  </si>
  <si>
    <t>Cupping</t>
  </si>
  <si>
    <t>Stamping car door panel</t>
  </si>
  <si>
    <t>Body making and trimming</t>
  </si>
  <si>
    <t>Initial machining</t>
  </si>
  <si>
    <t>Other inc washing, lacquering, packaging</t>
  </si>
  <si>
    <t>Machinging</t>
  </si>
  <si>
    <t>Waste and Resources Action Programme (WRAP). “Valuing our Clothes, The true cost of how we design use, and dispose of clothing the uK ", WRAP, London, 2012.</t>
  </si>
  <si>
    <t>Meat</t>
  </si>
  <si>
    <t>Milk</t>
  </si>
  <si>
    <t>Cereals</t>
  </si>
  <si>
    <t>Roots &amp; tubers</t>
  </si>
  <si>
    <t>Oilseeds and pulses</t>
  </si>
  <si>
    <t>Fruit &amp; veg</t>
  </si>
  <si>
    <t>Fish &amp; seafood</t>
  </si>
  <si>
    <t>Europe &amp; Russia</t>
  </si>
  <si>
    <t>North america and oceania</t>
  </si>
  <si>
    <t>subSaharan Africa</t>
  </si>
  <si>
    <t>North Africa &amp; Middle East</t>
  </si>
  <si>
    <t>South &amp; SouthEast Asia</t>
  </si>
  <si>
    <t>Latin America</t>
  </si>
  <si>
    <t>other</t>
  </si>
  <si>
    <t>Wrap. (2013). Estimates of waste in the food and drink supply chain, (October), 1–36.</t>
  </si>
  <si>
    <t>Agricultural production</t>
  </si>
  <si>
    <t>Postharvest handling and storage</t>
  </si>
  <si>
    <t>products of Vegetable oils and fats</t>
  </si>
  <si>
    <t>Dairy products</t>
  </si>
  <si>
    <t>Processed rice</t>
  </si>
  <si>
    <t>Sugar</t>
  </si>
  <si>
    <t>Food products nec</t>
  </si>
  <si>
    <t>Beverages</t>
  </si>
  <si>
    <t>postal services</t>
  </si>
  <si>
    <t>manufacture</t>
  </si>
  <si>
    <t>retail</t>
  </si>
  <si>
    <t>materials</t>
  </si>
  <si>
    <t>energy</t>
  </si>
  <si>
    <t>other inputs</t>
  </si>
  <si>
    <t>Materials</t>
  </si>
  <si>
    <t xml:space="preserve">materials </t>
  </si>
  <si>
    <t>Washing machine refurb</t>
  </si>
  <si>
    <t>transport</t>
  </si>
  <si>
    <t xml:space="preserve"> = 2.3M units in EU * 970 per unit</t>
  </si>
  <si>
    <t xml:space="preserve"> = 13M units in EU * 400 / total value of sector</t>
  </si>
  <si>
    <t>=190M units in EU * 36 / total value of sector</t>
  </si>
  <si>
    <t>N Ame</t>
  </si>
  <si>
    <t xml:space="preserve">RoW </t>
  </si>
  <si>
    <t>Cox, V., Boulos, S., Fitzgerald, J., Vinogradova, M., Buckland, T., &amp; Thoung, C. (2013). Economic Impacts of Resource Efficient Business Models. Banbury, UK: Waste and Resources Action Programme (WRAP).</t>
  </si>
  <si>
    <t>Refurbishing office furniture</t>
  </si>
  <si>
    <t>Lightweighting cars</t>
  </si>
  <si>
    <t>I Beam</t>
  </si>
  <si>
    <t>Steel car door</t>
  </si>
  <si>
    <t>Wire rod</t>
  </si>
  <si>
    <t>Bar</t>
  </si>
  <si>
    <t>Plate</t>
  </si>
  <si>
    <t>Hrolled Coil</t>
  </si>
  <si>
    <t>Galv CRC</t>
  </si>
  <si>
    <t>Welded tube</t>
  </si>
  <si>
    <t>Seamless  tube</t>
  </si>
  <si>
    <t>Cast Iron</t>
  </si>
  <si>
    <t>Waugh, R. L. (2013). Options for acheiving a 50% reduction in steel industry CO2 emissions by 2050. University of Cambridge.</t>
  </si>
  <si>
    <t>continuous casting</t>
  </si>
  <si>
    <t>primary mill</t>
  </si>
  <si>
    <t>hot rolling</t>
  </si>
  <si>
    <t>plate rolling</t>
  </si>
  <si>
    <t xml:space="preserve">rod / bar rolling </t>
  </si>
  <si>
    <t>section rolling</t>
  </si>
  <si>
    <t>steel product casting</t>
  </si>
  <si>
    <t>ingot casting</t>
  </si>
  <si>
    <t>iron foundary casting</t>
  </si>
  <si>
    <t>Reuse bottles</t>
  </si>
  <si>
    <t>Reuse mobile phones</t>
  </si>
  <si>
    <t>Remanufacture mobile phones</t>
  </si>
  <si>
    <t>Refurb smart phone</t>
  </si>
  <si>
    <t>Forming yield improvement - steel</t>
  </si>
  <si>
    <t>Forming yield improvement - Aluminium</t>
  </si>
  <si>
    <t xml:space="preserve">Reuse structural steel </t>
  </si>
  <si>
    <t>More efficient packaging</t>
  </si>
  <si>
    <t>Reuseable foundations</t>
  </si>
  <si>
    <t>Improved corrosion protection</t>
  </si>
  <si>
    <t>Carpets</t>
  </si>
  <si>
    <t>Retail and postal services for the fraction reused are doubled</t>
  </si>
  <si>
    <t>An increase in GVA (relating to buy back costs) of half the resale value for the "usable" goods. Could try to compare to EMF figures but they're quite different (25%, 5%, 20% for vehicle)</t>
  </si>
  <si>
    <t>Inputs of 5% for resell, 10% for repair</t>
  </si>
  <si>
    <t>Some issue that the age that goods are disposed of at is typically greater than optimum for resale.</t>
  </si>
  <si>
    <t>First set of efficiencies reduce the need for all inputs to agricultural produce, replace value with GVA and equipment</t>
  </si>
  <si>
    <t>Parry, A., LeRoux, S., Quested, T., &amp; Parfitt, J. (2014). UK food waste – Historical changes and how amounts might be influenced in the future.</t>
  </si>
  <si>
    <t>of the total waste,  45% goes out of date, the rest is e.g. too much cooked or not wanted.</t>
  </si>
  <si>
    <t>Clothing - improve longevity and material efficiency</t>
  </si>
  <si>
    <t>Reusing clothing - EU</t>
  </si>
  <si>
    <t>22% recycled (as scraps or wipes). Recycled replaces textile inputs to clothing at rate 22% (proportion of recovered going to recycling) * 50% (recovery rate) * collection rate (e.g. 75%)</t>
  </si>
  <si>
    <t>Reusing clothing - UK</t>
  </si>
  <si>
    <t>Recycling remaining</t>
  </si>
  <si>
    <t>Index</t>
  </si>
  <si>
    <t>Regions</t>
  </si>
  <si>
    <t>Description</t>
  </si>
  <si>
    <t>Global</t>
  </si>
  <si>
    <t>UK</t>
  </si>
  <si>
    <t>EU except UK</t>
  </si>
  <si>
    <t>North America (Canada, USA, Mexico)</t>
  </si>
  <si>
    <t>North America + Oceania</t>
  </si>
  <si>
    <t>Japan, China, S Korea</t>
  </si>
  <si>
    <t>N Africa and Middle East</t>
  </si>
  <si>
    <t>ROW except EU &amp;  North America</t>
  </si>
  <si>
    <t>Gutowski, T. G., Sahni, S., Boustani, A., &amp; Graves, S. C. (2011). Remanufacturing and energy savings. Environmental Science &amp; Technology, 45(10), 4540–7. http://doi.org/10.1021/es102598b</t>
  </si>
  <si>
    <t>Knight, T., King, G., Herren, S., &amp; Cox, J. (2013). Electrical and electronic product design: product lifetime. WRAP.</t>
  </si>
  <si>
    <t>[3]</t>
  </si>
  <si>
    <t>European Commission, ‘Proposal for a Directive of the European Parliament and of the Council on Waste Electrical and Electronic Equipment (WEEE)’, Proposal for a directive, COD 2008/0241, December 2008</t>
  </si>
  <si>
    <t>Ellen MacArthur Foundation. (2013). Towards the circular economy, 1: Economic and business rationale for an accelerated transisiton. Cowes, UK: Ellen MacArthur Foundation.</t>
  </si>
  <si>
    <t>Ellen MacArthur Foundation. (2013). Towards the circular economy, 2: Opportunities for the consumer goods sector. Cowes, UK: Ellen MacArthur Foundation.</t>
  </si>
  <si>
    <t>Estimates of secondhand value taken from [1] &amp; [8]</t>
  </si>
  <si>
    <t>Scott, K., Barrett, J. R., Baiocchi, G., &amp; Minx, J. (2009). Meeting the UK climate change challenge: The contribution of resource efficiency. EVA 128. Oxon, UK: WRAP.</t>
  </si>
  <si>
    <t>Cooper, T. (2004). Inadequate Life? Evidence of Consumer Attitudes to Product Obsolescence. Journal of Consumer Policy, 27(4), 421–449. doi:10.1007/s10603-004-2284-6</t>
  </si>
  <si>
    <t>Kerr, W., &amp; Ryan, C. (2001). Eco-efficiency gains from remanufacturing. Journal of Cleaner Production, 9(1), 75–81. doi:10.1016/S0959-6526(00)00032-9</t>
  </si>
  <si>
    <t>[14]</t>
  </si>
  <si>
    <t>Seitz, M. a. (2007). A critical assessment of motives for product recovery: the case of engine remanufacturing. Journal of Cleaner Production, 15(11-12), 1147–1157. doi:10.1016/j.jclepro.2006.05.029</t>
  </si>
  <si>
    <t>World Auto Steel. (2015). A new paradigm for automotive mass benchmarking. Brussels, Belgium: WorldAutoSteel.</t>
  </si>
  <si>
    <t>Moynihan, M. C. (2014). Material efficiency in construction. University of Cambridge.</t>
  </si>
  <si>
    <t>Approach here is to take an estimate of the second hand retail value as proportion of original price (25%) as the value that is displaced or from [8] where available .</t>
  </si>
  <si>
    <t>Walz, R. (2011). Employment and structural impacts of material efficiency strategies: results from five case studies. Journal of Cleaner Production, 19(8), 805–815. doi:10.1016/j.jclepro.2010.06.026</t>
  </si>
  <si>
    <t>Carruth, M. a., Allwood, J. M., &amp; Moynihan, M. C. (2011). The technical potential for reducing metal requirements through lightweight product design. Resources, Conservation and Recycling, 57, 48–60. doi:10.1016/j.resconrec.2011.09.018</t>
  </si>
  <si>
    <t>Milford, R. L., Allwood, J. M., &amp; Cullen, J. M. (2011). Assessing the potential of yield improvements, through process scrap reduction, for energy and CO2 abatement in the steel and aluminium sectors. Resources, Conservation and Recycling, 55(12), 1185–1195. doi:10.1016/j.resconrec.2011.05.021</t>
  </si>
  <si>
    <t>Morley, N. J., Bartlett, C., &amp; McGill, I. (2009). Maximising Reuse and Recycling of UK Clothing and Textiles EC0421. London, UK: Department for Environment, Food and Rural Affairs.</t>
  </si>
  <si>
    <t>Allwood, J. M., Laursen, S. E., Malvido de Rodriguez, C., &amp; Bocken, N. M. P. (2006). Well Dressed?</t>
  </si>
  <si>
    <t>WRAP. (2013). Household Food and Drink Waste in the United Kingdom 2012. Wrap. http://doi.org/978-1-84405-458-9</t>
  </si>
  <si>
    <t>Relative intervention (the intervention that the changes relate to the value of)</t>
  </si>
  <si>
    <t>Austria</t>
  </si>
  <si>
    <t>Belgium</t>
  </si>
  <si>
    <t>Bulgaria</t>
  </si>
  <si>
    <t>Cyprus</t>
  </si>
  <si>
    <t>Czech Republic</t>
  </si>
  <si>
    <t>Germany</t>
  </si>
  <si>
    <t>Denmark</t>
  </si>
  <si>
    <t>Estonia</t>
  </si>
  <si>
    <t>Spain</t>
  </si>
  <si>
    <t>Finland</t>
  </si>
  <si>
    <t>France</t>
  </si>
  <si>
    <t>Greece</t>
  </si>
  <si>
    <t>Hungary</t>
  </si>
  <si>
    <t>Ireland</t>
  </si>
  <si>
    <t>Italy</t>
  </si>
  <si>
    <t>Lithuania</t>
  </si>
  <si>
    <t>Luxembourg</t>
  </si>
  <si>
    <t>Latvia</t>
  </si>
  <si>
    <t>Malta</t>
  </si>
  <si>
    <t>Netherlands</t>
  </si>
  <si>
    <t>Poland</t>
  </si>
  <si>
    <t>Portugal</t>
  </si>
  <si>
    <t>Romania</t>
  </si>
  <si>
    <t>Sweden</t>
  </si>
  <si>
    <t>Slovenia</t>
  </si>
  <si>
    <t>Slovak Republic</t>
  </si>
  <si>
    <t>United Kingdom</t>
  </si>
  <si>
    <t>United States</t>
  </si>
  <si>
    <t>Japan</t>
  </si>
  <si>
    <t>China</t>
  </si>
  <si>
    <t>Canada</t>
  </si>
  <si>
    <t>South Korea</t>
  </si>
  <si>
    <t>Brazil</t>
  </si>
  <si>
    <t>India</t>
  </si>
  <si>
    <t>Mexico</t>
  </si>
  <si>
    <t>Russian Federation</t>
  </si>
  <si>
    <t>Australia</t>
  </si>
  <si>
    <t>Switzerland</t>
  </si>
  <si>
    <t>Turkey</t>
  </si>
  <si>
    <t>Taiwan</t>
  </si>
  <si>
    <t>Norway</t>
  </si>
  <si>
    <t>Indonesia</t>
  </si>
  <si>
    <t>South Africa</t>
  </si>
  <si>
    <t>RoW Asia and Pacific</t>
  </si>
  <si>
    <t>RoW America</t>
  </si>
  <si>
    <t>RoW Europe</t>
  </si>
  <si>
    <t>RoW Africa</t>
  </si>
  <si>
    <t>RoW Middle East</t>
  </si>
  <si>
    <t>Europe except UK, incl. Russia</t>
  </si>
  <si>
    <t>Radio, television and communication equipment and apparatus</t>
  </si>
  <si>
    <t>Manufacture of radio, television and communication equipment and apparatus'</t>
  </si>
  <si>
    <t>Post and telecommunication services</t>
  </si>
  <si>
    <t>Retail  trade services, except of motor vehicles and motorcycles; repair services of personal and household goods</t>
  </si>
  <si>
    <t>Manufacture of electrical machinery and apparatus n.e.c.'</t>
  </si>
  <si>
    <t>Furniture; other manufactured goods n.e.c.</t>
  </si>
  <si>
    <t>Manufacture of furniture; manufacturing n.e.c.'</t>
  </si>
  <si>
    <t>Motor vehicles, trailers and semi-trailers</t>
  </si>
  <si>
    <t>Manufacture of motor vehicles, trailers and semi-trailers'</t>
  </si>
  <si>
    <t>Sale, maintenance, repair of motor vehicles, motor vehicles parts, motorcycles, motor cycles parts and accessoiries</t>
  </si>
  <si>
    <t xml:space="preserve">[15] points out that engine remanufacturing might be profitable for independent remanufacturers, but motivation for vehicle manufacturers is likely to be different - securing spare parts (after serial production, costs go up) - especially where parts are guaranteed or support is guaranteed, avoiding competition - brand protection,  </t>
  </si>
  <si>
    <t>Renting services of machinery and equipment without operator and of personal and household goods</t>
  </si>
  <si>
    <t>Aircraft aluminium</t>
  </si>
  <si>
    <t>Aluminium and aluminium products</t>
  </si>
  <si>
    <t>Manufacture of other transport equipment'</t>
  </si>
  <si>
    <t>Cullen, J. M., &amp; Allwood, J. M. (2013). Mapping the global flow of aluminium: from liquid aluminium to End-Use goods. Environmental Science &amp; Technology, 47, 3057–3064. http://doi.org/dx.doi.org/10.1021/es304256s</t>
  </si>
  <si>
    <t>currently yields of around 8% perhaps this could be doubled, achieving a halving of the aluminium flow to aircraft going from secondary ind to alu product. Tricky as the recycled is actually lower value so perhaps more accurate possible with negative flow arrangement.</t>
  </si>
  <si>
    <t>estimating 80% of Alu in other transport used in aircraft from [28] supporting info</t>
  </si>
  <si>
    <t>More efficient Rebar</t>
  </si>
  <si>
    <t xml:space="preserve">Reuse infractructure </t>
  </si>
  <si>
    <t>Undersea pipeline lightweighting</t>
  </si>
  <si>
    <t>Rail life extension</t>
  </si>
  <si>
    <t>Fertlizer</t>
  </si>
  <si>
    <t>Steel industry</t>
  </si>
  <si>
    <t>Aluminium production</t>
  </si>
  <si>
    <t>Note that exiobase has a "reused bottle industry" but the production recipe is surprising</t>
  </si>
  <si>
    <t>Glass industry</t>
  </si>
  <si>
    <t>Glass products</t>
  </si>
  <si>
    <t>Food, drink, retail (users of glass bottles)</t>
  </si>
  <si>
    <t>Paper</t>
  </si>
  <si>
    <t>Still functioning</t>
  </si>
  <si>
    <t>In need of repair</t>
  </si>
  <si>
    <t>Electrical equipment</t>
  </si>
  <si>
    <t>Telecoms</t>
  </si>
  <si>
    <t>Computers</t>
  </si>
  <si>
    <t>Other manufactured</t>
  </si>
  <si>
    <t>Refurbish</t>
  </si>
  <si>
    <t>Secondhand net residual values: laptop 20-25%, TV 18%, tablet 20 - 33%, camera 15%. From [8]</t>
  </si>
  <si>
    <t>Reduction in discard rates of items that are functioning by 33% or 90% (depending on level of effort) [9]</t>
  </si>
  <si>
    <t>Laptop: 20% resale price, Refurb 3%, logistics 1.5% (£173/£879, £25/879, 14/879) [8]</t>
  </si>
  <si>
    <t>Costs based on [3], logistics services averaging around 1% [3] / 1.5% in [8],  additional evidence in [7], [8]</t>
  </si>
  <si>
    <t>[10]: c1/3 of electronics disposed of by landfill / 7% is reused / just over 1/2 recycled - the data from Tim Cooper allows the recycling to continue as before</t>
  </si>
  <si>
    <t xml:space="preserve">Additional retail cost of 7 to 9% based on [3], </t>
  </si>
  <si>
    <t xml:space="preserve">[7] suggests TV return incentivised by 10% discount, estimating that 35% can be traded in - of which 3.5% are scrapped. Initial cost 336, cost of refurb 40, resale price 210. tvs 13% of elec sector. However, [8] estimate 235 down to 60 (25%, after 3yr) with refurb cost of £10 (4%) plus £11 transport. </t>
  </si>
  <si>
    <t>Remainder to GVA, split in (currently unknown proportions) to money back to encourage return of usable items, increased wages within processing sector, balance of profit / subsidy</t>
  </si>
  <si>
    <t>Quantity</t>
  </si>
  <si>
    <t>Proportional Value</t>
  </si>
  <si>
    <t>SUMMARY</t>
  </si>
  <si>
    <t>Refurb / repair costs of 4% for basic resale or 10% for repair - based on examples in [3], [7] &amp; [8]. Bit tricky as slightly different definitions of direct resale / refurbish / repair / remanufacture potentially used.</t>
  </si>
  <si>
    <t>TVs are 13% of that sector [7]</t>
  </si>
  <si>
    <t>[21] also (similarly) - 10% longer use (3 months)</t>
  </si>
  <si>
    <t>of which 73% can be reused and 22% can be recycled. [4]</t>
  </si>
  <si>
    <t>22% recycled (as scraps or wipes). Recycled replaces textile inputs to clothing at rate 22% (proportion of recovered going to recycling) * 50% (recovery rate) * collection rate (e.g. 75%) [4]</t>
  </si>
  <si>
    <t>UK is currently achieving 48% reuse (=540/(540+160+80+350)) and 14% recycle (=160/(540+160+80+350)) [21].  At present, most of this (3/4) is exported, but circular economy principle that value maximised domestically. These figures are up from [22], reflecting recent improvement. 55% is estimate of value relative to new given proper sorting and refurbishing (seems optimistic to me) [4]</t>
  </si>
  <si>
    <t>25% collection increasing to 40 or 65% [4]</t>
  </si>
  <si>
    <t>15% increasing to 35% or 55%  [4]</t>
  </si>
  <si>
    <t>65% increasing to 75% or 90%  [4]</t>
  </si>
  <si>
    <t>Computers and office machinery</t>
  </si>
  <si>
    <t>Ellen MacArthur Foundation. (2014). Towards the circular economy, 3: Accelerating the scale-up across global supply chains. Cowes, UK: Ellen MacArthur Foundation.</t>
  </si>
  <si>
    <t>Reuse Electrical equipment - washing machines, fridges etc</t>
  </si>
  <si>
    <t>Refurbish Electrical equipment - washing machines, fridges etc</t>
  </si>
  <si>
    <t>Reuse Computers</t>
  </si>
  <si>
    <t>Refurbish Computers</t>
  </si>
  <si>
    <t>Reuse other items e.g. toys and household / garden tools</t>
  </si>
  <si>
    <t>However, [12] (Xerox printers) suggests that refurbishment still requires around half the materials and a third of the energy</t>
  </si>
  <si>
    <t>[7] - sold at 45% of new price (i.e. this is cost of materials + labour), 5% of annual market could be replaced (worth 2.5%). This seems to be quite different to approach cf 29 so treating it separately and assuming 75:25 split of products characterised by each</t>
  </si>
  <si>
    <t>e.g. oil rigs [17]</t>
  </si>
  <si>
    <t>food cans [13]</t>
  </si>
  <si>
    <t>reuse of steel packaging gives 400% increase. [13]</t>
  </si>
  <si>
    <t>equivalent - weighted average of steel sector forming yield improvements [13]</t>
  </si>
  <si>
    <t>[20]: 76Mt Alu yields 45Mt. Points out that lightweighting is better option than yield improvements due to the availability of secondary metal. If we are going to model yield improvements then the metal needs to be taken off secondary industries. worldwide, 1400Mt steel yields 1040Mt</t>
  </si>
  <si>
    <t>Exiobase region codes</t>
  </si>
  <si>
    <t>34% heavier, reused up to 30 times with 95% return rate gives average of 16 reuses per bottle. i.e. use of glass reduced by 92% [5]</t>
  </si>
  <si>
    <t>includes capital and need for additional 14% bottles to form "float" for reprocessing [5]</t>
  </si>
  <si>
    <t>[13]: 10% increase through modular design</t>
  </si>
  <si>
    <t>[13]. NB this would ideally be maintenance sector but there isn't a specific relevant one in Exiobase</t>
  </si>
  <si>
    <t>[13] NB extending measures for industrial equipment to include other unspecified mftr (it is most conservative of sectors covered by [13]</t>
  </si>
  <si>
    <t>Manufacture of machinery and equipment n.e.c.' + manufacturing nec</t>
  </si>
  <si>
    <t>Machinery and equipment n.e.c. + manufacturing nec</t>
  </si>
  <si>
    <t xml:space="preserve"> [23] estimates that 50% of fibres can be recovered in recycling. Figures are also provided for disposal fate of UK textiles (308kt incineration, 1786kt landfill, 200kt reuse abroad, 100kt reuse &amp;recycling UK), but think that the OH figures are better split up for purposes of this.</t>
  </si>
  <si>
    <t>[7] suggests consumers offered 50% off other used clothing to encourage returning clothes. Suggested split of how collected clothes could be used roughly agrees with [4]:  12% sold directly, 3% restyled , 55% charity / abroad, 30% recycled / disposed of. ratio of new:old price 41:35. i.e. 85%. but actully 55% net of the cost of the 50% buy back.</t>
  </si>
  <si>
    <t>Construction Industry</t>
  </si>
  <si>
    <t>Textiles</t>
  </si>
  <si>
    <t>Similar potential uses by I:CO [5] - rewear 40-60%, reuse (rags)  5 - 10%, recycle (as non clothing textile) 30 - 40%, EfW 1 - 3%</t>
  </si>
  <si>
    <t>[4] / [9] suggests that possible saving is 27%, 52% or 20% of the avoidable waste by using interventions that don't adversely affect welfare.</t>
  </si>
  <si>
    <t>Equipment and transport</t>
  </si>
  <si>
    <t xml:space="preserve">Cereals </t>
  </si>
  <si>
    <t>[19} - possible to upgrade Chinese rebar (60% of rebar) from 335MPa to 400MPa (standard elsewhere) results in 14% saving.</t>
  </si>
  <si>
    <t>[19]: additional 28Mt (of 170Mt rebar) could be saved by optimised design</t>
  </si>
  <si>
    <t>[17] gives example where 70% of an office block structure was reused. 10% based on proportion of steel going into similarish structures</t>
  </si>
  <si>
    <t>[17]: Foundation piles - 10% extra material could double life as used for next building. Applying to 25% of the proportion of steel going to rebar and structures</t>
  </si>
  <si>
    <t>Fabrication yield improvements</t>
  </si>
  <si>
    <t>Lipinski, B., Hanson, C., Lomax, J., Kitinoja, L., Waite, R., &amp; Searchinger, T. (2013). Reducing Food Loss and Waste. World Resource Institute. Washington DC: World Resource Institute. Retrieved from http://unep.org/wed/docs/WRI-UNEP-Reducing-Food-Loss-and-Waste.pdf</t>
  </si>
  <si>
    <t>Stanley, B., &amp; Gyimesi, K. (2016). A new relationship – people and cars. Somers, NY, USA: IBM Business Services.</t>
  </si>
  <si>
    <t>[29] suggests means to reduce losses. Many involve better matching between food supplies and demands - not wasting food that isn't needed or could be used elsewhere (e.g. discarded due to blemishes or liabilities). Improved date labelling and understanding</t>
  </si>
  <si>
    <t>[29] some of the improvements do involve equipment - better transport, storage and refrigeration for example. Better consumer packaging</t>
  </si>
  <si>
    <t>Allwood, J. M., Cullen, J. M., Carruth, M. A., Cooper, D. R., McBrien, M., Milford, R. L., … Patel, A. C. (2012). Sustainable Materials With Both Open Eyes. Cambridge, UK: Cambridge University Press. Retrieved from http://www.withbotheyesopen.com/pdftransponder.php?c=100</t>
  </si>
  <si>
    <t>230Mt / yr</t>
  </si>
  <si>
    <t>120kg/ person in EU, japan, US</t>
  </si>
  <si>
    <t>EU:</t>
  </si>
  <si>
    <t>Auto</t>
  </si>
  <si>
    <t>E&amp;E</t>
  </si>
  <si>
    <t>US</t>
  </si>
  <si>
    <t>Transport</t>
  </si>
  <si>
    <t>(+ exports 20%)</t>
  </si>
  <si>
    <t>Consumer &amp; Institutional</t>
  </si>
  <si>
    <t>53.5 Mt</t>
  </si>
  <si>
    <t>45 Mt</t>
  </si>
  <si>
    <t>of which ~50kg packaging</t>
  </si>
  <si>
    <t>around 30kg is B2B packaging</t>
  </si>
  <si>
    <t>of which 11kg food packaging (1kg bags, 7kg bottles)</t>
  </si>
  <si>
    <t>[31] also points out that much plastics use is high volume where value to recover is small. Extending life of larger systems, extending life of packaging,reducing variety to help recycling, EfW are suggested options.</t>
  </si>
  <si>
    <t>[31] uses of plastics. Summarised from Callister, W D, 2003. Material science and engineering: an introduction, Sixth edition. New York: John Wiley &amp; Sons</t>
  </si>
  <si>
    <t>[31] Replacing top of railway rails (e.g. Swedish ReRail system), uses only 15% of metal</t>
  </si>
  <si>
    <t xml:space="preserve">[31] uses of paper. </t>
  </si>
  <si>
    <t>Printing &amp; writing</t>
  </si>
  <si>
    <t>Container board</t>
  </si>
  <si>
    <t>Other paper &amp; board</t>
  </si>
  <si>
    <t>Newsprint</t>
  </si>
  <si>
    <t>Tissue</t>
  </si>
  <si>
    <t>Orr, J. J., Darby, A. P., Ibell, T. J., Evernden, M. C., &amp; Otlet, M. (2011). Concrete structures using fabric formwork. The Structural Engineer, 89(8), 20–26.</t>
  </si>
  <si>
    <t>[32] lightweighting of beams by up to 40% (flexible formwork)</t>
  </si>
  <si>
    <t>European Cement Association. (n.d.). The role of cement in the 2050 low carbon economy. Paris: European Cement Association. Retrieved from lowcarboneconomy.cembureau.eu</t>
  </si>
  <si>
    <t>World Business Council for Sustainable Development, &amp; International Energy Agency. (2009). Cement Technology Roadmap 2009.</t>
  </si>
  <si>
    <t>The costs are modelled as increase in equipment and transport services of 15% (each) of the saving made. This is a bit arbitrary as hard figures on the costs can't be found</t>
  </si>
  <si>
    <t>Processing vegetable oils and fats'</t>
  </si>
  <si>
    <t>Processing of dairy products'</t>
  </si>
  <si>
    <t>Processed rice'</t>
  </si>
  <si>
    <t>Sugar refining'</t>
  </si>
  <si>
    <t>Processing of Food products nec'</t>
  </si>
  <si>
    <t>Manufacture of beverages'</t>
  </si>
  <si>
    <t>Manufacture of fish products'</t>
  </si>
  <si>
    <t xml:space="preserve">Food losses [24] </t>
  </si>
  <si>
    <t>Processing and packaging</t>
  </si>
  <si>
    <t>Distribution</t>
  </si>
  <si>
    <t>Final consumption</t>
  </si>
  <si>
    <t>post processing</t>
  </si>
  <si>
    <t>Note that these losses relate to all five stages of food chain given in [24] so losses in last two stages need to be taken off losses / potential savings for food processing industries. However, they are included here as some of the products (in some cases, majority) are sold directly (not through food processing industry).</t>
  </si>
  <si>
    <t>Processing of Meat</t>
  </si>
  <si>
    <t>Food wastage - Europe &amp; Russia</t>
  </si>
  <si>
    <t>Food wastage - North America &amp; Oceania</t>
  </si>
  <si>
    <t>Food wastage - Japan, China, South Korea</t>
  </si>
  <si>
    <t>Food wastage - subSaharan Africa</t>
  </si>
  <si>
    <t>Food wastage - North Africa &amp; Middle East</t>
  </si>
  <si>
    <t>Food wastage - South &amp; SouthEast Asia</t>
  </si>
  <si>
    <t>Food wastage - Latin America</t>
  </si>
  <si>
    <t>Food wastage after processing - Europe &amp; Russia</t>
  </si>
  <si>
    <t>All food products</t>
  </si>
  <si>
    <t>As losses after processing also affect inputs into the processing industry, these should be accounted for, however we need to add back in the food input that is lost after this stage so it isn't double counted with total losses for food given above.</t>
  </si>
  <si>
    <t>Food wastage after processing -North America &amp; Oceania</t>
  </si>
  <si>
    <t>Food wastage after processing - Japan, China, South Korea</t>
  </si>
  <si>
    <t>Food wastage after processing - subsaharan Africa</t>
  </si>
  <si>
    <t>Food wastage after processing - North Africa and Middle East</t>
  </si>
  <si>
    <t>Food wastage after processing - South &amp; SE Asia</t>
  </si>
  <si>
    <t>Food wastage after processing - Latin America</t>
  </si>
  <si>
    <t>Current material yields [13]</t>
  </si>
  <si>
    <t>Data on how steel is used in UK construction (kt) 2006 [17]</t>
  </si>
  <si>
    <t>Data on steel use in Global construction [17] (Mt) 2006. Less confidence (based on EU, UK, other proxies)</t>
  </si>
  <si>
    <t>Alu Car door</t>
  </si>
  <si>
    <t>Alu can</t>
  </si>
  <si>
    <t>Alu wing panel</t>
  </si>
  <si>
    <t>Metal production</t>
  </si>
  <si>
    <t>Metal product</t>
  </si>
  <si>
    <t>Manufacturing</t>
  </si>
  <si>
    <t xml:space="preserve">[1] points out that remanufacturing is a significant business but that the effect on in-use energy should also be considered (e.g. remanufacture may have detrimental effect or might avoid the newer more efficient option). lists energy required to remanufacture vs make 25 items from scratch. Doesn't list materials impact. Maybe references do? tyres, dishwasher, fridge, washing machine, computers, chairs, T-shirt, car engine, truck engine, electric motor, </t>
  </si>
  <si>
    <t>When displacing sales, this is further multiplied by ratio of (secondhand value / new value) as it is this value that is arguably displaced (as the lower value rpresent lower utility, expected life etc).</t>
  </si>
  <si>
    <t>Proportional change in flow</t>
  </si>
  <si>
    <t>Estimates of changes in inputs caused by refurbishing / remanufacturing items [3]</t>
  </si>
  <si>
    <t>We could remove all of the inputs but the logic here is that these reductions are known, others might be spread between inputs that still occur (e.g. R&amp;D).</t>
  </si>
  <si>
    <t>[2] provides additional information about expectations for product lifespans and how they affect purchase decisions. washing machine, vacuum cleaner, fridge, electronics</t>
  </si>
  <si>
    <t>i.e. this would go to GVA</t>
  </si>
  <si>
    <t>buy-back</t>
  </si>
  <si>
    <t>Savings</t>
  </si>
  <si>
    <t>Additional inputs</t>
  </si>
  <si>
    <t>Proportion of flow that could be affected (proportion of discards that could be returned x proportion to be used in this way).  Mid / High estimates. WEEE regulation target is 65% by 2016 [6], EMF suggesting 50% (so 19% to reuse, 21% to remanufacture, 10% to recycle) from current 15% (6% reuse, 9% recycle), or 95% (or which 50:50 reuse:remanufacture) in extreme case</t>
  </si>
  <si>
    <t>Mid</t>
  </si>
  <si>
    <t>High</t>
  </si>
  <si>
    <t>Discards while products still have value, proportions taken from [11]</t>
  </si>
  <si>
    <t>Culligan, K., &amp; Menzies, B. (2013). The value of consumer electronics for trade-in and re-sale. Oxon, UK: Waste and Resources Action Programme (WRAP).</t>
  </si>
  <si>
    <t>WRAP. (2013). Switched on to Value. Oxon UK: Waste and Resources Action Programme (WRAP).</t>
  </si>
  <si>
    <t>Note that we're interested in the avoidable waste (i.e. not including egg shells, banana skins etc, around 60% of the total). We might be slightly underestimating the change that would occur as I think these figures are AvoidableWaste/Total rather than AvoidableWaste/(Total-UnavoidableWaste) [25]</t>
  </si>
  <si>
    <t xml:space="preserve"> Europe (incl UK) + russia</t>
  </si>
  <si>
    <t>30% relative to 2007 [25]</t>
  </si>
  <si>
    <t>EU Circular economy package calls for 30% reduction in food waste, [25] suggests that this is possible re the 2007 baseline but not cf a 2015 baseline without extreme measures.</t>
  </si>
  <si>
    <t>losses in 2011 [25] Households 7.00Mt, Mftr 3.90Mt, Hospitality 0.92Mt, Retail 0.43Mt, Wholesale 0.02Mt. There has been a 15% reduction between 2007 and 2012</t>
  </si>
  <si>
    <t>[25] suggests costs of £200M to £530M in order to save £30B to £40B of food waste over 10years (NPV, 30% relative to 2007 baseline). i.e. 0.5% to 1.7%. These costs are mainly communications and training.</t>
  </si>
  <si>
    <t>Public awareness campaign product (post &amp; telecoms, other business, education)</t>
  </si>
  <si>
    <t>Taking costs of 2% on awareness campaign and 10% on equipment (% of saving made)</t>
  </si>
  <si>
    <t>EU Circular economy package calls for 30% reduction in food waste, [25] suggests that this is possible for UK cf the 2007 baseline but not cf a 2015 baseline without extreme measures. Going for 25% intermediate and 50% advanced</t>
  </si>
  <si>
    <t>We have more specific data for distribution and consumer losses in the UK [26]. [27] suggests average of 9% lost in production, which would be taken off flow of agricultural products, but as WRAP don’t include agricultural losses, I'll take the European losses for this part of supply chain.</t>
  </si>
  <si>
    <t>UK specific - total food waste</t>
  </si>
  <si>
    <t>UK specific - processed food waste</t>
  </si>
  <si>
    <t>[26] 19% of household food purchases are wasted (including unavoidable waste)</t>
  </si>
  <si>
    <t>Poultry</t>
  </si>
  <si>
    <t>purchased (2007)</t>
  </si>
  <si>
    <t>total loss</t>
  </si>
  <si>
    <t xml:space="preserve">avoidable loss </t>
  </si>
  <si>
    <t>Drink</t>
  </si>
  <si>
    <t>Fruit</t>
  </si>
  <si>
    <t>Meat &amp; fish</t>
  </si>
  <si>
    <t>Bakery</t>
  </si>
  <si>
    <t>Meals</t>
  </si>
  <si>
    <t>Processed veg</t>
  </si>
  <si>
    <t>Staples</t>
  </si>
  <si>
    <t>Processed fruit</t>
  </si>
  <si>
    <t>Paddy rice</t>
  </si>
  <si>
    <t>Wheat</t>
  </si>
  <si>
    <t>Cereal grains nec</t>
  </si>
  <si>
    <t>Vegetables, fruit, nuts</t>
  </si>
  <si>
    <t>Oil seeds</t>
  </si>
  <si>
    <t>Sugar cane, sugar beet</t>
  </si>
  <si>
    <t>Crops nec</t>
  </si>
  <si>
    <t>Cattle</t>
  </si>
  <si>
    <t>Pigs</t>
  </si>
  <si>
    <t>Meat animals nec</t>
  </si>
  <si>
    <t>Animal products nec</t>
  </si>
  <si>
    <t>Raw milk</t>
  </si>
  <si>
    <t>Fish and other fishing products; services incidental of fishing</t>
  </si>
  <si>
    <t>Quested, T., &amp; Johnson, H. (2009). Household Food and Drink Waste in the UK. October. Banbury, UK: WRAP. http://doi.org/10.1111/j.1467-3010.2011.01924.x</t>
  </si>
  <si>
    <t>Food losses UK kt [35]</t>
  </si>
  <si>
    <t>Snacks</t>
  </si>
  <si>
    <t>Dairy &amp; eggs</t>
  </si>
  <si>
    <t>Fresh veg</t>
  </si>
  <si>
    <t>Desserts</t>
  </si>
  <si>
    <t>Oil &amp; fat</t>
  </si>
  <si>
    <t>pre distribution</t>
  </si>
  <si>
    <t>a reduction of 30% of the total losses is roughly equivalent to 50% of the avoidable losses</t>
  </si>
  <si>
    <t>Var meat products</t>
  </si>
  <si>
    <t>These losses also apply but not to input to food processing</t>
  </si>
  <si>
    <t>The figures given here relate to avoidable waste - a 30% reduction in total waste corresponds to a 50% reduction in avoidable waste.</t>
  </si>
  <si>
    <t>World Economic Forum, Ellen MacArthur Foundation, &amp; McKinsey &amp; Company. (2015). The new plastics economy - Rethinking the future of plastics. Cowes, UK: Ellen MacArthur Foundation.</t>
  </si>
  <si>
    <t>Note that when weighted by the relative amounts of these metal products going into the vehicle production sector, the average yield improvement should match the overall improvement potential given by Waugh. This more detailed breakdown is given on page 136 of [13]</t>
  </si>
  <si>
    <t>Current</t>
  </si>
  <si>
    <t>Possible</t>
  </si>
  <si>
    <t>Reduction in steel required</t>
  </si>
  <si>
    <t>Possible fabrication yield improvements [13]</t>
  </si>
  <si>
    <t>Improvement</t>
  </si>
  <si>
    <t>Potential forming yield improvement [13]</t>
  </si>
  <si>
    <t>Proportion of total [14] (that the improvement could apply to)</t>
  </si>
  <si>
    <t>Matson, P. A., Naylor, R., &amp; Ortiz-Monasterio, I. (1998). Integration of environmental, agronomic, and economic aspects of fertilizer management. Science, 280(5360), 112–115. http://doi.org/10.1126/science.280.5360.112</t>
  </si>
  <si>
    <t>Tilman, D., Cassman, K. G., Matson, P. a, Naylor, R., &amp; Polasky, S. (2002). Agricultural sustainability and intensive production practices. Nature, 418(6898), 671–7. http://doi.org/10.1038/nature01014</t>
  </si>
  <si>
    <t>Cassman, K. G., &amp; Walters, D. T. (2002). Agroecosystems , Nitrogen-use Efficiency , and Nitrogen Management Agroecosystems , Nitrogen-use Efficiency ,.</t>
  </si>
  <si>
    <t>Cassman, K. G., Kropff, M. J., Gaunt, J., &amp; Peng, S. (1993). Nitrogen use efficiency of rice reconsidered: What are the key constraints? Plant and Soil, 155-156(1), 359–362. http://doi.org/10.1007/BF00025057</t>
  </si>
  <si>
    <t>All products</t>
  </si>
  <si>
    <t>Product group</t>
  </si>
  <si>
    <t>Industry group</t>
  </si>
  <si>
    <t>Region group (for industries)</t>
  </si>
  <si>
    <t>Fraction of sector that product relates to</t>
  </si>
  <si>
    <t>Proportion of product that can be affected</t>
  </si>
  <si>
    <t>Change in flow</t>
  </si>
  <si>
    <t>Intermediate level</t>
  </si>
  <si>
    <t>Advanced level</t>
  </si>
  <si>
    <t>Recycling steel &amp; aluminium</t>
  </si>
  <si>
    <t>Cullen, J. M., Allwood, J. M., &amp; Bambach, M. D. (2012). Mapping the global flow of steel: From steelmaking to end-use goods. Environmental Science and Technology, 46(24), 13048–13055. doi:10.1021/es302433p   Note that the supporting information is where much of the detailed data is provided. The new fabrication yields used as basis of some figures in [13] are also from [14]</t>
  </si>
  <si>
    <t xml:space="preserve">Global uses of steel (2007, Mt) and fabrication yields [14] </t>
  </si>
  <si>
    <t>Cars</t>
  </si>
  <si>
    <t>Trucks</t>
  </si>
  <si>
    <t>Ships &amp; other</t>
  </si>
  <si>
    <t>Mechanical</t>
  </si>
  <si>
    <t>Electrical</t>
  </si>
  <si>
    <t>Metal goods</t>
  </si>
  <si>
    <t>Domestic appliances</t>
  </si>
  <si>
    <t>Food packaging</t>
  </si>
  <si>
    <t>Other metal goods</t>
  </si>
  <si>
    <t>Steel in finished goods</t>
  </si>
  <si>
    <t>Steel used</t>
  </si>
  <si>
    <t xml:space="preserve">Fabrication yield </t>
  </si>
  <si>
    <t>Fraction of total used</t>
  </si>
  <si>
    <t>NB Some slight rounding differences - values taken from source, not calculated.</t>
  </si>
  <si>
    <t>TOTAL</t>
  </si>
  <si>
    <t>Steel, Fabricated steel &amp; Aluminium</t>
  </si>
  <si>
    <t>Refurbish Light Commercial Vehicles</t>
  </si>
  <si>
    <t>Note - using different "global" region to relative intervention so that the reduction in secondary metal industry activity is spread in proportion to its output (not necessarily the same as primary metal industry)</t>
  </si>
  <si>
    <t>Aluminium recycling</t>
  </si>
  <si>
    <t>Steel recycling</t>
  </si>
  <si>
    <t>Global 2</t>
  </si>
  <si>
    <t>Note - "Global 2" is used so that if a change in global industry is made that is relative to another change in global industry (e.g. scrap steel from the steel industry going to recycled steel), the regional distribution of the changed flows (e.g. the recycled steel) isn't the same as the regional distribution of the original changes (e.g. primary steel)</t>
  </si>
  <si>
    <t>Agriculture</t>
  </si>
  <si>
    <t>Wholesale trade</t>
  </si>
  <si>
    <t>Apparel</t>
  </si>
  <si>
    <t>Land transport</t>
  </si>
  <si>
    <t>Electrical machinery and apparatus</t>
  </si>
  <si>
    <t>[13] Details for mechanical equipment extended to electrical equipment</t>
  </si>
  <si>
    <t>More efficient application of fertilizer to agriculture</t>
  </si>
  <si>
    <t>Variety of evidence but hard to draw specific (region &amp; crop specific) conclusions. [37] gives example of better practice in Mexico (later in crop cycle) reducing fertlizer application by 28% while improving uptake by 24% (i.e. 42% reduction in application possible).  [38] states that 30-50% of N is taken up by plants and that N efficiency has been improved by 36% in last 21yr in US through improved R&amp;D and education. Cover crop / reduced tillage reduce leaching, volatilization and erosional losses. [39] gives more comparisons on N uptake efficiency. Rice in Asia acheives an average of  31% - (was 40% in their trial with better application, has been claimed to be 50 - 80% in some work). US Maize currently 37%. Indian wheat 18 - 49% (depending on yield that year), few more details in [40].</t>
  </si>
  <si>
    <t>Estimating 40% reduction possible for 30% to 60% of agriculture based upon [37] [38] [39] [40] but is subject  to considerable uncertainty</t>
  </si>
  <si>
    <t>Research &amp; Development</t>
  </si>
  <si>
    <t>With increase of awareness and R&amp;D - assumed to be extra 3% each of saving</t>
  </si>
  <si>
    <t>Apparel industry</t>
  </si>
  <si>
    <t>Aluminium</t>
  </si>
  <si>
    <t>Cement</t>
  </si>
  <si>
    <t>They can be further divided up:</t>
  </si>
  <si>
    <t>Improving material production forming yields (e.g. proportion of steel supplied as steel products compared to total steel produced)</t>
  </si>
  <si>
    <t>Improving manufacturing yield (e.g. better tessellation of patterns)</t>
  </si>
  <si>
    <t>Reducing losses of material throughout supply chain</t>
  </si>
  <si>
    <t>Reuse of components (e.g. steel beams)</t>
  </si>
  <si>
    <t>Improved quality control - reducing scrappage (may apply to need for inputs depending where in production the QC is applied)</t>
  </si>
  <si>
    <t>Repairing - encouraging repair with designs that enable it but also spares and information than facilitate it</t>
  </si>
  <si>
    <t>Encouraging continued use / less discarding of functional items</t>
  </si>
  <si>
    <t>Servitization of products</t>
  </si>
  <si>
    <t>Lightweighting paper</t>
  </si>
  <si>
    <t>Paper industry (inc. pulp &amp; recycled pulp)</t>
  </si>
  <si>
    <t>[31] suggests 10% lightweighting possible. Supported by [18]</t>
  </si>
  <si>
    <t>Recycling more paper</t>
  </si>
  <si>
    <t>http://www.cepi.org/system/files/public/documents/myths_realities/onlyRecycled.pdf</t>
  </si>
  <si>
    <t>http://catalystpaper.com/sites/default/files/How%20We%20Recycle%20Paper.pdf</t>
  </si>
  <si>
    <t>paper fibres can be recycled 4 - 8 times[41] or 5 times [42]. In EU, 54% of pulp is from recycled paper, and 72% of paper is recycled (2012) [41]. i.e. fibre recycling rate is 54/72 = 75%, implying fibres are recycled 4 times on average. [18] suggests that recycling and collection costs are 9.4/12=78% of paper it replaces.</t>
  </si>
  <si>
    <t>Pulp</t>
  </si>
  <si>
    <t>Recycled pulp</t>
  </si>
  <si>
    <t>In exiobase, 31.5% of pulp is from recycled paper, implying (excluding tissue paper and assuming average fibre life of 4 cycles), 45% recycling rate for paper. This has already been improved considerably since 2007. A global target of 75% is 67% higher. Will assume that this occurs in all locations as waste paper is already traded globally. Equivalent decrease in primary pulp production, assumed to occur in proportion to locations it currently takes place.</t>
  </si>
  <si>
    <t>Clinker substitution</t>
  </si>
  <si>
    <t>Ash into clinker</t>
  </si>
  <si>
    <t>Novel cements (e.g. novacem, calera, geopolymer, calix) could also have an effect but not included here - not included in [34]. [34] also suggests that fuel substitution could be used but also not included here</t>
  </si>
  <si>
    <t>[33] clinker substitution decreasing clinker / cement ratio from 73.7% to 70%. (73.7-70)/73.7= 5% reduction of inputs to cement. 3.7/26.3=15% increase in ash to clinker industry. [34] - average clinker ratio is 78%, availability of fly ash (power plants), blast furnce slag (iron&amp; steel) and other ash (excluding ilmestone) could double substitution so bring total clinker ratio down to (2400-1000)/2400 = 58% but IEA estimate is 71% (as demand also likely to increase). i.e. 9% decrease in main inputs and 32% increase in clinker alternative.</t>
  </si>
  <si>
    <t xml:space="preserve">European Commission. (2015). Proposal for a Directive of the European Parliament and of the Council amending Directive 1999/31/EC on the landfill of waste. Brussels, Belgium: European Commission. </t>
  </si>
  <si>
    <t xml:space="preserve">European Commission. (2015). Closing the loop - An EU action plan for the Circular Economy. Brussels, Belgium: European Commission. </t>
  </si>
  <si>
    <t>European Commission. (2015). Proposal of a Directive of the European Parliament and of the Council amending Directive 94/62/EC on packaging and packaging waste. Brussels, Belgium: European Commission.</t>
  </si>
  <si>
    <t>European Commission. (2015). Proposal for a Directive of the European Parliament and of the Council amending Directive 2008/98/EC on waste. Brussels, Belgium: European Commission.</t>
  </si>
  <si>
    <t>European Commission. (2015). Annex to Closing the loop - An EU action plan for the Circular Economy. Brussels, Belgium: European Cement Association.</t>
  </si>
  <si>
    <t>More efficient concrete beam shapes</t>
  </si>
  <si>
    <t>Jenny, Gustavsson; Christel, Cederberg; Ulf, S. (2011). Global food losses and food waste - Extent, Causes and Prevention. Food and Agriculture Organisation.</t>
  </si>
  <si>
    <t>http://www.ers.usda.gov/data-products/cotton,-wool,-and-textile-data/cotton-and-wool-yearbook.aspx</t>
  </si>
  <si>
    <t>https://carpetrecovery.org/wp-content/uploads/2014/04/CARE-2013-Annual-Report.pdf</t>
  </si>
  <si>
    <t>Recycling non-clothing textiles</t>
  </si>
  <si>
    <t>Japan, China, South Korea</t>
  </si>
  <si>
    <t xml:space="preserve">Although [31] suggests that plastic products are already optimised, [36] points out that considerable savings continue to be made and so 10% lightweighting is considered reasonable (this is the saving made recently </t>
  </si>
  <si>
    <t>EU</t>
  </si>
  <si>
    <t>Plastics Europe - Association of Plastics Manufacturers. (2013). Plastics - the Facts 2014/2015 An analysis of European plastics production, demand and waste data. Brussels, Belgium: Plastics Europe. Retrieved from http://www.plasticseurope.org/documents/document/20121120170458-final_plasticsthefacts_nov2012_en_web_resolution.pdf</t>
  </si>
  <si>
    <t>Plastic packaging recycling - EU</t>
  </si>
  <si>
    <t>Plastics</t>
  </si>
  <si>
    <t>Overall average rate for plastics other than packaging is low - [50] 46.3Mt used in EU (2013), 25.2Mt wste of which 26% recycled. ~32% of the 40% packaging is recycled. Implying 9%of other plastics waste is recycled (if all packaging becomes waste). Note that is also only 6.68/46.3 = 14% disposal rate (not sure what happens to the rest!). Assuming increases to 30% and 55% for intermediate / advanced scenarios. This might be pesimistic, [18] suggests that an increase in recycling from 22% to 68% might be feasible in Germany, but it is balanced against the improved rate for packaging.</t>
  </si>
  <si>
    <t>Although [18] adds the additional burden of substituting EfW that is no longer supplied by plastics, for the rates here, removing leakage (32% packaging, [36]) more than covers EfW (14% of packaging) substitution</t>
  </si>
  <si>
    <t>Velis, C. (2014). Global recycling markets: plastic waste. Vienna: International Solid Waste Association.</t>
  </si>
  <si>
    <t>replacing with secondary plastics - [51] suggests that secondary plastic waste is traded internationally, so assuming that recycling activity increases in proportion to current activity locations rather than availability of scrap</t>
  </si>
  <si>
    <t>Hestin, M., Faninger, T., &amp; Milios, L. (2015). Increased EU Plastics Recycling Targets: Environmental , Economic and Social Impact Assessment Final Report. Deloitte.</t>
  </si>
  <si>
    <t>Distribution of plastic wase by source (2012)</t>
  </si>
  <si>
    <t>WEEE</t>
  </si>
  <si>
    <t>ELV</t>
  </si>
  <si>
    <t>Weighted average:</t>
  </si>
  <si>
    <t>Input recycling rate</t>
  </si>
  <si>
    <t>2025 target rate (taking account of recycling yield)</t>
  </si>
  <si>
    <t>Weighted average excl packaging</t>
  </si>
  <si>
    <t>76% recycling yield for packaging</t>
  </si>
  <si>
    <t xml:space="preserve">[52] EU plastics recycling: </t>
  </si>
  <si>
    <t>EPA. (2014). Municipal Solid Waste Generation, Recycling, and Disposal in the United States: Facts and Figures for 2012. Washington DC: United States Environmental Protection Agency.</t>
  </si>
  <si>
    <t>[36] Row - 15% recycled, 13% EfW</t>
  </si>
  <si>
    <t>Durables</t>
  </si>
  <si>
    <t>Non-durable</t>
  </si>
  <si>
    <t>recycled</t>
  </si>
  <si>
    <t>generated</t>
  </si>
  <si>
    <t>[53] Municipal Solid Waste in USA - share that is plastics</t>
  </si>
  <si>
    <t>US packaging is 40% of 53.5MT [31]</t>
  </si>
  <si>
    <t>mt (2012), based on http://www.firstamericanplastic.com/blog/10-facts-about-us-plastics-industry</t>
  </si>
  <si>
    <t>EU target to recycle 55% of plastic packaging [45], up from 40% at present  [36] - though I think up from 32% is more representative for exiobase, (based on [50]). Note that 40% of EU plastics is packaging [31][50]. Using strech goal of 75%. Taking advanced goal from [52]</t>
  </si>
  <si>
    <t>37% of plastics enter the US non-packaging MSW stream [53]. Of these, 5% currently recycled [53]</t>
  </si>
  <si>
    <t>current US rate is 14% [53]. [36] gives it as 1.9/(0.4*53.5)=9% based on other calculations. We assume same targets as EU. 40% of (unexported) plastic use in US is packaging [31] but only 29% of plastic makes it to MSW stream as packaging.</t>
  </si>
  <si>
    <t>globally, packaging is 78Mt/311Mt = 25% of plastics use [36]. Assuming 80% arrives in waste stream</t>
  </si>
  <si>
    <t xml:space="preserve">[51] total plastic waste is 3.4/0.12=28.3Mt, </t>
  </si>
  <si>
    <t>20% is assumption.</t>
  </si>
  <si>
    <t>Lightweighting plastics use</t>
  </si>
  <si>
    <t>Plastic (other) recycling - EU</t>
  </si>
  <si>
    <t>Plastic packaging recycling - US</t>
  </si>
  <si>
    <t>Plastic (other) recycling - US</t>
  </si>
  <si>
    <t>Plastic packaging recycling - ROW</t>
  </si>
  <si>
    <t>Plastic (other) recycling - ROW</t>
  </si>
  <si>
    <t>Secondary plastics</t>
  </si>
  <si>
    <t>All industries and final demand</t>
  </si>
  <si>
    <t>Buildings &amp; infrastructure</t>
  </si>
  <si>
    <t>Equipment and R&amp;D</t>
  </si>
  <si>
    <t>Plastics industry</t>
  </si>
  <si>
    <t>Secondary pulp</t>
  </si>
  <si>
    <t>Reduce food waste services in proportion to reduction in food waste</t>
  </si>
  <si>
    <t>Move some of remaining food waste treatement to AD</t>
  </si>
  <si>
    <t>Food waste biogasified</t>
  </si>
  <si>
    <t>Food waste treated except biogasification</t>
  </si>
  <si>
    <t>Extra CH4 displaces natural gas demand</t>
  </si>
  <si>
    <t>Natural gas</t>
  </si>
  <si>
    <t>Banks, C. J., Chesshire, M., Heaven, S., &amp; Arnold, R. (2011). Anaerobic digestion of source-segregated domestic food waste: Performance assessment by mass and energy balance. Bioresource Technology, 102(2), 612–620. http://doi.org/10.1016/j.biortech.2010.08.005</t>
  </si>
  <si>
    <t xml:space="preserve">i.e. we're making the natural gas displaced in each region proportional to the increase in AD activity. The proportion needs to be quantity of gas that would be produced by all food waste in AD (i.e. average yield * global losses) / total quantity of natural gas used. [54] gives 2656MJ/tonWW (netof parasitic heat and power - assuming CHP to provide these at 80% and rest of energy supplied as methane). </t>
  </si>
  <si>
    <t>(1-parasitic_losses/total_output)*39MJ/m3*98/ton WW*1300Mt/Natural gas energy</t>
  </si>
  <si>
    <t>Steel material efficiency interventions</t>
  </si>
  <si>
    <t>Food waste related interventions</t>
  </si>
  <si>
    <t>All</t>
  </si>
  <si>
    <t>Primary Industry</t>
  </si>
  <si>
    <t>Secondary Industry</t>
  </si>
  <si>
    <t>Primary Product</t>
  </si>
  <si>
    <t>Secondary Product</t>
  </si>
  <si>
    <t>Generally, exiobase distinguishes between the industries producing these products but assumes that both output the same product (this is generally reasonable but doesn't fit our modelling)</t>
  </si>
  <si>
    <t>To get around this, the output of the relevant recycling industries can be moved to products of their own (rather than going into the main product)</t>
  </si>
  <si>
    <t>These products are then distributed in proportion to the distribution of the original products</t>
  </si>
  <si>
    <t>Clothing - material efficiency</t>
  </si>
  <si>
    <t>Energy (inclusive list if we are decreasing all energy inputs)</t>
  </si>
  <si>
    <t>Energy (main) products</t>
  </si>
  <si>
    <t>Option 1 is from [7]: improving 37.5% of cheaper washing machines (40 % of washing machines are cheaper units so this is 15% total machines) from 1300cycles to 1820 (5 to 7yr). Total cost increased from £210 to £220 (an increase of 20% of the manufacturing cost, ) markup increased by additional 5% bringing retail up to £230. Additional advertising / shop staff awareness training cost of 1%. Option 2 is from [3]: lease model allows 500% longer life</t>
  </si>
  <si>
    <t>Estimate of second hand value</t>
  </si>
  <si>
    <t>[13]: 30yr for car body but other parts shorter gives average of 33% increase to 20yr. But only 10% increase for trucks etc. Giving 17% weighted average reduction but reduced to 13% due to conflicts with lightweighting etc.</t>
  </si>
  <si>
    <t>sector shares structure with current car hire costs, local to car use [18]. [18] suggests costs equal savings but reducing this for the advanced scenario</t>
  </si>
  <si>
    <t>[19]: can presurise when laying, reduces required skin thickness. Applying saving to all tube work used in infrastructure</t>
  </si>
  <si>
    <t>Steel to construction baseline</t>
  </si>
  <si>
    <t>Lightweighting - using beams with better optimised utilisation / actual strength ratio</t>
  </si>
  <si>
    <t>Used as following interventions are summative as they apply to different uses of steel in construction</t>
  </si>
  <si>
    <t>Plastics - EU</t>
  </si>
  <si>
    <t>Plastics - US</t>
  </si>
  <si>
    <t>Plastics - RoW</t>
  </si>
  <si>
    <t>As recycling of packaging and non-packaging are summative.</t>
  </si>
  <si>
    <t>Food waste treatment ind</t>
  </si>
  <si>
    <t>Global except UK</t>
  </si>
  <si>
    <t>[3] gives value of sectoral inputs required for refurb</t>
  </si>
  <si>
    <t>From [13]. [18] gives slightly different figures: 30% increase in lifespan, 15% increase in inputs with similar result ((1+0.15)/(1+0.3) = 12%) and suggests that maintenance cost increases could cost as much as the saving. [30] (amongst others) discusses increased liklihood of interconnected and smart diagnostics also increasing lifespan / decreasing maintenance at minimal cost so modelling this as a 50% reduction in costs for the advanced scenario</t>
  </si>
  <si>
    <t>Cheah, L., Evans, C., Bandivadekar, A., &amp; Heywood, J. (2007). Factor of two: Halving the fuel consumption of new u.s. automobiles by 2035. Cambridge, MA, USA: Massachusetts Institute of Technology. doi:10.1007/978-1-4020-6979-6_4</t>
  </si>
  <si>
    <t>Vehicle manufacture (2007) [56]</t>
  </si>
  <si>
    <t>N Am</t>
  </si>
  <si>
    <t>Latin Am</t>
  </si>
  <si>
    <t>Asia</t>
  </si>
  <si>
    <t>Africa</t>
  </si>
  <si>
    <t>LCV</t>
  </si>
  <si>
    <t>Heavy trucks</t>
  </si>
  <si>
    <t>Buses &amp; coaches</t>
  </si>
  <si>
    <t>[52] 76% volume yield for recycling plastic packaging &amp; 50% price yield. We assume improved sorting and less / standardised additives [36] leads to better quality recycled plastic and so the price yield increases to 80%. Yield increases to 81% in line with other plastics [52]</t>
  </si>
  <si>
    <t>As per other steel to construction interventions but with UK specific steel share</t>
  </si>
  <si>
    <t>[3], NB 1.5M units in EU @ 41400 Euro, refurbished sold at 13796 Euro. 86% of LCVs collected. 30% - 50% enter refurb flow (rather than e.g. recycling) in [3] scenario. LCVs are around 32% (by mass) of vehicles produced [56]</t>
  </si>
  <si>
    <t>[3] Renault claims 80% saving in energy and materials. Assuming other inputs remain same. Assuming that refurbished engine is worth 75% gives saving of 1-20/0.75=73%. 27% of vehicles are large goods or buses [56], of which drivetrain forms around 15% of mass.</t>
  </si>
  <si>
    <t>Engine refurbishment - large vehicles</t>
  </si>
  <si>
    <t>From [16], based on using current variation in design (NB steel content) or with high strength steel. Note that [13] suggests saving of -45% (more extensive lightweighting based on alternative design priorities). Applied to cars and LCVs</t>
  </si>
  <si>
    <t>Downsizing cars</t>
  </si>
  <si>
    <t xml:space="preserve">[55] </t>
  </si>
  <si>
    <t>Refurbishment - other vehicles</t>
  </si>
  <si>
    <t>Extrapolating refurb details to 20% of other vehicles - typically these will be less suitable or already refurbed to lesser extent</t>
  </si>
  <si>
    <t>[17]: 39% have U/R &lt; 0.2, 18% have U/R &gt; 0.8. We assume that the top 18% can't be improved, that the middle 43% (1-0.18-0.39)  has mean U/R of 70% that can be increased to 80% and that the bottom 39% cn be improved to 70%. However, the sample used has a higher proportion of lower rise buildings and so low U/R are likely to be over represented. We are therefore doubling the assumed U/R of the lower group to 0.4 to (somewhat) counter this concern, giving an overall average saving of 23%. This is comparable to the 19% saving suggested by [13].</t>
  </si>
  <si>
    <t>More efficient Rebar distribution</t>
  </si>
  <si>
    <t>Similar potential to worldwide but modified to UK (rebar in commercial, office, public buildings) with  40% saving based on industry estimates and [31].</t>
  </si>
  <si>
    <t>Variable section beams</t>
  </si>
  <si>
    <t>[19] 36% savings possible. However, in most cases these will be relative to open web beam that achieves 22% saving. Possible difficulties with applicability due to cost as hot rolled production process hasn't been developed.</t>
  </si>
  <si>
    <t>BIM enabling construction design to be better optimised to reduce lifecycle impacts</t>
  </si>
  <si>
    <t>Reuse structures</t>
  </si>
  <si>
    <t>Based on estimates from use of BRE Impact</t>
  </si>
  <si>
    <t>Substitute wood for bricks</t>
  </si>
  <si>
    <t>Bricks &amp; building ceramics</t>
  </si>
  <si>
    <t>Substitute wood for steel</t>
  </si>
  <si>
    <t>Wood</t>
  </si>
  <si>
    <t>Construction sector reclamation activity (energy, machinery, services)</t>
  </si>
  <si>
    <t xml:space="preserve">Reuse structural and sheet steel </t>
  </si>
  <si>
    <t>[19] suggests level of reuse. [17] gives some other info -through design for deconstruction: supermarket 16% more expensive vs 33% time saving (note that estimates vary minimum 20%, if building is weathertight that can reduce other delays / improve confidence in schedule) also, H&amp;S advantages due to manufacture in controlled environment. "Foreman" company, units are bought back and refurbished, guaranteed for 10yrs. [17]. Here, we assume that 80% of structural and 30% of sheet steel is suitable for reuse and than the steel that is reused retains 30 - 60% of it's value (e.g. through being used with higher safety factor but options to improve the QC involved)</t>
  </si>
  <si>
    <t>Reuse bricks</t>
  </si>
  <si>
    <t>Activity to support reuse</t>
  </si>
  <si>
    <t>Bricks</t>
  </si>
  <si>
    <t>i.e. estimating that  75% can be replaced in 30 to 60% of buildings</t>
  </si>
  <si>
    <t>Kay, T. &amp; Essex, J. (2009) Pushing Reuse. Towards a Low-Carbon Construction Industry [Online]. Available from: &lt;http://www.bioregional.co.uk/files/publications/PushingReuse.pdf&gt;.</t>
  </si>
  <si>
    <t>estimating increase from 10% to 15% or 20% [57]. With 60% to 100% of value retained</t>
  </si>
  <si>
    <t>Stronger Rebar - China</t>
  </si>
  <si>
    <t xml:space="preserve">Reuse steel </t>
  </si>
  <si>
    <t>Reducing onsite construction waste</t>
  </si>
  <si>
    <t>Aim is to  halve onsite waste so using 30-60% range. Assuming that 5% of flows are wasted onsite and that 50% of the impacts affected relate to these.</t>
  </si>
  <si>
    <t>Bricks are approximately 70% of product</t>
  </si>
  <si>
    <t xml:space="preserve">Construction onsite waste </t>
  </si>
  <si>
    <t>Steel used - motor vehicles</t>
  </si>
  <si>
    <t>Aluminium used - motor vehicles</t>
  </si>
  <si>
    <t>Industries where use of metals primarily not for known other purpose (i.e. excluding construction and manufacture of equipment &amp; vehicles)</t>
  </si>
  <si>
    <t>Steel used - machinery</t>
  </si>
  <si>
    <t>Aluminium used - machinery</t>
  </si>
  <si>
    <t>Steel used - packaging</t>
  </si>
  <si>
    <t>Aluminium used - packaging</t>
  </si>
  <si>
    <t>Steel used - electricals</t>
  </si>
  <si>
    <t>Aluminium used - electricals</t>
  </si>
  <si>
    <t>Recycled steel</t>
  </si>
  <si>
    <t>Recycled aluminium</t>
  </si>
  <si>
    <t>Activity to support bricks reuse</t>
  </si>
  <si>
    <t>Refurbishment and life extension of products</t>
  </si>
  <si>
    <t>Putting less in</t>
  </si>
  <si>
    <t>Getting more out</t>
  </si>
  <si>
    <t>ImpEE. (n.d.). Recycling of Plastics. Retrieved April 13, 2016, from http://www-g.eng.cam.ac.uk/impee/topics/RecyclePlastics/files/Recycling Plastic v3 PDF.pdf</t>
  </si>
  <si>
    <t>Car Association: http://www.oica.net/category/production-statistics/2007-statistics/</t>
  </si>
  <si>
    <t>As recycling of packaging and non-packaging are summative. Note that energy intensity (J/$) for recycled plastic is similar to that for virgin due to the reduced quality etc [58], so the additional recycling is more helpful in achieving other objectives rather than saving energy.</t>
  </si>
  <si>
    <t>Other equipment</t>
  </si>
  <si>
    <t>Extreme</t>
  </si>
  <si>
    <t>[22] provides detail of clothing + textiles types and destinations. (370+265)/2236 = 28% of textiles are used as carpet (domestic / commercial) and 200/2236 = 9% as household fabrics. [48] &amp; [49] indicate that carpet use is (4.2*1012)/23472 = 18% of textiles in the USA (both stats are weight/w). Collection rates applied to 30% non-clothing textiles, with 50% recovery [23] of fibres.</t>
  </si>
  <si>
    <t xml:space="preserve">236401/(236401+192470) = 55% of computers are used by consumers so seems reasonable that they can absorb this increase in refurb / reuse </t>
  </si>
  <si>
    <t>440216/(440216+246893) sold to consumers.</t>
  </si>
  <si>
    <t>Refurbish other items e.g. furniture, toys and household / garden tools</t>
  </si>
  <si>
    <t>Reuse industrial telecoms</t>
  </si>
  <si>
    <t>Reuse consumer telecoms equipment - mobile phones, TVs</t>
  </si>
  <si>
    <t>Refurbish consumer telecoms equipment - mobile phones, TVs</t>
  </si>
  <si>
    <t>Refurb industrial telecoms</t>
  </si>
  <si>
    <t>Estimating that 50% of the telecoms sold to business will not be relevant to the types of additional refurbishment suggested</t>
  </si>
  <si>
    <t>For interventions 1 to 38, Product split on additional notes page</t>
  </si>
  <si>
    <t>Electrical equipment - sold to consumers considered for refurb</t>
  </si>
  <si>
    <t>Value of resold items based upon [1], [7], [8] &amp; [10]</t>
  </si>
  <si>
    <t>Intermediate collection rates are based on 60% of the goods potentially available [11], advanced collection level based on all of these goods being collected (consistent with "intermediate" scenario in [3]). Extreme level (almost all goods are refurbished / reused) is taken from "advanced" scenario of [3].</t>
  </si>
  <si>
    <t>Alu, plastics, paper, glass, textiles</t>
  </si>
  <si>
    <t>Option 1 is from [18]: car clubs increase from 2.5 to 4% with 70% of drivers not owning cars. Option 2 is from [13]: cars - doubled through hire / share, trucks intensity increased by 25%. A survey of over 16000 in 16 countries [30] showed that 42% very interested in subscription pricing while 24% interested in joint ownership models.</t>
  </si>
  <si>
    <t>Steel (excl fabricated)</t>
  </si>
  <si>
    <t>We should replace the treatment of food waste by other means with the same level of treatment by biogasification. However, this item is being discounted (by making the application to only 1% rather than 100%) as the energy intensity data seems to be inconsistent. This is likely to be because the boundaries of energy consumption are hard to define (as much of the energy use will be from the gasification so just reduces net output) but the result is that it's hard to make meaningful conclusions from changes here.</t>
  </si>
  <si>
    <t>These relate to 30% or 60% reduction in waste</t>
  </si>
  <si>
    <t>EU Circular economy package [43][46]  calls for 30% reduction in food waste, [25] suggests that this is possible for UK cf the 2007 baseline but not cf a 2015 baseline without extreme measures. Going for 30% intermediate and 60% advanced</t>
  </si>
  <si>
    <t>[21] suggests 5% material efficiency possible</t>
  </si>
  <si>
    <t>22% recycled (as scraps or wipes). Recycled replaces textile inputs to clothing at rate 22% (proportion of recovered going to recycling) * 50% (recovery rate) * increase in collection rate (e.g. 40%)</t>
  </si>
  <si>
    <t>Notes on method used</t>
  </si>
  <si>
    <t>This table defines the grouping of approaches used for some of the results.</t>
  </si>
  <si>
    <t>Groups of approaches applied for different results</t>
  </si>
  <si>
    <t>This defines the groups of industries (in terms of the industry numbers used in Exiobase) that the listed approaches affect.</t>
  </si>
  <si>
    <t>e.g. Circular economy approach #1 affects the flows into industry group 2 which only contains industry 88 (Manufacture of electrical machinery…). However, approach #52 affects the flow of products into industry group 6 which is industry 86 and industry 93 (i.e. both sets of flows are affected).</t>
  </si>
  <si>
    <t>Name of Circular Economy Approach</t>
  </si>
  <si>
    <t>Types of approaches</t>
  </si>
  <si>
    <t>Where numbers relate to the Exiobase product / industry numbers.</t>
  </si>
  <si>
    <t>This sheet provides some of the key data from the referenced sources that is used to inform estimates. It is reproduced here in order to help identify how these estimates were formed (e.g. the aggregate proportion of electrical products discarded while still functional)</t>
  </si>
  <si>
    <t>These are the regions (as Exiobase numbers) within each region group that the approaches details refer to.</t>
  </si>
  <si>
    <t>As some approaches deal with recycling, it is necessary to distinguish between demand for the primary and recycled / secondary products.</t>
  </si>
  <si>
    <t>These facilitate handling of data in which the potential saving differs by region (e.g. reducing food waste), or the effect of applying the approach differs by region (e.g. local refurbishment)</t>
  </si>
  <si>
    <t>The "Secondary flows" page notes minor changes to Exiobase to enable consideration of changes to recycling flows</t>
  </si>
  <si>
    <t>The "Approaches details" page defines  a series of changes ("Approaches") that relate to resource efficiency / circular economy opportunities.</t>
  </si>
  <si>
    <t xml:space="preserve">The approaches that are listed and used in this study represent all those for which a reasonable amount of quantitative evidence could be found in the literature (i.e. some assumptions and estimates are made - typically of the level of market uptake but approaches are not "invented" if they have no quantitative basis in the literature). </t>
  </si>
  <si>
    <t>If the two flows (one being changed and one that change is defined relative to) have different groups of regions specified, the allocation of the change between different regions is done on the basis of the flow being changed. E.g. if we reduce the activity of the secondary steel sector by a proportion of the output of the total (primary + secondary) steel sector (e.g. by reducing fabrication losses that would be recycled), then even though the changes occur globally they are given different region groups so that the change in the secondary steel sector activity occurs in proportion to where it occurs (not in proportion to where primary steel sector activitiy occurs as that may be different). Although the data used for this study does not contain it, this allows the potential to specifiy the region in which refurbishment (etc) takes place independently of the region in which products are used (or savings made).</t>
  </si>
  <si>
    <t>This defines the groups of products (in terms of the product category numbers used in Exiobase) that the listed approaches affect.</t>
  </si>
  <si>
    <t>e.g. Circular economy approach #2 affects the flows of product group 4 which only contains industry 155 (Retail trade services…). However, approach #43 affects the flow of product group 10 which includes products 104, 105 and 117 (i.e. the flow of all three products relating to steel material is affected).</t>
  </si>
  <si>
    <t>References</t>
  </si>
  <si>
    <t>Optimised shapes (e.g. concrete beams designed to resist bending moments where they occur rather than uniform cross section)</t>
  </si>
  <si>
    <t>Several different types of approaches can be identified. In terms of the method taken here, they can be divided into those that reduce the inputs required for the manufacture of a product and those that reduce the demand for a product.</t>
  </si>
  <si>
    <t>Recycling</t>
  </si>
  <si>
    <t>Material substitution</t>
  </si>
  <si>
    <t>More careful selection of materials - e.g. reducing toxins and hard to separate plastics.</t>
  </si>
  <si>
    <t>Putting less in: Reducing the need for (high impact) inputs to produce products.</t>
  </si>
  <si>
    <t>Longevity</t>
  </si>
  <si>
    <t>[13] hard to increase intensity. Possible options like better scheduling of operations etc.</t>
  </si>
  <si>
    <t>Increased longevity</t>
  </si>
  <si>
    <t>More intensive use - sharing</t>
  </si>
  <si>
    <t>Getting more out: Reducing need for products</t>
  </si>
  <si>
    <t>Additional types of approaches that are not assessed in this analysis</t>
  </si>
  <si>
    <t>Increased longevity for electrical items (e.g. washing machines)</t>
  </si>
  <si>
    <t>Reduced wastage</t>
  </si>
  <si>
    <t>Timber construction. Note that the scope for material substitution is only minimally assessed (i.e. in construction) in this analysis.</t>
  </si>
  <si>
    <t>Reuse with minimal processing</t>
  </si>
  <si>
    <t xml:space="preserve">Refurbishing (range of levels up to full remanufacture). </t>
  </si>
  <si>
    <t>Retrofit (e.g. of buildings - extensive refurbishment in which primary use of the product changes)</t>
  </si>
  <si>
    <t>Note that there is some fuzziness for some of the categorization - it is intended to be broad rather than definitive. For example, the reuse of bottles could also be thought of as an increase in their longevity or intensity of use depending upon whether a product or systems / service perspective is taken. Several of the reuse approaches could be thought of as "putting less in" (especially when relating to onsite reuse of materials) but for clarity, here they are categorized here under "getting more out".</t>
  </si>
  <si>
    <t>[13] suggests that in some cases this could be doubled.  This would be primarily office and public space but it not clear what proportion of buildings could apply this and so fairly low estimate used. Other options like AirBnB might increase this but hard to quantify effectively.</t>
  </si>
  <si>
    <t>Van Weelden, E., Mugge, R., Bakker, C., 2015. Paving the way towards circular consumption: Exploring consumer acceptance of refurbished mobile phones in the Dutch market. J. Clean. Prod. 113, 743–754. doi:10.1016/j.jclepro.2015.11.065</t>
  </si>
  <si>
    <t>Tukker, A. (2015). Product services for a resource-efficient and circular economy - A review. Journal of Cleaner Production, 97, 76–91. http://doi.org/10.1016/j.jclepro.2013.11.049</t>
  </si>
  <si>
    <t>Additional longevity data in [59]</t>
  </si>
  <si>
    <t xml:space="preserve">[60] provides extensive review and concludes that intangible benefits to ownership may hinder widespread B2C models of sharing </t>
  </si>
  <si>
    <t>[13]</t>
  </si>
  <si>
    <t>A full list of References is supplied</t>
  </si>
  <si>
    <t>The "Approaches Groups" page lists the groups  of approaches that are used when creating the results that illustrate the potential effect of subsets of the approaches.</t>
  </si>
  <si>
    <t>SCOPE</t>
  </si>
  <si>
    <t xml:space="preserve">The "product group" relates to an index given in column E. The product group is the group of products that the approach affects the intermediate demand for. </t>
  </si>
  <si>
    <t>The "industry group" relates to the index in column F. The industry group is the group of industries whos use of the products in the product group is affected by the approach</t>
  </si>
  <si>
    <t>The "region group" is given in column G. This is the region of the industry group that is affected</t>
  </si>
  <si>
    <t>For example, effect #1 is due to the reuse of electrical equipment. Because it reduces overall demand for new electrical equipment, this affects the flow of product group #1 ("All products") into industry group #2 ("Manufacture of electrical machinery...") in region #1 ("All regions").</t>
  </si>
  <si>
    <t>The reuse of electrical equipment has other effects. E.g. #2 we assume that the consumption of product group #4 (Postal services) by industry group #2 (Manufacture of electrical machinery…) is increased, as the reuse of electrical equipment will require some additional logistics activity.</t>
  </si>
  <si>
    <t>The products (i.e. inputs that are used) that are contained within each of these "product groups" are listed in the "Product Table"</t>
  </si>
  <si>
    <t>The industries (i.e. users of the products in the product group) that are in each "industry group" are listed in the "Industry Table"</t>
  </si>
  <si>
    <t>The regions (i.e. locations of the affected industries for each effect) that are in each "region group" are listed in the "Region Table"</t>
  </si>
  <si>
    <t>More detailed, Additional information and supporting data is provided on the "Additional information" page. This is intended to aid understanding of how the figures on the main "Approaches Details" page were derived from the relevant literature sources.</t>
  </si>
  <si>
    <t xml:space="preserve">Each approach has a descriptive name (column B) and has one or more effects (numbered in column A). </t>
  </si>
  <si>
    <t>Each effect is defined as the change of the flow of a "product group" (column C) into an "industry group" (column D).</t>
  </si>
  <si>
    <t>Because the industrial and product group definitions in the input-output data are necessarily broad, in many cases an effect will only relate to a fraction of a flow. This fraction is given in column H of the "Approaches details" page.</t>
  </si>
  <si>
    <t>Notes about each effect is given in column O of the "Approaches details" page</t>
  </si>
  <si>
    <t>The approach will typically only affect a proportion of this flow, for example it might be feasible for lightweighting to be applied to 30% of cars.</t>
  </si>
  <si>
    <t>Figures for three levels of adoption of the approaches are given: Intermediate, Advanced and Extreme (i.e. the maximum technical potential)</t>
  </si>
  <si>
    <t>E.g. the lightweighting of steel used in cars will only affect the proportion of steel going into the vehicle manufacture industry that is due to car manufacture (not lorries etc), e.g. 40%.</t>
  </si>
  <si>
    <t>The approach will affect a flow by a certain fraction, for example the steel required for car manufacture might be reduced by 25% by lightweighting.</t>
  </si>
  <si>
    <t>So, in this example, the flow of steel into the vehicle manufacture industry would be reduced by 40% x 30% x 25% = 3% - i.e. 40% of the flow relates to cars, 30% of cars are lightweighted and the reduction per car is 25%.</t>
  </si>
  <si>
    <t>For the Advanced level, the proportion of flow and change are given in columns K and L</t>
  </si>
  <si>
    <t>For the Intermediate level, the % of the flow that is affected is given in column I (of the "Approaches details" page) while column J gives the % change in that flow.</t>
  </si>
  <si>
    <t xml:space="preserve">For the Extreme case, the proportion of flow that is affected is given in column M. </t>
  </si>
  <si>
    <t>The change in that flow is defined to be the same for the Extreme case as it is for the advanced level (column L). That is, the actual change that can be technically achieved is typically the same, it is the extent to which this change is adopted that is assumed to increase.</t>
  </si>
  <si>
    <t>By default, the change in a flow is defined relative to the size of that flow (e.g. a steel requirement is reduced by 10% of that steel requirement). However, column N (of the "Approaches details" page) allows the change to be defined relative to another flow. For example, if the availability of recycled steel were increased by 10%, then a corresponding decrease in demand for virgin steel might be defined relative to the increase of recycled steel - virgin steel demand would be decreased by 10% of the flow of recycled steel.</t>
  </si>
  <si>
    <r>
      <t xml:space="preserve">If a change is defined as a proportion of a different flow, then this is applied on a region-by-region basis if the two flows have the same group of regions defined. E.g. if the additional material inputs required to enable the refurbishing of cars are defined as a proportion of the value of cars manufactured then this extra input to the refurbishing industry in each region will occur in proportion to the cars produced in that  region. However, if the additional materials were defined in proportion to the cars </t>
    </r>
    <r>
      <rPr>
        <b/>
        <sz val="11"/>
        <color theme="1"/>
        <rFont val="Calibri"/>
        <family val="2"/>
        <scheme val="minor"/>
      </rPr>
      <t>used</t>
    </r>
    <r>
      <rPr>
        <sz val="11"/>
        <color theme="1"/>
        <rFont val="Calibri"/>
        <family val="2"/>
        <scheme val="minor"/>
      </rPr>
      <t xml:space="preserve"> in each region, then the extra materials will be bought by the refurbishing industry in each region in proportion to the cars sold in that region.</t>
    </r>
  </si>
  <si>
    <t>However, it is possible that additional approaches are available, or will become available. The results should be interpreted as the modelled effect of the approaches listed, rather than the effect of some universally defined "Circular Economy".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</si>
</sst>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_-* #,##0.0_-;\-* #,##0.0_-;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name val="Calibri"/>
      <family val="2"/>
    </font>
    <font>
      <sz val="10"/>
      <name val="Arial"/>
      <family val="2"/>
    </font>
    <font>
      <sz val="11"/>
      <color indexed="8"/>
      <name val="Calibri"/>
      <family val="2"/>
    </font>
    <font>
      <b/>
      <sz val="11"/>
      <name val="Calibri"/>
      <family val="2"/>
    </font>
    <font>
      <b/>
      <sz val="14"/>
      <color theme="1"/>
      <name val="Calibri"/>
      <family val="2"/>
      <scheme val="minor"/>
    </font>
    <font>
      <sz val="11"/>
      <name val="Calibri"/>
      <family val="2"/>
      <scheme val="minor"/>
    </font>
    <font>
      <b/>
      <sz val="16"/>
      <color theme="1"/>
      <name val="Calibri"/>
      <family val="2"/>
      <scheme val="minor"/>
    </font>
    <font>
      <u/>
      <sz val="11"/>
      <color theme="10"/>
      <name val="Calibri"/>
      <family val="2"/>
      <scheme val="minor"/>
    </font>
  </fonts>
  <fills count="51">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92D050"/>
        <bgColor indexed="64"/>
      </patternFill>
    </fill>
    <fill>
      <patternFill patternType="solid">
        <fgColor theme="7" tint="-0.49998474074526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52">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4" applyNumberFormat="0" applyAlignment="0" applyProtection="0"/>
    <xf numFmtId="0" fontId="12" fillId="9" borderId="5" applyNumberFormat="0" applyAlignment="0" applyProtection="0"/>
    <xf numFmtId="0" fontId="13" fillId="9" borderId="4" applyNumberFormat="0" applyAlignment="0" applyProtection="0"/>
    <xf numFmtId="0" fontId="14" fillId="0" borderId="6" applyNumberFormat="0" applyFill="0" applyAlignment="0" applyProtection="0"/>
    <xf numFmtId="0" fontId="15" fillId="10"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9" fillId="35" borderId="0" applyNumberFormat="0" applyBorder="0" applyAlignment="0" applyProtection="0"/>
    <xf numFmtId="0" fontId="3" fillId="0" borderId="0"/>
    <xf numFmtId="43" fontId="3" fillId="0" borderId="0" applyFont="0" applyFill="0" applyBorder="0" applyAlignment="0" applyProtection="0"/>
    <xf numFmtId="0" fontId="22" fillId="0" borderId="0"/>
    <xf numFmtId="0" fontId="21" fillId="0" borderId="0"/>
    <xf numFmtId="0" fontId="3" fillId="11" borderId="8" applyNumberFormat="0" applyFont="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cellStyleXfs>
  <cellXfs count="134">
    <xf numFmtId="0" fontId="0" fillId="0" borderId="0" xfId="0"/>
    <xf numFmtId="9" fontId="0" fillId="0" borderId="0" xfId="0" applyNumberFormat="1"/>
    <xf numFmtId="9" fontId="0" fillId="0" borderId="0" xfId="1" applyFont="1"/>
    <xf numFmtId="0" fontId="0" fillId="0" borderId="0" xfId="0" applyBorder="1"/>
    <xf numFmtId="0" fontId="0" fillId="0" borderId="0" xfId="0" applyAlignment="1">
      <alignment horizontal="left" vertical="center" indent="3"/>
    </xf>
    <xf numFmtId="0" fontId="0" fillId="2" borderId="0" xfId="0" applyFill="1"/>
    <xf numFmtId="9" fontId="0" fillId="2" borderId="0" xfId="0" applyNumberFormat="1" applyFill="1"/>
    <xf numFmtId="0" fontId="0" fillId="3" borderId="0" xfId="0" applyFill="1"/>
    <xf numFmtId="0" fontId="0" fillId="0" borderId="0" xfId="0" applyFill="1" applyBorder="1"/>
    <xf numFmtId="0" fontId="0" fillId="0" borderId="0" xfId="0" applyFill="1"/>
    <xf numFmtId="0" fontId="0" fillId="4" borderId="0" xfId="0" applyFill="1"/>
    <xf numFmtId="9" fontId="0" fillId="4" borderId="0" xfId="1" applyFont="1" applyFill="1"/>
    <xf numFmtId="9" fontId="0" fillId="4" borderId="0" xfId="0" applyNumberFormat="1" applyFill="1"/>
    <xf numFmtId="9" fontId="0" fillId="0" borderId="0" xfId="1" applyFont="1" applyFill="1"/>
    <xf numFmtId="9" fontId="0" fillId="4" borderId="0" xfId="1" applyNumberFormat="1" applyFont="1" applyFill="1"/>
    <xf numFmtId="0" fontId="0" fillId="0" borderId="0" xfId="0"/>
    <xf numFmtId="0" fontId="0" fillId="0" borderId="0" xfId="0" quotePrefix="1"/>
    <xf numFmtId="0" fontId="23" fillId="0" borderId="0" xfId="46" applyFont="1"/>
    <xf numFmtId="0" fontId="20" fillId="0" borderId="0" xfId="46" applyFont="1"/>
    <xf numFmtId="0" fontId="0" fillId="36" borderId="0" xfId="0" applyFill="1"/>
    <xf numFmtId="0" fontId="0" fillId="37" borderId="0" xfId="0" applyFill="1"/>
    <xf numFmtId="0" fontId="0" fillId="38" borderId="0" xfId="0" applyFill="1"/>
    <xf numFmtId="0" fontId="0" fillId="0" borderId="0" xfId="0" quotePrefix="1" applyFont="1"/>
    <xf numFmtId="164" fontId="0" fillId="2" borderId="0" xfId="1" applyNumberFormat="1" applyFont="1" applyFill="1"/>
    <xf numFmtId="0" fontId="2" fillId="3" borderId="0" xfId="0" applyFont="1" applyFill="1"/>
    <xf numFmtId="0" fontId="2" fillId="0" borderId="0" xfId="0" quotePrefix="1" applyFont="1"/>
    <xf numFmtId="0" fontId="2" fillId="0" borderId="0" xfId="0" applyFont="1" applyFill="1"/>
    <xf numFmtId="0" fontId="0" fillId="0" borderId="0" xfId="0" applyAlignment="1">
      <alignment horizontal="left"/>
    </xf>
    <xf numFmtId="9" fontId="0" fillId="0" borderId="0" xfId="1" applyFont="1" applyAlignment="1">
      <alignment horizontal="left"/>
    </xf>
    <xf numFmtId="9" fontId="0" fillId="0" borderId="0" xfId="1" applyFont="1" applyFill="1" applyAlignment="1">
      <alignment horizontal="left"/>
    </xf>
    <xf numFmtId="0" fontId="0" fillId="0" borderId="0" xfId="0" applyAlignment="1">
      <alignment horizontal="left" vertical="center"/>
    </xf>
    <xf numFmtId="0" fontId="0" fillId="0" borderId="0" xfId="0" applyNumberFormat="1" applyAlignment="1"/>
    <xf numFmtId="0" fontId="0" fillId="0" borderId="0" xfId="2" applyNumberFormat="1" applyFont="1" applyAlignment="1"/>
    <xf numFmtId="0" fontId="0" fillId="0" borderId="0" xfId="1" applyNumberFormat="1" applyFont="1" applyAlignment="1"/>
    <xf numFmtId="10" fontId="0" fillId="38" borderId="0" xfId="0" applyNumberFormat="1" applyFill="1"/>
    <xf numFmtId="9" fontId="0" fillId="38" borderId="0" xfId="0" applyNumberFormat="1" applyFill="1"/>
    <xf numFmtId="9" fontId="0" fillId="38" borderId="0" xfId="1" applyFont="1" applyFill="1"/>
    <xf numFmtId="9" fontId="0" fillId="37" borderId="0" xfId="0" applyNumberFormat="1" applyFill="1"/>
    <xf numFmtId="0" fontId="0" fillId="0" borderId="0" xfId="0" applyFill="1" applyAlignment="1">
      <alignment horizontal="left"/>
    </xf>
    <xf numFmtId="0" fontId="0" fillId="39" borderId="0" xfId="0" applyFill="1"/>
    <xf numFmtId="164" fontId="0" fillId="39" borderId="0" xfId="1" applyNumberFormat="1" applyFont="1" applyFill="1"/>
    <xf numFmtId="0" fontId="0" fillId="40" borderId="0" xfId="0" applyFill="1"/>
    <xf numFmtId="0" fontId="0" fillId="2" borderId="10" xfId="0" applyFill="1" applyBorder="1"/>
    <xf numFmtId="9" fontId="0" fillId="2" borderId="10" xfId="0" applyNumberFormat="1" applyFill="1" applyBorder="1"/>
    <xf numFmtId="0" fontId="0" fillId="2" borderId="12" xfId="0" applyFill="1" applyBorder="1"/>
    <xf numFmtId="0" fontId="0" fillId="2" borderId="11" xfId="0" applyFill="1" applyBorder="1"/>
    <xf numFmtId="9" fontId="0" fillId="2" borderId="12" xfId="0" applyNumberFormat="1" applyFill="1" applyBorder="1"/>
    <xf numFmtId="9" fontId="0" fillId="2" borderId="11" xfId="0" applyNumberFormat="1" applyFill="1" applyBorder="1"/>
    <xf numFmtId="0" fontId="2" fillId="38" borderId="0" xfId="0" applyFont="1" applyFill="1"/>
    <xf numFmtId="0" fontId="2" fillId="4" borderId="0" xfId="0" applyFont="1" applyFill="1"/>
    <xf numFmtId="0" fontId="0" fillId="4" borderId="0" xfId="0" quotePrefix="1" applyFill="1"/>
    <xf numFmtId="0" fontId="0" fillId="4" borderId="10" xfId="0" applyFill="1" applyBorder="1"/>
    <xf numFmtId="0" fontId="0" fillId="4" borderId="11" xfId="0" applyFill="1" applyBorder="1"/>
    <xf numFmtId="0" fontId="0" fillId="4" borderId="12" xfId="0" applyFill="1" applyBorder="1"/>
    <xf numFmtId="9" fontId="0" fillId="4" borderId="11" xfId="1" applyFont="1" applyFill="1" applyBorder="1"/>
    <xf numFmtId="0" fontId="0" fillId="4" borderId="13" xfId="0" applyFill="1" applyBorder="1"/>
    <xf numFmtId="0" fontId="0" fillId="4" borderId="14" xfId="0" applyFill="1" applyBorder="1"/>
    <xf numFmtId="9" fontId="0" fillId="4" borderId="0" xfId="1" applyFont="1" applyFill="1" applyBorder="1"/>
    <xf numFmtId="0" fontId="0" fillId="4" borderId="0" xfId="0" applyFill="1" applyBorder="1"/>
    <xf numFmtId="0" fontId="2" fillId="37" borderId="0" xfId="0" applyFont="1" applyFill="1"/>
    <xf numFmtId="0" fontId="2" fillId="39" borderId="0" xfId="0" applyFont="1" applyFill="1"/>
    <xf numFmtId="0" fontId="0" fillId="41" borderId="0" xfId="0" applyFill="1"/>
    <xf numFmtId="0" fontId="0" fillId="39" borderId="10" xfId="0" applyFill="1" applyBorder="1"/>
    <xf numFmtId="0" fontId="0" fillId="39" borderId="11" xfId="0" applyFill="1" applyBorder="1"/>
    <xf numFmtId="0" fontId="0" fillId="39" borderId="12" xfId="0" applyFill="1" applyBorder="1"/>
    <xf numFmtId="0" fontId="0" fillId="39" borderId="0" xfId="0" applyFill="1" applyBorder="1"/>
    <xf numFmtId="0" fontId="0" fillId="38" borderId="0" xfId="0" applyFill="1" applyBorder="1"/>
    <xf numFmtId="0" fontId="0" fillId="2" borderId="0" xfId="0" applyFill="1" applyBorder="1"/>
    <xf numFmtId="9" fontId="0" fillId="2" borderId="0" xfId="1" applyFont="1" applyFill="1"/>
    <xf numFmtId="9" fontId="0" fillId="2" borderId="0" xfId="1" applyFont="1" applyFill="1" applyBorder="1"/>
    <xf numFmtId="0" fontId="0" fillId="42" borderId="0" xfId="0" applyFill="1"/>
    <xf numFmtId="9" fontId="0" fillId="42" borderId="0" xfId="1" applyFont="1" applyFill="1"/>
    <xf numFmtId="0" fontId="2" fillId="42" borderId="0" xfId="0" applyFont="1" applyFill="1"/>
    <xf numFmtId="9" fontId="2" fillId="42" borderId="0" xfId="1" applyFont="1" applyFill="1"/>
    <xf numFmtId="9" fontId="0" fillId="0" borderId="0" xfId="0" applyNumberFormat="1" applyFill="1"/>
    <xf numFmtId="0" fontId="0" fillId="0" borderId="0" xfId="0" applyNumberFormat="1" applyFill="1" applyAlignment="1"/>
    <xf numFmtId="0" fontId="0" fillId="0" borderId="0" xfId="0" applyFont="1" applyFill="1"/>
    <xf numFmtId="9" fontId="1" fillId="0" borderId="0" xfId="1" applyFont="1" applyFill="1"/>
    <xf numFmtId="0" fontId="0" fillId="0" borderId="0" xfId="0" applyNumberFormat="1" applyFont="1" applyFill="1" applyAlignment="1"/>
    <xf numFmtId="0" fontId="0" fillId="0" borderId="0" xfId="0" applyFont="1" applyFill="1" applyAlignment="1">
      <alignment horizontal="left"/>
    </xf>
    <xf numFmtId="9" fontId="0" fillId="0" borderId="0" xfId="0" applyNumberFormat="1" applyFont="1" applyFill="1"/>
    <xf numFmtId="0" fontId="0" fillId="0" borderId="0" xfId="0" quotePrefix="1" applyFill="1" applyAlignment="1">
      <alignment horizontal="left"/>
    </xf>
    <xf numFmtId="0" fontId="0" fillId="0" borderId="0" xfId="0" applyFill="1" applyAlignment="1">
      <alignment horizontal="left" vertical="center"/>
    </xf>
    <xf numFmtId="9" fontId="0" fillId="0" borderId="0" xfId="0" applyNumberFormat="1" applyFill="1" applyBorder="1" applyAlignment="1">
      <alignment vertical="center" wrapText="1"/>
    </xf>
    <xf numFmtId="9" fontId="0" fillId="0" borderId="0" xfId="1" applyFont="1" applyFill="1" applyBorder="1"/>
    <xf numFmtId="0" fontId="0" fillId="0" borderId="0" xfId="0" applyAlignment="1"/>
    <xf numFmtId="0" fontId="0" fillId="0" borderId="0" xfId="2" applyNumberFormat="1" applyFont="1" applyFill="1" applyAlignment="1"/>
    <xf numFmtId="3" fontId="0" fillId="0" borderId="0" xfId="0" applyNumberFormat="1" applyFill="1"/>
    <xf numFmtId="0" fontId="0" fillId="0" borderId="0" xfId="1" applyNumberFormat="1" applyFont="1" applyFill="1" applyAlignment="1"/>
    <xf numFmtId="9" fontId="0" fillId="0" borderId="0" xfId="1" applyFont="1" applyFill="1" applyAlignment="1"/>
    <xf numFmtId="9" fontId="0" fillId="0" borderId="0" xfId="1" applyFont="1" applyFill="1" applyAlignment="1">
      <alignment vertical="center"/>
    </xf>
    <xf numFmtId="9" fontId="0" fillId="0" borderId="0" xfId="1" quotePrefix="1" applyFont="1" applyFill="1"/>
    <xf numFmtId="9" fontId="0" fillId="0" borderId="0" xfId="0" quotePrefix="1" applyNumberFormat="1" applyFill="1"/>
    <xf numFmtId="9" fontId="0" fillId="0" borderId="0" xfId="1" applyFont="1" applyFill="1" applyBorder="1" applyAlignment="1">
      <alignment vertical="center" wrapText="1"/>
    </xf>
    <xf numFmtId="9" fontId="0" fillId="0" borderId="0" xfId="1" applyFont="1" applyFill="1" applyAlignment="1">
      <alignment horizontal="right" vertical="center"/>
    </xf>
    <xf numFmtId="9" fontId="0" fillId="0" borderId="0" xfId="1" applyFont="1" applyFill="1" applyAlignment="1">
      <alignment horizontal="right"/>
    </xf>
    <xf numFmtId="0" fontId="2" fillId="0" borderId="0" xfId="0" applyFont="1"/>
    <xf numFmtId="0" fontId="24" fillId="0" borderId="0" xfId="0" applyFont="1"/>
    <xf numFmtId="0" fontId="0" fillId="43" borderId="0" xfId="0" applyFill="1"/>
    <xf numFmtId="0" fontId="25" fillId="44" borderId="0" xfId="0" applyFont="1" applyFill="1"/>
    <xf numFmtId="9" fontId="25" fillId="44" borderId="0" xfId="0" applyNumberFormat="1" applyFont="1" applyFill="1"/>
    <xf numFmtId="0" fontId="25" fillId="0" borderId="0" xfId="0" applyFont="1" applyFill="1"/>
    <xf numFmtId="9" fontId="25" fillId="0" borderId="0" xfId="0" applyNumberFormat="1" applyFont="1" applyFill="1"/>
    <xf numFmtId="0" fontId="25" fillId="2" borderId="0" xfId="0" applyFont="1" applyFill="1"/>
    <xf numFmtId="9" fontId="25" fillId="2" borderId="0" xfId="0" applyNumberFormat="1" applyFont="1" applyFill="1"/>
    <xf numFmtId="43" fontId="25" fillId="2" borderId="0" xfId="2" applyFont="1" applyFill="1"/>
    <xf numFmtId="9" fontId="0" fillId="0" borderId="0" xfId="1" applyNumberFormat="1" applyFont="1" applyFill="1"/>
    <xf numFmtId="0" fontId="26" fillId="0" borderId="0" xfId="0" applyFont="1"/>
    <xf numFmtId="0" fontId="0" fillId="45" borderId="0" xfId="0" applyFill="1"/>
    <xf numFmtId="0" fontId="0" fillId="46" borderId="0" xfId="0" applyFill="1"/>
    <xf numFmtId="0" fontId="0" fillId="37" borderId="0" xfId="0" applyFill="1" applyBorder="1"/>
    <xf numFmtId="165" fontId="0" fillId="37" borderId="0" xfId="2" applyNumberFormat="1" applyFont="1" applyFill="1"/>
    <xf numFmtId="165" fontId="0" fillId="37" borderId="0" xfId="2" applyNumberFormat="1" applyFont="1" applyFill="1" applyBorder="1"/>
    <xf numFmtId="0" fontId="2" fillId="37" borderId="0" xfId="0" applyFont="1" applyFill="1" applyBorder="1"/>
    <xf numFmtId="165" fontId="2" fillId="37" borderId="0" xfId="0" applyNumberFormat="1" applyFont="1" applyFill="1"/>
    <xf numFmtId="166" fontId="0" fillId="37" borderId="0" xfId="2" applyNumberFormat="1" applyFont="1" applyFill="1" applyBorder="1"/>
    <xf numFmtId="166" fontId="0" fillId="37" borderId="0" xfId="0" applyNumberFormat="1" applyFill="1"/>
    <xf numFmtId="165" fontId="2" fillId="37" borderId="0" xfId="0" applyNumberFormat="1" applyFont="1" applyFill="1" applyBorder="1"/>
    <xf numFmtId="9" fontId="0" fillId="37" borderId="0" xfId="1" applyFont="1" applyFill="1"/>
    <xf numFmtId="9" fontId="0" fillId="0" borderId="0" xfId="1" applyNumberFormat="1" applyFont="1"/>
    <xf numFmtId="0" fontId="0" fillId="0" borderId="0" xfId="0"/>
    <xf numFmtId="0" fontId="0" fillId="0" borderId="0" xfId="0"/>
    <xf numFmtId="0" fontId="0" fillId="0" borderId="0" xfId="0"/>
    <xf numFmtId="164" fontId="0" fillId="0" borderId="0" xfId="0" applyNumberFormat="1"/>
    <xf numFmtId="164" fontId="0" fillId="0" borderId="0" xfId="0" applyNumberFormat="1" applyFill="1"/>
    <xf numFmtId="0" fontId="0" fillId="47" borderId="0" xfId="0" applyFill="1"/>
    <xf numFmtId="0" fontId="0" fillId="48" borderId="0" xfId="0" applyFill="1"/>
    <xf numFmtId="0" fontId="0" fillId="49" borderId="0" xfId="0" applyFill="1"/>
    <xf numFmtId="0" fontId="0" fillId="50" borderId="0" xfId="0" applyFill="1"/>
    <xf numFmtId="9" fontId="0" fillId="50" borderId="0" xfId="0" applyNumberFormat="1" applyFill="1"/>
    <xf numFmtId="0" fontId="0" fillId="0" borderId="0" xfId="0" quotePrefix="1" applyFill="1"/>
    <xf numFmtId="0" fontId="27" fillId="0" borderId="0" xfId="51"/>
    <xf numFmtId="0" fontId="25" fillId="0" borderId="0" xfId="51" applyFont="1"/>
    <xf numFmtId="0" fontId="27" fillId="0" borderId="0" xfId="51" applyAlignment="1">
      <alignment horizontal="left"/>
    </xf>
  </cellXfs>
  <cellStyles count="52">
    <cellStyle name="20% - Accent1 2" xfId="20"/>
    <cellStyle name="20% - Accent2 2" xfId="24"/>
    <cellStyle name="20% - Accent3 2" xfId="28"/>
    <cellStyle name="20% - Accent4 2" xfId="32"/>
    <cellStyle name="20% - Accent5 2" xfId="36"/>
    <cellStyle name="20% - Accent6 2" xfId="40"/>
    <cellStyle name="40% - Accent1 2" xfId="21"/>
    <cellStyle name="40% - Accent2 2" xfId="25"/>
    <cellStyle name="40% - Accent3 2" xfId="29"/>
    <cellStyle name="40% - Accent4 2" xfId="33"/>
    <cellStyle name="40% - Accent5 2" xfId="37"/>
    <cellStyle name="40% - Accent6 2" xfId="41"/>
    <cellStyle name="60% - Accent1 2" xfId="22"/>
    <cellStyle name="60% - Accent2 2" xfId="26"/>
    <cellStyle name="60% - Accent3 2" xfId="30"/>
    <cellStyle name="60% - Accent4 2" xfId="34"/>
    <cellStyle name="60% - Accent5 2" xfId="38"/>
    <cellStyle name="60% - Accent6 2" xfId="42"/>
    <cellStyle name="Accent1 2" xfId="19"/>
    <cellStyle name="Accent2 2" xfId="23"/>
    <cellStyle name="Accent3 2" xfId="27"/>
    <cellStyle name="Accent4 2" xfId="31"/>
    <cellStyle name="Accent5 2" xfId="35"/>
    <cellStyle name="Accent6 2" xfId="39"/>
    <cellStyle name="Bad 2" xfId="9"/>
    <cellStyle name="Calculation 2" xfId="13"/>
    <cellStyle name="Check Cell 2" xfId="15"/>
    <cellStyle name="Comma" xfId="2" builtinId="3"/>
    <cellStyle name="Comma 2" xfId="44"/>
    <cellStyle name="Comma 2 2" xfId="49"/>
    <cellStyle name="Comma 3" xfId="48"/>
    <cellStyle name="Comma 4" xfId="50"/>
    <cellStyle name="Explanatory Text 2" xfId="17"/>
    <cellStyle name="Good 2" xfId="8"/>
    <cellStyle name="Heading 1 2" xfId="4"/>
    <cellStyle name="Heading 2 2" xfId="5"/>
    <cellStyle name="Heading 3 2" xfId="6"/>
    <cellStyle name="Heading 4 2" xfId="7"/>
    <cellStyle name="Hyperlink" xfId="51" builtinId="8"/>
    <cellStyle name="Input 2" xfId="11"/>
    <cellStyle name="Linked Cell 2" xfId="14"/>
    <cellStyle name="Neutral 2" xfId="10"/>
    <cellStyle name="Normal" xfId="0" builtinId="0"/>
    <cellStyle name="Normal 2" xfId="43"/>
    <cellStyle name="Normal 3" xfId="46"/>
    <cellStyle name="Note 2" xfId="47"/>
    <cellStyle name="Output 2" xfId="12"/>
    <cellStyle name="Percent" xfId="1" builtinId="5"/>
    <cellStyle name="Standard 2" xfId="45"/>
    <cellStyle name="Title 2" xfId="3"/>
    <cellStyle name="Total 2" xfId="18"/>
    <cellStyle name="Warning Text 2" xfId="16"/>
  </cellStyles>
  <dxfs count="625">
    <dxf>
      <font>
        <b val="0"/>
        <i val="0"/>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b val="0"/>
        <i val="0"/>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b val="0"/>
        <i val="0"/>
        <strike val="0"/>
        <color theme="2" tint="-0.24994659260841701"/>
      </font>
    </dxf>
    <dxf>
      <font>
        <b val="0"/>
        <i val="0"/>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strike val="0"/>
        <color theme="2" tint="-0.24994659260841701"/>
      </font>
    </dxf>
    <dxf>
      <font>
        <b val="0"/>
        <i val="0"/>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b val="0"/>
        <i val="0"/>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b val="0"/>
        <i val="0"/>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
      <font>
        <b val="0"/>
        <i val="0"/>
        <strike val="0"/>
        <color theme="2" tint="-0.24994659260841701"/>
      </font>
    </dxf>
    <dxf>
      <font>
        <b val="0"/>
        <i val="0"/>
        <strike val="0"/>
        <color theme="2" tint="-0.24994659260841701"/>
      </font>
    </dxf>
    <dxf>
      <font>
        <strike val="0"/>
        <color theme="2" tint="-0.24994659260841701"/>
      </font>
    </dxf>
    <dxf>
      <font>
        <b val="0"/>
        <i val="0"/>
        <strike val="0"/>
        <color theme="2" tint="-0.24994659260841701"/>
      </font>
    </dxf>
  </dxfs>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P39"/>
  <sheetViews>
    <sheetView tabSelected="1" workbookViewId="0">
      <selection activeCell="B39" sqref="B39"/>
    </sheetView>
  </sheetViews>
  <sheetFormatPr defaultRowHeight="15" x14ac:dyDescent="0.25"/>
  <cols>
    <col min="2" max="2" width="43.85546875" customWidth="1"/>
  </cols>
  <sheetData>
    <row r="1" spans="2:2" ht="18.75" x14ac:dyDescent="0.3">
      <c r="B1" s="97" t="s">
        <v>745</v>
      </c>
    </row>
    <row r="2" spans="2:2" x14ac:dyDescent="0.25">
      <c r="B2" s="131" t="s">
        <v>758</v>
      </c>
    </row>
    <row r="3" spans="2:2" s="122" customFormat="1" x14ac:dyDescent="0.25">
      <c r="B3" s="132" t="s">
        <v>801</v>
      </c>
    </row>
    <row r="4" spans="2:2" s="122" customFormat="1" x14ac:dyDescent="0.25">
      <c r="B4" s="132" t="s">
        <v>802</v>
      </c>
    </row>
    <row r="5" spans="2:2" s="122" customFormat="1" x14ac:dyDescent="0.25">
      <c r="B5" s="132" t="s">
        <v>792</v>
      </c>
    </row>
    <row r="6" spans="2:2" s="122" customFormat="1" x14ac:dyDescent="0.25">
      <c r="B6" s="132" t="s">
        <v>793</v>
      </c>
    </row>
    <row r="7" spans="2:2" s="122" customFormat="1" x14ac:dyDescent="0.25">
      <c r="B7" s="132" t="s">
        <v>794</v>
      </c>
    </row>
    <row r="8" spans="2:2" s="122" customFormat="1" x14ac:dyDescent="0.25">
      <c r="B8" s="132" t="s">
        <v>795</v>
      </c>
    </row>
    <row r="9" spans="2:2" s="122" customFormat="1" x14ac:dyDescent="0.25">
      <c r="B9" s="132" t="s">
        <v>796</v>
      </c>
    </row>
    <row r="10" spans="2:2" s="122" customFormat="1" x14ac:dyDescent="0.25">
      <c r="B10" s="131" t="s">
        <v>797</v>
      </c>
    </row>
    <row r="11" spans="2:2" s="122" customFormat="1" x14ac:dyDescent="0.25">
      <c r="B11" s="131" t="s">
        <v>798</v>
      </c>
    </row>
    <row r="12" spans="2:2" s="122" customFormat="1" x14ac:dyDescent="0.25">
      <c r="B12" s="131" t="s">
        <v>799</v>
      </c>
    </row>
    <row r="13" spans="2:2" s="122" customFormat="1" x14ac:dyDescent="0.25">
      <c r="B13" s="131"/>
    </row>
    <row r="14" spans="2:2" s="122" customFormat="1" x14ac:dyDescent="0.25">
      <c r="B14" s="132" t="s">
        <v>804</v>
      </c>
    </row>
    <row r="15" spans="2:2" s="122" customFormat="1" x14ac:dyDescent="0.25">
      <c r="B15" s="131" t="s">
        <v>800</v>
      </c>
    </row>
    <row r="16" spans="2:2" s="122" customFormat="1" x14ac:dyDescent="0.25">
      <c r="B16" s="131"/>
    </row>
    <row r="17" spans="2:16" x14ac:dyDescent="0.25">
      <c r="B17" t="s">
        <v>803</v>
      </c>
    </row>
    <row r="18" spans="2:16" x14ac:dyDescent="0.25">
      <c r="B18" t="s">
        <v>807</v>
      </c>
    </row>
    <row r="19" spans="2:16" x14ac:dyDescent="0.25">
      <c r="B19" t="s">
        <v>805</v>
      </c>
    </row>
    <row r="20" spans="2:16" x14ac:dyDescent="0.25">
      <c r="B20" t="s">
        <v>808</v>
      </c>
    </row>
    <row r="21" spans="2:16" s="122" customFormat="1" x14ac:dyDescent="0.25">
      <c r="B21" s="122" t="s">
        <v>809</v>
      </c>
    </row>
    <row r="23" spans="2:16" x14ac:dyDescent="0.25">
      <c r="B23" t="s">
        <v>806</v>
      </c>
    </row>
    <row r="24" spans="2:16" s="122" customFormat="1" x14ac:dyDescent="0.25">
      <c r="B24" s="122" t="s">
        <v>811</v>
      </c>
      <c r="P24"/>
    </row>
    <row r="25" spans="2:16" s="15" customFormat="1" x14ac:dyDescent="0.25">
      <c r="B25" s="15" t="s">
        <v>810</v>
      </c>
      <c r="P25"/>
    </row>
    <row r="26" spans="2:16" s="15" customFormat="1" x14ac:dyDescent="0.25">
      <c r="B26" s="15" t="s">
        <v>812</v>
      </c>
      <c r="P26" s="122"/>
    </row>
    <row r="27" spans="2:16" s="15" customFormat="1" x14ac:dyDescent="0.25">
      <c r="B27" s="15" t="s">
        <v>813</v>
      </c>
    </row>
    <row r="28" spans="2:16" s="122" customFormat="1" x14ac:dyDescent="0.25"/>
    <row r="29" spans="2:16" s="122" customFormat="1" x14ac:dyDescent="0.25">
      <c r="B29" s="122" t="s">
        <v>814</v>
      </c>
    </row>
    <row r="30" spans="2:16" s="122" customFormat="1" x14ac:dyDescent="0.25">
      <c r="B30" s="15" t="s">
        <v>815</v>
      </c>
    </row>
    <row r="31" spans="2:16" s="15" customFormat="1" x14ac:dyDescent="0.25">
      <c r="B31" s="15" t="s">
        <v>760</v>
      </c>
    </row>
    <row r="32" spans="2:16" s="15" customFormat="1" x14ac:dyDescent="0.25"/>
    <row r="33" spans="2:2" s="15" customFormat="1" x14ac:dyDescent="0.25">
      <c r="B33" s="131" t="s">
        <v>790</v>
      </c>
    </row>
    <row r="34" spans="2:2" x14ac:dyDescent="0.25">
      <c r="B34" s="131" t="s">
        <v>757</v>
      </c>
    </row>
    <row r="35" spans="2:2" x14ac:dyDescent="0.25">
      <c r="B35" s="131" t="s">
        <v>789</v>
      </c>
    </row>
    <row r="37" spans="2:2" x14ac:dyDescent="0.25">
      <c r="B37" s="96" t="s">
        <v>791</v>
      </c>
    </row>
    <row r="38" spans="2:2" x14ac:dyDescent="0.25">
      <c r="B38" s="15" t="s">
        <v>759</v>
      </c>
    </row>
    <row r="39" spans="2:2" x14ac:dyDescent="0.25">
      <c r="B39" t="s">
        <v>816</v>
      </c>
    </row>
  </sheetData>
  <hyperlinks>
    <hyperlink ref="B2" location="'Approaches Details'!A1" display="The &quot;Approaches details&quot; page defines  a series of changes (&quot;Approaches&quot;) that relate to resource efficiency / circular economy opportunities."/>
    <hyperlink ref="B35" location="References!A1" display="A full list of References is supplied"/>
    <hyperlink ref="B34" location="'Secondary Flows'!A1" display="The &quot;Secondary flows&quot; page notes minor changes to Exiobase to enable consideration of changes to recycling flows"/>
    <hyperlink ref="B15" location="'Additional detail'!A1" display="Additional information and supporting data is provided on the &quot;Additional detail&quot; page. This is intended to aid understanding of how the figures on the main &quot;approaches&quot; page were derived from the relevant literature sources."/>
    <hyperlink ref="B33" location="'Approaches Groups'!A1" display="The &quot;Approaches Groups&quot; page lists the groups / filters of approaches that are used when creating the results that illustrate the potential effect of subsets of the approaches."/>
    <hyperlink ref="B10" location="'Product Table'!A1" display="The products that are contained within each of these &quot;product groups&quot; are listed in the &quot;Product Table&quot;"/>
    <hyperlink ref="B11" location="'Industry Table'!A1" display="The industries (i.e. users of the products in the product group) that are in each &quot;industry group&quot; are listed in the &quot;Industry Table&quot;"/>
    <hyperlink ref="B12" location="'Region Table'!A1" display="The regions (i.e. locations of the affected industries for each effect) that are in each &quot;region group&quot; are listed in the &quot;Region Table&quot;"/>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648"/>
  <sheetViews>
    <sheetView zoomScale="89" zoomScaleNormal="60" workbookViewId="0">
      <pane xSplit="1" ySplit="3" topLeftCell="B4" activePane="bottomRight" state="frozenSplit"/>
      <selection pane="topRight" activeCell="C1" sqref="C1"/>
      <selection pane="bottomLeft" activeCell="A4" sqref="A4"/>
      <selection pane="bottomRight" activeCell="D24" sqref="D24"/>
    </sheetView>
  </sheetViews>
  <sheetFormatPr defaultRowHeight="15" x14ac:dyDescent="0.25"/>
  <cols>
    <col min="1" max="1" width="5.85546875" customWidth="1"/>
    <col min="2" max="2" width="27.140625" customWidth="1"/>
    <col min="3" max="3" width="32" customWidth="1"/>
    <col min="4" max="4" width="45.85546875" customWidth="1"/>
    <col min="5" max="5" width="9.5703125" customWidth="1"/>
    <col min="6" max="6" width="10.5703125" customWidth="1"/>
    <col min="7" max="9" width="9.140625" customWidth="1"/>
    <col min="10" max="10" width="12.5703125" style="9" customWidth="1"/>
    <col min="11" max="13" width="10.5703125" style="9" customWidth="1"/>
    <col min="14" max="14" width="9.140625" style="31"/>
    <col min="15" max="15" width="59.28515625" style="27" customWidth="1"/>
    <col min="16" max="16" width="13.7109375" customWidth="1"/>
    <col min="17" max="17" width="14" bestFit="1" customWidth="1"/>
    <col min="18" max="18" width="11.85546875" bestFit="1" customWidth="1"/>
    <col min="19" max="19" width="8.140625" customWidth="1"/>
    <col min="21" max="21" width="9.140625" customWidth="1"/>
    <col min="23" max="23" width="13.140625" bestFit="1" customWidth="1"/>
  </cols>
  <sheetData>
    <row r="1" spans="1:18" x14ac:dyDescent="0.25">
      <c r="I1" s="6">
        <v>0.3</v>
      </c>
      <c r="J1" s="5"/>
      <c r="K1" s="35">
        <v>0.6</v>
      </c>
      <c r="L1" s="21"/>
      <c r="M1" s="129">
        <v>0.9</v>
      </c>
    </row>
    <row r="2" spans="1:18" x14ac:dyDescent="0.25">
      <c r="I2" s="5" t="s">
        <v>499</v>
      </c>
      <c r="J2" s="5"/>
      <c r="K2" s="21" t="s">
        <v>500</v>
      </c>
      <c r="L2" s="21"/>
      <c r="M2" s="128" t="s">
        <v>723</v>
      </c>
    </row>
    <row r="3" spans="1:18" x14ac:dyDescent="0.25">
      <c r="A3" t="s">
        <v>1</v>
      </c>
      <c r="B3" s="9" t="s">
        <v>750</v>
      </c>
      <c r="C3" s="131" t="s">
        <v>493</v>
      </c>
      <c r="D3" s="131" t="s">
        <v>494</v>
      </c>
      <c r="E3" s="131" t="s">
        <v>493</v>
      </c>
      <c r="F3" s="131" t="s">
        <v>494</v>
      </c>
      <c r="G3" s="131" t="s">
        <v>495</v>
      </c>
      <c r="H3" t="s">
        <v>496</v>
      </c>
      <c r="I3" s="5" t="s">
        <v>497</v>
      </c>
      <c r="J3" s="5" t="s">
        <v>498</v>
      </c>
      <c r="K3" s="21" t="s">
        <v>497</v>
      </c>
      <c r="L3" s="21" t="s">
        <v>498</v>
      </c>
      <c r="M3" s="128" t="s">
        <v>497</v>
      </c>
      <c r="N3" s="31" t="s">
        <v>199</v>
      </c>
      <c r="O3" s="133" t="s">
        <v>0</v>
      </c>
    </row>
    <row r="4" spans="1:18" s="9" customFormat="1" x14ac:dyDescent="0.25">
      <c r="A4" s="128">
        <v>1</v>
      </c>
      <c r="B4" s="76" t="s">
        <v>308</v>
      </c>
      <c r="C4" s="9" t="str">
        <f t="shared" ref="C4:C42" ca="1" si="0">INDIRECT(ADDRESS(E4+2,2,,,"product Table"))</f>
        <v>All products</v>
      </c>
      <c r="D4" s="9" t="str">
        <f t="shared" ref="D4:D42" ca="1" si="1">INDIRECT(ADDRESS(F4+2,2,,,"industry Table"))</f>
        <v>Manufacture of electrical machinery and apparatus n.e.c.'</v>
      </c>
      <c r="E4" s="9">
        <v>1</v>
      </c>
      <c r="F4" s="9">
        <v>2</v>
      </c>
      <c r="G4" s="9">
        <v>1</v>
      </c>
      <c r="H4" s="2">
        <f>266052/(266052+681154)</f>
        <v>0.28088082212317067</v>
      </c>
      <c r="I4" s="95">
        <f>advancedEstimate*31.6666666666667%</f>
        <v>0.1900000000000002</v>
      </c>
      <c r="J4" s="94">
        <v>-0.25</v>
      </c>
      <c r="K4" s="95">
        <v>0.31666666666666665</v>
      </c>
      <c r="L4" s="94">
        <v>-0.25</v>
      </c>
      <c r="M4" s="13">
        <f>0.95*0.5</f>
        <v>0.47499999999999998</v>
      </c>
      <c r="N4" s="86">
        <f>A4</f>
        <v>1</v>
      </c>
      <c r="O4" s="38" t="s">
        <v>733</v>
      </c>
      <c r="Q4" s="123"/>
      <c r="R4" s="124"/>
    </row>
    <row r="5" spans="1:18" s="9" customFormat="1" x14ac:dyDescent="0.25">
      <c r="A5" s="128">
        <f t="shared" ref="A5:A85" si="2">1+A4</f>
        <v>2</v>
      </c>
      <c r="C5" s="9" t="str">
        <f t="shared" ca="1" si="0"/>
        <v>Retail  trade services, except of motor vehicles and motorcycles; repair services of personal and household goods</v>
      </c>
      <c r="D5" s="9" t="str">
        <f t="shared" ca="1" si="1"/>
        <v>Manufacture of electrical machinery and apparatus n.e.c.'</v>
      </c>
      <c r="E5" s="9">
        <v>4</v>
      </c>
      <c r="F5" s="9">
        <v>2</v>
      </c>
      <c r="G5" s="9">
        <v>1</v>
      </c>
      <c r="H5" s="74">
        <v>1</v>
      </c>
      <c r="I5" s="74">
        <v>1</v>
      </c>
      <c r="J5" s="95">
        <v>7.0000000000000007E-2</v>
      </c>
      <c r="K5" s="74">
        <v>1</v>
      </c>
      <c r="L5" s="95">
        <v>7.0000000000000007E-2</v>
      </c>
      <c r="M5" s="74">
        <v>1</v>
      </c>
      <c r="N5" s="86">
        <f>A4</f>
        <v>1</v>
      </c>
      <c r="O5" s="9" t="s">
        <v>734</v>
      </c>
      <c r="Q5" s="123"/>
      <c r="R5" s="124"/>
    </row>
    <row r="6" spans="1:18" s="9" customFormat="1" x14ac:dyDescent="0.25">
      <c r="A6" s="128">
        <f t="shared" si="2"/>
        <v>3</v>
      </c>
      <c r="C6" s="9" t="str">
        <f t="shared" ca="1" si="0"/>
        <v>Post and telecommunication services</v>
      </c>
      <c r="D6" s="9" t="str">
        <f t="shared" ca="1" si="1"/>
        <v>Manufacture of electrical machinery and apparatus n.e.c.'</v>
      </c>
      <c r="E6" s="9">
        <v>3</v>
      </c>
      <c r="F6" s="9">
        <v>2</v>
      </c>
      <c r="G6" s="9">
        <v>1</v>
      </c>
      <c r="H6" s="74">
        <v>1</v>
      </c>
      <c r="I6" s="74">
        <v>1</v>
      </c>
      <c r="J6" s="95">
        <v>0.01</v>
      </c>
      <c r="K6" s="74">
        <v>1</v>
      </c>
      <c r="L6" s="95">
        <v>0.01</v>
      </c>
      <c r="M6" s="74">
        <v>1</v>
      </c>
      <c r="N6" s="86">
        <f>A4</f>
        <v>1</v>
      </c>
      <c r="O6" s="38" t="s">
        <v>289</v>
      </c>
      <c r="Q6" s="123"/>
      <c r="R6" s="124"/>
    </row>
    <row r="7" spans="1:18" s="9" customFormat="1" x14ac:dyDescent="0.25">
      <c r="A7" s="128">
        <f t="shared" si="2"/>
        <v>4</v>
      </c>
      <c r="C7" s="9" t="str">
        <f t="shared" ca="1" si="0"/>
        <v>Electrical machinery and apparatus</v>
      </c>
      <c r="D7" s="9" t="str">
        <f t="shared" ca="1" si="1"/>
        <v>Manufacture of electrical machinery and apparatus n.e.c.'</v>
      </c>
      <c r="E7" s="9">
        <v>8</v>
      </c>
      <c r="F7" s="9">
        <v>2</v>
      </c>
      <c r="G7" s="9">
        <v>1</v>
      </c>
      <c r="H7" s="74">
        <v>1</v>
      </c>
      <c r="I7" s="74">
        <v>1</v>
      </c>
      <c r="J7" s="95">
        <v>0.04</v>
      </c>
      <c r="K7" s="74">
        <v>1</v>
      </c>
      <c r="L7" s="95">
        <v>0.04</v>
      </c>
      <c r="M7" s="74">
        <v>1</v>
      </c>
      <c r="N7" s="86">
        <f>A4</f>
        <v>1</v>
      </c>
      <c r="O7" s="38" t="s">
        <v>291</v>
      </c>
      <c r="Q7" s="123"/>
      <c r="R7" s="124"/>
    </row>
    <row r="8" spans="1:18" s="9" customFormat="1" x14ac:dyDescent="0.25">
      <c r="A8" s="128">
        <f t="shared" si="2"/>
        <v>5</v>
      </c>
      <c r="B8" s="76" t="s">
        <v>309</v>
      </c>
      <c r="C8" s="9" t="str">
        <f t="shared" ca="1" si="0"/>
        <v>All products</v>
      </c>
      <c r="D8" s="9" t="str">
        <f t="shared" ca="1" si="1"/>
        <v>Manufacture of electrical machinery and apparatus n.e.c.'</v>
      </c>
      <c r="E8" s="9">
        <v>1</v>
      </c>
      <c r="F8" s="9">
        <v>2</v>
      </c>
      <c r="G8" s="9">
        <v>1</v>
      </c>
      <c r="H8" s="2">
        <f>266052/(266052+681154)</f>
        <v>0.28088082212317067</v>
      </c>
      <c r="I8" s="95">
        <f>advancedEstimate*21.6666666666667%</f>
        <v>0.1300000000000002</v>
      </c>
      <c r="J8" s="94">
        <v>-0.25</v>
      </c>
      <c r="K8" s="95">
        <v>0.21666666666666667</v>
      </c>
      <c r="L8" s="94">
        <v>-0.25</v>
      </c>
      <c r="M8" s="13">
        <f>0.95*0.5</f>
        <v>0.47499999999999998</v>
      </c>
      <c r="N8" s="86">
        <f>A8</f>
        <v>5</v>
      </c>
      <c r="O8" s="38" t="s">
        <v>297</v>
      </c>
      <c r="Q8" s="123"/>
      <c r="R8" s="124"/>
    </row>
    <row r="9" spans="1:18" s="9" customFormat="1" x14ac:dyDescent="0.25">
      <c r="A9" s="128">
        <f t="shared" si="2"/>
        <v>6</v>
      </c>
      <c r="C9" s="9" t="str">
        <f t="shared" ca="1" si="0"/>
        <v>Retail  trade services, except of motor vehicles and motorcycles; repair services of personal and household goods</v>
      </c>
      <c r="D9" s="9" t="str">
        <f t="shared" ca="1" si="1"/>
        <v>Manufacture of electrical machinery and apparatus n.e.c.'</v>
      </c>
      <c r="E9" s="9">
        <v>4</v>
      </c>
      <c r="F9" s="9">
        <v>2</v>
      </c>
      <c r="G9" s="9">
        <v>1</v>
      </c>
      <c r="H9" s="74">
        <v>1</v>
      </c>
      <c r="I9" s="74">
        <v>1</v>
      </c>
      <c r="J9" s="95">
        <v>7.0000000000000007E-2</v>
      </c>
      <c r="K9" s="74">
        <v>1</v>
      </c>
      <c r="L9" s="95">
        <v>7.0000000000000007E-2</v>
      </c>
      <c r="M9" s="74">
        <v>1</v>
      </c>
      <c r="N9" s="86">
        <f>A8</f>
        <v>5</v>
      </c>
      <c r="O9" s="38" t="s">
        <v>736</v>
      </c>
      <c r="Q9" s="123"/>
      <c r="R9" s="124"/>
    </row>
    <row r="10" spans="1:18" s="9" customFormat="1" x14ac:dyDescent="0.25">
      <c r="A10" s="128">
        <f t="shared" si="2"/>
        <v>7</v>
      </c>
      <c r="C10" s="9" t="str">
        <f t="shared" ca="1" si="0"/>
        <v>Post and telecommunication services</v>
      </c>
      <c r="D10" s="9" t="str">
        <f t="shared" ca="1" si="1"/>
        <v>Manufacture of electrical machinery and apparatus n.e.c.'</v>
      </c>
      <c r="E10" s="9">
        <v>3</v>
      </c>
      <c r="F10" s="9">
        <v>2</v>
      </c>
      <c r="G10" s="9">
        <v>1</v>
      </c>
      <c r="H10" s="74">
        <v>1</v>
      </c>
      <c r="I10" s="74">
        <v>1</v>
      </c>
      <c r="J10" s="13">
        <v>0.01</v>
      </c>
      <c r="K10" s="74">
        <v>1</v>
      </c>
      <c r="L10" s="13">
        <v>0.01</v>
      </c>
      <c r="M10" s="74">
        <v>1</v>
      </c>
      <c r="N10" s="86">
        <f>A8</f>
        <v>5</v>
      </c>
      <c r="O10" s="38" t="s">
        <v>735</v>
      </c>
      <c r="Q10" s="123"/>
      <c r="R10" s="124"/>
    </row>
    <row r="11" spans="1:18" s="9" customFormat="1" x14ac:dyDescent="0.25">
      <c r="A11" s="128">
        <f t="shared" si="2"/>
        <v>8</v>
      </c>
      <c r="C11" s="9" t="str">
        <f t="shared" ca="1" si="0"/>
        <v>Electrical machinery and apparatus</v>
      </c>
      <c r="D11" s="9" t="str">
        <f t="shared" ca="1" si="1"/>
        <v>Manufacture of electrical machinery and apparatus n.e.c.'</v>
      </c>
      <c r="E11" s="9">
        <v>8</v>
      </c>
      <c r="F11" s="9">
        <v>2</v>
      </c>
      <c r="G11" s="9">
        <v>1</v>
      </c>
      <c r="H11" s="74">
        <v>1</v>
      </c>
      <c r="I11" s="74">
        <v>1</v>
      </c>
      <c r="J11" s="13">
        <v>0.1</v>
      </c>
      <c r="K11" s="74">
        <v>1</v>
      </c>
      <c r="L11" s="13">
        <v>0.1</v>
      </c>
      <c r="M11" s="74">
        <v>1</v>
      </c>
      <c r="N11" s="86">
        <f>A8</f>
        <v>5</v>
      </c>
      <c r="O11" s="38" t="s">
        <v>293</v>
      </c>
      <c r="Q11" s="123"/>
      <c r="R11" s="124"/>
    </row>
    <row r="12" spans="1:18" s="9" customFormat="1" x14ac:dyDescent="0.25">
      <c r="A12" s="128">
        <f t="shared" si="2"/>
        <v>9</v>
      </c>
      <c r="B12" s="9" t="s">
        <v>776</v>
      </c>
      <c r="C12" s="9" t="str">
        <f ca="1">INDIRECT(ADDRESS(E12+2,2,,,"product Table"))</f>
        <v>All products</v>
      </c>
      <c r="D12" s="9" t="str">
        <f ca="1">INDIRECT(ADDRESS(F12+2,2,,,"industry Table"))</f>
        <v>Manufacture of electrical machinery and apparatus n.e.c.'</v>
      </c>
      <c r="E12" s="9">
        <v>1</v>
      </c>
      <c r="F12" s="9">
        <v>2</v>
      </c>
      <c r="G12" s="9">
        <v>1</v>
      </c>
      <c r="H12" s="2">
        <f>266052/(266052+681154)</f>
        <v>0.28088082212317067</v>
      </c>
      <c r="I12" s="74">
        <f>advancedEstimate*15%</f>
        <v>0.09</v>
      </c>
      <c r="J12" s="13">
        <f>-1+1300/1820</f>
        <v>-0.2857142857142857</v>
      </c>
      <c r="K12" s="74">
        <v>0.15</v>
      </c>
      <c r="L12" s="13">
        <v>-0.8</v>
      </c>
      <c r="M12" s="13">
        <v>0.5</v>
      </c>
      <c r="N12" s="86">
        <f>A12</f>
        <v>9</v>
      </c>
      <c r="O12" s="38" t="s">
        <v>642</v>
      </c>
      <c r="Q12" s="123"/>
      <c r="R12" s="124"/>
    </row>
    <row r="13" spans="1:18" s="9" customFormat="1" x14ac:dyDescent="0.25">
      <c r="A13" s="128">
        <f t="shared" si="2"/>
        <v>10</v>
      </c>
      <c r="C13" s="9" t="str">
        <f ca="1">INDIRECT(ADDRESS(E13+2,2,,,"product Table"))</f>
        <v>Materials</v>
      </c>
      <c r="D13" s="9" t="str">
        <f ca="1">INDIRECT(ADDRESS(F13+2,2,,,"industry Table"))</f>
        <v>Manufacture of electrical machinery and apparatus n.e.c.'</v>
      </c>
      <c r="E13" s="9">
        <v>5</v>
      </c>
      <c r="F13" s="9">
        <v>2</v>
      </c>
      <c r="G13" s="9">
        <v>1</v>
      </c>
      <c r="H13" s="74">
        <v>1</v>
      </c>
      <c r="I13" s="74">
        <v>1</v>
      </c>
      <c r="J13" s="13">
        <v>0.05</v>
      </c>
      <c r="K13" s="74">
        <v>1</v>
      </c>
      <c r="L13" s="13">
        <v>0.15</v>
      </c>
      <c r="M13" s="74">
        <v>1</v>
      </c>
      <c r="N13" s="86">
        <f>A12</f>
        <v>9</v>
      </c>
      <c r="O13" s="38" t="s">
        <v>786</v>
      </c>
      <c r="Q13" s="123"/>
      <c r="R13" s="124"/>
    </row>
    <row r="14" spans="1:18" s="9" customFormat="1" x14ac:dyDescent="0.25">
      <c r="A14" s="128">
        <f t="shared" si="2"/>
        <v>11</v>
      </c>
      <c r="C14" s="9" t="str">
        <f ca="1">INDIRECT(ADDRESS(E14+2,2,,,"product Table"))</f>
        <v>Retail  trade services, except of motor vehicles and motorcycles; repair services of personal and household goods</v>
      </c>
      <c r="D14" s="9" t="str">
        <f ca="1">INDIRECT(ADDRESS(F14+2,2,,,"industry Table"))</f>
        <v>Manufacture of electrical machinery and apparatus n.e.c.'</v>
      </c>
      <c r="E14" s="9">
        <v>4</v>
      </c>
      <c r="F14" s="9">
        <v>2</v>
      </c>
      <c r="G14" s="9">
        <v>1</v>
      </c>
      <c r="H14" s="74">
        <v>1</v>
      </c>
      <c r="I14" s="74">
        <v>1</v>
      </c>
      <c r="J14" s="13">
        <v>0.05</v>
      </c>
      <c r="K14" s="74">
        <v>1</v>
      </c>
      <c r="L14" s="74">
        <v>0.05</v>
      </c>
      <c r="M14" s="74">
        <v>1</v>
      </c>
      <c r="N14" s="86">
        <f>A12</f>
        <v>9</v>
      </c>
      <c r="O14" s="38"/>
      <c r="Q14" s="123"/>
      <c r="R14" s="124"/>
    </row>
    <row r="15" spans="1:18" s="9" customFormat="1" x14ac:dyDescent="0.25">
      <c r="A15" s="128">
        <f t="shared" si="2"/>
        <v>12</v>
      </c>
      <c r="B15" s="9" t="s">
        <v>729</v>
      </c>
      <c r="C15" s="9" t="str">
        <f t="shared" ca="1" si="0"/>
        <v>All products</v>
      </c>
      <c r="D15" s="9" t="str">
        <f t="shared" ca="1" si="1"/>
        <v>Manufacture of radio, television and communication equipment and apparatus'</v>
      </c>
      <c r="E15" s="9">
        <v>1</v>
      </c>
      <c r="F15" s="9">
        <v>3</v>
      </c>
      <c r="G15" s="9">
        <v>1</v>
      </c>
      <c r="H15" s="74">
        <f>390217/(390217+688097)</f>
        <v>0.36187696719137469</v>
      </c>
      <c r="I15" s="95">
        <f>advancedEstimate*39.4%</f>
        <v>0.23639999999999997</v>
      </c>
      <c r="J15" s="95">
        <v>-0.45289340101522846</v>
      </c>
      <c r="K15" s="95">
        <v>0.39400000000000002</v>
      </c>
      <c r="L15" s="95">
        <v>-0.45289340101522846</v>
      </c>
      <c r="M15" s="13">
        <f>0.5*0.95</f>
        <v>0.47499999999999998</v>
      </c>
      <c r="N15" s="86">
        <f>A15</f>
        <v>12</v>
      </c>
      <c r="O15" s="9">
        <f>390217/(390217+688097)</f>
        <v>0.36187696719137469</v>
      </c>
      <c r="Q15" s="123"/>
      <c r="R15" s="124"/>
    </row>
    <row r="16" spans="1:18" s="9" customFormat="1" x14ac:dyDescent="0.25">
      <c r="A16" s="128">
        <f t="shared" si="2"/>
        <v>13</v>
      </c>
      <c r="C16" s="9" t="str">
        <f t="shared" ca="1" si="0"/>
        <v>Retail  trade services, except of motor vehicles and motorcycles; repair services of personal and household goods</v>
      </c>
      <c r="D16" s="9" t="str">
        <f t="shared" ca="1" si="1"/>
        <v>Manufacture of radio, television and communication equipment and apparatus'</v>
      </c>
      <c r="E16" s="9">
        <v>4</v>
      </c>
      <c r="F16" s="9">
        <v>3</v>
      </c>
      <c r="G16" s="9">
        <v>1</v>
      </c>
      <c r="H16" s="74">
        <v>1</v>
      </c>
      <c r="I16" s="74">
        <v>1</v>
      </c>
      <c r="J16" s="13">
        <v>7.0000000000000007E-2</v>
      </c>
      <c r="K16" s="74">
        <v>1</v>
      </c>
      <c r="L16" s="13">
        <v>7.0000000000000007E-2</v>
      </c>
      <c r="M16" s="74">
        <v>1</v>
      </c>
      <c r="N16" s="86">
        <f>A15</f>
        <v>12</v>
      </c>
      <c r="O16" s="38" t="s">
        <v>298</v>
      </c>
      <c r="Q16" s="123"/>
      <c r="R16" s="124"/>
    </row>
    <row r="17" spans="1:18" s="9" customFormat="1" x14ac:dyDescent="0.25">
      <c r="A17" s="128">
        <f t="shared" si="2"/>
        <v>14</v>
      </c>
      <c r="C17" s="9" t="str">
        <f t="shared" ca="1" si="0"/>
        <v>Post and telecommunication services</v>
      </c>
      <c r="D17" s="9" t="str">
        <f t="shared" ca="1" si="1"/>
        <v>Manufacture of radio, television and communication equipment and apparatus'</v>
      </c>
      <c r="E17" s="9">
        <v>3</v>
      </c>
      <c r="F17" s="9">
        <v>3</v>
      </c>
      <c r="G17" s="9">
        <v>1</v>
      </c>
      <c r="H17" s="74">
        <v>1</v>
      </c>
      <c r="I17" s="74">
        <v>1</v>
      </c>
      <c r="J17" s="13">
        <v>0.01</v>
      </c>
      <c r="K17" s="74">
        <v>1</v>
      </c>
      <c r="L17" s="13">
        <v>0.01</v>
      </c>
      <c r="M17" s="74">
        <v>1</v>
      </c>
      <c r="N17" s="86">
        <f>A15</f>
        <v>12</v>
      </c>
      <c r="O17" s="38"/>
      <c r="Q17" s="123"/>
      <c r="R17" s="124"/>
    </row>
    <row r="18" spans="1:18" s="9" customFormat="1" x14ac:dyDescent="0.25">
      <c r="A18" s="128">
        <f t="shared" si="2"/>
        <v>15</v>
      </c>
      <c r="C18" s="9" t="str">
        <f t="shared" ca="1" si="0"/>
        <v>Radio, television and communication equipment and apparatus</v>
      </c>
      <c r="D18" s="9" t="str">
        <f t="shared" ca="1" si="1"/>
        <v>Manufacture of radio, television and communication equipment and apparatus'</v>
      </c>
      <c r="E18" s="9">
        <v>2</v>
      </c>
      <c r="F18" s="9">
        <v>3</v>
      </c>
      <c r="G18" s="9">
        <v>1</v>
      </c>
      <c r="H18" s="74">
        <v>1</v>
      </c>
      <c r="I18" s="74">
        <v>1</v>
      </c>
      <c r="J18" s="13">
        <v>0.04</v>
      </c>
      <c r="K18" s="74">
        <v>1</v>
      </c>
      <c r="L18" s="13">
        <v>0.04</v>
      </c>
      <c r="M18" s="74">
        <v>1</v>
      </c>
      <c r="N18" s="86">
        <f>A15</f>
        <v>12</v>
      </c>
      <c r="O18" s="38"/>
      <c r="Q18" s="123"/>
      <c r="R18" s="124"/>
    </row>
    <row r="19" spans="1:18" s="9" customFormat="1" x14ac:dyDescent="0.25">
      <c r="A19" s="128">
        <f t="shared" si="2"/>
        <v>16</v>
      </c>
      <c r="B19" s="9" t="s">
        <v>730</v>
      </c>
      <c r="C19" s="9" t="str">
        <f t="shared" ca="1" si="0"/>
        <v>All products</v>
      </c>
      <c r="D19" s="9" t="str">
        <f t="shared" ca="1" si="1"/>
        <v>Manufacture of radio, television and communication equipment and apparatus'</v>
      </c>
      <c r="E19" s="9">
        <v>1</v>
      </c>
      <c r="F19" s="9">
        <v>3</v>
      </c>
      <c r="G19" s="9">
        <v>1</v>
      </c>
      <c r="H19" s="74">
        <f>390217/(390217+688097)</f>
        <v>0.36187696719137469</v>
      </c>
      <c r="I19" s="95">
        <f>advancedEstimate*19.6%</f>
        <v>0.1176</v>
      </c>
      <c r="J19" s="94">
        <v>-0.45795918367346938</v>
      </c>
      <c r="K19" s="95">
        <v>0.19600000000000001</v>
      </c>
      <c r="L19" s="94">
        <v>-0.45795918367346938</v>
      </c>
      <c r="M19" s="13">
        <f>0.5*0.95</f>
        <v>0.47499999999999998</v>
      </c>
      <c r="N19" s="86">
        <f>A19</f>
        <v>16</v>
      </c>
      <c r="O19" s="38"/>
      <c r="Q19" s="123"/>
      <c r="R19" s="124"/>
    </row>
    <row r="20" spans="1:18" s="9" customFormat="1" x14ac:dyDescent="0.25">
      <c r="A20" s="128">
        <f t="shared" si="2"/>
        <v>17</v>
      </c>
      <c r="C20" s="9" t="str">
        <f t="shared" ca="1" si="0"/>
        <v>Retail  trade services, except of motor vehicles and motorcycles; repair services of personal and household goods</v>
      </c>
      <c r="D20" s="9" t="str">
        <f t="shared" ca="1" si="1"/>
        <v>Manufacture of radio, television and communication equipment and apparatus'</v>
      </c>
      <c r="E20" s="9">
        <v>4</v>
      </c>
      <c r="F20" s="9">
        <v>3</v>
      </c>
      <c r="G20" s="9">
        <v>1</v>
      </c>
      <c r="H20" s="74">
        <v>1</v>
      </c>
      <c r="I20" s="74">
        <v>1</v>
      </c>
      <c r="J20" s="13">
        <v>7.0000000000000007E-2</v>
      </c>
      <c r="K20" s="74">
        <v>1</v>
      </c>
      <c r="L20" s="13">
        <v>7.0000000000000007E-2</v>
      </c>
      <c r="M20" s="74">
        <v>1</v>
      </c>
      <c r="N20" s="86">
        <f>A19</f>
        <v>16</v>
      </c>
      <c r="O20" s="38"/>
      <c r="Q20" s="123"/>
      <c r="R20" s="124"/>
    </row>
    <row r="21" spans="1:18" s="9" customFormat="1" x14ac:dyDescent="0.25">
      <c r="A21" s="128">
        <f t="shared" si="2"/>
        <v>18</v>
      </c>
      <c r="C21" s="9" t="str">
        <f t="shared" ca="1" si="0"/>
        <v>Post and telecommunication services</v>
      </c>
      <c r="D21" s="9" t="str">
        <f t="shared" ca="1" si="1"/>
        <v>Manufacture of radio, television and communication equipment and apparatus'</v>
      </c>
      <c r="E21" s="9">
        <v>3</v>
      </c>
      <c r="F21" s="9">
        <v>3</v>
      </c>
      <c r="G21" s="9">
        <v>1</v>
      </c>
      <c r="H21" s="74">
        <v>1</v>
      </c>
      <c r="I21" s="74">
        <v>1</v>
      </c>
      <c r="J21" s="13">
        <v>0.01</v>
      </c>
      <c r="K21" s="74">
        <v>1</v>
      </c>
      <c r="L21" s="13">
        <v>0.01</v>
      </c>
      <c r="M21" s="74">
        <v>1</v>
      </c>
      <c r="N21" s="86">
        <f>A19</f>
        <v>16</v>
      </c>
      <c r="O21" s="38"/>
      <c r="Q21" s="123"/>
      <c r="R21" s="124"/>
    </row>
    <row r="22" spans="1:18" s="9" customFormat="1" x14ac:dyDescent="0.25">
      <c r="A22" s="128">
        <f t="shared" si="2"/>
        <v>19</v>
      </c>
      <c r="C22" s="9" t="str">
        <f t="shared" ca="1" si="0"/>
        <v>Radio, television and communication equipment and apparatus</v>
      </c>
      <c r="D22" s="9" t="str">
        <f t="shared" ca="1" si="1"/>
        <v>Manufacture of radio, television and communication equipment and apparatus'</v>
      </c>
      <c r="E22" s="9">
        <v>2</v>
      </c>
      <c r="F22" s="9">
        <v>3</v>
      </c>
      <c r="G22" s="9">
        <v>1</v>
      </c>
      <c r="H22" s="74">
        <v>1</v>
      </c>
      <c r="I22" s="74">
        <v>1</v>
      </c>
      <c r="J22" s="13">
        <v>0.1</v>
      </c>
      <c r="K22" s="74">
        <v>1</v>
      </c>
      <c r="L22" s="13">
        <v>0.1</v>
      </c>
      <c r="M22" s="74">
        <v>1</v>
      </c>
      <c r="N22" s="86">
        <f>A19</f>
        <v>16</v>
      </c>
      <c r="O22" s="38"/>
      <c r="Q22" s="123"/>
      <c r="R22" s="124"/>
    </row>
    <row r="23" spans="1:18" s="9" customFormat="1" x14ac:dyDescent="0.25">
      <c r="A23" s="128">
        <f t="shared" si="2"/>
        <v>20</v>
      </c>
      <c r="B23" s="9" t="s">
        <v>728</v>
      </c>
      <c r="C23" s="9" t="str">
        <f t="shared" ref="C23:C26" ca="1" si="3">INDIRECT(ADDRESS(E23+2,2,,,"product Table"))</f>
        <v>All products</v>
      </c>
      <c r="D23" s="9" t="str">
        <f t="shared" ref="D23:D26" ca="1" si="4">INDIRECT(ADDRESS(F23+2,2,,,"industry Table"))</f>
        <v>Manufacture of radio, television and communication equipment and apparatus'</v>
      </c>
      <c r="E23" s="9">
        <v>1</v>
      </c>
      <c r="F23" s="9">
        <v>3</v>
      </c>
      <c r="G23" s="9">
        <v>1</v>
      </c>
      <c r="H23" s="74">
        <f>50%*688097/(390217+688097)</f>
        <v>0.31906151640431268</v>
      </c>
      <c r="I23" s="95">
        <f>advancedEstimate*39.4%</f>
        <v>0.23639999999999997</v>
      </c>
      <c r="J23" s="95">
        <v>-0.45289340101522846</v>
      </c>
      <c r="K23" s="95">
        <v>0.39400000000000002</v>
      </c>
      <c r="L23" s="95">
        <v>-0.45289340101522846</v>
      </c>
      <c r="M23" s="13">
        <f>0.5*0.95</f>
        <v>0.47499999999999998</v>
      </c>
      <c r="N23" s="86">
        <f>A23</f>
        <v>20</v>
      </c>
      <c r="O23" s="38" t="s">
        <v>732</v>
      </c>
      <c r="Q23" s="123"/>
      <c r="R23" s="124"/>
    </row>
    <row r="24" spans="1:18" s="9" customFormat="1" x14ac:dyDescent="0.25">
      <c r="A24" s="128">
        <f t="shared" si="2"/>
        <v>21</v>
      </c>
      <c r="C24" s="9" t="str">
        <f t="shared" ca="1" si="3"/>
        <v>Radio, television and communication equipment and apparatus</v>
      </c>
      <c r="D24" s="9" t="str">
        <f t="shared" ca="1" si="4"/>
        <v>Manufacture of radio, television and communication equipment and apparatus'</v>
      </c>
      <c r="E24" s="9">
        <v>2</v>
      </c>
      <c r="F24" s="9">
        <v>3</v>
      </c>
      <c r="G24" s="9">
        <v>1</v>
      </c>
      <c r="H24" s="74">
        <v>1</v>
      </c>
      <c r="I24" s="74">
        <v>1</v>
      </c>
      <c r="J24" s="13">
        <v>0.04</v>
      </c>
      <c r="K24" s="74">
        <v>1</v>
      </c>
      <c r="L24" s="13">
        <v>0.04</v>
      </c>
      <c r="M24" s="74">
        <v>1</v>
      </c>
      <c r="N24" s="86">
        <f>A23</f>
        <v>20</v>
      </c>
      <c r="O24" s="38"/>
      <c r="Q24" s="123"/>
      <c r="R24" s="124"/>
    </row>
    <row r="25" spans="1:18" s="9" customFormat="1" x14ac:dyDescent="0.25">
      <c r="A25" s="128">
        <f t="shared" si="2"/>
        <v>22</v>
      </c>
      <c r="B25" s="9" t="s">
        <v>731</v>
      </c>
      <c r="C25" s="9" t="str">
        <f t="shared" ca="1" si="3"/>
        <v>All products</v>
      </c>
      <c r="D25" s="9" t="str">
        <f t="shared" ca="1" si="4"/>
        <v>Manufacture of radio, television and communication equipment and apparatus'</v>
      </c>
      <c r="E25" s="9">
        <v>1</v>
      </c>
      <c r="F25" s="9">
        <v>3</v>
      </c>
      <c r="G25" s="9">
        <v>1</v>
      </c>
      <c r="H25" s="74">
        <f>50%*688097/(390217+688097)</f>
        <v>0.31906151640431268</v>
      </c>
      <c r="I25" s="95">
        <f>advancedEstimate*19.6%</f>
        <v>0.1176</v>
      </c>
      <c r="J25" s="95">
        <v>-0.45289340101522846</v>
      </c>
      <c r="K25" s="95">
        <v>0.19600000000000001</v>
      </c>
      <c r="L25" s="94">
        <v>-0.45795918367346938</v>
      </c>
      <c r="M25" s="13">
        <f>0.5*0.95</f>
        <v>0.47499999999999998</v>
      </c>
      <c r="N25" s="86">
        <f>A25</f>
        <v>22</v>
      </c>
      <c r="O25" s="38"/>
      <c r="Q25" s="123"/>
      <c r="R25" s="124"/>
    </row>
    <row r="26" spans="1:18" s="9" customFormat="1" x14ac:dyDescent="0.25">
      <c r="A26" s="128">
        <f t="shared" si="2"/>
        <v>23</v>
      </c>
      <c r="C26" s="9" t="str">
        <f t="shared" ca="1" si="3"/>
        <v>Radio, television and communication equipment and apparatus</v>
      </c>
      <c r="D26" s="9" t="str">
        <f t="shared" ca="1" si="4"/>
        <v>Manufacture of radio, television and communication equipment and apparatus'</v>
      </c>
      <c r="E26" s="9">
        <v>2</v>
      </c>
      <c r="F26" s="9">
        <v>3</v>
      </c>
      <c r="G26" s="9">
        <v>1</v>
      </c>
      <c r="H26" s="74">
        <v>1</v>
      </c>
      <c r="I26" s="74">
        <v>1</v>
      </c>
      <c r="J26" s="13">
        <v>0.1</v>
      </c>
      <c r="K26" s="74">
        <v>1</v>
      </c>
      <c r="L26" s="13">
        <v>0.1</v>
      </c>
      <c r="M26" s="74">
        <v>1</v>
      </c>
      <c r="N26" s="86">
        <f>A25</f>
        <v>22</v>
      </c>
      <c r="O26" s="38"/>
      <c r="Q26" s="123"/>
      <c r="R26" s="124"/>
    </row>
    <row r="27" spans="1:18" s="9" customFormat="1" x14ac:dyDescent="0.25">
      <c r="A27" s="128">
        <f t="shared" si="2"/>
        <v>24</v>
      </c>
      <c r="B27" s="9" t="s">
        <v>310</v>
      </c>
      <c r="C27" s="9" t="str">
        <f t="shared" ca="1" si="0"/>
        <v>All products</v>
      </c>
      <c r="D27" s="9" t="str">
        <f t="shared" ca="1" si="1"/>
        <v>Computers and office machinery</v>
      </c>
      <c r="E27" s="9">
        <v>1</v>
      </c>
      <c r="F27" s="9">
        <v>4</v>
      </c>
      <c r="G27" s="9">
        <v>1</v>
      </c>
      <c r="H27" s="74">
        <v>1</v>
      </c>
      <c r="I27" s="95">
        <f>advancedEstimate*59%</f>
        <v>0.35399999999999998</v>
      </c>
      <c r="J27" s="94">
        <v>-0.2</v>
      </c>
      <c r="K27" s="95">
        <v>0.59</v>
      </c>
      <c r="L27" s="94">
        <v>-0.2</v>
      </c>
      <c r="M27" s="13">
        <f>K27</f>
        <v>0.59</v>
      </c>
      <c r="N27" s="86">
        <f>A27</f>
        <v>24</v>
      </c>
      <c r="O27" s="38" t="s">
        <v>725</v>
      </c>
      <c r="Q27" s="123"/>
      <c r="R27" s="124"/>
    </row>
    <row r="28" spans="1:18" s="9" customFormat="1" x14ac:dyDescent="0.25">
      <c r="A28" s="128">
        <f t="shared" si="2"/>
        <v>25</v>
      </c>
      <c r="C28" s="9" t="str">
        <f t="shared" ca="1" si="0"/>
        <v>Retail  trade services, except of motor vehicles and motorcycles; repair services of personal and household goods</v>
      </c>
      <c r="D28" s="9" t="str">
        <f t="shared" ca="1" si="1"/>
        <v>Computers and office machinery</v>
      </c>
      <c r="E28" s="9">
        <v>4</v>
      </c>
      <c r="F28" s="9">
        <v>4</v>
      </c>
      <c r="G28" s="9">
        <v>1</v>
      </c>
      <c r="H28" s="74">
        <v>1</v>
      </c>
      <c r="I28" s="74">
        <v>1</v>
      </c>
      <c r="J28" s="13">
        <v>7.0000000000000007E-2</v>
      </c>
      <c r="K28" s="74">
        <v>1</v>
      </c>
      <c r="L28" s="13">
        <v>7.0000000000000007E-2</v>
      </c>
      <c r="M28" s="74">
        <v>1</v>
      </c>
      <c r="N28" s="86">
        <f>A27</f>
        <v>24</v>
      </c>
      <c r="O28" s="38"/>
      <c r="Q28" s="123"/>
      <c r="R28" s="124"/>
    </row>
    <row r="29" spans="1:18" s="9" customFormat="1" x14ac:dyDescent="0.25">
      <c r="A29" s="128">
        <f t="shared" si="2"/>
        <v>26</v>
      </c>
      <c r="C29" s="9" t="str">
        <f t="shared" ca="1" si="0"/>
        <v>Post and telecommunication services</v>
      </c>
      <c r="D29" s="9" t="str">
        <f t="shared" ca="1" si="1"/>
        <v>Computers and office machinery</v>
      </c>
      <c r="E29" s="9">
        <v>3</v>
      </c>
      <c r="F29" s="9">
        <v>4</v>
      </c>
      <c r="G29" s="9">
        <v>1</v>
      </c>
      <c r="H29" s="74">
        <v>1</v>
      </c>
      <c r="I29" s="74">
        <v>1</v>
      </c>
      <c r="J29" s="13">
        <v>0.01</v>
      </c>
      <c r="K29" s="74">
        <v>1</v>
      </c>
      <c r="L29" s="13">
        <v>0.01</v>
      </c>
      <c r="M29" s="74">
        <v>1</v>
      </c>
      <c r="N29" s="86">
        <f>A27</f>
        <v>24</v>
      </c>
      <c r="O29" s="38"/>
      <c r="Q29" s="123"/>
      <c r="R29" s="124"/>
    </row>
    <row r="30" spans="1:18" s="9" customFormat="1" x14ac:dyDescent="0.25">
      <c r="A30" s="128">
        <f t="shared" si="2"/>
        <v>27</v>
      </c>
      <c r="C30" s="9" t="str">
        <f t="shared" ca="1" si="0"/>
        <v>Computers and office machinery</v>
      </c>
      <c r="D30" s="9" t="str">
        <f t="shared" ca="1" si="1"/>
        <v>Computers and office machinery</v>
      </c>
      <c r="E30" s="9">
        <v>22</v>
      </c>
      <c r="F30" s="9">
        <v>4</v>
      </c>
      <c r="G30" s="9">
        <v>1</v>
      </c>
      <c r="H30" s="74">
        <v>1</v>
      </c>
      <c r="I30" s="74">
        <v>1</v>
      </c>
      <c r="J30" s="13">
        <v>0.04</v>
      </c>
      <c r="K30" s="74">
        <v>1</v>
      </c>
      <c r="L30" s="13">
        <v>0.04</v>
      </c>
      <c r="M30" s="74">
        <v>1</v>
      </c>
      <c r="N30" s="86">
        <f>A27</f>
        <v>24</v>
      </c>
      <c r="O30" s="38" t="s">
        <v>313</v>
      </c>
      <c r="Q30" s="123"/>
      <c r="R30" s="124"/>
    </row>
    <row r="31" spans="1:18" s="9" customFormat="1" x14ac:dyDescent="0.25">
      <c r="A31" s="128">
        <f t="shared" si="2"/>
        <v>28</v>
      </c>
      <c r="B31" s="9" t="s">
        <v>311</v>
      </c>
      <c r="C31" s="9" t="str">
        <f t="shared" ca="1" si="0"/>
        <v>All products</v>
      </c>
      <c r="D31" s="9" t="str">
        <f t="shared" ca="1" si="1"/>
        <v>Computers and office machinery</v>
      </c>
      <c r="E31" s="9">
        <v>1</v>
      </c>
      <c r="F31" s="9">
        <v>4</v>
      </c>
      <c r="G31" s="9">
        <v>1</v>
      </c>
      <c r="H31" s="74">
        <v>1</v>
      </c>
      <c r="I31" s="95">
        <f>advancedEstimate*12%</f>
        <v>7.1999999999999995E-2</v>
      </c>
      <c r="J31" s="94">
        <v>-0.2</v>
      </c>
      <c r="K31" s="95">
        <v>0.12</v>
      </c>
      <c r="L31" s="94">
        <v>-0.2</v>
      </c>
      <c r="M31" s="13">
        <f>0.95*0.5</f>
        <v>0.47499999999999998</v>
      </c>
      <c r="N31" s="86">
        <f>A31</f>
        <v>28</v>
      </c>
      <c r="O31" s="38"/>
      <c r="Q31" s="123"/>
      <c r="R31" s="124"/>
    </row>
    <row r="32" spans="1:18" s="9" customFormat="1" x14ac:dyDescent="0.25">
      <c r="A32" s="128">
        <f t="shared" si="2"/>
        <v>29</v>
      </c>
      <c r="C32" s="9" t="str">
        <f t="shared" ca="1" si="0"/>
        <v>Retail  trade services, except of motor vehicles and motorcycles; repair services of personal and household goods</v>
      </c>
      <c r="D32" s="9" t="str">
        <f t="shared" ca="1" si="1"/>
        <v>Computers and office machinery</v>
      </c>
      <c r="E32" s="9">
        <v>4</v>
      </c>
      <c r="F32" s="9">
        <v>4</v>
      </c>
      <c r="G32" s="9">
        <v>1</v>
      </c>
      <c r="H32" s="74">
        <v>1</v>
      </c>
      <c r="I32" s="74">
        <v>1</v>
      </c>
      <c r="J32" s="13">
        <v>7.0000000000000007E-2</v>
      </c>
      <c r="K32" s="74">
        <v>1</v>
      </c>
      <c r="L32" s="13">
        <v>7.0000000000000007E-2</v>
      </c>
      <c r="M32" s="74">
        <v>1</v>
      </c>
      <c r="N32" s="86">
        <f>A31</f>
        <v>28</v>
      </c>
      <c r="O32" s="38"/>
      <c r="Q32" s="123"/>
      <c r="R32" s="124"/>
    </row>
    <row r="33" spans="1:18" s="9" customFormat="1" x14ac:dyDescent="0.25">
      <c r="A33" s="128">
        <f t="shared" si="2"/>
        <v>30</v>
      </c>
      <c r="C33" s="9" t="str">
        <f t="shared" ca="1" si="0"/>
        <v>Post and telecommunication services</v>
      </c>
      <c r="D33" s="9" t="str">
        <f t="shared" ca="1" si="1"/>
        <v>Computers and office machinery</v>
      </c>
      <c r="E33" s="9">
        <v>3</v>
      </c>
      <c r="F33" s="9">
        <v>4</v>
      </c>
      <c r="G33" s="9">
        <v>1</v>
      </c>
      <c r="H33" s="74">
        <v>1</v>
      </c>
      <c r="I33" s="74">
        <v>1</v>
      </c>
      <c r="J33" s="13">
        <v>0.01</v>
      </c>
      <c r="K33" s="74">
        <v>1</v>
      </c>
      <c r="L33" s="13">
        <v>0.01</v>
      </c>
      <c r="M33" s="74">
        <v>1</v>
      </c>
      <c r="N33" s="86">
        <f>A31</f>
        <v>28</v>
      </c>
      <c r="O33" s="38"/>
      <c r="Q33" s="123"/>
      <c r="R33" s="124"/>
    </row>
    <row r="34" spans="1:18" s="9" customFormat="1" x14ac:dyDescent="0.25">
      <c r="A34" s="128">
        <f t="shared" si="2"/>
        <v>31</v>
      </c>
      <c r="C34" s="9" t="str">
        <f t="shared" ca="1" si="0"/>
        <v>Computers and office machinery</v>
      </c>
      <c r="D34" s="9" t="str">
        <f t="shared" ca="1" si="1"/>
        <v>Computers and office machinery</v>
      </c>
      <c r="E34" s="9">
        <v>22</v>
      </c>
      <c r="F34" s="9">
        <v>4</v>
      </c>
      <c r="G34" s="9">
        <v>1</v>
      </c>
      <c r="H34" s="74">
        <v>1</v>
      </c>
      <c r="I34" s="74">
        <v>1</v>
      </c>
      <c r="J34" s="94">
        <v>0.1</v>
      </c>
      <c r="K34" s="74">
        <v>1</v>
      </c>
      <c r="L34" s="94">
        <v>0.1</v>
      </c>
      <c r="M34" s="74">
        <v>1</v>
      </c>
      <c r="N34" s="86">
        <f>A31</f>
        <v>28</v>
      </c>
      <c r="O34" s="38"/>
      <c r="Q34" s="123"/>
      <c r="R34" s="124"/>
    </row>
    <row r="35" spans="1:18" s="9" customFormat="1" x14ac:dyDescent="0.25">
      <c r="A35" s="128">
        <f t="shared" si="2"/>
        <v>32</v>
      </c>
      <c r="B35" s="9" t="s">
        <v>312</v>
      </c>
      <c r="C35" s="9" t="str">
        <f t="shared" ca="1" si="0"/>
        <v>All products</v>
      </c>
      <c r="D35" s="9" t="str">
        <f t="shared" ca="1" si="1"/>
        <v>Manufacture of furniture; manufacturing n.e.c.'</v>
      </c>
      <c r="E35" s="9">
        <v>1</v>
      </c>
      <c r="F35" s="9">
        <v>5</v>
      </c>
      <c r="G35" s="9">
        <v>1</v>
      </c>
      <c r="H35" s="74">
        <f>440216/(440216+246893)</f>
        <v>0.64067855318442923</v>
      </c>
      <c r="I35" s="95">
        <f>advancedEstimate*31%</f>
        <v>0.186</v>
      </c>
      <c r="J35" s="95">
        <v>-0.25</v>
      </c>
      <c r="K35" s="95">
        <v>0.31</v>
      </c>
      <c r="L35" s="95">
        <v>-0.25</v>
      </c>
      <c r="M35" s="13">
        <f>0.5*0.95</f>
        <v>0.47499999999999998</v>
      </c>
      <c r="N35" s="86">
        <f>A35</f>
        <v>32</v>
      </c>
      <c r="O35" s="38" t="s">
        <v>726</v>
      </c>
      <c r="Q35" s="123"/>
      <c r="R35" s="124"/>
    </row>
    <row r="36" spans="1:18" s="9" customFormat="1" x14ac:dyDescent="0.25">
      <c r="A36" s="128">
        <f t="shared" si="2"/>
        <v>33</v>
      </c>
      <c r="C36" s="9" t="str">
        <f t="shared" ca="1" si="0"/>
        <v>Retail  trade services, except of motor vehicles and motorcycles; repair services of personal and household goods</v>
      </c>
      <c r="D36" s="9" t="str">
        <f t="shared" ca="1" si="1"/>
        <v>Manufacture of furniture; manufacturing n.e.c.'</v>
      </c>
      <c r="E36" s="9">
        <v>4</v>
      </c>
      <c r="F36" s="9">
        <v>5</v>
      </c>
      <c r="G36" s="9">
        <v>1</v>
      </c>
      <c r="H36" s="74">
        <v>1</v>
      </c>
      <c r="I36" s="74">
        <v>1</v>
      </c>
      <c r="J36" s="13">
        <v>7.0000000000000007E-2</v>
      </c>
      <c r="K36" s="74">
        <v>1</v>
      </c>
      <c r="L36" s="13">
        <v>7.0000000000000007E-2</v>
      </c>
      <c r="M36" s="74">
        <v>1</v>
      </c>
      <c r="N36" s="86">
        <f>A35</f>
        <v>32</v>
      </c>
      <c r="O36" s="38"/>
      <c r="Q36" s="123"/>
      <c r="R36" s="124"/>
    </row>
    <row r="37" spans="1:18" s="9" customFormat="1" x14ac:dyDescent="0.25">
      <c r="A37" s="128">
        <f t="shared" si="2"/>
        <v>34</v>
      </c>
      <c r="C37" s="9" t="str">
        <f t="shared" ca="1" si="0"/>
        <v>Post and telecommunication services</v>
      </c>
      <c r="D37" s="9" t="str">
        <f t="shared" ca="1" si="1"/>
        <v>Manufacture of furniture; manufacturing n.e.c.'</v>
      </c>
      <c r="E37" s="9">
        <v>3</v>
      </c>
      <c r="F37" s="9">
        <v>5</v>
      </c>
      <c r="G37" s="9">
        <v>1</v>
      </c>
      <c r="H37" s="74">
        <v>1</v>
      </c>
      <c r="I37" s="74">
        <v>1</v>
      </c>
      <c r="J37" s="13">
        <v>0.01</v>
      </c>
      <c r="K37" s="74">
        <v>1</v>
      </c>
      <c r="L37" s="13">
        <v>0.01</v>
      </c>
      <c r="M37" s="74">
        <v>1</v>
      </c>
      <c r="N37" s="86">
        <f>A35</f>
        <v>32</v>
      </c>
      <c r="O37" s="38"/>
      <c r="Q37" s="123"/>
      <c r="R37" s="124"/>
    </row>
    <row r="38" spans="1:18" s="9" customFormat="1" x14ac:dyDescent="0.25">
      <c r="A38" s="128">
        <f t="shared" si="2"/>
        <v>35</v>
      </c>
      <c r="C38" s="9" t="str">
        <f t="shared" ca="1" si="0"/>
        <v>Furniture; other manufactured goods n.e.c.</v>
      </c>
      <c r="D38" s="9" t="str">
        <f t="shared" ca="1" si="1"/>
        <v>Manufacture of furniture; manufacturing n.e.c.'</v>
      </c>
      <c r="E38" s="9">
        <v>11</v>
      </c>
      <c r="F38" s="9">
        <v>5</v>
      </c>
      <c r="G38" s="9">
        <v>1</v>
      </c>
      <c r="H38" s="74">
        <v>1</v>
      </c>
      <c r="I38" s="74">
        <v>1</v>
      </c>
      <c r="J38" s="95">
        <v>0.04</v>
      </c>
      <c r="K38" s="74">
        <v>1</v>
      </c>
      <c r="L38" s="95">
        <v>0.04</v>
      </c>
      <c r="M38" s="74">
        <v>1</v>
      </c>
      <c r="N38" s="86">
        <f>A35</f>
        <v>32</v>
      </c>
      <c r="O38" s="38"/>
      <c r="Q38" s="123"/>
      <c r="R38" s="124"/>
    </row>
    <row r="39" spans="1:18" s="9" customFormat="1" x14ac:dyDescent="0.25">
      <c r="A39" s="128">
        <f t="shared" si="2"/>
        <v>36</v>
      </c>
      <c r="B39" s="9" t="s">
        <v>727</v>
      </c>
      <c r="C39" s="9" t="str">
        <f t="shared" ca="1" si="0"/>
        <v>All products</v>
      </c>
      <c r="D39" s="9" t="str">
        <f t="shared" ca="1" si="1"/>
        <v>Manufacture of furniture; manufacturing n.e.c.'</v>
      </c>
      <c r="E39" s="9">
        <v>1</v>
      </c>
      <c r="F39" s="9">
        <v>5</v>
      </c>
      <c r="G39" s="9">
        <v>1</v>
      </c>
      <c r="H39" s="74">
        <f>440216/(440216+246893)</f>
        <v>0.64067855318442923</v>
      </c>
      <c r="I39" s="95">
        <f>advancedEstimate*17%</f>
        <v>0.10200000000000001</v>
      </c>
      <c r="J39" s="94">
        <v>-0.25</v>
      </c>
      <c r="K39" s="95">
        <v>0.17</v>
      </c>
      <c r="L39" s="94">
        <v>-0.25</v>
      </c>
      <c r="M39" s="13">
        <f>0.5*0.95</f>
        <v>0.47499999999999998</v>
      </c>
      <c r="N39" s="86">
        <f>A39</f>
        <v>36</v>
      </c>
      <c r="O39" s="38"/>
      <c r="Q39" s="123"/>
      <c r="R39" s="124"/>
    </row>
    <row r="40" spans="1:18" s="9" customFormat="1" x14ac:dyDescent="0.25">
      <c r="A40" s="128">
        <f t="shared" si="2"/>
        <v>37</v>
      </c>
      <c r="C40" s="9" t="str">
        <f t="shared" ca="1" si="0"/>
        <v>Retail  trade services, except of motor vehicles and motorcycles; repair services of personal and household goods</v>
      </c>
      <c r="D40" s="9" t="str">
        <f t="shared" ca="1" si="1"/>
        <v>Manufacture of furniture; manufacturing n.e.c.'</v>
      </c>
      <c r="E40" s="9">
        <v>4</v>
      </c>
      <c r="F40" s="9">
        <v>5</v>
      </c>
      <c r="G40" s="9">
        <v>1</v>
      </c>
      <c r="H40" s="74">
        <v>1</v>
      </c>
      <c r="I40" s="74">
        <v>1</v>
      </c>
      <c r="J40" s="94">
        <v>7.0000000000000007E-2</v>
      </c>
      <c r="K40" s="74">
        <v>1</v>
      </c>
      <c r="L40" s="94">
        <v>7.0000000000000007E-2</v>
      </c>
      <c r="M40" s="74">
        <v>1</v>
      </c>
      <c r="N40" s="86">
        <f>A39</f>
        <v>36</v>
      </c>
      <c r="O40" s="38"/>
      <c r="Q40" s="123"/>
      <c r="R40" s="124"/>
    </row>
    <row r="41" spans="1:18" s="9" customFormat="1" x14ac:dyDescent="0.25">
      <c r="A41" s="128">
        <f t="shared" si="2"/>
        <v>38</v>
      </c>
      <c r="C41" s="9" t="str">
        <f t="shared" ca="1" si="0"/>
        <v>Post and telecommunication services</v>
      </c>
      <c r="D41" s="9" t="str">
        <f t="shared" ca="1" si="1"/>
        <v>Manufacture of furniture; manufacturing n.e.c.'</v>
      </c>
      <c r="E41" s="9">
        <v>3</v>
      </c>
      <c r="F41" s="9">
        <v>5</v>
      </c>
      <c r="G41" s="9">
        <v>1</v>
      </c>
      <c r="H41" s="74">
        <v>1</v>
      </c>
      <c r="I41" s="74">
        <v>1</v>
      </c>
      <c r="J41" s="13">
        <v>0.01</v>
      </c>
      <c r="K41" s="74">
        <v>1</v>
      </c>
      <c r="L41" s="13">
        <v>0.01</v>
      </c>
      <c r="M41" s="74">
        <v>1</v>
      </c>
      <c r="N41" s="86">
        <f>A39</f>
        <v>36</v>
      </c>
      <c r="O41" s="38"/>
      <c r="Q41" s="123"/>
      <c r="R41" s="124"/>
    </row>
    <row r="42" spans="1:18" s="9" customFormat="1" x14ac:dyDescent="0.25">
      <c r="A42" s="128">
        <f t="shared" si="2"/>
        <v>39</v>
      </c>
      <c r="C42" s="9" t="str">
        <f t="shared" ca="1" si="0"/>
        <v>Furniture; other manufactured goods n.e.c.</v>
      </c>
      <c r="D42" s="9" t="str">
        <f t="shared" ca="1" si="1"/>
        <v>Manufacture of furniture; manufacturing n.e.c.'</v>
      </c>
      <c r="E42" s="9">
        <v>11</v>
      </c>
      <c r="F42" s="9">
        <v>5</v>
      </c>
      <c r="G42" s="9">
        <v>1</v>
      </c>
      <c r="H42" s="74">
        <v>1</v>
      </c>
      <c r="I42" s="74">
        <v>1</v>
      </c>
      <c r="J42" s="13">
        <v>0.1</v>
      </c>
      <c r="K42" s="74">
        <v>1</v>
      </c>
      <c r="L42" s="13">
        <v>0.1</v>
      </c>
      <c r="M42" s="74">
        <v>1</v>
      </c>
      <c r="N42" s="86">
        <f>A39</f>
        <v>36</v>
      </c>
      <c r="O42" s="38"/>
      <c r="Q42" s="123"/>
      <c r="R42" s="124"/>
    </row>
    <row r="43" spans="1:18" s="9" customFormat="1" x14ac:dyDescent="0.25">
      <c r="A43" s="128">
        <f t="shared" si="2"/>
        <v>40</v>
      </c>
      <c r="B43" s="9" t="s">
        <v>122</v>
      </c>
      <c r="C43" s="9" t="str">
        <f t="shared" ref="C43:C44" ca="1" si="5">INDIRECT(ADDRESS(E43+2,2,,,"product Table"))</f>
        <v>All products</v>
      </c>
      <c r="D43" s="9" t="str">
        <f t="shared" ref="D43:D44" ca="1" si="6">INDIRECT(ADDRESS(F43+2,2,,,"industry Table"))</f>
        <v>Manufacture of furniture; manufacturing n.e.c.'</v>
      </c>
      <c r="E43" s="9">
        <v>1</v>
      </c>
      <c r="F43" s="9">
        <v>5</v>
      </c>
      <c r="G43" s="9">
        <v>1</v>
      </c>
      <c r="H43" s="74">
        <f>246893/(440216+246893)</f>
        <v>0.35932144681557077</v>
      </c>
      <c r="I43" s="74">
        <f>advancedEstimate*2.5%</f>
        <v>1.4999999999999999E-2</v>
      </c>
      <c r="J43" s="74">
        <v>-0.45</v>
      </c>
      <c r="K43" s="74">
        <v>2.5000000000000001E-2</v>
      </c>
      <c r="L43" s="74">
        <v>-0.45</v>
      </c>
      <c r="M43" s="74">
        <v>0.1</v>
      </c>
      <c r="N43" s="86">
        <f>A43</f>
        <v>40</v>
      </c>
      <c r="O43" s="38" t="s">
        <v>314</v>
      </c>
      <c r="Q43" s="123"/>
      <c r="R43" s="124"/>
    </row>
    <row r="44" spans="1:18" s="9" customFormat="1" x14ac:dyDescent="0.25">
      <c r="A44" s="128">
        <f t="shared" si="2"/>
        <v>41</v>
      </c>
      <c r="C44" s="9" t="str">
        <f t="shared" ca="1" si="5"/>
        <v>Materials</v>
      </c>
      <c r="D44" s="9" t="str">
        <f t="shared" ca="1" si="6"/>
        <v>Manufacture of furniture; manufacturing n.e.c.'</v>
      </c>
      <c r="E44" s="9">
        <v>5</v>
      </c>
      <c r="F44" s="9">
        <v>5</v>
      </c>
      <c r="G44" s="9">
        <v>1</v>
      </c>
      <c r="H44" s="74">
        <v>1</v>
      </c>
      <c r="I44" s="74">
        <v>1</v>
      </c>
      <c r="J44" s="74">
        <v>0.2</v>
      </c>
      <c r="K44" s="74">
        <v>1</v>
      </c>
      <c r="L44" s="74">
        <v>0.2</v>
      </c>
      <c r="M44" s="74">
        <v>1</v>
      </c>
      <c r="N44" s="75">
        <f>A43</f>
        <v>40</v>
      </c>
      <c r="O44" s="38"/>
      <c r="Q44" s="123"/>
      <c r="R44" s="124"/>
    </row>
    <row r="45" spans="1:18" s="15" customFormat="1" x14ac:dyDescent="0.25">
      <c r="A45" s="128">
        <f>1+A44</f>
        <v>42</v>
      </c>
      <c r="B45" s="9" t="s">
        <v>772</v>
      </c>
      <c r="C45" s="9" t="str">
        <f t="shared" ref="C45:C54" ca="1" si="7">INDIRECT(ADDRESS(E45+2,2,,,"product Table"))</f>
        <v>Steel, Fabricated steel &amp; Aluminium</v>
      </c>
      <c r="D45" s="9" t="str">
        <f t="shared" ref="D45:D54" ca="1" si="8">INDIRECT(ADDRESS(F45+2,2,,,"industry Table"))</f>
        <v>Industries where use of metals primarily not for known other purpose (i.e. excluding construction and manufacture of equipment &amp; vehicles)</v>
      </c>
      <c r="E45" s="15">
        <v>12</v>
      </c>
      <c r="F45" s="15">
        <v>10</v>
      </c>
      <c r="G45" s="15">
        <v>1</v>
      </c>
      <c r="H45" s="13">
        <f>12/(12+180)</f>
        <v>6.25E-2</v>
      </c>
      <c r="I45" s="84">
        <f t="shared" ref="I45:I66" si="9">intermediateEstimate</f>
        <v>0.3</v>
      </c>
      <c r="J45" s="13">
        <v>-0.75</v>
      </c>
      <c r="K45" s="13">
        <f>advancedEstimate</f>
        <v>0.6</v>
      </c>
      <c r="L45" s="74">
        <f>J45</f>
        <v>-0.75</v>
      </c>
      <c r="M45" s="13">
        <f>extremeEstimate</f>
        <v>0.9</v>
      </c>
      <c r="N45" s="75">
        <f>A45</f>
        <v>42</v>
      </c>
      <c r="O45" s="27" t="s">
        <v>317</v>
      </c>
      <c r="P45" s="9"/>
      <c r="Q45" s="123"/>
      <c r="R45" s="124"/>
    </row>
    <row r="46" spans="1:18" s="15" customFormat="1" x14ac:dyDescent="0.25">
      <c r="A46" s="127">
        <f t="shared" si="2"/>
        <v>43</v>
      </c>
      <c r="B46" s="9" t="s">
        <v>709</v>
      </c>
      <c r="C46" s="9" t="str">
        <f t="shared" ca="1" si="7"/>
        <v>Steel</v>
      </c>
      <c r="D46" s="9" t="str">
        <f t="shared" ca="1" si="8"/>
        <v>Industries where use of metals primarily not for known other purpose (i.e. excluding construction and manufacture of equipment &amp; vehicles)</v>
      </c>
      <c r="E46" s="15">
        <v>10</v>
      </c>
      <c r="F46" s="122">
        <v>10</v>
      </c>
      <c r="G46" s="15">
        <v>1</v>
      </c>
      <c r="H46" s="13">
        <f>12/(12+180)</f>
        <v>6.25E-2</v>
      </c>
      <c r="I46" s="84">
        <f t="shared" si="9"/>
        <v>0.3</v>
      </c>
      <c r="J46" s="13">
        <v>0</v>
      </c>
      <c r="K46" s="13">
        <f>advancedEstimate</f>
        <v>0.6</v>
      </c>
      <c r="L46" s="74">
        <v>0</v>
      </c>
      <c r="M46" s="13">
        <f>extremeEstimate</f>
        <v>0.9</v>
      </c>
      <c r="N46" s="75">
        <f>A46</f>
        <v>43</v>
      </c>
      <c r="O46" s="30" t="s">
        <v>188</v>
      </c>
      <c r="P46" s="9"/>
      <c r="Q46" s="123"/>
      <c r="R46" s="124"/>
    </row>
    <row r="47" spans="1:18" s="15" customFormat="1" x14ac:dyDescent="0.25">
      <c r="A47" s="127">
        <f t="shared" si="2"/>
        <v>44</v>
      </c>
      <c r="B47" s="9" t="s">
        <v>18</v>
      </c>
      <c r="C47" s="9" t="str">
        <f t="shared" ca="1" si="7"/>
        <v>Recycled steel</v>
      </c>
      <c r="D47" s="9" t="str">
        <f t="shared" ca="1" si="8"/>
        <v>Industries where use of metals primarily not for known other purpose (i.e. excluding construction and manufacture of equipment &amp; vehicles)</v>
      </c>
      <c r="E47" s="9">
        <v>13</v>
      </c>
      <c r="F47" s="122">
        <v>10</v>
      </c>
      <c r="G47" s="9">
        <v>14</v>
      </c>
      <c r="H47" s="83">
        <v>1</v>
      </c>
      <c r="I47" s="84">
        <v>1</v>
      </c>
      <c r="J47" s="13">
        <f>-1--0.69/0.84</f>
        <v>-0.1785714285714286</v>
      </c>
      <c r="K47" s="13">
        <v>1</v>
      </c>
      <c r="L47" s="74">
        <f>J47</f>
        <v>-0.1785714285714286</v>
      </c>
      <c r="M47" s="13">
        <v>1</v>
      </c>
      <c r="N47" s="75">
        <f>A46</f>
        <v>43</v>
      </c>
      <c r="O47" s="27"/>
      <c r="P47" s="9"/>
      <c r="Q47" s="123"/>
      <c r="R47" s="124"/>
    </row>
    <row r="48" spans="1:18" s="122" customFormat="1" x14ac:dyDescent="0.25">
      <c r="A48" s="19">
        <f t="shared" si="2"/>
        <v>45</v>
      </c>
      <c r="B48" s="9" t="s">
        <v>710</v>
      </c>
      <c r="C48" s="9" t="str">
        <f t="shared" ca="1" si="7"/>
        <v>Aluminium and aluminium products</v>
      </c>
      <c r="D48" s="9" t="str">
        <f t="shared" ca="1" si="8"/>
        <v>Industries where use of metals primarily not for known other purpose (i.e. excluding construction and manufacture of equipment &amp; vehicles)</v>
      </c>
      <c r="E48" s="76">
        <v>20</v>
      </c>
      <c r="F48" s="122">
        <v>10</v>
      </c>
      <c r="G48" s="122">
        <v>1</v>
      </c>
      <c r="H48" s="13">
        <f>12/(12+180)</f>
        <v>6.25E-2</v>
      </c>
      <c r="I48" s="84">
        <f>intermediateEstimate</f>
        <v>0.3</v>
      </c>
      <c r="J48" s="13">
        <v>0</v>
      </c>
      <c r="K48" s="13">
        <f>advancedEstimate</f>
        <v>0.6</v>
      </c>
      <c r="L48" s="74">
        <v>0</v>
      </c>
      <c r="M48" s="13">
        <f>extremeEstimate</f>
        <v>0.9</v>
      </c>
      <c r="N48" s="75">
        <f>A48</f>
        <v>45</v>
      </c>
      <c r="O48" s="27"/>
      <c r="P48" s="9"/>
      <c r="Q48" s="123"/>
      <c r="R48" s="124"/>
    </row>
    <row r="49" spans="1:18" s="122" customFormat="1" x14ac:dyDescent="0.25">
      <c r="A49" s="19">
        <f t="shared" si="2"/>
        <v>46</v>
      </c>
      <c r="B49" s="9" t="s">
        <v>340</v>
      </c>
      <c r="C49" s="9" t="str">
        <f t="shared" ca="1" si="7"/>
        <v>Recycled aluminium</v>
      </c>
      <c r="D49" s="9" t="str">
        <f t="shared" ca="1" si="8"/>
        <v>Industries where use of metals primarily not for known other purpose (i.e. excluding construction and manufacture of equipment &amp; vehicles)</v>
      </c>
      <c r="E49" s="76">
        <v>14</v>
      </c>
      <c r="F49" s="122">
        <v>10</v>
      </c>
      <c r="G49" s="9">
        <v>14</v>
      </c>
      <c r="H49" s="83">
        <v>1</v>
      </c>
      <c r="I49" s="84">
        <v>1</v>
      </c>
      <c r="J49" s="13">
        <f>-1--0.69/0.84</f>
        <v>-0.1785714285714286</v>
      </c>
      <c r="K49" s="13">
        <v>1</v>
      </c>
      <c r="L49" s="74">
        <f>J49</f>
        <v>-0.1785714285714286</v>
      </c>
      <c r="M49" s="13">
        <v>1</v>
      </c>
      <c r="N49" s="75">
        <f>A48</f>
        <v>45</v>
      </c>
      <c r="O49" s="27"/>
      <c r="P49" s="9"/>
      <c r="Q49" s="123"/>
      <c r="R49" s="124"/>
    </row>
    <row r="50" spans="1:18" s="15" customFormat="1" x14ac:dyDescent="0.25">
      <c r="A50" s="127">
        <f t="shared" si="2"/>
        <v>47</v>
      </c>
      <c r="B50" s="9" t="s">
        <v>17</v>
      </c>
      <c r="C50" s="9" t="str">
        <f t="shared" ca="1" si="7"/>
        <v>Steel, Fabricated steel &amp; Aluminium</v>
      </c>
      <c r="D50" s="9" t="str">
        <f t="shared" ca="1" si="8"/>
        <v>Manufacture of electrical machinery and apparatus n.e.c.'</v>
      </c>
      <c r="E50" s="9">
        <v>12</v>
      </c>
      <c r="F50" s="9">
        <v>2</v>
      </c>
      <c r="G50" s="9">
        <v>1</v>
      </c>
      <c r="H50" s="74">
        <v>1</v>
      </c>
      <c r="I50" s="74">
        <f>intermediateEstimate</f>
        <v>0.3</v>
      </c>
      <c r="J50" s="13">
        <v>-0.33</v>
      </c>
      <c r="K50" s="74">
        <f>advancedEstimate</f>
        <v>0.6</v>
      </c>
      <c r="L50" s="13">
        <v>-0.33</v>
      </c>
      <c r="M50" s="13">
        <f>extremeEstimate</f>
        <v>0.9</v>
      </c>
      <c r="N50" s="75">
        <f>A50</f>
        <v>47</v>
      </c>
      <c r="O50" s="30" t="s">
        <v>531</v>
      </c>
      <c r="P50" s="9"/>
      <c r="Q50" s="123"/>
      <c r="R50" s="124"/>
    </row>
    <row r="51" spans="1:18" s="15" customFormat="1" x14ac:dyDescent="0.25">
      <c r="A51" s="127">
        <f t="shared" si="2"/>
        <v>48</v>
      </c>
      <c r="B51" s="9" t="s">
        <v>711</v>
      </c>
      <c r="C51" s="9" t="str">
        <f t="shared" ca="1" si="7"/>
        <v>Steel</v>
      </c>
      <c r="D51" s="9" t="str">
        <f t="shared" ca="1" si="8"/>
        <v>Manufacture of electrical machinery and apparatus n.e.c.'</v>
      </c>
      <c r="E51" s="9">
        <v>10</v>
      </c>
      <c r="F51" s="9">
        <v>2</v>
      </c>
      <c r="G51" s="9">
        <v>1</v>
      </c>
      <c r="H51" s="74">
        <v>1</v>
      </c>
      <c r="I51" s="74">
        <v>1</v>
      </c>
      <c r="J51" s="13">
        <v>0</v>
      </c>
      <c r="K51" s="74">
        <v>1</v>
      </c>
      <c r="L51" s="13">
        <v>0</v>
      </c>
      <c r="M51" s="13">
        <v>1</v>
      </c>
      <c r="N51" s="75">
        <f>A51</f>
        <v>48</v>
      </c>
      <c r="O51" s="30" t="s">
        <v>325</v>
      </c>
      <c r="P51" s="9"/>
      <c r="Q51" s="123"/>
      <c r="R51" s="124"/>
    </row>
    <row r="52" spans="1:18" s="15" customFormat="1" x14ac:dyDescent="0.25">
      <c r="A52" s="127">
        <f t="shared" si="2"/>
        <v>49</v>
      </c>
      <c r="B52" s="9" t="s">
        <v>340</v>
      </c>
      <c r="C52" s="9" t="str">
        <f t="shared" ca="1" si="7"/>
        <v>Recycled steel</v>
      </c>
      <c r="D52" s="9" t="str">
        <f t="shared" ca="1" si="8"/>
        <v>Manufacture of electrical machinery and apparatus n.e.c.'</v>
      </c>
      <c r="E52" s="9">
        <v>13</v>
      </c>
      <c r="F52" s="9">
        <v>2</v>
      </c>
      <c r="G52" s="9">
        <v>14</v>
      </c>
      <c r="H52" s="74">
        <v>1</v>
      </c>
      <c r="I52" s="74">
        <f>advancedEstimate</f>
        <v>0.6</v>
      </c>
      <c r="J52" s="13">
        <f>-1--0.81/0.86</f>
        <v>-5.8139534883720811E-2</v>
      </c>
      <c r="K52" s="74">
        <v>1</v>
      </c>
      <c r="L52" s="13">
        <f>J52</f>
        <v>-5.8139534883720811E-2</v>
      </c>
      <c r="M52" s="13">
        <v>1</v>
      </c>
      <c r="N52" s="75">
        <f>A51</f>
        <v>48</v>
      </c>
      <c r="O52" s="30" t="s">
        <v>188</v>
      </c>
      <c r="P52" s="9"/>
      <c r="Q52" s="123"/>
      <c r="R52" s="124"/>
    </row>
    <row r="53" spans="1:18" s="122" customFormat="1" x14ac:dyDescent="0.25">
      <c r="A53" s="19">
        <f t="shared" si="2"/>
        <v>50</v>
      </c>
      <c r="B53" s="9" t="s">
        <v>712</v>
      </c>
      <c r="C53" s="9" t="str">
        <f t="shared" ca="1" si="7"/>
        <v>Aluminium and aluminium products</v>
      </c>
      <c r="D53" s="9" t="str">
        <f t="shared" ca="1" si="8"/>
        <v>Manufacture of electrical machinery and apparatus n.e.c.'</v>
      </c>
      <c r="E53" s="76">
        <v>20</v>
      </c>
      <c r="F53" s="9">
        <v>2</v>
      </c>
      <c r="G53" s="9">
        <v>1</v>
      </c>
      <c r="H53" s="74">
        <v>1</v>
      </c>
      <c r="I53" s="74">
        <v>1</v>
      </c>
      <c r="J53" s="13">
        <v>0</v>
      </c>
      <c r="K53" s="74">
        <v>1</v>
      </c>
      <c r="L53" s="13">
        <v>0</v>
      </c>
      <c r="M53" s="13">
        <v>1</v>
      </c>
      <c r="N53" s="75">
        <f>A53</f>
        <v>50</v>
      </c>
      <c r="O53" s="30"/>
      <c r="P53" s="9"/>
      <c r="Q53" s="123"/>
      <c r="R53" s="124"/>
    </row>
    <row r="54" spans="1:18" s="122" customFormat="1" x14ac:dyDescent="0.25">
      <c r="A54" s="19">
        <f t="shared" si="2"/>
        <v>51</v>
      </c>
      <c r="B54" s="9" t="s">
        <v>340</v>
      </c>
      <c r="C54" s="9" t="str">
        <f t="shared" ca="1" si="7"/>
        <v>Recycled aluminium</v>
      </c>
      <c r="D54" s="9" t="str">
        <f t="shared" ca="1" si="8"/>
        <v>Manufacture of electrical machinery and apparatus n.e.c.'</v>
      </c>
      <c r="E54" s="76">
        <v>14</v>
      </c>
      <c r="F54" s="9">
        <v>2</v>
      </c>
      <c r="G54" s="9">
        <v>14</v>
      </c>
      <c r="H54" s="74">
        <v>1</v>
      </c>
      <c r="I54" s="74">
        <f>advancedEstimate</f>
        <v>0.6</v>
      </c>
      <c r="J54" s="13">
        <f>-1--0.81/0.86</f>
        <v>-5.8139534883720811E-2</v>
      </c>
      <c r="K54" s="74">
        <v>1</v>
      </c>
      <c r="L54" s="13">
        <f>J54</f>
        <v>-5.8139534883720811E-2</v>
      </c>
      <c r="M54" s="13">
        <v>1</v>
      </c>
      <c r="N54" s="75">
        <f>A53</f>
        <v>50</v>
      </c>
      <c r="O54" s="30"/>
      <c r="P54" s="9"/>
      <c r="Q54" s="123"/>
      <c r="R54" s="124"/>
    </row>
    <row r="55" spans="1:18" x14ac:dyDescent="0.25">
      <c r="A55" s="127">
        <f t="shared" si="2"/>
        <v>52</v>
      </c>
      <c r="B55" s="9" t="s">
        <v>17</v>
      </c>
      <c r="C55" s="9" t="str">
        <f t="shared" ref="C55:C60" ca="1" si="10">INDIRECT(ADDRESS(E55+2,2,,,"product Table"))</f>
        <v>Steel, Fabricated steel &amp; Aluminium</v>
      </c>
      <c r="D55" s="9" t="str">
        <f t="shared" ref="D55:D66" ca="1" si="11">INDIRECT(ADDRESS(F55+2,2,,,"industry Table"))</f>
        <v>Manufacture of machinery and equipment n.e.c.' + manufacturing nec</v>
      </c>
      <c r="E55" s="9">
        <v>12</v>
      </c>
      <c r="F55" s="9">
        <v>6</v>
      </c>
      <c r="G55" s="9">
        <v>1</v>
      </c>
      <c r="H55" s="74">
        <v>1</v>
      </c>
      <c r="I55" s="74">
        <f>intermediateEstimate</f>
        <v>0.3</v>
      </c>
      <c r="J55" s="13">
        <v>-0.33</v>
      </c>
      <c r="K55" s="74">
        <f>advancedEstimate</f>
        <v>0.6</v>
      </c>
      <c r="L55" s="13">
        <v>-0.33</v>
      </c>
      <c r="M55" s="13">
        <f>extremeEstimate</f>
        <v>0.9</v>
      </c>
      <c r="N55" s="75">
        <f>A55</f>
        <v>52</v>
      </c>
      <c r="O55" s="30" t="s">
        <v>788</v>
      </c>
      <c r="P55" s="9"/>
      <c r="Q55" s="123"/>
      <c r="R55" s="124"/>
    </row>
    <row r="56" spans="1:18" s="15" customFormat="1" x14ac:dyDescent="0.25">
      <c r="A56" s="127">
        <f t="shared" si="2"/>
        <v>53</v>
      </c>
      <c r="B56" s="9" t="s">
        <v>707</v>
      </c>
      <c r="C56" s="9" t="str">
        <f t="shared" ca="1" si="10"/>
        <v>Steel</v>
      </c>
      <c r="D56" s="9" t="str">
        <f t="shared" ca="1" si="11"/>
        <v>Manufacture of machinery and equipment n.e.c.' + manufacturing nec</v>
      </c>
      <c r="E56" s="9">
        <v>10</v>
      </c>
      <c r="F56" s="9">
        <v>6</v>
      </c>
      <c r="G56" s="9">
        <v>1</v>
      </c>
      <c r="H56" s="74">
        <v>1</v>
      </c>
      <c r="I56" s="74">
        <v>1</v>
      </c>
      <c r="J56" s="13">
        <v>0</v>
      </c>
      <c r="K56" s="74">
        <v>1</v>
      </c>
      <c r="L56" s="13">
        <v>0</v>
      </c>
      <c r="M56" s="74">
        <v>1</v>
      </c>
      <c r="N56" s="75">
        <f>A56</f>
        <v>53</v>
      </c>
      <c r="O56" s="30" t="s">
        <v>325</v>
      </c>
      <c r="P56" s="9"/>
      <c r="Q56" s="123"/>
      <c r="R56" s="124"/>
    </row>
    <row r="57" spans="1:18" s="15" customFormat="1" x14ac:dyDescent="0.25">
      <c r="A57" s="127">
        <f t="shared" si="2"/>
        <v>54</v>
      </c>
      <c r="B57" s="9" t="s">
        <v>18</v>
      </c>
      <c r="C57" s="9" t="str">
        <f t="shared" ca="1" si="10"/>
        <v>Recycled steel</v>
      </c>
      <c r="D57" s="9" t="str">
        <f t="shared" ca="1" si="11"/>
        <v>Manufacture of machinery and equipment n.e.c.' + manufacturing nec</v>
      </c>
      <c r="E57" s="9">
        <v>13</v>
      </c>
      <c r="F57" s="9">
        <v>6</v>
      </c>
      <c r="G57" s="9">
        <v>14</v>
      </c>
      <c r="H57" s="74">
        <v>1</v>
      </c>
      <c r="I57" s="74">
        <f>advancedEstimate</f>
        <v>0.6</v>
      </c>
      <c r="J57" s="13">
        <f>-1--0.81/0.86</f>
        <v>-5.8139534883720811E-2</v>
      </c>
      <c r="K57" s="13">
        <f>extremeEstimate</f>
        <v>0.9</v>
      </c>
      <c r="L57" s="13">
        <f>J57</f>
        <v>-5.8139534883720811E-2</v>
      </c>
      <c r="M57" s="13">
        <f>extremeEstimate</f>
        <v>0.9</v>
      </c>
      <c r="N57" s="75">
        <f>A56</f>
        <v>53</v>
      </c>
      <c r="O57" s="30" t="s">
        <v>188</v>
      </c>
      <c r="P57" s="9"/>
      <c r="Q57" s="123"/>
      <c r="R57" s="124"/>
    </row>
    <row r="58" spans="1:18" s="122" customFormat="1" x14ac:dyDescent="0.25">
      <c r="A58" s="19">
        <f t="shared" si="2"/>
        <v>55</v>
      </c>
      <c r="B58" s="9" t="s">
        <v>708</v>
      </c>
      <c r="C58" s="9" t="str">
        <f t="shared" ca="1" si="10"/>
        <v>Aluminium and aluminium products</v>
      </c>
      <c r="D58" s="9" t="str">
        <f t="shared" ca="1" si="11"/>
        <v>Manufacture of machinery and equipment n.e.c.' + manufacturing nec</v>
      </c>
      <c r="E58" s="76">
        <v>20</v>
      </c>
      <c r="F58" s="9">
        <v>6</v>
      </c>
      <c r="G58" s="9">
        <v>1</v>
      </c>
      <c r="H58" s="74">
        <v>1</v>
      </c>
      <c r="I58" s="74">
        <v>1</v>
      </c>
      <c r="J58" s="13">
        <v>0</v>
      </c>
      <c r="K58" s="74">
        <v>1</v>
      </c>
      <c r="L58" s="13">
        <v>0</v>
      </c>
      <c r="M58" s="74">
        <v>1</v>
      </c>
      <c r="N58" s="75">
        <f>A58</f>
        <v>55</v>
      </c>
      <c r="O58" s="30"/>
      <c r="P58" s="9"/>
      <c r="Q58" s="123"/>
      <c r="R58" s="124"/>
    </row>
    <row r="59" spans="1:18" s="122" customFormat="1" x14ac:dyDescent="0.25">
      <c r="A59" s="19">
        <f t="shared" si="2"/>
        <v>56</v>
      </c>
      <c r="B59" s="9" t="s">
        <v>18</v>
      </c>
      <c r="C59" s="9" t="str">
        <f t="shared" ca="1" si="10"/>
        <v>Recycled aluminium</v>
      </c>
      <c r="D59" s="9" t="str">
        <f t="shared" ca="1" si="11"/>
        <v>Manufacture of machinery and equipment n.e.c.' + manufacturing nec</v>
      </c>
      <c r="E59" s="76">
        <v>14</v>
      </c>
      <c r="F59" s="9">
        <v>6</v>
      </c>
      <c r="G59" s="9">
        <v>14</v>
      </c>
      <c r="H59" s="74">
        <v>1</v>
      </c>
      <c r="I59" s="74">
        <f>advancedEstimate</f>
        <v>0.6</v>
      </c>
      <c r="J59" s="13">
        <f>-1--0.81/0.86</f>
        <v>-5.8139534883720811E-2</v>
      </c>
      <c r="K59" s="13">
        <f>extremeEstimate</f>
        <v>0.9</v>
      </c>
      <c r="L59" s="13">
        <f>J59</f>
        <v>-5.8139534883720811E-2</v>
      </c>
      <c r="M59" s="13">
        <f>extremeEstimate</f>
        <v>0.9</v>
      </c>
      <c r="N59" s="75">
        <f>A58</f>
        <v>55</v>
      </c>
      <c r="O59" s="30"/>
      <c r="P59" s="9"/>
      <c r="Q59" s="123"/>
      <c r="R59" s="124"/>
    </row>
    <row r="60" spans="1:18" s="15" customFormat="1" x14ac:dyDescent="0.25">
      <c r="A60" s="126">
        <f>1+A59</f>
        <v>57</v>
      </c>
      <c r="B60" s="9" t="s">
        <v>9</v>
      </c>
      <c r="C60" s="9" t="str">
        <f t="shared" ca="1" si="10"/>
        <v>All products</v>
      </c>
      <c r="D60" s="9" t="str">
        <f t="shared" ca="1" si="11"/>
        <v>Manufacture of machinery and equipment n.e.c.' + manufacturing nec</v>
      </c>
      <c r="E60" s="9">
        <v>1</v>
      </c>
      <c r="F60" s="9">
        <v>6</v>
      </c>
      <c r="G60" s="9">
        <v>1</v>
      </c>
      <c r="H60" s="74">
        <v>1</v>
      </c>
      <c r="I60" s="74">
        <f t="shared" si="9"/>
        <v>0.3</v>
      </c>
      <c r="J60" s="13">
        <v>-7.0000000000000007E-2</v>
      </c>
      <c r="K60" s="74">
        <f>advancedEstimate</f>
        <v>0.6</v>
      </c>
      <c r="L60" s="13">
        <v>-0.1</v>
      </c>
      <c r="M60" s="13">
        <f>extremeEstimate</f>
        <v>0.9</v>
      </c>
      <c r="N60" s="75">
        <f>A60</f>
        <v>57</v>
      </c>
      <c r="O60" s="27" t="s">
        <v>771</v>
      </c>
      <c r="P60" s="9"/>
      <c r="Q60" s="123"/>
      <c r="R60" s="124"/>
    </row>
    <row r="61" spans="1:18" s="122" customFormat="1" x14ac:dyDescent="0.25">
      <c r="A61" s="126">
        <f t="shared" ref="A61:A66" si="12">1+A60</f>
        <v>58</v>
      </c>
      <c r="B61" s="9" t="s">
        <v>9</v>
      </c>
      <c r="C61" s="9" t="str">
        <f t="shared" ref="C61" ca="1" si="13">INDIRECT(ADDRESS(E61+2,2,,,"product Table"))</f>
        <v>All products</v>
      </c>
      <c r="D61" s="9" t="str">
        <f t="shared" ca="1" si="11"/>
        <v>Manufacture of electrical machinery and apparatus n.e.c.'</v>
      </c>
      <c r="E61" s="9">
        <v>1</v>
      </c>
      <c r="F61" s="9">
        <v>2</v>
      </c>
      <c r="G61" s="9">
        <v>1</v>
      </c>
      <c r="H61" s="74">
        <f>681154/(266052+681154)</f>
        <v>0.71911917787682933</v>
      </c>
      <c r="I61" s="74">
        <f t="shared" si="9"/>
        <v>0.3</v>
      </c>
      <c r="J61" s="13">
        <v>-7.0000000000000007E-2</v>
      </c>
      <c r="K61" s="74">
        <f>advancedEstimate</f>
        <v>0.6</v>
      </c>
      <c r="L61" s="13">
        <v>-0.1</v>
      </c>
      <c r="M61" s="13">
        <f>extremeEstimate</f>
        <v>0.9</v>
      </c>
      <c r="N61" s="75">
        <f>A61</f>
        <v>58</v>
      </c>
      <c r="O61" s="27" t="s">
        <v>787</v>
      </c>
      <c r="P61" s="9"/>
      <c r="Q61" s="123"/>
      <c r="R61" s="124"/>
    </row>
    <row r="62" spans="1:18" x14ac:dyDescent="0.25">
      <c r="A62" s="126">
        <f t="shared" si="12"/>
        <v>59</v>
      </c>
      <c r="B62" s="9" t="s">
        <v>772</v>
      </c>
      <c r="C62" s="9" t="str">
        <f ca="1">INDIRECT(ADDRESS(E62+2,2,,,"product Table"))</f>
        <v>All products</v>
      </c>
      <c r="D62" s="9" t="str">
        <f t="shared" ca="1" si="11"/>
        <v>Manufacture of machinery and equipment n.e.c.' + manufacturing nec</v>
      </c>
      <c r="E62" s="9">
        <v>1</v>
      </c>
      <c r="F62" s="9">
        <v>6</v>
      </c>
      <c r="G62" s="9">
        <v>1</v>
      </c>
      <c r="H62" s="74">
        <v>1</v>
      </c>
      <c r="I62" s="74">
        <f t="shared" si="9"/>
        <v>0.3</v>
      </c>
      <c r="J62" s="13">
        <v>-0.09</v>
      </c>
      <c r="K62" s="74">
        <f>advancedEstimate</f>
        <v>0.6</v>
      </c>
      <c r="L62" s="13">
        <v>-0.1</v>
      </c>
      <c r="M62" s="13">
        <f>extremeEstimate</f>
        <v>0.9</v>
      </c>
      <c r="N62" s="75">
        <f>A62</f>
        <v>59</v>
      </c>
      <c r="O62" s="27" t="s">
        <v>323</v>
      </c>
      <c r="P62" s="9"/>
      <c r="Q62" s="123"/>
      <c r="R62" s="124"/>
    </row>
    <row r="63" spans="1:18" x14ac:dyDescent="0.25">
      <c r="A63" s="126">
        <f t="shared" si="12"/>
        <v>60</v>
      </c>
      <c r="B63" s="9"/>
      <c r="C63" s="9" t="str">
        <f ca="1">INDIRECT(ADDRESS(E63+2,2,,,"product Table"))</f>
        <v>Machinery and equipment n.e.c. + manufacturing nec</v>
      </c>
      <c r="D63" s="9" t="str">
        <f t="shared" ca="1" si="11"/>
        <v>Manufacture of machinery and equipment n.e.c.' + manufacturing nec</v>
      </c>
      <c r="E63" s="15">
        <v>15</v>
      </c>
      <c r="F63" s="15">
        <v>6</v>
      </c>
      <c r="G63" s="9">
        <v>1</v>
      </c>
      <c r="H63" s="83">
        <v>1</v>
      </c>
      <c r="I63" s="74">
        <v>1</v>
      </c>
      <c r="J63" s="13">
        <f>-20%*J62</f>
        <v>1.7999999999999999E-2</v>
      </c>
      <c r="K63" s="13">
        <v>1</v>
      </c>
      <c r="L63" s="13">
        <f>20%*-L62</f>
        <v>2.0000000000000004E-2</v>
      </c>
      <c r="M63" s="13">
        <v>1</v>
      </c>
      <c r="N63" s="75">
        <f>A62</f>
        <v>59</v>
      </c>
      <c r="O63" s="27" t="s">
        <v>324</v>
      </c>
      <c r="P63" s="9"/>
      <c r="Q63" s="123"/>
      <c r="R63" s="124"/>
    </row>
    <row r="64" spans="1:18" s="122" customFormat="1" x14ac:dyDescent="0.25">
      <c r="A64" s="126">
        <f t="shared" si="12"/>
        <v>61</v>
      </c>
      <c r="B64" s="9" t="s">
        <v>772</v>
      </c>
      <c r="C64" s="9" t="str">
        <f t="shared" ref="C64:C65" ca="1" si="14">INDIRECT(ADDRESS(E64+2,2,,,"product Table"))</f>
        <v>All products</v>
      </c>
      <c r="D64" s="9" t="str">
        <f t="shared" ca="1" si="11"/>
        <v>Manufacture of electrical machinery and apparatus n.e.c.'</v>
      </c>
      <c r="E64" s="122">
        <v>1</v>
      </c>
      <c r="F64" s="122">
        <v>2</v>
      </c>
      <c r="G64" s="9">
        <v>1</v>
      </c>
      <c r="H64" s="74">
        <f>681154/(266052+681154)</f>
        <v>0.71911917787682933</v>
      </c>
      <c r="I64" s="74">
        <f t="shared" si="9"/>
        <v>0.3</v>
      </c>
      <c r="J64" s="13">
        <v>-0.09</v>
      </c>
      <c r="K64" s="74">
        <f>advancedEstimate</f>
        <v>0.6</v>
      </c>
      <c r="L64" s="13">
        <v>-0.1</v>
      </c>
      <c r="M64" s="13">
        <f>extremeEstimate</f>
        <v>0.9</v>
      </c>
      <c r="N64" s="75">
        <f>A64</f>
        <v>61</v>
      </c>
      <c r="O64" s="27"/>
      <c r="P64" s="9"/>
      <c r="Q64" s="123"/>
      <c r="R64" s="124"/>
    </row>
    <row r="65" spans="1:20" s="122" customFormat="1" x14ac:dyDescent="0.25">
      <c r="A65" s="126">
        <f t="shared" si="12"/>
        <v>62</v>
      </c>
      <c r="B65" s="9"/>
      <c r="C65" s="9" t="str">
        <f t="shared" ca="1" si="14"/>
        <v>Electrical machinery and apparatus</v>
      </c>
      <c r="D65" s="9" t="str">
        <f t="shared" ca="1" si="11"/>
        <v>Manufacture of electrical machinery and apparatus n.e.c.'</v>
      </c>
      <c r="E65" s="122">
        <v>8</v>
      </c>
      <c r="F65" s="122">
        <v>2</v>
      </c>
      <c r="G65" s="9">
        <v>1</v>
      </c>
      <c r="H65" s="83">
        <v>1</v>
      </c>
      <c r="I65" s="74">
        <v>1</v>
      </c>
      <c r="J65" s="13">
        <f>-20%*J64</f>
        <v>1.7999999999999999E-2</v>
      </c>
      <c r="K65" s="13">
        <v>1</v>
      </c>
      <c r="L65" s="13">
        <f>20%*-L64</f>
        <v>2.0000000000000004E-2</v>
      </c>
      <c r="M65" s="13">
        <v>1</v>
      </c>
      <c r="N65" s="75">
        <f>A64</f>
        <v>61</v>
      </c>
      <c r="O65" s="27"/>
      <c r="P65" s="9"/>
      <c r="Q65" s="123"/>
      <c r="R65" s="124"/>
    </row>
    <row r="66" spans="1:20" s="15" customFormat="1" x14ac:dyDescent="0.25">
      <c r="A66" s="126">
        <f t="shared" si="12"/>
        <v>63</v>
      </c>
      <c r="B66" s="9" t="s">
        <v>151</v>
      </c>
      <c r="C66" s="9" t="str">
        <f ca="1">INDIRECT(ADDRESS(E66+2,2,,,"product Table"))</f>
        <v>Steel, Fabricated steel &amp; Aluminium</v>
      </c>
      <c r="D66" s="9" t="str">
        <f t="shared" ca="1" si="11"/>
        <v>Industries where use of metals primarily not for known other purpose (i.e. excluding construction and manufacture of equipment &amp; vehicles)</v>
      </c>
      <c r="E66" s="15">
        <v>12</v>
      </c>
      <c r="F66" s="15">
        <v>10</v>
      </c>
      <c r="G66" s="9">
        <v>1</v>
      </c>
      <c r="H66" s="13">
        <f>12/(12+180)</f>
        <v>6.25E-2</v>
      </c>
      <c r="I66" s="84">
        <f t="shared" si="9"/>
        <v>0.3</v>
      </c>
      <c r="J66" s="13">
        <v>-0.3</v>
      </c>
      <c r="K66" s="13">
        <f>advancedEstimate</f>
        <v>0.6</v>
      </c>
      <c r="L66" s="74">
        <f>J66</f>
        <v>-0.3</v>
      </c>
      <c r="M66" s="13">
        <f>extremeEstimate</f>
        <v>0.9</v>
      </c>
      <c r="N66" s="75">
        <f>A66</f>
        <v>63</v>
      </c>
      <c r="O66" s="27" t="s">
        <v>316</v>
      </c>
      <c r="P66" s="9"/>
      <c r="Q66" s="123"/>
      <c r="R66" s="124"/>
    </row>
    <row r="67" spans="1:20" x14ac:dyDescent="0.25">
      <c r="A67" s="125">
        <f>1+A66</f>
        <v>64</v>
      </c>
      <c r="B67" s="9" t="s">
        <v>520</v>
      </c>
      <c r="C67" s="9" t="str">
        <f t="shared" ref="C67:C88" ca="1" si="15">INDIRECT(ADDRESS(E67+2,2,,,"product Table"))</f>
        <v>All products</v>
      </c>
      <c r="D67" s="9" t="str">
        <f t="shared" ref="D67:D88" ca="1" si="16">INDIRECT(ADDRESS(F67+2,2,,,"industry Table"))</f>
        <v>Manufacture of motor vehicles, trailers and semi-trailers'</v>
      </c>
      <c r="E67" s="9">
        <v>1</v>
      </c>
      <c r="F67" s="9">
        <v>7</v>
      </c>
      <c r="G67" s="9">
        <v>1</v>
      </c>
      <c r="H67" s="74">
        <v>0.32</v>
      </c>
      <c r="I67" s="13">
        <f>0.3*0.86</f>
        <v>0.25800000000000001</v>
      </c>
      <c r="J67" s="13">
        <f>-13796/41400</f>
        <v>-0.33323671497584539</v>
      </c>
      <c r="K67" s="13">
        <f>0.5*0.86</f>
        <v>0.43</v>
      </c>
      <c r="L67" s="13">
        <f>-13796/41400</f>
        <v>-0.33323671497584539</v>
      </c>
      <c r="M67" s="13">
        <f>extremeEstimate*0.86</f>
        <v>0.77400000000000002</v>
      </c>
      <c r="N67" s="75">
        <f>A67</f>
        <v>64</v>
      </c>
      <c r="O67" s="81" t="s">
        <v>669</v>
      </c>
      <c r="P67" s="9"/>
      <c r="Q67" s="123"/>
      <c r="R67" s="124"/>
    </row>
    <row r="68" spans="1:20" s="15" customFormat="1" x14ac:dyDescent="0.25">
      <c r="A68" s="125">
        <f>1+A67</f>
        <v>65</v>
      </c>
      <c r="B68" s="9"/>
      <c r="C68" s="9" t="str">
        <f t="shared" ca="1" si="15"/>
        <v>Sale, maintenance, repair of motor vehicles, motor vehicles parts, motorcycles, motor cycles parts and accessoiries</v>
      </c>
      <c r="D68" s="9" t="str">
        <f t="shared" ca="1" si="16"/>
        <v>Manufacture of motor vehicles, trailers and semi-trailers'</v>
      </c>
      <c r="E68" s="9">
        <v>18</v>
      </c>
      <c r="F68" s="9">
        <v>7</v>
      </c>
      <c r="G68" s="9">
        <v>1</v>
      </c>
      <c r="H68" s="74">
        <v>1</v>
      </c>
      <c r="I68" s="74">
        <v>1</v>
      </c>
      <c r="J68" s="13">
        <f>(426+2070)/41400</f>
        <v>6.0289855072463767E-2</v>
      </c>
      <c r="K68" s="74">
        <v>1</v>
      </c>
      <c r="L68" s="13">
        <f>(426+2070)/41400</f>
        <v>6.0289855072463767E-2</v>
      </c>
      <c r="M68" s="74">
        <v>1</v>
      </c>
      <c r="N68" s="75">
        <f>A67</f>
        <v>64</v>
      </c>
      <c r="O68" s="82" t="s">
        <v>656</v>
      </c>
      <c r="P68" s="9"/>
      <c r="Q68" s="123"/>
      <c r="R68" s="124"/>
    </row>
    <row r="69" spans="1:20" x14ac:dyDescent="0.25">
      <c r="A69" s="125">
        <f t="shared" si="2"/>
        <v>66</v>
      </c>
      <c r="B69" s="9"/>
      <c r="C69" s="9" t="str">
        <f t="shared" ca="1" si="15"/>
        <v>Motor vehicles, trailers and semi-trailers</v>
      </c>
      <c r="D69" s="9" t="str">
        <f t="shared" ca="1" si="16"/>
        <v>Manufacture of motor vehicles, trailers and semi-trailers'</v>
      </c>
      <c r="E69" s="9">
        <v>17</v>
      </c>
      <c r="F69" s="9">
        <v>7</v>
      </c>
      <c r="G69" s="9">
        <v>1</v>
      </c>
      <c r="H69" s="83">
        <v>1</v>
      </c>
      <c r="I69" s="83">
        <v>1</v>
      </c>
      <c r="J69" s="13">
        <f>319/41400</f>
        <v>7.705314009661836E-3</v>
      </c>
      <c r="K69" s="83">
        <v>1</v>
      </c>
      <c r="L69" s="13">
        <f>319/41400</f>
        <v>7.705314009661836E-3</v>
      </c>
      <c r="M69" s="83">
        <v>1</v>
      </c>
      <c r="N69" s="75">
        <f>A67</f>
        <v>64</v>
      </c>
      <c r="O69" s="82" t="s">
        <v>180</v>
      </c>
      <c r="P69" s="9"/>
      <c r="Q69" s="123"/>
      <c r="R69" s="124"/>
    </row>
    <row r="70" spans="1:20" x14ac:dyDescent="0.25">
      <c r="A70" s="125">
        <f t="shared" si="2"/>
        <v>67</v>
      </c>
      <c r="B70" s="9"/>
      <c r="C70" s="9" t="str">
        <f t="shared" ca="1" si="15"/>
        <v>Materials</v>
      </c>
      <c r="D70" s="9" t="str">
        <f t="shared" ca="1" si="16"/>
        <v>Manufacture of motor vehicles, trailers and semi-trailers'</v>
      </c>
      <c r="E70" s="9">
        <v>5</v>
      </c>
      <c r="F70" s="9">
        <v>7</v>
      </c>
      <c r="G70" s="9">
        <v>1</v>
      </c>
      <c r="H70" s="74">
        <v>1</v>
      </c>
      <c r="I70" s="74">
        <v>1</v>
      </c>
      <c r="J70" s="13">
        <f>2448/41400</f>
        <v>5.9130434782608696E-2</v>
      </c>
      <c r="K70" s="74">
        <v>1</v>
      </c>
      <c r="L70" s="13">
        <f>2448/41400</f>
        <v>5.9130434782608696E-2</v>
      </c>
      <c r="M70" s="74">
        <v>1</v>
      </c>
      <c r="N70" s="75">
        <f>A67</f>
        <v>64</v>
      </c>
      <c r="O70" s="82" t="s">
        <v>180</v>
      </c>
      <c r="P70" s="9"/>
      <c r="Q70" s="123"/>
      <c r="R70" s="124"/>
    </row>
    <row r="71" spans="1:20" s="15" customFormat="1" x14ac:dyDescent="0.25">
      <c r="A71" s="125">
        <f t="shared" si="2"/>
        <v>68</v>
      </c>
      <c r="B71" s="9" t="s">
        <v>675</v>
      </c>
      <c r="C71" s="9" t="str">
        <f t="shared" ca="1" si="15"/>
        <v>All products</v>
      </c>
      <c r="D71" s="9" t="str">
        <f t="shared" ca="1" si="16"/>
        <v>Manufacture of motor vehicles, trailers and semi-trailers'</v>
      </c>
      <c r="E71" s="9">
        <v>1</v>
      </c>
      <c r="F71" s="9">
        <v>7</v>
      </c>
      <c r="G71" s="9">
        <v>1</v>
      </c>
      <c r="H71" s="74">
        <f>(1-32%)*20%</f>
        <v>0.13599999999999998</v>
      </c>
      <c r="I71" s="13">
        <f>0.3*0.86</f>
        <v>0.25800000000000001</v>
      </c>
      <c r="J71" s="13">
        <f>-13796/41400</f>
        <v>-0.33323671497584539</v>
      </c>
      <c r="K71" s="13">
        <f>0.5*0.86</f>
        <v>0.43</v>
      </c>
      <c r="L71" s="13">
        <f>-13796/41400</f>
        <v>-0.33323671497584539</v>
      </c>
      <c r="M71" s="13">
        <f>extremeEstimate*0.86</f>
        <v>0.77400000000000002</v>
      </c>
      <c r="N71" s="75">
        <f>A71</f>
        <v>68</v>
      </c>
      <c r="O71" s="82" t="s">
        <v>676</v>
      </c>
      <c r="P71" s="9"/>
      <c r="Q71" s="123"/>
      <c r="R71" s="124"/>
    </row>
    <row r="72" spans="1:20" s="15" customFormat="1" x14ac:dyDescent="0.25">
      <c r="A72" s="125">
        <f t="shared" si="2"/>
        <v>69</v>
      </c>
      <c r="B72" s="9"/>
      <c r="C72" s="9" t="str">
        <f t="shared" ca="1" si="15"/>
        <v>Sale, maintenance, repair of motor vehicles, motor vehicles parts, motorcycles, motor cycles parts and accessoiries</v>
      </c>
      <c r="D72" s="9" t="str">
        <f t="shared" ca="1" si="16"/>
        <v>Manufacture of motor vehicles, trailers and semi-trailers'</v>
      </c>
      <c r="E72" s="9">
        <v>18</v>
      </c>
      <c r="F72" s="9">
        <v>7</v>
      </c>
      <c r="G72" s="9">
        <v>1</v>
      </c>
      <c r="H72" s="74">
        <v>1</v>
      </c>
      <c r="I72" s="74">
        <v>1</v>
      </c>
      <c r="J72" s="13">
        <f>(426+2070)/41400</f>
        <v>6.0289855072463767E-2</v>
      </c>
      <c r="K72" s="74">
        <v>1</v>
      </c>
      <c r="L72" s="13">
        <f>(426+2070)/41400</f>
        <v>6.0289855072463767E-2</v>
      </c>
      <c r="M72" s="13">
        <v>1</v>
      </c>
      <c r="N72" s="75">
        <f>A71</f>
        <v>68</v>
      </c>
      <c r="O72" s="82"/>
      <c r="P72" s="9"/>
      <c r="Q72" s="123"/>
      <c r="R72" s="124"/>
    </row>
    <row r="73" spans="1:20" s="15" customFormat="1" x14ac:dyDescent="0.25">
      <c r="A73" s="125">
        <f t="shared" si="2"/>
        <v>70</v>
      </c>
      <c r="B73" s="9"/>
      <c r="C73" s="9" t="str">
        <f t="shared" ca="1" si="15"/>
        <v>Motor vehicles, trailers and semi-trailers</v>
      </c>
      <c r="D73" s="9" t="str">
        <f t="shared" ca="1" si="16"/>
        <v>Manufacture of motor vehicles, trailers and semi-trailers'</v>
      </c>
      <c r="E73" s="9">
        <v>17</v>
      </c>
      <c r="F73" s="9">
        <v>7</v>
      </c>
      <c r="G73" s="9">
        <v>1</v>
      </c>
      <c r="H73" s="83">
        <v>1</v>
      </c>
      <c r="I73" s="83">
        <v>1</v>
      </c>
      <c r="J73" s="13">
        <f>319/41400</f>
        <v>7.705314009661836E-3</v>
      </c>
      <c r="K73" s="83">
        <v>1</v>
      </c>
      <c r="L73" s="13">
        <f>319/41400</f>
        <v>7.705314009661836E-3</v>
      </c>
      <c r="M73" s="13">
        <v>1</v>
      </c>
      <c r="N73" s="75">
        <f>A71</f>
        <v>68</v>
      </c>
      <c r="O73" s="82"/>
      <c r="P73" s="9"/>
      <c r="Q73" s="123"/>
      <c r="R73" s="124"/>
    </row>
    <row r="74" spans="1:20" s="15" customFormat="1" x14ac:dyDescent="0.25">
      <c r="A74" s="125">
        <f t="shared" si="2"/>
        <v>71</v>
      </c>
      <c r="B74" s="9"/>
      <c r="C74" s="9" t="str">
        <f t="shared" ca="1" si="15"/>
        <v>Materials</v>
      </c>
      <c r="D74" s="9" t="str">
        <f t="shared" ca="1" si="16"/>
        <v>Manufacture of motor vehicles, trailers and semi-trailers'</v>
      </c>
      <c r="E74" s="9">
        <v>5</v>
      </c>
      <c r="F74" s="9">
        <v>7</v>
      </c>
      <c r="G74" s="9">
        <v>1</v>
      </c>
      <c r="H74" s="74">
        <v>1</v>
      </c>
      <c r="I74" s="74">
        <v>1</v>
      </c>
      <c r="J74" s="13">
        <f>2448/41400</f>
        <v>5.9130434782608696E-2</v>
      </c>
      <c r="K74" s="74">
        <v>1</v>
      </c>
      <c r="L74" s="13">
        <f>2448/41400</f>
        <v>5.9130434782608696E-2</v>
      </c>
      <c r="M74" s="13">
        <v>1</v>
      </c>
      <c r="N74" s="75">
        <f>A71</f>
        <v>68</v>
      </c>
      <c r="O74" s="82"/>
      <c r="P74" s="9"/>
      <c r="Q74" s="123"/>
      <c r="R74" s="124"/>
    </row>
    <row r="75" spans="1:20" x14ac:dyDescent="0.25">
      <c r="A75" s="125">
        <f t="shared" si="2"/>
        <v>72</v>
      </c>
      <c r="B75" s="9" t="s">
        <v>671</v>
      </c>
      <c r="C75" s="9" t="str">
        <f t="shared" ca="1" si="15"/>
        <v>Materials</v>
      </c>
      <c r="D75" s="9" t="str">
        <f t="shared" ca="1" si="16"/>
        <v>Manufacture of motor vehicles, trailers and semi-trailers'</v>
      </c>
      <c r="E75" s="15">
        <v>5</v>
      </c>
      <c r="F75" s="15">
        <v>7</v>
      </c>
      <c r="G75" s="15">
        <v>1</v>
      </c>
      <c r="H75" s="74">
        <f>27% * 15%</f>
        <v>4.0500000000000001E-2</v>
      </c>
      <c r="I75" s="13">
        <f>intermediateEstimate</f>
        <v>0.3</v>
      </c>
      <c r="J75" s="106">
        <v>-0.73</v>
      </c>
      <c r="K75" s="13">
        <f>advancedEstimate</f>
        <v>0.6</v>
      </c>
      <c r="L75" s="13">
        <v>-0.73</v>
      </c>
      <c r="M75" s="13">
        <f>extremeEstimate</f>
        <v>0.9</v>
      </c>
      <c r="N75" s="75">
        <f>A75</f>
        <v>72</v>
      </c>
      <c r="O75" s="27" t="s">
        <v>670</v>
      </c>
      <c r="P75" s="9"/>
      <c r="Q75" s="123"/>
      <c r="R75" s="124"/>
    </row>
    <row r="76" spans="1:20" x14ac:dyDescent="0.25">
      <c r="A76" s="125">
        <f t="shared" si="2"/>
        <v>73</v>
      </c>
      <c r="B76" s="9"/>
      <c r="C76" s="9" t="str">
        <f t="shared" ca="1" si="15"/>
        <v>Energy (main) products</v>
      </c>
      <c r="D76" s="9" t="str">
        <f t="shared" ca="1" si="16"/>
        <v>Manufacture of motor vehicles, trailers and semi-trailers'</v>
      </c>
      <c r="E76" s="15">
        <v>6</v>
      </c>
      <c r="F76" s="15">
        <v>7</v>
      </c>
      <c r="G76" s="15">
        <v>1</v>
      </c>
      <c r="H76" s="74">
        <f>15%*27%</f>
        <v>4.0500000000000001E-2</v>
      </c>
      <c r="I76" s="13">
        <f>intermediateEstimate</f>
        <v>0.3</v>
      </c>
      <c r="J76" s="13">
        <v>-0.73</v>
      </c>
      <c r="K76" s="13">
        <f>advancedEstimate</f>
        <v>0.6</v>
      </c>
      <c r="L76" s="13">
        <v>-0.73</v>
      </c>
      <c r="M76" s="13">
        <f>extremeEstimate</f>
        <v>0.9</v>
      </c>
      <c r="N76" s="75">
        <f>A76</f>
        <v>73</v>
      </c>
      <c r="O76" s="27" t="s">
        <v>259</v>
      </c>
      <c r="P76" s="9"/>
      <c r="Q76" s="123"/>
      <c r="R76" s="124"/>
    </row>
    <row r="77" spans="1:20" x14ac:dyDescent="0.25">
      <c r="A77" s="125">
        <f t="shared" si="2"/>
        <v>74</v>
      </c>
      <c r="B77" s="9" t="s">
        <v>123</v>
      </c>
      <c r="C77" s="9" t="str">
        <f t="shared" ca="1" si="15"/>
        <v>Steel, Fabricated steel &amp; Aluminium</v>
      </c>
      <c r="D77" s="9" t="str">
        <f t="shared" ca="1" si="16"/>
        <v>Manufacture of motor vehicles, trailers and semi-trailers'</v>
      </c>
      <c r="E77" s="15">
        <v>12</v>
      </c>
      <c r="F77" s="15">
        <v>7</v>
      </c>
      <c r="G77" s="15">
        <v>1</v>
      </c>
      <c r="H77" s="74">
        <f>42%+32%</f>
        <v>0.74</v>
      </c>
      <c r="I77" s="13">
        <f>advancedEstimate</f>
        <v>0.6</v>
      </c>
      <c r="J77" s="13">
        <v>-0.05</v>
      </c>
      <c r="K77" s="13">
        <f>advancedEstimate</f>
        <v>0.6</v>
      </c>
      <c r="L77" s="13">
        <v>-9.5000000000000001E-2</v>
      </c>
      <c r="M77" s="13">
        <f>extremeEstimate</f>
        <v>0.9</v>
      </c>
      <c r="N77" s="75">
        <f>A77</f>
        <v>74</v>
      </c>
      <c r="O77" s="27" t="s">
        <v>672</v>
      </c>
      <c r="P77" s="9"/>
      <c r="Q77" s="123"/>
      <c r="R77" s="124"/>
    </row>
    <row r="78" spans="1:20" s="15" customFormat="1" x14ac:dyDescent="0.25">
      <c r="A78" s="125">
        <f t="shared" si="2"/>
        <v>75</v>
      </c>
      <c r="B78" s="9" t="s">
        <v>673</v>
      </c>
      <c r="C78" s="9" t="str">
        <f t="shared" ca="1" si="15"/>
        <v>Materials</v>
      </c>
      <c r="D78" s="9" t="str">
        <f t="shared" ca="1" si="16"/>
        <v>Manufacture of motor vehicles, trailers and semi-trailers'</v>
      </c>
      <c r="E78" s="15">
        <v>5</v>
      </c>
      <c r="F78" s="15">
        <v>7</v>
      </c>
      <c r="G78" s="15">
        <v>1</v>
      </c>
      <c r="H78" s="74">
        <v>0.42</v>
      </c>
      <c r="I78" s="13">
        <f>intermediateEstimate</f>
        <v>0.3</v>
      </c>
      <c r="J78" s="13">
        <v>-0.1</v>
      </c>
      <c r="K78" s="13">
        <f>advancedEstimate</f>
        <v>0.6</v>
      </c>
      <c r="L78" s="13">
        <v>-0.1</v>
      </c>
      <c r="M78" s="13">
        <f>extremeEstimate</f>
        <v>0.9</v>
      </c>
      <c r="N78" s="75">
        <f>A78</f>
        <v>75</v>
      </c>
      <c r="O78" s="27" t="s">
        <v>674</v>
      </c>
      <c r="P78" s="9"/>
      <c r="Q78" s="123"/>
      <c r="R78" s="124"/>
      <c r="T78" s="122"/>
    </row>
    <row r="79" spans="1:20" x14ac:dyDescent="0.25">
      <c r="A79" s="125">
        <f t="shared" si="2"/>
        <v>76</v>
      </c>
      <c r="B79" s="9" t="s">
        <v>704</v>
      </c>
      <c r="C79" s="9" t="str">
        <f t="shared" ca="1" si="15"/>
        <v>Steel</v>
      </c>
      <c r="D79" s="9" t="str">
        <f t="shared" ca="1" si="16"/>
        <v>Manufacture of motor vehicles, trailers and semi-trailers'</v>
      </c>
      <c r="E79" s="9">
        <v>10</v>
      </c>
      <c r="F79" s="9">
        <v>7</v>
      </c>
      <c r="G79" s="9">
        <v>1</v>
      </c>
      <c r="H79" s="13">
        <v>1</v>
      </c>
      <c r="I79" s="13">
        <v>1</v>
      </c>
      <c r="J79" s="13">
        <v>0</v>
      </c>
      <c r="K79" s="13">
        <v>1</v>
      </c>
      <c r="L79" s="74">
        <v>0</v>
      </c>
      <c r="M79" s="13">
        <v>1</v>
      </c>
      <c r="N79" s="75">
        <f>A79</f>
        <v>76</v>
      </c>
      <c r="O79" s="30" t="s">
        <v>188</v>
      </c>
      <c r="P79" s="9"/>
      <c r="Q79" s="123"/>
      <c r="R79" s="124"/>
      <c r="T79" s="122"/>
    </row>
    <row r="80" spans="1:20" x14ac:dyDescent="0.25">
      <c r="A80" s="125">
        <f t="shared" si="2"/>
        <v>77</v>
      </c>
      <c r="B80" s="9" t="s">
        <v>340</v>
      </c>
      <c r="C80" s="9" t="str">
        <f t="shared" ca="1" si="15"/>
        <v>Recycled steel</v>
      </c>
      <c r="D80" s="9" t="str">
        <f t="shared" ca="1" si="16"/>
        <v>Manufacture of motor vehicles, trailers and semi-trailers'</v>
      </c>
      <c r="E80" s="9">
        <v>13</v>
      </c>
      <c r="F80" s="9">
        <v>7</v>
      </c>
      <c r="G80" s="9">
        <v>14</v>
      </c>
      <c r="H80" s="13">
        <v>1</v>
      </c>
      <c r="I80" s="13">
        <f>intermediateEstimate</f>
        <v>0.3</v>
      </c>
      <c r="J80" s="13">
        <f>-1--0.73/0.82</f>
        <v>-0.1097560975609756</v>
      </c>
      <c r="K80" s="13">
        <f>advancedEstimate</f>
        <v>0.6</v>
      </c>
      <c r="L80" s="13">
        <f>-1--0.73/0.82</f>
        <v>-0.1097560975609756</v>
      </c>
      <c r="M80" s="13">
        <f>extremeEstimate</f>
        <v>0.9</v>
      </c>
      <c r="N80" s="75">
        <f>A79</f>
        <v>76</v>
      </c>
      <c r="O80" s="27" t="s">
        <v>22</v>
      </c>
      <c r="P80" s="9"/>
      <c r="Q80" s="123"/>
      <c r="R80" s="124"/>
      <c r="T80" s="122"/>
    </row>
    <row r="81" spans="1:27" s="122" customFormat="1" x14ac:dyDescent="0.25">
      <c r="A81" s="125">
        <f t="shared" si="2"/>
        <v>78</v>
      </c>
      <c r="B81" s="9" t="s">
        <v>705</v>
      </c>
      <c r="C81" s="9" t="str">
        <f t="shared" ca="1" si="15"/>
        <v>Aluminium and aluminium products</v>
      </c>
      <c r="D81" s="9" t="str">
        <f t="shared" ca="1" si="16"/>
        <v>Manufacture of motor vehicles, trailers and semi-trailers'</v>
      </c>
      <c r="E81" s="76">
        <v>20</v>
      </c>
      <c r="F81" s="9">
        <v>7</v>
      </c>
      <c r="G81" s="9">
        <v>1</v>
      </c>
      <c r="H81" s="13">
        <v>1</v>
      </c>
      <c r="I81" s="13">
        <v>1</v>
      </c>
      <c r="J81" s="13">
        <v>0</v>
      </c>
      <c r="K81" s="13">
        <v>1</v>
      </c>
      <c r="L81" s="74">
        <v>0</v>
      </c>
      <c r="M81" s="13">
        <v>1</v>
      </c>
      <c r="N81" s="75">
        <f>A81</f>
        <v>78</v>
      </c>
      <c r="O81" s="27"/>
      <c r="P81" s="9"/>
      <c r="Q81" s="123"/>
      <c r="R81" s="124"/>
    </row>
    <row r="82" spans="1:27" s="122" customFormat="1" x14ac:dyDescent="0.25">
      <c r="A82" s="125">
        <f t="shared" si="2"/>
        <v>79</v>
      </c>
      <c r="B82" s="9" t="s">
        <v>340</v>
      </c>
      <c r="C82" s="9" t="str">
        <f t="shared" ca="1" si="15"/>
        <v>Recycled aluminium</v>
      </c>
      <c r="D82" s="9" t="str">
        <f t="shared" ca="1" si="16"/>
        <v>Manufacture of motor vehicles, trailers and semi-trailers'</v>
      </c>
      <c r="E82" s="76">
        <v>14</v>
      </c>
      <c r="F82" s="9">
        <v>7</v>
      </c>
      <c r="G82" s="9">
        <v>14</v>
      </c>
      <c r="H82" s="13">
        <v>1</v>
      </c>
      <c r="I82" s="13">
        <f>intermediateEstimate</f>
        <v>0.3</v>
      </c>
      <c r="J82" s="13">
        <f>-1--0.73/0.82</f>
        <v>-0.1097560975609756</v>
      </c>
      <c r="K82" s="13">
        <f>advancedEstimate</f>
        <v>0.6</v>
      </c>
      <c r="L82" s="13">
        <f>-1--0.73/0.82</f>
        <v>-0.1097560975609756</v>
      </c>
      <c r="M82" s="13">
        <f>extremeEstimate</f>
        <v>0.9</v>
      </c>
      <c r="N82" s="75">
        <f>A81</f>
        <v>78</v>
      </c>
      <c r="O82" s="27"/>
      <c r="P82" s="9"/>
      <c r="Q82" s="123"/>
      <c r="R82" s="124"/>
    </row>
    <row r="83" spans="1:27" x14ac:dyDescent="0.25">
      <c r="A83" s="125">
        <f t="shared" si="2"/>
        <v>80</v>
      </c>
      <c r="B83" s="9" t="s">
        <v>772</v>
      </c>
      <c r="C83" s="9" t="str">
        <f t="shared" ca="1" si="15"/>
        <v>All products</v>
      </c>
      <c r="D83" s="9" t="str">
        <f t="shared" ca="1" si="16"/>
        <v>Manufacture of motor vehicles, trailers and semi-trailers'</v>
      </c>
      <c r="E83" s="15">
        <v>1</v>
      </c>
      <c r="F83" s="15">
        <v>7</v>
      </c>
      <c r="G83" s="15">
        <v>1</v>
      </c>
      <c r="H83" s="13">
        <v>1</v>
      </c>
      <c r="I83" s="13">
        <f>intermediateEstimate</f>
        <v>0.3</v>
      </c>
      <c r="J83" s="13">
        <v>-0.13</v>
      </c>
      <c r="K83" s="13">
        <f>advancedEstimate</f>
        <v>0.6</v>
      </c>
      <c r="L83" s="13">
        <v>-0.13</v>
      </c>
      <c r="M83" s="13">
        <f>extremeEstimate</f>
        <v>0.9</v>
      </c>
      <c r="N83" s="75">
        <f>A83</f>
        <v>80</v>
      </c>
      <c r="O83" s="28" t="s">
        <v>644</v>
      </c>
      <c r="P83" s="9"/>
      <c r="Q83" s="123"/>
      <c r="R83" s="124"/>
      <c r="T83" s="122"/>
    </row>
    <row r="84" spans="1:27" x14ac:dyDescent="0.25">
      <c r="A84" s="125">
        <f t="shared" si="2"/>
        <v>81</v>
      </c>
      <c r="B84" s="9"/>
      <c r="C84" s="9" t="str">
        <f t="shared" ca="1" si="15"/>
        <v>Sale, maintenance, repair of motor vehicles, motor vehicles parts, motorcycles, motor cycles parts and accessoiries</v>
      </c>
      <c r="D84" s="9" t="str">
        <f t="shared" ca="1" si="16"/>
        <v>Manufacture of motor vehicles, trailers and semi-trailers'</v>
      </c>
      <c r="E84" s="15">
        <v>18</v>
      </c>
      <c r="F84" s="15">
        <v>7</v>
      </c>
      <c r="G84" s="15">
        <v>1</v>
      </c>
      <c r="H84" s="13">
        <v>1</v>
      </c>
      <c r="I84" s="13">
        <v>1</v>
      </c>
      <c r="J84" s="74">
        <f>100%*-J83</f>
        <v>0.13</v>
      </c>
      <c r="K84" s="13">
        <v>1</v>
      </c>
      <c r="L84" s="74">
        <f>50%*-L83</f>
        <v>6.5000000000000002E-2</v>
      </c>
      <c r="M84" s="13">
        <v>1</v>
      </c>
      <c r="N84" s="75">
        <f>A83</f>
        <v>80</v>
      </c>
      <c r="O84" s="27" t="s">
        <v>657</v>
      </c>
      <c r="P84" s="9"/>
      <c r="Q84" s="123"/>
      <c r="R84" s="124"/>
      <c r="T84" s="122"/>
    </row>
    <row r="85" spans="1:27" x14ac:dyDescent="0.25">
      <c r="A85" s="125">
        <f t="shared" si="2"/>
        <v>82</v>
      </c>
      <c r="B85" s="9" t="s">
        <v>773</v>
      </c>
      <c r="C85" s="9" t="str">
        <f t="shared" ca="1" si="15"/>
        <v>All products</v>
      </c>
      <c r="D85" s="9" t="str">
        <f t="shared" ca="1" si="16"/>
        <v>Manufacture of motor vehicles, trailers and semi-trailers'</v>
      </c>
      <c r="E85" s="15">
        <v>1</v>
      </c>
      <c r="F85" s="15">
        <v>7</v>
      </c>
      <c r="G85" s="15">
        <v>1</v>
      </c>
      <c r="H85" s="13">
        <v>0.42</v>
      </c>
      <c r="I85" s="13">
        <f>4%-2.5%</f>
        <v>1.4999999999999999E-2</v>
      </c>
      <c r="J85" s="13">
        <f>-70%</f>
        <v>-0.7</v>
      </c>
      <c r="K85" s="13">
        <v>0.24</v>
      </c>
      <c r="L85" s="13">
        <v>-0.39</v>
      </c>
      <c r="M85" s="13">
        <f>extremeEstimate</f>
        <v>0.9</v>
      </c>
      <c r="N85" s="75">
        <f>A85</f>
        <v>82</v>
      </c>
      <c r="O85" s="27" t="s">
        <v>738</v>
      </c>
      <c r="P85" s="9"/>
      <c r="Q85" s="123"/>
      <c r="R85" s="124"/>
      <c r="T85" s="122"/>
    </row>
    <row r="86" spans="1:27" x14ac:dyDescent="0.25">
      <c r="A86" s="125">
        <f t="shared" ref="A86:A129" si="17">1+A85</f>
        <v>83</v>
      </c>
      <c r="B86" s="9"/>
      <c r="C86" s="9" t="str">
        <f t="shared" ca="1" si="15"/>
        <v>Renting services of machinery and equipment without operator and of personal and household goods</v>
      </c>
      <c r="D86" s="9" t="str">
        <f t="shared" ca="1" si="16"/>
        <v>Manufacture of motor vehicles, trailers and semi-trailers'</v>
      </c>
      <c r="E86" s="15">
        <v>19</v>
      </c>
      <c r="F86" s="15">
        <v>7</v>
      </c>
      <c r="G86" s="15">
        <v>1</v>
      </c>
      <c r="H86" s="13">
        <v>1</v>
      </c>
      <c r="I86" s="13">
        <v>1</v>
      </c>
      <c r="J86" s="13">
        <f>100%*-J85</f>
        <v>0.7</v>
      </c>
      <c r="K86" s="13">
        <v>1</v>
      </c>
      <c r="L86" s="74">
        <f>50%*-L85</f>
        <v>0.19500000000000001</v>
      </c>
      <c r="M86" s="13">
        <v>1</v>
      </c>
      <c r="N86" s="75">
        <f>A85</f>
        <v>82</v>
      </c>
      <c r="O86" s="27" t="s">
        <v>645</v>
      </c>
      <c r="P86" s="9"/>
      <c r="Q86" s="123"/>
      <c r="R86" s="124"/>
      <c r="T86" s="122"/>
    </row>
    <row r="87" spans="1:27" x14ac:dyDescent="0.25">
      <c r="A87" s="125">
        <f t="shared" si="17"/>
        <v>84</v>
      </c>
      <c r="B87" s="76" t="s">
        <v>261</v>
      </c>
      <c r="C87" s="76" t="str">
        <f t="shared" ca="1" si="15"/>
        <v>Aluminium and aluminium products</v>
      </c>
      <c r="D87" s="76" t="str">
        <f t="shared" ca="1" si="16"/>
        <v>Manufacture of other transport equipment'</v>
      </c>
      <c r="E87" s="76">
        <v>20</v>
      </c>
      <c r="F87" s="76">
        <v>8</v>
      </c>
      <c r="G87" s="76">
        <v>1</v>
      </c>
      <c r="H87" s="77">
        <v>0.8</v>
      </c>
      <c r="I87" s="77">
        <v>1</v>
      </c>
      <c r="J87" s="77">
        <v>0</v>
      </c>
      <c r="K87" s="77">
        <v>1</v>
      </c>
      <c r="L87" s="77">
        <v>0</v>
      </c>
      <c r="M87" s="13">
        <v>1</v>
      </c>
      <c r="N87" s="78">
        <f>A87</f>
        <v>84</v>
      </c>
      <c r="O87" s="79" t="s">
        <v>265</v>
      </c>
      <c r="P87" s="9"/>
      <c r="Q87" s="123"/>
      <c r="R87" s="124"/>
      <c r="T87" s="122"/>
    </row>
    <row r="88" spans="1:27" x14ac:dyDescent="0.25">
      <c r="A88" s="125">
        <f t="shared" si="17"/>
        <v>85</v>
      </c>
      <c r="B88" s="9" t="s">
        <v>340</v>
      </c>
      <c r="C88" s="76" t="str">
        <f t="shared" ca="1" si="15"/>
        <v>Recycled aluminium</v>
      </c>
      <c r="D88" s="76" t="str">
        <f t="shared" ca="1" si="16"/>
        <v>Manufacture of other transport equipment'</v>
      </c>
      <c r="E88" s="76">
        <v>14</v>
      </c>
      <c r="F88" s="76">
        <v>8</v>
      </c>
      <c r="G88" s="76">
        <v>14</v>
      </c>
      <c r="H88" s="77">
        <v>1</v>
      </c>
      <c r="I88" s="77">
        <f>intermediateEstimate</f>
        <v>0.3</v>
      </c>
      <c r="J88" s="77">
        <v>-0.5</v>
      </c>
      <c r="K88" s="77">
        <f>advancedEstimate</f>
        <v>0.6</v>
      </c>
      <c r="L88" s="80">
        <v>-0.5</v>
      </c>
      <c r="M88" s="13">
        <f>extremeEstimate</f>
        <v>0.9</v>
      </c>
      <c r="N88" s="78">
        <f>A87</f>
        <v>84</v>
      </c>
      <c r="O88" s="79" t="s">
        <v>266</v>
      </c>
      <c r="P88" s="9"/>
      <c r="Q88" s="123"/>
      <c r="R88" s="124"/>
      <c r="T88" s="122"/>
    </row>
    <row r="89" spans="1:27" s="15" customFormat="1" x14ac:dyDescent="0.25">
      <c r="A89" s="98">
        <f t="shared" si="17"/>
        <v>86</v>
      </c>
      <c r="B89" s="9" t="s">
        <v>152</v>
      </c>
      <c r="C89" s="9" t="str">
        <f t="shared" ref="C89:C101" ca="1" si="18">INDIRECT(ADDRESS(E89+2,2,,,"product Table"))</f>
        <v>All products</v>
      </c>
      <c r="D89" s="9" t="str">
        <f t="shared" ref="D89:D102" ca="1" si="19">INDIRECT(ADDRESS(F89+2,2,,,"industry Table"))</f>
        <v>Construction Industry</v>
      </c>
      <c r="E89" s="76">
        <v>1</v>
      </c>
      <c r="F89" s="15">
        <v>9</v>
      </c>
      <c r="G89" s="15">
        <v>1</v>
      </c>
      <c r="H89" s="13">
        <f>0.25*70/480</f>
        <v>3.6458333333333336E-2</v>
      </c>
      <c r="I89" s="84">
        <f>intermediateEstimate</f>
        <v>0.3</v>
      </c>
      <c r="J89" s="13">
        <f>-1+50%*1.1</f>
        <v>-0.44999999999999996</v>
      </c>
      <c r="K89" s="13">
        <f>advancedEstimate</f>
        <v>0.6</v>
      </c>
      <c r="L89" s="74">
        <f>J89</f>
        <v>-0.44999999999999996</v>
      </c>
      <c r="M89" s="13">
        <f>extremeEstimate</f>
        <v>0.9</v>
      </c>
      <c r="N89" s="75">
        <f>A89</f>
        <v>86</v>
      </c>
      <c r="O89" s="27" t="s">
        <v>339</v>
      </c>
      <c r="P89" s="9"/>
      <c r="Q89" s="123"/>
      <c r="R89" s="124"/>
      <c r="S89" s="9"/>
      <c r="T89" s="122"/>
      <c r="U89" s="9"/>
      <c r="V89" s="9"/>
      <c r="W89" s="9"/>
    </row>
    <row r="90" spans="1:27" x14ac:dyDescent="0.25">
      <c r="A90" s="98">
        <f>1+A89</f>
        <v>87</v>
      </c>
      <c r="B90" s="9" t="s">
        <v>682</v>
      </c>
      <c r="C90" s="9" t="str">
        <f t="shared" ca="1" si="18"/>
        <v>Materials</v>
      </c>
      <c r="D90" s="9" t="str">
        <f t="shared" ca="1" si="19"/>
        <v>Construction Industry</v>
      </c>
      <c r="E90" s="76">
        <v>5</v>
      </c>
      <c r="F90" s="15">
        <v>9</v>
      </c>
      <c r="G90" s="15">
        <v>1</v>
      </c>
      <c r="H90" s="13">
        <f>290/480</f>
        <v>0.60416666666666663</v>
      </c>
      <c r="I90" s="84">
        <f>intermediateEstimate</f>
        <v>0.3</v>
      </c>
      <c r="J90" s="13">
        <v>-7.0000000000000007E-2</v>
      </c>
      <c r="K90" s="13">
        <f>advancedEstimate</f>
        <v>0.6</v>
      </c>
      <c r="L90" s="74">
        <v>-7.0000000000000007E-2</v>
      </c>
      <c r="M90" s="13">
        <f>extremeEstimate</f>
        <v>0.9</v>
      </c>
      <c r="N90" s="75">
        <f>A90</f>
        <v>87</v>
      </c>
      <c r="O90" s="27" t="s">
        <v>684</v>
      </c>
      <c r="P90" s="9"/>
      <c r="Q90" s="123"/>
      <c r="R90" s="124"/>
      <c r="S90" s="9"/>
      <c r="T90" s="122"/>
      <c r="U90" s="9"/>
      <c r="V90" s="9"/>
      <c r="W90" s="9"/>
    </row>
    <row r="91" spans="1:27" s="121" customFormat="1" x14ac:dyDescent="0.25">
      <c r="A91" s="98">
        <f>1+A90</f>
        <v>88</v>
      </c>
      <c r="B91" s="9" t="s">
        <v>700</v>
      </c>
      <c r="C91" s="9" t="str">
        <f ca="1">INDIRECT(ADDRESS(E91+2,2,,,"product Table"))</f>
        <v xml:space="preserve">Construction onsite waste </v>
      </c>
      <c r="D91" s="9" t="str">
        <f ca="1">INDIRECT(ADDRESS(F91+2,2,,,"industry Table"))</f>
        <v>Construction Industry</v>
      </c>
      <c r="E91" s="76">
        <v>49</v>
      </c>
      <c r="F91" s="121">
        <v>9</v>
      </c>
      <c r="G91" s="121">
        <v>1</v>
      </c>
      <c r="H91" s="13">
        <v>0.05</v>
      </c>
      <c r="I91" s="84">
        <f>intermediateEstimate</f>
        <v>0.3</v>
      </c>
      <c r="J91" s="13">
        <v>-0.5</v>
      </c>
      <c r="K91" s="13">
        <f>advancedEstimate</f>
        <v>0.6</v>
      </c>
      <c r="L91" s="74">
        <v>0.5</v>
      </c>
      <c r="M91" s="13">
        <f>extremeEstimate</f>
        <v>0.9</v>
      </c>
      <c r="N91" s="75">
        <f>A91</f>
        <v>88</v>
      </c>
      <c r="O91" s="27" t="s">
        <v>701</v>
      </c>
      <c r="P91" s="9"/>
      <c r="Q91" s="123"/>
      <c r="R91" s="124"/>
      <c r="S91" s="9"/>
      <c r="T91" s="122"/>
    </row>
    <row r="92" spans="1:27" s="121" customFormat="1" x14ac:dyDescent="0.25">
      <c r="A92" s="98">
        <f>1+A91</f>
        <v>89</v>
      </c>
      <c r="B92" s="9" t="s">
        <v>694</v>
      </c>
      <c r="C92" s="9" t="str">
        <f ca="1">INDIRECT(ADDRESS(E92+2,2,,,"product Table"))</f>
        <v>Bricks &amp; building ceramics</v>
      </c>
      <c r="D92" s="9" t="str">
        <f ca="1">INDIRECT(ADDRESS(F92+2,2,,,"industry Table"))</f>
        <v>Construction Industry</v>
      </c>
      <c r="E92" s="121">
        <v>46</v>
      </c>
      <c r="F92" s="121">
        <v>9</v>
      </c>
      <c r="G92" s="121">
        <v>1</v>
      </c>
      <c r="H92" s="13">
        <v>0.7</v>
      </c>
      <c r="I92" s="84">
        <v>1</v>
      </c>
      <c r="J92" s="13">
        <v>0</v>
      </c>
      <c r="K92" s="13">
        <v>1</v>
      </c>
      <c r="L92" s="74">
        <v>0</v>
      </c>
      <c r="M92" s="13">
        <v>1</v>
      </c>
      <c r="N92" s="75">
        <f>A92</f>
        <v>89</v>
      </c>
      <c r="O92" s="27" t="s">
        <v>702</v>
      </c>
      <c r="P92" s="9"/>
      <c r="Q92" s="123"/>
      <c r="R92" s="124"/>
      <c r="S92" s="9"/>
      <c r="T92" s="122"/>
    </row>
    <row r="93" spans="1:27" s="121" customFormat="1" x14ac:dyDescent="0.25">
      <c r="A93" s="98">
        <f>1+A92</f>
        <v>90</v>
      </c>
      <c r="B93" s="9" t="s">
        <v>692</v>
      </c>
      <c r="C93" s="9" t="str">
        <f ca="1">INDIRECT(ADDRESS(E93+2,2,,,"product Table"))</f>
        <v>Bricks &amp; building ceramics</v>
      </c>
      <c r="D93" s="9" t="str">
        <f ca="1">INDIRECT(ADDRESS(F93+2,2,,,"industry Table"))</f>
        <v>Construction Industry</v>
      </c>
      <c r="E93" s="121">
        <v>46</v>
      </c>
      <c r="F93" s="121">
        <v>9</v>
      </c>
      <c r="G93" s="121">
        <v>1</v>
      </c>
      <c r="H93" s="77">
        <v>1</v>
      </c>
      <c r="I93" s="84">
        <f t="shared" ref="I93:I122" si="20">intermediateEstimate</f>
        <v>0.3</v>
      </c>
      <c r="J93" s="74">
        <f>-(15%-10%)*60%</f>
        <v>-2.9999999999999992E-2</v>
      </c>
      <c r="K93" s="13">
        <f t="shared" ref="K93:K122" si="21">advancedEstimate</f>
        <v>0.6</v>
      </c>
      <c r="L93" s="74">
        <f>-(20%-10%)</f>
        <v>-0.1</v>
      </c>
      <c r="M93" s="13">
        <f t="shared" ref="M93:M97" si="22">extremeEstimate</f>
        <v>0.9</v>
      </c>
      <c r="N93" s="75">
        <f>A92</f>
        <v>89</v>
      </c>
      <c r="O93" s="27" t="s">
        <v>697</v>
      </c>
      <c r="P93" s="9"/>
      <c r="Q93" s="123"/>
      <c r="R93" s="124"/>
      <c r="S93" s="9"/>
      <c r="T93" s="122"/>
    </row>
    <row r="94" spans="1:27" s="121" customFormat="1" x14ac:dyDescent="0.25">
      <c r="A94" s="98">
        <f t="shared" si="17"/>
        <v>91</v>
      </c>
      <c r="B94" s="9" t="s">
        <v>715</v>
      </c>
      <c r="C94" s="9" t="str">
        <f ca="1">INDIRECT(ADDRESS(E94+2,2,,,"product Table"))</f>
        <v>Construction sector reclamation activity (energy, machinery, services)</v>
      </c>
      <c r="D94" s="9" t="str">
        <f ca="1">INDIRECT(ADDRESS(F94+2,2,,,"industry Table"))</f>
        <v>Construction Industry</v>
      </c>
      <c r="E94" s="121">
        <v>48</v>
      </c>
      <c r="F94" s="121">
        <v>9</v>
      </c>
      <c r="G94" s="121">
        <v>1</v>
      </c>
      <c r="H94" s="77">
        <v>1</v>
      </c>
      <c r="I94" s="84">
        <f t="shared" si="20"/>
        <v>0.3</v>
      </c>
      <c r="J94" s="74">
        <f>50%*-J93</f>
        <v>1.4999999999999996E-2</v>
      </c>
      <c r="K94" s="13">
        <f t="shared" si="21"/>
        <v>0.6</v>
      </c>
      <c r="L94" s="74">
        <f>-50%*L93</f>
        <v>0.05</v>
      </c>
      <c r="M94" s="13">
        <f t="shared" si="22"/>
        <v>0.9</v>
      </c>
      <c r="N94" s="75">
        <f>A92</f>
        <v>89</v>
      </c>
      <c r="O94" s="27"/>
      <c r="P94" s="9"/>
      <c r="Q94" s="123"/>
      <c r="R94" s="124"/>
      <c r="S94" s="9"/>
      <c r="T94" s="122"/>
    </row>
    <row r="95" spans="1:27" s="15" customFormat="1" x14ac:dyDescent="0.25">
      <c r="A95" s="98">
        <f t="shared" si="17"/>
        <v>92</v>
      </c>
      <c r="B95" s="9" t="s">
        <v>685</v>
      </c>
      <c r="C95" s="9" t="str">
        <f t="shared" ca="1" si="18"/>
        <v>Bricks &amp; building ceramics</v>
      </c>
      <c r="D95" s="9" t="str">
        <f t="shared" ca="1" si="19"/>
        <v>Construction Industry</v>
      </c>
      <c r="E95" s="76">
        <v>46</v>
      </c>
      <c r="F95" s="15">
        <v>9</v>
      </c>
      <c r="G95" s="15">
        <v>1</v>
      </c>
      <c r="H95" s="13">
        <v>1</v>
      </c>
      <c r="I95" s="84">
        <f>intermediateEstimate</f>
        <v>0.3</v>
      </c>
      <c r="J95" s="13">
        <v>-0.75</v>
      </c>
      <c r="K95" s="13">
        <f>advancedEstimate</f>
        <v>0.6</v>
      </c>
      <c r="L95" s="74">
        <v>-0.75</v>
      </c>
      <c r="M95" s="13">
        <f t="shared" si="22"/>
        <v>0.9</v>
      </c>
      <c r="N95" s="75">
        <f>A92</f>
        <v>89</v>
      </c>
      <c r="O95" s="27" t="s">
        <v>695</v>
      </c>
      <c r="P95" s="9"/>
      <c r="Q95" s="123"/>
      <c r="R95" s="124"/>
      <c r="S95" s="9"/>
      <c r="T95" s="122"/>
      <c r="V95" s="122"/>
      <c r="W95" s="122"/>
      <c r="X95" s="122"/>
      <c r="Y95" s="122"/>
      <c r="Z95" s="122"/>
      <c r="AA95" s="122"/>
    </row>
    <row r="96" spans="1:27" s="15" customFormat="1" x14ac:dyDescent="0.25">
      <c r="A96" s="98">
        <f t="shared" si="17"/>
        <v>93</v>
      </c>
      <c r="B96" s="9"/>
      <c r="C96" s="76" t="str">
        <f t="shared" ca="1" si="18"/>
        <v>Wood</v>
      </c>
      <c r="D96" s="76" t="str">
        <f t="shared" ca="1" si="19"/>
        <v>Construction Industry</v>
      </c>
      <c r="E96" s="76">
        <v>47</v>
      </c>
      <c r="F96" s="15">
        <v>9</v>
      </c>
      <c r="G96" s="15">
        <v>14</v>
      </c>
      <c r="H96" s="13">
        <v>1</v>
      </c>
      <c r="I96" s="84">
        <f>intermediateEstimate</f>
        <v>0.3</v>
      </c>
      <c r="J96" s="13">
        <v>0.75</v>
      </c>
      <c r="K96" s="13">
        <f>advancedEstimate</f>
        <v>0.6</v>
      </c>
      <c r="L96" s="74">
        <v>0.75</v>
      </c>
      <c r="M96" s="13">
        <f t="shared" si="22"/>
        <v>0.9</v>
      </c>
      <c r="N96" s="75">
        <f>A92</f>
        <v>89</v>
      </c>
      <c r="O96" s="27"/>
      <c r="P96" s="9"/>
      <c r="Q96" s="123"/>
      <c r="R96" s="124"/>
      <c r="S96" s="9"/>
      <c r="T96" s="122"/>
    </row>
    <row r="97" spans="1:20" s="15" customFormat="1" x14ac:dyDescent="0.25">
      <c r="A97" s="98">
        <f t="shared" si="17"/>
        <v>94</v>
      </c>
      <c r="B97" s="9" t="s">
        <v>687</v>
      </c>
      <c r="C97" s="76" t="str">
        <f t="shared" ca="1" si="18"/>
        <v>Steel</v>
      </c>
      <c r="D97" s="76" t="str">
        <f t="shared" ca="1" si="19"/>
        <v>Construction Industry</v>
      </c>
      <c r="E97" s="76">
        <v>10</v>
      </c>
      <c r="F97" s="15">
        <v>9</v>
      </c>
      <c r="G97" s="15">
        <v>1</v>
      </c>
      <c r="H97" s="13">
        <f>60/480</f>
        <v>0.125</v>
      </c>
      <c r="I97" s="84">
        <f>intermediateEstimate</f>
        <v>0.3</v>
      </c>
      <c r="J97" s="13">
        <v>-0.5</v>
      </c>
      <c r="K97" s="13">
        <f>advancedEstimate</f>
        <v>0.6</v>
      </c>
      <c r="L97" s="74">
        <v>-0.5</v>
      </c>
      <c r="M97" s="13">
        <f t="shared" si="22"/>
        <v>0.9</v>
      </c>
      <c r="N97" s="75">
        <f>A97</f>
        <v>94</v>
      </c>
      <c r="O97" s="27"/>
      <c r="P97" s="9"/>
      <c r="Q97" s="123"/>
      <c r="R97" s="124"/>
      <c r="S97" s="9"/>
      <c r="T97" s="122"/>
    </row>
    <row r="98" spans="1:20" s="15" customFormat="1" x14ac:dyDescent="0.25">
      <c r="A98" s="98">
        <f t="shared" si="17"/>
        <v>95</v>
      </c>
      <c r="B98" s="9"/>
      <c r="C98" s="76" t="str">
        <f t="shared" ca="1" si="18"/>
        <v>Wood</v>
      </c>
      <c r="D98" s="76" t="str">
        <f t="shared" ca="1" si="19"/>
        <v>Construction Industry</v>
      </c>
      <c r="E98" s="76">
        <v>47</v>
      </c>
      <c r="F98" s="15">
        <v>9</v>
      </c>
      <c r="G98" s="15">
        <v>1</v>
      </c>
      <c r="H98" s="13">
        <v>1</v>
      </c>
      <c r="I98" s="84">
        <v>1</v>
      </c>
      <c r="J98" s="13">
        <f>-J97</f>
        <v>0.5</v>
      </c>
      <c r="K98" s="13">
        <v>1</v>
      </c>
      <c r="L98" s="74">
        <f>-L97</f>
        <v>0.5</v>
      </c>
      <c r="M98" s="13">
        <v>1</v>
      </c>
      <c r="N98" s="75">
        <f>A97</f>
        <v>94</v>
      </c>
      <c r="O98" s="27"/>
      <c r="P98" s="9"/>
      <c r="Q98" s="123"/>
      <c r="R98" s="124"/>
      <c r="S98" s="9"/>
      <c r="T98" s="122"/>
    </row>
    <row r="99" spans="1:20" s="15" customFormat="1" x14ac:dyDescent="0.25">
      <c r="A99" s="98">
        <f t="shared" si="17"/>
        <v>96</v>
      </c>
      <c r="B99" s="76" t="s">
        <v>647</v>
      </c>
      <c r="C99" s="76" t="str">
        <f ca="1">INDIRECT(ADDRESS(E99+2,2,,,"product Table"))</f>
        <v>Steel</v>
      </c>
      <c r="D99" s="76" t="str">
        <f ca="1">INDIRECT(ADDRESS(F99+2,2,,,"industry Table"))</f>
        <v>Construction Industry</v>
      </c>
      <c r="E99" s="76">
        <v>10</v>
      </c>
      <c r="F99" s="76">
        <v>9</v>
      </c>
      <c r="G99" s="76">
        <v>17</v>
      </c>
      <c r="H99" s="77">
        <v>1</v>
      </c>
      <c r="I99" s="77">
        <v>1</v>
      </c>
      <c r="J99" s="77">
        <v>0</v>
      </c>
      <c r="K99" s="77">
        <v>1</v>
      </c>
      <c r="L99" s="80">
        <v>0</v>
      </c>
      <c r="M99" s="13">
        <v>1</v>
      </c>
      <c r="N99" s="75">
        <f>A99</f>
        <v>96</v>
      </c>
      <c r="O99" s="79" t="s">
        <v>649</v>
      </c>
      <c r="P99" s="9"/>
      <c r="Q99" s="123"/>
      <c r="R99" s="124"/>
      <c r="S99" s="9"/>
      <c r="T99" s="122"/>
    </row>
    <row r="100" spans="1:20" x14ac:dyDescent="0.25">
      <c r="A100" s="98">
        <f t="shared" si="17"/>
        <v>97</v>
      </c>
      <c r="B100" s="9" t="s">
        <v>683</v>
      </c>
      <c r="C100" s="9" t="str">
        <f ca="1">INDIRECT(ADDRESS(E100+2,2,,,"product Table"))</f>
        <v>Steel</v>
      </c>
      <c r="D100" s="9" t="str">
        <f ca="1">INDIRECT(ADDRESS(F100+2,2,,,"industry Table"))</f>
        <v>Construction Industry</v>
      </c>
      <c r="E100" s="76">
        <v>10</v>
      </c>
      <c r="F100" s="15">
        <v>9</v>
      </c>
      <c r="G100" s="15">
        <v>17</v>
      </c>
      <c r="H100" s="13">
        <f>30/480</f>
        <v>6.25E-2</v>
      </c>
      <c r="I100" s="84">
        <f>intermediateEstimate</f>
        <v>0.3</v>
      </c>
      <c r="J100" s="13">
        <f>-1+(1+1-70%)/2</f>
        <v>-0.35</v>
      </c>
      <c r="K100" s="13">
        <f>advancedEstimate</f>
        <v>0.6</v>
      </c>
      <c r="L100" s="74">
        <v>-0.35</v>
      </c>
      <c r="M100" s="13">
        <f t="shared" ref="M100:M110" si="23">extremeEstimate</f>
        <v>0.9</v>
      </c>
      <c r="N100" s="75">
        <f>A99</f>
        <v>96</v>
      </c>
      <c r="O100" s="27" t="s">
        <v>338</v>
      </c>
      <c r="P100" s="9"/>
      <c r="Q100" s="123"/>
      <c r="R100" s="124"/>
      <c r="S100" s="9"/>
      <c r="T100" s="122"/>
    </row>
    <row r="101" spans="1:20" x14ac:dyDescent="0.25">
      <c r="A101" s="98">
        <f t="shared" si="17"/>
        <v>98</v>
      </c>
      <c r="B101" s="9" t="s">
        <v>648</v>
      </c>
      <c r="C101" s="9" t="str">
        <f t="shared" ca="1" si="18"/>
        <v>Steel</v>
      </c>
      <c r="D101" s="9" t="str">
        <f t="shared" ca="1" si="19"/>
        <v>Construction Industry</v>
      </c>
      <c r="E101" s="15">
        <v>10</v>
      </c>
      <c r="F101" s="15">
        <v>9</v>
      </c>
      <c r="G101" s="76">
        <v>17</v>
      </c>
      <c r="H101" s="13">
        <f>80/480</f>
        <v>0.16666666666666666</v>
      </c>
      <c r="I101" s="84">
        <f t="shared" si="20"/>
        <v>0.3</v>
      </c>
      <c r="J101" s="13">
        <f>-1--(0.39*(0.4/0.7)+0.43*(0.68/0.8)+0.18)</f>
        <v>-0.23164285714285704</v>
      </c>
      <c r="K101" s="13">
        <f t="shared" si="21"/>
        <v>0.6</v>
      </c>
      <c r="L101" s="13">
        <f>-1--(0.39*(0.4/0.7)+0.43*(0.68/0.8)+0.18)</f>
        <v>-0.23164285714285704</v>
      </c>
      <c r="M101" s="13">
        <f t="shared" si="23"/>
        <v>0.9</v>
      </c>
      <c r="N101" s="75">
        <f>A99</f>
        <v>96</v>
      </c>
      <c r="O101" s="27" t="s">
        <v>677</v>
      </c>
      <c r="P101" s="9"/>
      <c r="Q101" s="123"/>
      <c r="R101" s="124"/>
      <c r="S101" s="9"/>
      <c r="T101" s="122"/>
    </row>
    <row r="102" spans="1:20" x14ac:dyDescent="0.25">
      <c r="A102" s="98">
        <f t="shared" si="17"/>
        <v>99</v>
      </c>
      <c r="B102" s="9" t="s">
        <v>269</v>
      </c>
      <c r="C102" s="9" t="str">
        <f ca="1">INDIRECT(ADDRESS(E102+2,2,,,"product Table"))</f>
        <v>Steel</v>
      </c>
      <c r="D102" s="9" t="str">
        <f t="shared" ca="1" si="19"/>
        <v>Construction Industry</v>
      </c>
      <c r="E102" s="15">
        <v>10</v>
      </c>
      <c r="F102" s="15">
        <v>9</v>
      </c>
      <c r="G102" s="76">
        <v>17</v>
      </c>
      <c r="H102" s="13">
        <f>20/480</f>
        <v>4.1666666666666664E-2</v>
      </c>
      <c r="I102" s="84">
        <f t="shared" si="20"/>
        <v>0.3</v>
      </c>
      <c r="J102" s="91">
        <v>-0.1</v>
      </c>
      <c r="K102" s="13">
        <f t="shared" si="21"/>
        <v>0.6</v>
      </c>
      <c r="L102" s="92">
        <v>-0.3</v>
      </c>
      <c r="M102" s="13">
        <f t="shared" si="23"/>
        <v>0.9</v>
      </c>
      <c r="N102" s="75">
        <f>A99</f>
        <v>96</v>
      </c>
      <c r="O102" s="27" t="s">
        <v>646</v>
      </c>
      <c r="P102" s="9"/>
      <c r="Q102" s="123"/>
      <c r="R102" s="124"/>
      <c r="T102" s="122"/>
    </row>
    <row r="103" spans="1:20" x14ac:dyDescent="0.25">
      <c r="A103" s="98">
        <f t="shared" si="17"/>
        <v>100</v>
      </c>
      <c r="B103" s="9" t="s">
        <v>678</v>
      </c>
      <c r="C103" s="9" t="str">
        <f ca="1">INDIRECT(ADDRESS(E103+2,2,,,"product Table"))</f>
        <v>Steel</v>
      </c>
      <c r="D103" s="9" t="str">
        <f ca="1">INDIRECT(ADDRESS(F103+2,2,,,"industry Table"))</f>
        <v>Construction Industry</v>
      </c>
      <c r="E103" s="15">
        <v>10</v>
      </c>
      <c r="F103" s="15">
        <v>9</v>
      </c>
      <c r="G103" s="76">
        <v>17</v>
      </c>
      <c r="H103" s="13">
        <f>170/480</f>
        <v>0.35416666666666669</v>
      </c>
      <c r="I103" s="84">
        <f t="shared" si="20"/>
        <v>0.3</v>
      </c>
      <c r="J103" s="13">
        <f>-28/170</f>
        <v>-0.16470588235294117</v>
      </c>
      <c r="K103" s="13">
        <f t="shared" si="21"/>
        <v>0.6</v>
      </c>
      <c r="L103" s="13">
        <f>-28/170</f>
        <v>-0.16470588235294117</v>
      </c>
      <c r="M103" s="13">
        <f t="shared" si="23"/>
        <v>0.9</v>
      </c>
      <c r="N103" s="75">
        <f>A99</f>
        <v>96</v>
      </c>
      <c r="O103" s="29" t="s">
        <v>337</v>
      </c>
      <c r="P103" s="9"/>
      <c r="Q103" s="123"/>
      <c r="R103" s="124"/>
      <c r="T103" s="122"/>
    </row>
    <row r="104" spans="1:20" x14ac:dyDescent="0.25">
      <c r="A104" s="98">
        <f t="shared" si="17"/>
        <v>101</v>
      </c>
      <c r="B104" s="9" t="s">
        <v>680</v>
      </c>
      <c r="C104" s="9" t="str">
        <f ca="1">INDIRECT(ADDRESS(E104+2,2,,,"product Table"))</f>
        <v>Steel</v>
      </c>
      <c r="D104" s="9" t="str">
        <f ca="1">INDIRECT(ADDRESS(F104+2,2,,,"industry Table"))</f>
        <v>Construction Industry</v>
      </c>
      <c r="E104" s="15">
        <v>10</v>
      </c>
      <c r="F104" s="15">
        <v>9</v>
      </c>
      <c r="G104" s="76">
        <v>17</v>
      </c>
      <c r="H104" s="13">
        <f>80/480*0.5</f>
        <v>8.3333333333333329E-2</v>
      </c>
      <c r="I104" s="84">
        <v>0</v>
      </c>
      <c r="J104" s="13">
        <f>-(36%-22%)</f>
        <v>-0.13999999999999999</v>
      </c>
      <c r="K104" s="13">
        <f>intermediateEstimate</f>
        <v>0.3</v>
      </c>
      <c r="L104" s="74">
        <f>-(36%-22%)</f>
        <v>-0.13999999999999999</v>
      </c>
      <c r="M104" s="13">
        <f t="shared" si="23"/>
        <v>0.9</v>
      </c>
      <c r="N104" s="75">
        <f>A99</f>
        <v>96</v>
      </c>
      <c r="O104" s="27" t="s">
        <v>681</v>
      </c>
      <c r="P104" s="9"/>
      <c r="Q104" s="123"/>
      <c r="R104" s="124"/>
      <c r="T104" s="122"/>
    </row>
    <row r="105" spans="1:20" x14ac:dyDescent="0.25">
      <c r="A105" s="98">
        <f t="shared" si="17"/>
        <v>102</v>
      </c>
      <c r="B105" s="9" t="s">
        <v>270</v>
      </c>
      <c r="C105" s="9" t="str">
        <f ca="1">INDIRECT(ADDRESS(E105+2,2,,,"product Table"))</f>
        <v>Steel</v>
      </c>
      <c r="D105" s="9" t="str">
        <f ca="1">INDIRECT(ADDRESS(F105+2,2,,,"industry Table"))</f>
        <v>Construction Industry</v>
      </c>
      <c r="E105" s="15">
        <v>10</v>
      </c>
      <c r="F105" s="15">
        <v>9</v>
      </c>
      <c r="G105" s="76">
        <v>17</v>
      </c>
      <c r="H105" s="13">
        <f>10/480</f>
        <v>2.0833333333333332E-2</v>
      </c>
      <c r="I105" s="84">
        <f t="shared" si="20"/>
        <v>0.3</v>
      </c>
      <c r="J105" s="13">
        <f>-15%/2</f>
        <v>-7.4999999999999997E-2</v>
      </c>
      <c r="K105" s="13">
        <f t="shared" si="21"/>
        <v>0.6</v>
      </c>
      <c r="L105" s="74">
        <f>-15%</f>
        <v>-0.15</v>
      </c>
      <c r="M105" s="13">
        <f t="shared" si="23"/>
        <v>0.9</v>
      </c>
      <c r="N105" s="75">
        <f>A99</f>
        <v>96</v>
      </c>
      <c r="O105" s="27" t="s">
        <v>362</v>
      </c>
      <c r="P105" s="9"/>
      <c r="Q105" s="123"/>
      <c r="R105" s="124"/>
    </row>
    <row r="106" spans="1:20" s="15" customFormat="1" x14ac:dyDescent="0.25">
      <c r="A106" s="98">
        <f t="shared" si="17"/>
        <v>103</v>
      </c>
      <c r="B106" s="9" t="s">
        <v>699</v>
      </c>
      <c r="C106" s="9" t="str">
        <f ca="1">INDIRECT(ADDRESS(E106+2,2,,,"product Table"))</f>
        <v>Steel</v>
      </c>
      <c r="D106" s="9" t="str">
        <f ca="1">INDIRECT(ADDRESS(F106+2,2,,,"industry Table"))</f>
        <v>Construction Industry</v>
      </c>
      <c r="E106" s="15">
        <v>10</v>
      </c>
      <c r="F106" s="15">
        <v>9</v>
      </c>
      <c r="G106" s="76">
        <v>17</v>
      </c>
      <c r="H106" s="13">
        <f>(80%*80+30%*140)/480</f>
        <v>0.22083333333333333</v>
      </c>
      <c r="I106" s="84">
        <f t="shared" si="20"/>
        <v>0.3</v>
      </c>
      <c r="J106" s="13">
        <f>-intermediateEstimate</f>
        <v>-0.3</v>
      </c>
      <c r="K106" s="13">
        <f t="shared" si="21"/>
        <v>0.6</v>
      </c>
      <c r="L106" s="74">
        <f>-advancedEstimate</f>
        <v>-0.6</v>
      </c>
      <c r="M106" s="13">
        <f t="shared" si="23"/>
        <v>0.9</v>
      </c>
      <c r="N106" s="75">
        <f>A99</f>
        <v>96</v>
      </c>
      <c r="O106" s="27" t="s">
        <v>691</v>
      </c>
      <c r="P106" s="9"/>
      <c r="Q106" s="123"/>
      <c r="R106" s="124"/>
    </row>
    <row r="107" spans="1:20" s="121" customFormat="1" x14ac:dyDescent="0.25">
      <c r="A107" s="98">
        <f t="shared" si="17"/>
        <v>104</v>
      </c>
      <c r="B107" s="9" t="s">
        <v>268</v>
      </c>
      <c r="C107" s="9" t="str">
        <f t="shared" ref="C107:C122" ca="1" si="24">INDIRECT(ADDRESS(E107+2,2,,,"product Table"))</f>
        <v>Steel</v>
      </c>
      <c r="D107" s="9" t="str">
        <f t="shared" ref="D107:D122" ca="1" si="25">INDIRECT(ADDRESS(F107+2,2,,,"industry Table"))</f>
        <v>Construction Industry</v>
      </c>
      <c r="E107" s="15">
        <v>10</v>
      </c>
      <c r="F107" s="15">
        <v>9</v>
      </c>
      <c r="G107" s="76">
        <v>17</v>
      </c>
      <c r="H107" s="13">
        <f>50/480*10%</f>
        <v>1.0416666666666668E-2</v>
      </c>
      <c r="I107" s="84">
        <f t="shared" si="20"/>
        <v>0.3</v>
      </c>
      <c r="J107" s="74">
        <v>-0.5</v>
      </c>
      <c r="K107" s="13">
        <f t="shared" si="21"/>
        <v>0.6</v>
      </c>
      <c r="L107" s="74">
        <v>-0.5</v>
      </c>
      <c r="M107" s="13">
        <f t="shared" si="23"/>
        <v>0.9</v>
      </c>
      <c r="N107" s="75">
        <f>A99</f>
        <v>96</v>
      </c>
      <c r="O107" s="27" t="s">
        <v>315</v>
      </c>
      <c r="P107" s="9"/>
      <c r="Q107" s="123"/>
      <c r="R107" s="124"/>
    </row>
    <row r="108" spans="1:20" s="121" customFormat="1" x14ac:dyDescent="0.25">
      <c r="A108" s="98">
        <f t="shared" si="17"/>
        <v>105</v>
      </c>
      <c r="B108" s="9" t="s">
        <v>693</v>
      </c>
      <c r="C108" s="9" t="str">
        <f t="shared" ca="1" si="24"/>
        <v>Construction sector reclamation activity (energy, machinery, services)</v>
      </c>
      <c r="D108" s="9" t="str">
        <f t="shared" ca="1" si="25"/>
        <v>Construction Industry</v>
      </c>
      <c r="E108" s="121">
        <v>48</v>
      </c>
      <c r="F108" s="121">
        <v>9</v>
      </c>
      <c r="G108" s="76">
        <v>17</v>
      </c>
      <c r="H108" s="13">
        <f>(80%*80+30%*140)/480</f>
        <v>0.22083333333333333</v>
      </c>
      <c r="I108" s="84">
        <f t="shared" si="20"/>
        <v>0.3</v>
      </c>
      <c r="J108" s="74">
        <f>-50%*J106</f>
        <v>0.15</v>
      </c>
      <c r="K108" s="13">
        <f t="shared" si="21"/>
        <v>0.6</v>
      </c>
      <c r="L108" s="74">
        <f>-50%*L106</f>
        <v>0.3</v>
      </c>
      <c r="M108" s="13">
        <f t="shared" si="23"/>
        <v>0.9</v>
      </c>
      <c r="N108" s="75">
        <f>A99</f>
        <v>96</v>
      </c>
      <c r="O108" s="27"/>
      <c r="P108" s="9"/>
      <c r="Q108" s="123"/>
      <c r="R108" s="124"/>
    </row>
    <row r="109" spans="1:20" s="121" customFormat="1" x14ac:dyDescent="0.25">
      <c r="A109" s="98">
        <f t="shared" si="17"/>
        <v>106</v>
      </c>
      <c r="B109" s="9" t="s">
        <v>693</v>
      </c>
      <c r="C109" s="9" t="str">
        <f t="shared" ca="1" si="24"/>
        <v>Construction sector reclamation activity (energy, machinery, services)</v>
      </c>
      <c r="D109" s="9" t="str">
        <f t="shared" ca="1" si="25"/>
        <v>Construction Industry</v>
      </c>
      <c r="E109" s="121">
        <v>48</v>
      </c>
      <c r="F109" s="121">
        <v>9</v>
      </c>
      <c r="G109" s="76">
        <v>17</v>
      </c>
      <c r="H109" s="13">
        <f>50/480*10%</f>
        <v>1.0416666666666668E-2</v>
      </c>
      <c r="I109" s="84">
        <f t="shared" si="20"/>
        <v>0.3</v>
      </c>
      <c r="J109" s="74">
        <f>-50%*J107</f>
        <v>0.25</v>
      </c>
      <c r="K109" s="13">
        <f t="shared" si="21"/>
        <v>0.6</v>
      </c>
      <c r="L109" s="74">
        <f>-50%*L107</f>
        <v>0.25</v>
      </c>
      <c r="M109" s="13">
        <f t="shared" si="23"/>
        <v>0.9</v>
      </c>
      <c r="N109" s="75">
        <f>A99</f>
        <v>96</v>
      </c>
      <c r="O109" s="27"/>
      <c r="P109" s="9"/>
      <c r="Q109" s="123"/>
      <c r="R109" s="124"/>
    </row>
    <row r="110" spans="1:20" x14ac:dyDescent="0.25">
      <c r="A110" s="98">
        <f t="shared" si="17"/>
        <v>107</v>
      </c>
      <c r="B110" s="9" t="s">
        <v>698</v>
      </c>
      <c r="C110" s="9" t="str">
        <f t="shared" ca="1" si="24"/>
        <v>Steel</v>
      </c>
      <c r="D110" s="9" t="str">
        <f t="shared" ca="1" si="25"/>
        <v>Construction Industry</v>
      </c>
      <c r="E110" s="15">
        <v>10</v>
      </c>
      <c r="F110" s="121">
        <v>9</v>
      </c>
      <c r="G110" s="15">
        <v>16</v>
      </c>
      <c r="H110" s="13">
        <f>190/480</f>
        <v>0.39583333333333331</v>
      </c>
      <c r="I110" s="84">
        <f t="shared" si="20"/>
        <v>0.3</v>
      </c>
      <c r="J110" s="74">
        <v>-0.14000000000000001</v>
      </c>
      <c r="K110" s="13">
        <f t="shared" si="21"/>
        <v>0.6</v>
      </c>
      <c r="L110" s="74">
        <v>-0.14000000000000001</v>
      </c>
      <c r="M110" s="13">
        <f t="shared" si="23"/>
        <v>0.9</v>
      </c>
      <c r="N110" s="75">
        <f>A99</f>
        <v>96</v>
      </c>
      <c r="O110" s="27" t="s">
        <v>336</v>
      </c>
      <c r="P110" s="9"/>
      <c r="Q110" s="123"/>
      <c r="R110" s="124"/>
    </row>
    <row r="111" spans="1:20" s="15" customFormat="1" x14ac:dyDescent="0.25">
      <c r="A111" s="98">
        <f t="shared" si="17"/>
        <v>108</v>
      </c>
      <c r="B111" s="76" t="s">
        <v>647</v>
      </c>
      <c r="C111" s="9" t="str">
        <f t="shared" ca="1" si="24"/>
        <v>Steel</v>
      </c>
      <c r="D111" s="9" t="str">
        <f t="shared" ca="1" si="25"/>
        <v>Construction Industry</v>
      </c>
      <c r="E111" s="15">
        <v>10</v>
      </c>
      <c r="F111" s="121">
        <v>9</v>
      </c>
      <c r="G111" s="15">
        <v>2</v>
      </c>
      <c r="H111" s="77">
        <v>1</v>
      </c>
      <c r="I111" s="77">
        <v>1</v>
      </c>
      <c r="J111" s="77">
        <v>0</v>
      </c>
      <c r="K111" s="77">
        <v>1</v>
      </c>
      <c r="L111" s="80">
        <v>0</v>
      </c>
      <c r="M111" s="13">
        <v>1</v>
      </c>
      <c r="N111" s="15">
        <f>A111</f>
        <v>108</v>
      </c>
      <c r="O111" s="27" t="s">
        <v>668</v>
      </c>
      <c r="P111" s="9"/>
      <c r="Q111" s="123"/>
      <c r="R111" s="124"/>
    </row>
    <row r="112" spans="1:20" s="15" customFormat="1" x14ac:dyDescent="0.25">
      <c r="A112" s="98">
        <f t="shared" si="17"/>
        <v>109</v>
      </c>
      <c r="B112" s="9" t="s">
        <v>683</v>
      </c>
      <c r="C112" s="9" t="str">
        <f t="shared" ca="1" si="24"/>
        <v>Steel</v>
      </c>
      <c r="D112" s="9" t="str">
        <f t="shared" ca="1" si="25"/>
        <v>Construction Industry</v>
      </c>
      <c r="E112" s="15">
        <v>10</v>
      </c>
      <c r="F112" s="121">
        <v>9</v>
      </c>
      <c r="G112" s="15">
        <v>2</v>
      </c>
      <c r="H112" s="13">
        <f>600/5800</f>
        <v>0.10344827586206896</v>
      </c>
      <c r="I112" s="84">
        <f>intermediateEstimate</f>
        <v>0.3</v>
      </c>
      <c r="J112" s="13">
        <f>-1+(1+1-70%)/2</f>
        <v>-0.35</v>
      </c>
      <c r="K112" s="13">
        <f>advancedEstimate</f>
        <v>0.6</v>
      </c>
      <c r="L112" s="74">
        <v>-0.35</v>
      </c>
      <c r="M112" s="13">
        <f t="shared" ref="M112:M122" si="26">extremeEstimate</f>
        <v>0.9</v>
      </c>
      <c r="N112" s="75">
        <f>A111</f>
        <v>108</v>
      </c>
      <c r="O112" s="27"/>
      <c r="P112" s="9"/>
      <c r="Q112" s="123"/>
      <c r="R112" s="124"/>
    </row>
    <row r="113" spans="1:18" s="15" customFormat="1" x14ac:dyDescent="0.25">
      <c r="A113" s="98">
        <f t="shared" si="17"/>
        <v>110</v>
      </c>
      <c r="B113" s="9" t="s">
        <v>648</v>
      </c>
      <c r="C113" s="9" t="str">
        <f t="shared" ca="1" si="24"/>
        <v>Steel</v>
      </c>
      <c r="D113" s="9" t="str">
        <f t="shared" ca="1" si="25"/>
        <v>Construction Industry</v>
      </c>
      <c r="E113" s="15">
        <v>10</v>
      </c>
      <c r="F113" s="121">
        <v>9</v>
      </c>
      <c r="G113" s="15">
        <v>2</v>
      </c>
      <c r="H113" s="119">
        <f>1700/5800</f>
        <v>0.29310344827586204</v>
      </c>
      <c r="I113" s="84">
        <f t="shared" si="20"/>
        <v>0.3</v>
      </c>
      <c r="J113" s="13">
        <f>-1--(0.39*(0.4/0.7)+0.43*(0.68/0.8)+0.18)</f>
        <v>-0.23164285714285704</v>
      </c>
      <c r="K113" s="13">
        <f t="shared" si="21"/>
        <v>0.6</v>
      </c>
      <c r="L113" s="13">
        <f>-1--(0.39*(0.4/0.7)+0.43*(0.68/0.8)+0.18)</f>
        <v>-0.23164285714285704</v>
      </c>
      <c r="M113" s="13">
        <f t="shared" si="26"/>
        <v>0.9</v>
      </c>
      <c r="N113" s="75">
        <f>A111</f>
        <v>108</v>
      </c>
      <c r="O113" s="27"/>
      <c r="P113" s="9"/>
      <c r="Q113" s="123"/>
      <c r="R113" s="124"/>
    </row>
    <row r="114" spans="1:18" s="15" customFormat="1" x14ac:dyDescent="0.25">
      <c r="A114" s="98">
        <f t="shared" si="17"/>
        <v>111</v>
      </c>
      <c r="B114" s="9" t="s">
        <v>269</v>
      </c>
      <c r="C114" s="9" t="str">
        <f t="shared" ca="1" si="24"/>
        <v>Steel</v>
      </c>
      <c r="D114" s="9" t="str">
        <f t="shared" ca="1" si="25"/>
        <v>Construction Industry</v>
      </c>
      <c r="E114" s="15">
        <v>10</v>
      </c>
      <c r="F114" s="121">
        <v>9</v>
      </c>
      <c r="G114" s="15">
        <v>2</v>
      </c>
      <c r="H114" s="2">
        <f>300/5800</f>
        <v>5.1724137931034482E-2</v>
      </c>
      <c r="I114" s="84">
        <f t="shared" si="20"/>
        <v>0.3</v>
      </c>
      <c r="J114" s="91">
        <v>-0.1</v>
      </c>
      <c r="K114" s="13">
        <f t="shared" si="21"/>
        <v>0.6</v>
      </c>
      <c r="L114" s="92">
        <v>-0.3</v>
      </c>
      <c r="M114" s="13">
        <f t="shared" si="26"/>
        <v>0.9</v>
      </c>
      <c r="N114" s="75">
        <f>A111</f>
        <v>108</v>
      </c>
      <c r="O114" s="27"/>
      <c r="P114" s="9"/>
      <c r="Q114" s="123"/>
      <c r="R114" s="124"/>
    </row>
    <row r="115" spans="1:18" s="15" customFormat="1" x14ac:dyDescent="0.25">
      <c r="A115" s="98">
        <f t="shared" si="17"/>
        <v>112</v>
      </c>
      <c r="B115" s="9" t="s">
        <v>678</v>
      </c>
      <c r="C115" s="9" t="str">
        <f t="shared" ca="1" si="24"/>
        <v>Steel</v>
      </c>
      <c r="D115" s="9" t="str">
        <f t="shared" ca="1" si="25"/>
        <v>Construction Industry</v>
      </c>
      <c r="E115" s="15">
        <v>10</v>
      </c>
      <c r="F115" s="121">
        <v>9</v>
      </c>
      <c r="G115" s="15">
        <v>2</v>
      </c>
      <c r="H115" s="2">
        <f>600/5800</f>
        <v>0.10344827586206896</v>
      </c>
      <c r="I115" s="84">
        <f t="shared" si="20"/>
        <v>0.3</v>
      </c>
      <c r="J115" s="13">
        <v>-0.4</v>
      </c>
      <c r="K115" s="13">
        <f t="shared" si="21"/>
        <v>0.6</v>
      </c>
      <c r="L115" s="13">
        <f>-40%</f>
        <v>-0.4</v>
      </c>
      <c r="M115" s="13">
        <f t="shared" si="26"/>
        <v>0.9</v>
      </c>
      <c r="N115" s="75">
        <f>A111</f>
        <v>108</v>
      </c>
      <c r="O115" s="27" t="s">
        <v>679</v>
      </c>
      <c r="P115" s="9"/>
      <c r="Q115" s="123"/>
      <c r="R115" s="124"/>
    </row>
    <row r="116" spans="1:18" s="15" customFormat="1" x14ac:dyDescent="0.25">
      <c r="A116" s="98">
        <f t="shared" si="17"/>
        <v>113</v>
      </c>
      <c r="B116" s="9" t="s">
        <v>680</v>
      </c>
      <c r="C116" s="9" t="str">
        <f t="shared" ca="1" si="24"/>
        <v>Steel</v>
      </c>
      <c r="D116" s="9" t="str">
        <f t="shared" ca="1" si="25"/>
        <v>Construction Industry</v>
      </c>
      <c r="E116" s="15">
        <v>10</v>
      </c>
      <c r="F116" s="121">
        <v>9</v>
      </c>
      <c r="G116" s="76">
        <v>2</v>
      </c>
      <c r="H116" s="13">
        <f>80/480*0.5</f>
        <v>8.3333333333333329E-2</v>
      </c>
      <c r="I116" s="84">
        <v>0</v>
      </c>
      <c r="J116" s="13">
        <f>-(36%-22%)</f>
        <v>-0.13999999999999999</v>
      </c>
      <c r="K116" s="13">
        <f>intermediateEstimate</f>
        <v>0.3</v>
      </c>
      <c r="L116" s="74">
        <f>-(36%-22%)</f>
        <v>-0.13999999999999999</v>
      </c>
      <c r="M116" s="13">
        <f t="shared" si="26"/>
        <v>0.9</v>
      </c>
      <c r="N116" s="75">
        <f>A111</f>
        <v>108</v>
      </c>
      <c r="O116" s="27"/>
      <c r="P116" s="9"/>
      <c r="Q116" s="123"/>
      <c r="R116" s="124"/>
    </row>
    <row r="117" spans="1:18" s="15" customFormat="1" x14ac:dyDescent="0.25">
      <c r="A117" s="98">
        <f t="shared" si="17"/>
        <v>114</v>
      </c>
      <c r="B117" s="9" t="s">
        <v>270</v>
      </c>
      <c r="C117" s="9" t="str">
        <f t="shared" ca="1" si="24"/>
        <v>Steel</v>
      </c>
      <c r="D117" s="9" t="str">
        <f t="shared" ca="1" si="25"/>
        <v>Construction Industry</v>
      </c>
      <c r="E117" s="15">
        <v>10</v>
      </c>
      <c r="F117" s="121">
        <v>9</v>
      </c>
      <c r="G117" s="15">
        <v>2</v>
      </c>
      <c r="H117" s="2">
        <f>200/5800</f>
        <v>3.4482758620689655E-2</v>
      </c>
      <c r="I117" s="84">
        <f t="shared" si="20"/>
        <v>0.3</v>
      </c>
      <c r="J117" s="13">
        <f>-15%/2</f>
        <v>-7.4999999999999997E-2</v>
      </c>
      <c r="K117" s="13">
        <f t="shared" si="21"/>
        <v>0.6</v>
      </c>
      <c r="L117" s="74">
        <f>-15%</f>
        <v>-0.15</v>
      </c>
      <c r="M117" s="13">
        <f t="shared" si="26"/>
        <v>0.9</v>
      </c>
      <c r="N117" s="75">
        <f>A111</f>
        <v>108</v>
      </c>
      <c r="O117" s="27"/>
      <c r="P117" s="9"/>
      <c r="Q117" s="123"/>
      <c r="R117" s="124"/>
    </row>
    <row r="118" spans="1:18" s="15" customFormat="1" x14ac:dyDescent="0.25">
      <c r="A118" s="98">
        <f t="shared" si="17"/>
        <v>115</v>
      </c>
      <c r="B118" s="9" t="s">
        <v>699</v>
      </c>
      <c r="C118" s="9" t="str">
        <f t="shared" ca="1" si="24"/>
        <v>Steel</v>
      </c>
      <c r="D118" s="9" t="str">
        <f t="shared" ca="1" si="25"/>
        <v>Construction Industry</v>
      </c>
      <c r="E118" s="15">
        <v>10</v>
      </c>
      <c r="F118" s="121">
        <v>9</v>
      </c>
      <c r="G118" s="15">
        <v>2</v>
      </c>
      <c r="H118" s="2">
        <f>(80% *1700+30%*1500)/5800</f>
        <v>0.31206896551724139</v>
      </c>
      <c r="I118" s="84">
        <f t="shared" si="20"/>
        <v>0.3</v>
      </c>
      <c r="J118" s="13">
        <f>-intermediateEstimate</f>
        <v>-0.3</v>
      </c>
      <c r="K118" s="13">
        <f t="shared" si="21"/>
        <v>0.6</v>
      </c>
      <c r="L118" s="74">
        <f>-advancedEstimate</f>
        <v>-0.6</v>
      </c>
      <c r="M118" s="13">
        <f t="shared" si="26"/>
        <v>0.9</v>
      </c>
      <c r="N118" s="75">
        <f>A111</f>
        <v>108</v>
      </c>
      <c r="O118" s="27"/>
      <c r="P118" s="9"/>
      <c r="Q118" s="123"/>
      <c r="R118" s="124"/>
    </row>
    <row r="119" spans="1:18" s="15" customFormat="1" x14ac:dyDescent="0.25">
      <c r="A119" s="98">
        <f t="shared" si="17"/>
        <v>116</v>
      </c>
      <c r="B119" s="9" t="s">
        <v>268</v>
      </c>
      <c r="C119" s="9" t="str">
        <f t="shared" ca="1" si="24"/>
        <v>Steel</v>
      </c>
      <c r="D119" s="9" t="str">
        <f t="shared" ca="1" si="25"/>
        <v>Construction Industry</v>
      </c>
      <c r="E119" s="15">
        <v>10</v>
      </c>
      <c r="F119" s="121">
        <v>9</v>
      </c>
      <c r="G119" s="15">
        <v>2</v>
      </c>
      <c r="H119" s="2">
        <f>300/4800*10%</f>
        <v>6.2500000000000003E-3</v>
      </c>
      <c r="I119" s="84">
        <f t="shared" si="20"/>
        <v>0.3</v>
      </c>
      <c r="J119" s="74">
        <v>-0.4</v>
      </c>
      <c r="K119" s="13">
        <f t="shared" si="21"/>
        <v>0.6</v>
      </c>
      <c r="L119" s="74">
        <v>-0.4</v>
      </c>
      <c r="M119" s="13">
        <f t="shared" si="26"/>
        <v>0.9</v>
      </c>
      <c r="N119" s="75">
        <f>A111</f>
        <v>108</v>
      </c>
      <c r="O119" s="27"/>
      <c r="P119" s="9"/>
      <c r="Q119" s="123"/>
      <c r="R119" s="124"/>
    </row>
    <row r="120" spans="1:18" s="121" customFormat="1" x14ac:dyDescent="0.25">
      <c r="A120" s="98">
        <f t="shared" si="17"/>
        <v>117</v>
      </c>
      <c r="B120" s="9" t="s">
        <v>693</v>
      </c>
      <c r="C120" s="9" t="str">
        <f t="shared" ca="1" si="24"/>
        <v>Construction sector reclamation activity (energy, machinery, services)</v>
      </c>
      <c r="D120" s="9" t="str">
        <f t="shared" ca="1" si="25"/>
        <v>Construction Industry</v>
      </c>
      <c r="E120" s="121">
        <v>48</v>
      </c>
      <c r="F120" s="121">
        <v>9</v>
      </c>
      <c r="G120" s="121">
        <v>2</v>
      </c>
      <c r="H120" s="2">
        <f>(80% *1700+30%*1500)/5800</f>
        <v>0.31206896551724139</v>
      </c>
      <c r="I120" s="84">
        <f t="shared" si="20"/>
        <v>0.3</v>
      </c>
      <c r="J120" s="74">
        <f>-50%*J118</f>
        <v>0.15</v>
      </c>
      <c r="K120" s="13">
        <f t="shared" si="21"/>
        <v>0.6</v>
      </c>
      <c r="L120" s="74">
        <f>-50%*L118</f>
        <v>0.3</v>
      </c>
      <c r="M120" s="13">
        <f t="shared" si="26"/>
        <v>0.9</v>
      </c>
      <c r="N120" s="75">
        <f>A111</f>
        <v>108</v>
      </c>
      <c r="O120" s="27"/>
      <c r="P120" s="9"/>
      <c r="Q120" s="123"/>
      <c r="R120" s="124"/>
    </row>
    <row r="121" spans="1:18" s="121" customFormat="1" x14ac:dyDescent="0.25">
      <c r="A121" s="98">
        <f t="shared" si="17"/>
        <v>118</v>
      </c>
      <c r="B121" s="9" t="s">
        <v>693</v>
      </c>
      <c r="C121" s="9" t="str">
        <f t="shared" ca="1" si="24"/>
        <v>Construction sector reclamation activity (energy, machinery, services)</v>
      </c>
      <c r="D121" s="9" t="str">
        <f t="shared" ca="1" si="25"/>
        <v>Construction Industry</v>
      </c>
      <c r="E121" s="121">
        <v>48</v>
      </c>
      <c r="F121" s="121">
        <v>9</v>
      </c>
      <c r="G121" s="121">
        <v>2</v>
      </c>
      <c r="H121" s="2">
        <f>300/4800*10%</f>
        <v>6.2500000000000003E-3</v>
      </c>
      <c r="I121" s="84">
        <f t="shared" si="20"/>
        <v>0.3</v>
      </c>
      <c r="J121" s="74">
        <f>-50%*J119</f>
        <v>0.2</v>
      </c>
      <c r="K121" s="13">
        <f t="shared" si="21"/>
        <v>0.6</v>
      </c>
      <c r="L121" s="74">
        <f>-50%*L119</f>
        <v>0.2</v>
      </c>
      <c r="M121" s="13">
        <f t="shared" si="26"/>
        <v>0.9</v>
      </c>
      <c r="N121" s="75">
        <f>A111</f>
        <v>108</v>
      </c>
      <c r="O121" s="27"/>
      <c r="P121" s="9"/>
      <c r="Q121" s="123"/>
      <c r="R121" s="124"/>
    </row>
    <row r="122" spans="1:18" x14ac:dyDescent="0.25">
      <c r="A122" s="98">
        <f t="shared" si="17"/>
        <v>119</v>
      </c>
      <c r="B122" s="9" t="s">
        <v>9</v>
      </c>
      <c r="C122" s="9" t="str">
        <f t="shared" ca="1" si="24"/>
        <v>Buildings &amp; infrastructure</v>
      </c>
      <c r="D122" s="9" t="str">
        <f t="shared" ca="1" si="25"/>
        <v>All industries and final demand</v>
      </c>
      <c r="E122" s="15">
        <v>36</v>
      </c>
      <c r="F122" s="15">
        <v>1</v>
      </c>
      <c r="G122" s="15">
        <v>1</v>
      </c>
      <c r="H122" s="93">
        <f>5% * 70/480</f>
        <v>7.2916666666666668E-3</v>
      </c>
      <c r="I122" s="84">
        <f t="shared" si="20"/>
        <v>0.3</v>
      </c>
      <c r="J122" s="13">
        <v>-0.35</v>
      </c>
      <c r="K122" s="13">
        <f t="shared" si="21"/>
        <v>0.6</v>
      </c>
      <c r="L122" s="13">
        <v>-0.4</v>
      </c>
      <c r="M122" s="13">
        <f t="shared" si="26"/>
        <v>0.9</v>
      </c>
      <c r="N122" s="75">
        <f>A122</f>
        <v>119</v>
      </c>
      <c r="O122" s="27" t="s">
        <v>783</v>
      </c>
      <c r="P122" s="9"/>
      <c r="Q122" s="123"/>
      <c r="R122" s="124"/>
    </row>
    <row r="123" spans="1:18" x14ac:dyDescent="0.25">
      <c r="A123" s="98">
        <f t="shared" si="17"/>
        <v>120</v>
      </c>
      <c r="B123" s="9" t="s">
        <v>559</v>
      </c>
      <c r="C123" s="9" t="str">
        <f ca="1">INDIRECT(ADDRESS(E123+2,2,,,"product Table"))</f>
        <v>All products</v>
      </c>
      <c r="D123" s="9" t="str">
        <f ca="1">INDIRECT(ADDRESS(F123+2,2,,,"industry Table"))</f>
        <v>Cement</v>
      </c>
      <c r="E123">
        <v>1</v>
      </c>
      <c r="F123">
        <v>38</v>
      </c>
      <c r="G123">
        <v>1</v>
      </c>
      <c r="H123" s="74">
        <v>1</v>
      </c>
      <c r="I123" s="74">
        <v>1</v>
      </c>
      <c r="J123" s="13">
        <v>-0.05</v>
      </c>
      <c r="K123" s="74">
        <v>1</v>
      </c>
      <c r="L123" s="74">
        <v>-0.09</v>
      </c>
      <c r="M123" s="1">
        <v>1</v>
      </c>
      <c r="N123" s="75">
        <f>A123</f>
        <v>120</v>
      </c>
      <c r="O123" s="27" t="s">
        <v>562</v>
      </c>
      <c r="P123" s="9"/>
      <c r="Q123" s="123"/>
      <c r="R123" s="124"/>
    </row>
    <row r="124" spans="1:18" x14ac:dyDescent="0.25">
      <c r="A124" s="98">
        <f t="shared" si="17"/>
        <v>121</v>
      </c>
      <c r="B124" s="9"/>
      <c r="C124" s="9" t="str">
        <f ca="1">INDIRECT(ADDRESS(E124+2,2,,,"product Table"))</f>
        <v>All products</v>
      </c>
      <c r="D124" s="9" t="str">
        <f ca="1">INDIRECT(ADDRESS(F124+2,2,,,"industry Table"))</f>
        <v>Ash into clinker</v>
      </c>
      <c r="E124" s="15">
        <v>1</v>
      </c>
      <c r="F124">
        <v>39</v>
      </c>
      <c r="G124">
        <v>1</v>
      </c>
      <c r="H124" s="74">
        <v>1</v>
      </c>
      <c r="I124" s="74">
        <v>1</v>
      </c>
      <c r="J124" s="13">
        <v>0.15</v>
      </c>
      <c r="K124" s="74">
        <v>1</v>
      </c>
      <c r="L124" s="74">
        <v>0.32</v>
      </c>
      <c r="M124" s="1">
        <v>1</v>
      </c>
      <c r="N124" s="75">
        <f>A124</f>
        <v>121</v>
      </c>
      <c r="O124" s="38" t="s">
        <v>561</v>
      </c>
      <c r="P124" s="9"/>
      <c r="Q124" s="123"/>
      <c r="R124" s="124"/>
    </row>
    <row r="125" spans="1:18" s="15" customFormat="1" x14ac:dyDescent="0.25">
      <c r="A125" s="98">
        <f t="shared" si="17"/>
        <v>122</v>
      </c>
      <c r="B125" s="9" t="s">
        <v>568</v>
      </c>
      <c r="C125" s="9" t="str">
        <f ca="1">INDIRECT(ADDRESS(E125+2,2,,,"product Table"))</f>
        <v>Cement</v>
      </c>
      <c r="D125" s="9" t="str">
        <f ca="1">INDIRECT(ADDRESS(F125+2,2,,,"industry Table"))</f>
        <v>Construction Industry</v>
      </c>
      <c r="E125" s="15">
        <v>35</v>
      </c>
      <c r="F125" s="15">
        <v>9</v>
      </c>
      <c r="G125" s="15">
        <v>1</v>
      </c>
      <c r="H125" s="74">
        <v>0.2</v>
      </c>
      <c r="I125" s="84">
        <f>intermediateEstimate</f>
        <v>0.3</v>
      </c>
      <c r="J125" s="13">
        <v>-0.4</v>
      </c>
      <c r="K125" s="13">
        <f>advancedEstimate</f>
        <v>0.6</v>
      </c>
      <c r="L125" s="74">
        <v>-0.4</v>
      </c>
      <c r="M125" s="74">
        <f>extremeEstimate</f>
        <v>0.9</v>
      </c>
      <c r="N125" s="75">
        <f>A125</f>
        <v>122</v>
      </c>
      <c r="O125" s="27" t="s">
        <v>370</v>
      </c>
      <c r="P125" s="9"/>
      <c r="Q125" s="123"/>
      <c r="R125" s="124"/>
    </row>
    <row r="126" spans="1:18" x14ac:dyDescent="0.25">
      <c r="A126" s="127">
        <f>1+A125</f>
        <v>123</v>
      </c>
      <c r="B126" s="9" t="s">
        <v>148</v>
      </c>
      <c r="C126" s="9" t="str">
        <f t="shared" ref="C126:C130" ca="1" si="27">INDIRECT(ADDRESS(E126+2,2,,,"product Table"))</f>
        <v>Steel (excl fabricated)</v>
      </c>
      <c r="D126" s="9" t="s">
        <v>272</v>
      </c>
      <c r="E126" s="15">
        <v>50</v>
      </c>
      <c r="F126" s="15">
        <v>1</v>
      </c>
      <c r="G126" s="15">
        <v>1</v>
      </c>
      <c r="H126" s="74">
        <v>1</v>
      </c>
      <c r="I126" s="74">
        <v>1</v>
      </c>
      <c r="J126" s="13">
        <v>0</v>
      </c>
      <c r="K126" s="74">
        <v>1</v>
      </c>
      <c r="L126" s="13">
        <v>0</v>
      </c>
      <c r="M126" s="13">
        <v>1</v>
      </c>
      <c r="N126" s="75">
        <f>A126</f>
        <v>123</v>
      </c>
      <c r="O126" s="27" t="s">
        <v>318</v>
      </c>
      <c r="P126" s="9"/>
      <c r="Q126" s="123"/>
      <c r="R126" s="124"/>
    </row>
    <row r="127" spans="1:18" x14ac:dyDescent="0.25">
      <c r="A127" s="127">
        <f t="shared" si="17"/>
        <v>124</v>
      </c>
      <c r="B127" s="9"/>
      <c r="C127" s="9" t="str">
        <f t="shared" ca="1" si="27"/>
        <v>Recycled steel</v>
      </c>
      <c r="D127" s="9" t="str">
        <f t="shared" ref="D127:D146" ca="1" si="28">INDIRECT(ADDRESS(F127+2,2,,,"industry Table"))</f>
        <v>All industries and final demand</v>
      </c>
      <c r="E127" s="9">
        <v>13</v>
      </c>
      <c r="F127" s="9">
        <v>1</v>
      </c>
      <c r="G127" s="15">
        <v>14</v>
      </c>
      <c r="H127" s="74">
        <v>1</v>
      </c>
      <c r="I127" s="84">
        <f>intermediateEstimate</f>
        <v>0.3</v>
      </c>
      <c r="J127" s="13">
        <v>-9.0654493326759664E-2</v>
      </c>
      <c r="K127" s="13">
        <f>advancedEstimate</f>
        <v>0.6</v>
      </c>
      <c r="L127" s="13">
        <v>-9.0654493326759664E-2</v>
      </c>
      <c r="M127" s="13">
        <f>extremeEstimate</f>
        <v>0.9</v>
      </c>
      <c r="N127" s="75">
        <f>A126</f>
        <v>123</v>
      </c>
      <c r="O127" s="27" t="s">
        <v>521</v>
      </c>
      <c r="P127" s="9"/>
      <c r="Q127" s="123"/>
      <c r="R127" s="124"/>
    </row>
    <row r="128" spans="1:18" x14ac:dyDescent="0.25">
      <c r="A128" s="19">
        <f t="shared" si="17"/>
        <v>125</v>
      </c>
      <c r="B128" s="9" t="s">
        <v>149</v>
      </c>
      <c r="C128" s="9" t="str">
        <f t="shared" ca="1" si="27"/>
        <v>Aluminium and aluminium products</v>
      </c>
      <c r="D128" s="9" t="str">
        <f t="shared" ca="1" si="28"/>
        <v>All industries and final demand</v>
      </c>
      <c r="E128" s="9">
        <v>20</v>
      </c>
      <c r="F128" s="9">
        <v>1</v>
      </c>
      <c r="G128" s="15">
        <v>1</v>
      </c>
      <c r="H128" s="74">
        <v>1</v>
      </c>
      <c r="I128" s="74">
        <v>1</v>
      </c>
      <c r="J128" s="13">
        <v>0</v>
      </c>
      <c r="K128" s="74">
        <v>1</v>
      </c>
      <c r="L128" s="13">
        <v>0</v>
      </c>
      <c r="M128" s="13">
        <v>1</v>
      </c>
      <c r="N128" s="75">
        <f>A128</f>
        <v>125</v>
      </c>
      <c r="O128" s="27" t="s">
        <v>319</v>
      </c>
      <c r="P128" s="9"/>
      <c r="Q128" s="123"/>
      <c r="R128" s="124"/>
    </row>
    <row r="129" spans="1:19" x14ac:dyDescent="0.25">
      <c r="A129" s="19">
        <f t="shared" si="17"/>
        <v>126</v>
      </c>
      <c r="B129" s="9"/>
      <c r="C129" s="9" t="str">
        <f t="shared" ca="1" si="27"/>
        <v>Recycled aluminium</v>
      </c>
      <c r="D129" s="9" t="str">
        <f t="shared" ca="1" si="28"/>
        <v>All industries and final demand</v>
      </c>
      <c r="E129" s="9">
        <v>14</v>
      </c>
      <c r="F129" s="9">
        <v>1</v>
      </c>
      <c r="G129" s="15">
        <v>14</v>
      </c>
      <c r="H129" s="74">
        <v>1</v>
      </c>
      <c r="I129" s="84">
        <f>intermediateEstimate</f>
        <v>0.3</v>
      </c>
      <c r="J129" s="13">
        <f>(45-76)/76</f>
        <v>-0.40789473684210525</v>
      </c>
      <c r="K129" s="13">
        <f>advancedEstimate</f>
        <v>0.6</v>
      </c>
      <c r="L129" s="13">
        <f>(45-76)/76</f>
        <v>-0.40789473684210525</v>
      </c>
      <c r="M129" s="13">
        <f>extremeEstimate</f>
        <v>0.9</v>
      </c>
      <c r="N129" s="75">
        <f>A128</f>
        <v>125</v>
      </c>
      <c r="O129" s="27" t="s">
        <v>521</v>
      </c>
      <c r="P129" s="9"/>
      <c r="Q129" s="123"/>
      <c r="R129" s="124"/>
    </row>
    <row r="130" spans="1:19" s="15" customFormat="1" x14ac:dyDescent="0.25">
      <c r="A130" s="19">
        <f>1+A129</f>
        <v>127</v>
      </c>
      <c r="B130" s="9" t="s">
        <v>608</v>
      </c>
      <c r="C130" s="9" t="str">
        <f t="shared" ca="1" si="27"/>
        <v>Plastics</v>
      </c>
      <c r="D130" s="9" t="str">
        <f t="shared" ca="1" si="28"/>
        <v>All industries and final demand</v>
      </c>
      <c r="E130" s="15">
        <v>38</v>
      </c>
      <c r="F130" s="15">
        <v>1</v>
      </c>
      <c r="G130" s="15">
        <v>1</v>
      </c>
      <c r="H130" s="1">
        <v>1</v>
      </c>
      <c r="I130" s="84">
        <f>intermediateEstimate</f>
        <v>0.3</v>
      </c>
      <c r="J130" s="1">
        <v>-0.1</v>
      </c>
      <c r="K130" s="13">
        <f>advancedEstimate</f>
        <v>0.6</v>
      </c>
      <c r="L130" s="1">
        <v>-0.15</v>
      </c>
      <c r="M130" s="74">
        <f>extremeEstimate</f>
        <v>0.9</v>
      </c>
      <c r="N130" s="75">
        <f>A130</f>
        <v>127</v>
      </c>
      <c r="O130" s="38" t="s">
        <v>574</v>
      </c>
      <c r="P130" s="9"/>
      <c r="Q130" s="123"/>
      <c r="R130" s="124"/>
    </row>
    <row r="131" spans="1:19" s="15" customFormat="1" x14ac:dyDescent="0.25">
      <c r="A131" s="19">
        <f t="shared" ref="A131:A146" si="29">1+A130</f>
        <v>128</v>
      </c>
      <c r="B131" s="9"/>
      <c r="C131" s="9" t="str">
        <f t="shared" ref="C131:C146" ca="1" si="30">INDIRECT(ADDRESS(E131+2,2,,,"product Table"))</f>
        <v>Equipment and R&amp;D</v>
      </c>
      <c r="D131" s="9" t="str">
        <f t="shared" ca="1" si="28"/>
        <v>Plastics industry</v>
      </c>
      <c r="E131" s="15">
        <v>37</v>
      </c>
      <c r="F131" s="15">
        <v>41</v>
      </c>
      <c r="G131" s="15">
        <v>1</v>
      </c>
      <c r="H131" s="1">
        <v>1</v>
      </c>
      <c r="I131" s="1">
        <v>1</v>
      </c>
      <c r="J131" s="1">
        <v>0.05</v>
      </c>
      <c r="K131" s="1">
        <v>1</v>
      </c>
      <c r="L131" s="1">
        <v>0.05</v>
      </c>
      <c r="M131" s="1">
        <v>1</v>
      </c>
      <c r="N131" s="75">
        <f>A130</f>
        <v>127</v>
      </c>
      <c r="O131" s="27" t="s">
        <v>360</v>
      </c>
      <c r="P131" s="9"/>
      <c r="Q131" s="123"/>
      <c r="R131" s="124"/>
    </row>
    <row r="132" spans="1:19" s="15" customFormat="1" x14ac:dyDescent="0.25">
      <c r="A132" s="19">
        <f t="shared" si="29"/>
        <v>129</v>
      </c>
      <c r="B132" s="9" t="s">
        <v>650</v>
      </c>
      <c r="C132" s="9" t="str">
        <f ca="1">INDIRECT(ADDRESS(E132+2,2,,,"product Table"))</f>
        <v>Plastics</v>
      </c>
      <c r="D132" s="9" t="str">
        <f ca="1">INDIRECT(ADDRESS(F132+2,2,,,"industry Table"))</f>
        <v>All industries and final demand</v>
      </c>
      <c r="E132" s="15">
        <v>38</v>
      </c>
      <c r="F132" s="15">
        <v>1</v>
      </c>
      <c r="G132" s="15">
        <v>15</v>
      </c>
      <c r="H132" s="1">
        <v>1</v>
      </c>
      <c r="I132" s="1">
        <v>1</v>
      </c>
      <c r="J132" s="1">
        <v>0</v>
      </c>
      <c r="K132" s="1">
        <v>1</v>
      </c>
      <c r="L132" s="1">
        <v>0</v>
      </c>
      <c r="M132" s="1">
        <v>1</v>
      </c>
      <c r="N132" s="75">
        <f>A132</f>
        <v>129</v>
      </c>
      <c r="O132" s="27" t="s">
        <v>721</v>
      </c>
      <c r="P132" s="9"/>
      <c r="Q132" s="123"/>
      <c r="R132" s="124"/>
    </row>
    <row r="133" spans="1:19" s="15" customFormat="1" x14ac:dyDescent="0.25">
      <c r="A133" s="19">
        <f t="shared" si="29"/>
        <v>130</v>
      </c>
      <c r="B133" s="9" t="s">
        <v>577</v>
      </c>
      <c r="C133" s="9" t="str">
        <f t="shared" ca="1" si="30"/>
        <v>Plastics</v>
      </c>
      <c r="D133" s="9" t="str">
        <f t="shared" ca="1" si="28"/>
        <v>All industries and final demand</v>
      </c>
      <c r="E133" s="15">
        <v>38</v>
      </c>
      <c r="F133" s="15">
        <v>1</v>
      </c>
      <c r="G133" s="15">
        <v>15</v>
      </c>
      <c r="H133" s="74">
        <v>0.4</v>
      </c>
      <c r="I133" s="74">
        <f>55%-32%</f>
        <v>0.23000000000000004</v>
      </c>
      <c r="J133" s="106">
        <f>-76%*0.8</f>
        <v>-0.6080000000000001</v>
      </c>
      <c r="K133" s="74">
        <f>77%-32%</f>
        <v>0.45</v>
      </c>
      <c r="L133" s="13">
        <f>-81% * 0.8</f>
        <v>-0.64800000000000013</v>
      </c>
      <c r="M133" s="13">
        <f>extremeEstimate-32%</f>
        <v>0.58000000000000007</v>
      </c>
      <c r="N133" s="75">
        <f>A132</f>
        <v>129</v>
      </c>
      <c r="O133" s="27" t="s">
        <v>602</v>
      </c>
      <c r="P133" s="9"/>
      <c r="Q133" s="123"/>
      <c r="R133" s="124"/>
    </row>
    <row r="134" spans="1:19" s="15" customFormat="1" x14ac:dyDescent="0.25">
      <c r="A134" s="19">
        <f t="shared" si="29"/>
        <v>131</v>
      </c>
      <c r="B134" s="9"/>
      <c r="C134" s="9" t="str">
        <f t="shared" ca="1" si="30"/>
        <v>Secondary plastics</v>
      </c>
      <c r="D134" s="9" t="str">
        <f t="shared" ca="1" si="28"/>
        <v>All industries and final demand</v>
      </c>
      <c r="E134" s="15">
        <v>39</v>
      </c>
      <c r="F134" s="15">
        <v>1</v>
      </c>
      <c r="G134" s="15">
        <v>15</v>
      </c>
      <c r="H134" s="74">
        <v>0.4</v>
      </c>
      <c r="I134" s="74">
        <f>55%-32%</f>
        <v>0.23000000000000004</v>
      </c>
      <c r="J134" s="106">
        <f>76%*0.5</f>
        <v>0.38</v>
      </c>
      <c r="K134" s="74">
        <f>77%-32%</f>
        <v>0.45</v>
      </c>
      <c r="L134" s="1">
        <f>81%*0.5</f>
        <v>0.40500000000000003</v>
      </c>
      <c r="M134" s="13">
        <f>extremeEstimate-32%</f>
        <v>0.58000000000000007</v>
      </c>
      <c r="N134" s="75">
        <f>A132</f>
        <v>129</v>
      </c>
      <c r="O134" s="27" t="s">
        <v>582</v>
      </c>
      <c r="P134" s="9"/>
      <c r="Q134" s="123"/>
      <c r="R134" s="124"/>
    </row>
    <row r="135" spans="1:19" x14ac:dyDescent="0.25">
      <c r="A135" s="19">
        <f t="shared" si="29"/>
        <v>132</v>
      </c>
      <c r="B135" s="9" t="s">
        <v>609</v>
      </c>
      <c r="C135" s="9" t="str">
        <f t="shared" ca="1" si="30"/>
        <v>Plastics</v>
      </c>
      <c r="D135" s="9" t="str">
        <f t="shared" ca="1" si="28"/>
        <v>All industries and final demand</v>
      </c>
      <c r="E135" s="15">
        <v>38</v>
      </c>
      <c r="F135" s="15">
        <v>1</v>
      </c>
      <c r="G135" s="15">
        <v>15</v>
      </c>
      <c r="H135" s="1">
        <v>0.14000000000000001</v>
      </c>
      <c r="I135" s="1">
        <f>20%-9%</f>
        <v>0.11000000000000001</v>
      </c>
      <c r="J135" s="106">
        <f>-76%*0.8</f>
        <v>-0.6080000000000001</v>
      </c>
      <c r="K135" s="74">
        <f>33%-9%</f>
        <v>0.24000000000000002</v>
      </c>
      <c r="L135" s="13">
        <f>-81% * 0.8</f>
        <v>-0.64800000000000013</v>
      </c>
      <c r="M135" s="13">
        <f>extremeEstimate-9%</f>
        <v>0.81</v>
      </c>
      <c r="N135" s="75">
        <f>A132</f>
        <v>129</v>
      </c>
      <c r="O135" s="38" t="s">
        <v>667</v>
      </c>
      <c r="P135" s="9"/>
      <c r="Q135" s="123"/>
      <c r="R135" s="124"/>
    </row>
    <row r="136" spans="1:19" x14ac:dyDescent="0.25">
      <c r="A136" s="19">
        <f t="shared" si="29"/>
        <v>133</v>
      </c>
      <c r="B136" s="9"/>
      <c r="C136" s="9" t="str">
        <f t="shared" ca="1" si="30"/>
        <v>Secondary plastics</v>
      </c>
      <c r="D136" s="9" t="str">
        <f t="shared" ca="1" si="28"/>
        <v>All industries and final demand</v>
      </c>
      <c r="E136" s="15">
        <v>39</v>
      </c>
      <c r="F136">
        <v>1</v>
      </c>
      <c r="G136" s="15">
        <v>15</v>
      </c>
      <c r="H136" s="1">
        <v>0.14000000000000001</v>
      </c>
      <c r="I136" s="1">
        <f>20%-9%</f>
        <v>0.11000000000000001</v>
      </c>
      <c r="J136" s="106">
        <f>76%*0.5</f>
        <v>0.38</v>
      </c>
      <c r="K136" s="74">
        <f>33%-9%</f>
        <v>0.24000000000000002</v>
      </c>
      <c r="L136" s="1">
        <f>81%*0.5</f>
        <v>0.40500000000000003</v>
      </c>
      <c r="M136" s="13">
        <f>extremeEstimate-9%</f>
        <v>0.81</v>
      </c>
      <c r="N136" s="75">
        <f>A132</f>
        <v>129</v>
      </c>
      <c r="O136" s="27" t="s">
        <v>579</v>
      </c>
      <c r="P136" s="9"/>
      <c r="Q136" s="123"/>
      <c r="R136" s="124"/>
    </row>
    <row r="137" spans="1:19" s="15" customFormat="1" x14ac:dyDescent="0.25">
      <c r="A137" s="19">
        <f t="shared" si="29"/>
        <v>134</v>
      </c>
      <c r="B137" s="9" t="s">
        <v>651</v>
      </c>
      <c r="C137" s="9" t="str">
        <f ca="1">INDIRECT(ADDRESS(E137+2,2,,,"product Table"))</f>
        <v>Plastics</v>
      </c>
      <c r="D137" s="9" t="str">
        <f ca="1">INDIRECT(ADDRESS(F137+2,2,,,"industry Table"))</f>
        <v>All industries and final demand</v>
      </c>
      <c r="E137" s="15">
        <v>38</v>
      </c>
      <c r="F137" s="15">
        <v>1</v>
      </c>
      <c r="G137" s="15">
        <v>4</v>
      </c>
      <c r="H137" s="1">
        <v>1</v>
      </c>
      <c r="I137" s="1">
        <v>1</v>
      </c>
      <c r="J137" s="1">
        <v>0</v>
      </c>
      <c r="K137" s="1">
        <v>1</v>
      </c>
      <c r="L137" s="1">
        <v>0</v>
      </c>
      <c r="M137" s="1">
        <v>1</v>
      </c>
      <c r="N137" s="75">
        <f>A137</f>
        <v>134</v>
      </c>
      <c r="O137" s="27" t="s">
        <v>653</v>
      </c>
      <c r="P137" s="9"/>
      <c r="Q137" s="123"/>
      <c r="R137" s="124"/>
    </row>
    <row r="138" spans="1:19" x14ac:dyDescent="0.25">
      <c r="A138" s="19">
        <f t="shared" si="29"/>
        <v>135</v>
      </c>
      <c r="B138" s="9" t="s">
        <v>610</v>
      </c>
      <c r="C138" s="9" t="str">
        <f t="shared" ca="1" si="30"/>
        <v>Plastics</v>
      </c>
      <c r="D138" s="9" t="str">
        <f t="shared" ca="1" si="28"/>
        <v>All industries and final demand</v>
      </c>
      <c r="E138" s="15">
        <v>38</v>
      </c>
      <c r="F138">
        <v>1</v>
      </c>
      <c r="G138">
        <v>4</v>
      </c>
      <c r="H138" s="1">
        <v>0.28999999999999998</v>
      </c>
      <c r="I138" s="1">
        <f>55%-14%</f>
        <v>0.41000000000000003</v>
      </c>
      <c r="J138" s="106">
        <f>-76%*0.8</f>
        <v>-0.6080000000000001</v>
      </c>
      <c r="K138" s="74">
        <f>77%-14%</f>
        <v>0.63</v>
      </c>
      <c r="L138" s="13">
        <f>-81% * 0.8</f>
        <v>-0.64800000000000013</v>
      </c>
      <c r="M138" s="13">
        <f>extremeEstimate-14%</f>
        <v>0.76</v>
      </c>
      <c r="N138" s="75">
        <f>A137</f>
        <v>134</v>
      </c>
      <c r="O138" s="27" t="s">
        <v>580</v>
      </c>
      <c r="P138" s="9"/>
      <c r="Q138" s="123"/>
      <c r="R138" s="124"/>
    </row>
    <row r="139" spans="1:19" x14ac:dyDescent="0.25">
      <c r="A139" s="19">
        <f t="shared" si="29"/>
        <v>136</v>
      </c>
      <c r="B139" s="9"/>
      <c r="C139" s="9" t="str">
        <f t="shared" ca="1" si="30"/>
        <v>Secondary plastics</v>
      </c>
      <c r="D139" s="9" t="str">
        <f t="shared" ca="1" si="28"/>
        <v>All industries and final demand</v>
      </c>
      <c r="E139" s="15">
        <v>39</v>
      </c>
      <c r="F139">
        <v>1</v>
      </c>
      <c r="G139">
        <v>4</v>
      </c>
      <c r="H139" s="1">
        <v>0.28999999999999998</v>
      </c>
      <c r="I139" s="1">
        <f>55%-14%</f>
        <v>0.41000000000000003</v>
      </c>
      <c r="J139" s="106">
        <f>76%*0.5</f>
        <v>0.38</v>
      </c>
      <c r="K139" s="74">
        <f>77%-14%</f>
        <v>0.63</v>
      </c>
      <c r="L139" s="1">
        <f>81%*0.5</f>
        <v>0.40500000000000003</v>
      </c>
      <c r="M139" s="13">
        <f>extremeEstimate-14%</f>
        <v>0.76</v>
      </c>
      <c r="N139" s="75">
        <f>A137</f>
        <v>134</v>
      </c>
      <c r="O139" t="s">
        <v>604</v>
      </c>
      <c r="P139" s="9"/>
      <c r="Q139" s="123"/>
      <c r="R139" s="124"/>
    </row>
    <row r="140" spans="1:19" x14ac:dyDescent="0.25">
      <c r="A140" s="19">
        <f t="shared" si="29"/>
        <v>137</v>
      </c>
      <c r="B140" s="9" t="s">
        <v>611</v>
      </c>
      <c r="C140" s="9" t="str">
        <f t="shared" ca="1" si="30"/>
        <v>Plastics</v>
      </c>
      <c r="D140" s="9" t="str">
        <f t="shared" ca="1" si="28"/>
        <v>All industries and final demand</v>
      </c>
      <c r="E140" s="15">
        <v>38</v>
      </c>
      <c r="F140">
        <v>1</v>
      </c>
      <c r="G140">
        <v>4</v>
      </c>
      <c r="H140" s="74">
        <v>0.37</v>
      </c>
      <c r="I140" s="74">
        <f>20%-5%</f>
        <v>0.15000000000000002</v>
      </c>
      <c r="J140" s="106">
        <f>-76%*0.8</f>
        <v>-0.6080000000000001</v>
      </c>
      <c r="K140" s="74">
        <f>33%-5%</f>
        <v>0.28000000000000003</v>
      </c>
      <c r="L140" s="13">
        <f>-81% * 0.8</f>
        <v>-0.64800000000000013</v>
      </c>
      <c r="M140" s="13">
        <f>extremeEstimate-5%</f>
        <v>0.85</v>
      </c>
      <c r="N140" s="75">
        <f>A137</f>
        <v>134</v>
      </c>
      <c r="O140" s="27" t="s">
        <v>603</v>
      </c>
      <c r="P140" s="9"/>
      <c r="Q140" s="123"/>
      <c r="R140" s="124"/>
      <c r="S140" s="9"/>
    </row>
    <row r="141" spans="1:19" x14ac:dyDescent="0.25">
      <c r="A141" s="19">
        <f t="shared" si="29"/>
        <v>138</v>
      </c>
      <c r="B141" s="9"/>
      <c r="C141" s="9" t="str">
        <f t="shared" ca="1" si="30"/>
        <v>Secondary plastics</v>
      </c>
      <c r="D141" s="9" t="str">
        <f t="shared" ca="1" si="28"/>
        <v>All industries and final demand</v>
      </c>
      <c r="E141" s="15">
        <v>39</v>
      </c>
      <c r="F141" s="9">
        <v>1</v>
      </c>
      <c r="G141" s="9">
        <v>4</v>
      </c>
      <c r="H141" s="74">
        <v>0.37</v>
      </c>
      <c r="I141" s="74">
        <f>20%-5%</f>
        <v>0.15000000000000002</v>
      </c>
      <c r="J141" s="106">
        <f>76%*0.5</f>
        <v>0.38</v>
      </c>
      <c r="K141" s="74">
        <f>33%-5%</f>
        <v>0.28000000000000003</v>
      </c>
      <c r="L141" s="1">
        <f>81%*0.5</f>
        <v>0.40500000000000003</v>
      </c>
      <c r="M141" s="13">
        <f>extremeEstimate-5%</f>
        <v>0.85</v>
      </c>
      <c r="N141" s="75">
        <f>A137</f>
        <v>134</v>
      </c>
      <c r="P141" s="9"/>
      <c r="Q141" s="123"/>
      <c r="R141" s="124"/>
      <c r="S141" s="9"/>
    </row>
    <row r="142" spans="1:19" s="15" customFormat="1" x14ac:dyDescent="0.25">
      <c r="A142" s="19">
        <f t="shared" si="29"/>
        <v>139</v>
      </c>
      <c r="B142" s="9" t="s">
        <v>652</v>
      </c>
      <c r="C142" s="9" t="str">
        <f ca="1">INDIRECT(ADDRESS(E142+2,2,,,"product Table"))</f>
        <v>Plastics</v>
      </c>
      <c r="D142" s="9" t="str">
        <f ca="1">INDIRECT(ADDRESS(F142+2,2,,,"industry Table"))</f>
        <v>All industries and final demand</v>
      </c>
      <c r="E142" s="15">
        <v>38</v>
      </c>
      <c r="F142" s="9">
        <v>1</v>
      </c>
      <c r="G142" s="9">
        <v>5</v>
      </c>
      <c r="H142" s="1">
        <v>1</v>
      </c>
      <c r="I142" s="1">
        <v>1</v>
      </c>
      <c r="J142" s="1">
        <v>0</v>
      </c>
      <c r="K142" s="1">
        <v>1</v>
      </c>
      <c r="L142" s="1">
        <v>0</v>
      </c>
      <c r="M142" s="1">
        <v>1</v>
      </c>
      <c r="N142" s="75">
        <f>A142</f>
        <v>139</v>
      </c>
      <c r="O142" s="27" t="s">
        <v>653</v>
      </c>
      <c r="P142" s="9"/>
      <c r="Q142" s="123"/>
      <c r="R142" s="124"/>
      <c r="S142" s="9"/>
    </row>
    <row r="143" spans="1:19" x14ac:dyDescent="0.25">
      <c r="A143" s="19">
        <f t="shared" si="29"/>
        <v>140</v>
      </c>
      <c r="B143" s="9" t="s">
        <v>612</v>
      </c>
      <c r="C143" s="9" t="str">
        <f t="shared" ca="1" si="30"/>
        <v>Plastics</v>
      </c>
      <c r="D143" s="9" t="str">
        <f t="shared" ca="1" si="28"/>
        <v>All industries and final demand</v>
      </c>
      <c r="E143" s="15">
        <v>38</v>
      </c>
      <c r="F143" s="9">
        <v>1</v>
      </c>
      <c r="G143" s="9">
        <v>5</v>
      </c>
      <c r="H143" s="74">
        <f>25%*0.8</f>
        <v>0.2</v>
      </c>
      <c r="I143" s="74">
        <f>55%-15%</f>
        <v>0.4</v>
      </c>
      <c r="J143" s="106">
        <f>-76%*0.8</f>
        <v>-0.6080000000000001</v>
      </c>
      <c r="K143" s="74">
        <f>77%-15%</f>
        <v>0.62</v>
      </c>
      <c r="L143" s="13">
        <f>-81% * 0.8</f>
        <v>-0.64800000000000013</v>
      </c>
      <c r="M143" s="13">
        <f>extremeEstimate-15%</f>
        <v>0.75</v>
      </c>
      <c r="N143" s="75">
        <f>A142</f>
        <v>139</v>
      </c>
      <c r="O143" s="27" t="s">
        <v>605</v>
      </c>
      <c r="P143" s="9"/>
      <c r="Q143" s="123"/>
      <c r="R143" s="124"/>
      <c r="S143" s="9"/>
    </row>
    <row r="144" spans="1:19" x14ac:dyDescent="0.25">
      <c r="A144" s="19">
        <f t="shared" si="29"/>
        <v>141</v>
      </c>
      <c r="B144" s="9"/>
      <c r="C144" s="9" t="str">
        <f t="shared" ca="1" si="30"/>
        <v>Secondary plastics</v>
      </c>
      <c r="D144" s="9" t="str">
        <f t="shared" ca="1" si="28"/>
        <v>All industries and final demand</v>
      </c>
      <c r="E144" s="15">
        <v>39</v>
      </c>
      <c r="F144" s="9">
        <v>1</v>
      </c>
      <c r="G144" s="9">
        <v>5</v>
      </c>
      <c r="H144" s="74">
        <f>25%*0.8</f>
        <v>0.2</v>
      </c>
      <c r="I144" s="74">
        <f>55%-15%</f>
        <v>0.4</v>
      </c>
      <c r="J144" s="106">
        <f>76%*0.5</f>
        <v>0.38</v>
      </c>
      <c r="K144" s="74">
        <f>77%-15%</f>
        <v>0.62</v>
      </c>
      <c r="L144" s="1">
        <f>81%*0.5</f>
        <v>0.40500000000000003</v>
      </c>
      <c r="M144" s="13">
        <f>extremeEstimate-15%</f>
        <v>0.75</v>
      </c>
      <c r="N144" s="75">
        <f>A142</f>
        <v>139</v>
      </c>
      <c r="O144" s="15" t="s">
        <v>594</v>
      </c>
      <c r="P144" s="9"/>
      <c r="Q144" s="123"/>
      <c r="R144" s="124"/>
      <c r="S144" s="9"/>
    </row>
    <row r="145" spans="1:19" x14ac:dyDescent="0.25">
      <c r="A145" s="19">
        <f t="shared" si="29"/>
        <v>142</v>
      </c>
      <c r="B145" s="9" t="s">
        <v>613</v>
      </c>
      <c r="C145" s="9" t="str">
        <f t="shared" ca="1" si="30"/>
        <v>Plastics</v>
      </c>
      <c r="D145" s="9" t="str">
        <f t="shared" ca="1" si="28"/>
        <v>All industries and final demand</v>
      </c>
      <c r="E145" s="15">
        <v>38</v>
      </c>
      <c r="F145" s="9">
        <v>1</v>
      </c>
      <c r="G145" s="9">
        <v>5</v>
      </c>
      <c r="H145" s="1">
        <v>0.2</v>
      </c>
      <c r="I145" s="74">
        <f>20%-15%</f>
        <v>5.0000000000000017E-2</v>
      </c>
      <c r="J145" s="106">
        <f>-76%*0.8</f>
        <v>-0.6080000000000001</v>
      </c>
      <c r="K145" s="74">
        <f>33%-15%</f>
        <v>0.18000000000000002</v>
      </c>
      <c r="L145" s="13">
        <f>-81% * 0.8</f>
        <v>-0.64800000000000013</v>
      </c>
      <c r="M145" s="13">
        <f>extremeEstimate-15%</f>
        <v>0.75</v>
      </c>
      <c r="N145" s="75">
        <f>A142</f>
        <v>139</v>
      </c>
      <c r="O145" s="27" t="s">
        <v>607</v>
      </c>
      <c r="P145" s="9"/>
      <c r="Q145" s="123"/>
      <c r="R145" s="124"/>
      <c r="S145" s="9"/>
    </row>
    <row r="146" spans="1:19" x14ac:dyDescent="0.25">
      <c r="A146" s="19">
        <f t="shared" si="29"/>
        <v>143</v>
      </c>
      <c r="B146" s="9"/>
      <c r="C146" s="9" t="str">
        <f t="shared" ca="1" si="30"/>
        <v>Secondary plastics</v>
      </c>
      <c r="D146" s="9" t="str">
        <f t="shared" ca="1" si="28"/>
        <v>All industries and final demand</v>
      </c>
      <c r="E146" s="15">
        <v>39</v>
      </c>
      <c r="F146" s="9">
        <v>1</v>
      </c>
      <c r="G146" s="9">
        <v>5</v>
      </c>
      <c r="H146" s="1">
        <v>0.2</v>
      </c>
      <c r="I146" s="74">
        <f>20%-15%</f>
        <v>5.0000000000000017E-2</v>
      </c>
      <c r="J146" s="106">
        <f>76%*0.5</f>
        <v>0.38</v>
      </c>
      <c r="K146" s="74">
        <f>33%-15%</f>
        <v>0.18000000000000002</v>
      </c>
      <c r="L146" s="1">
        <f>81%*0.5</f>
        <v>0.40500000000000003</v>
      </c>
      <c r="M146" s="13">
        <f>extremeEstimate-15%</f>
        <v>0.75</v>
      </c>
      <c r="N146" s="75">
        <f>A142</f>
        <v>139</v>
      </c>
      <c r="O146" s="27" t="s">
        <v>606</v>
      </c>
      <c r="P146" s="9"/>
      <c r="Q146" s="123"/>
      <c r="R146" s="124"/>
      <c r="S146" s="9"/>
    </row>
    <row r="147" spans="1:19" x14ac:dyDescent="0.25">
      <c r="A147" s="19">
        <f>1+A146</f>
        <v>144</v>
      </c>
      <c r="B147" s="9" t="s">
        <v>144</v>
      </c>
      <c r="C147" s="9" t="str">
        <f t="shared" ref="C147:C154" ca="1" si="31">INDIRECT(ADDRESS(E147+2,2,,,"product Table"))</f>
        <v>Glass products</v>
      </c>
      <c r="D147" s="9" t="str">
        <f t="shared" ref="D147:D154" ca="1" si="32">INDIRECT(ADDRESS(F147+2,2,,,"industry Table"))</f>
        <v>Food, drink, retail (users of glass bottles)</v>
      </c>
      <c r="E147">
        <v>21</v>
      </c>
      <c r="F147">
        <v>13</v>
      </c>
      <c r="G147" s="15">
        <v>1</v>
      </c>
      <c r="H147" s="74">
        <v>0.9</v>
      </c>
      <c r="I147" s="74">
        <v>1</v>
      </c>
      <c r="J147" s="13">
        <v>0</v>
      </c>
      <c r="K147" s="13">
        <v>1</v>
      </c>
      <c r="L147" s="13">
        <v>0</v>
      </c>
      <c r="M147" s="13">
        <v>1</v>
      </c>
      <c r="N147" s="75">
        <f>A147</f>
        <v>144</v>
      </c>
      <c r="P147" s="9"/>
      <c r="Q147" s="123"/>
      <c r="R147" s="124"/>
    </row>
    <row r="148" spans="1:19" x14ac:dyDescent="0.25">
      <c r="A148" s="19">
        <f t="shared" ref="A148:A159" si="33">1+A147</f>
        <v>145</v>
      </c>
      <c r="B148" s="9"/>
      <c r="C148" s="9" t="str">
        <f t="shared" ca="1" si="31"/>
        <v>All products</v>
      </c>
      <c r="D148" s="9" t="str">
        <f t="shared" ca="1" si="32"/>
        <v>Glass industry</v>
      </c>
      <c r="E148">
        <v>1</v>
      </c>
      <c r="F148">
        <v>14</v>
      </c>
      <c r="G148" s="15">
        <v>14</v>
      </c>
      <c r="H148" s="74">
        <v>1</v>
      </c>
      <c r="I148" s="84">
        <f>intermediateEstimate</f>
        <v>0.3</v>
      </c>
      <c r="J148" s="13">
        <f>-(34-2)/47</f>
        <v>-0.68085106382978722</v>
      </c>
      <c r="K148" s="13">
        <f>advancedEstimate</f>
        <v>0.6</v>
      </c>
      <c r="L148" s="13">
        <f>-(34-2)/47</f>
        <v>-0.68085106382978722</v>
      </c>
      <c r="M148" s="13">
        <f>extremeEstimate</f>
        <v>0.9</v>
      </c>
      <c r="N148" s="75">
        <f>A147</f>
        <v>144</v>
      </c>
      <c r="O148" s="27" t="s">
        <v>321</v>
      </c>
      <c r="P148" s="9"/>
      <c r="Q148" s="123"/>
      <c r="R148" s="124"/>
    </row>
    <row r="149" spans="1:19" x14ac:dyDescent="0.25">
      <c r="A149" s="19">
        <f t="shared" si="33"/>
        <v>146</v>
      </c>
      <c r="B149" s="9"/>
      <c r="C149" s="9" t="str">
        <f t="shared" ca="1" si="31"/>
        <v>Land transport</v>
      </c>
      <c r="D149" s="9" t="str">
        <f t="shared" ca="1" si="32"/>
        <v>Glass industry</v>
      </c>
      <c r="E149">
        <v>9</v>
      </c>
      <c r="F149" s="15">
        <v>14</v>
      </c>
      <c r="G149" s="15">
        <v>1</v>
      </c>
      <c r="H149" s="74">
        <v>1</v>
      </c>
      <c r="I149" s="84">
        <f>intermediateEstimate</f>
        <v>0.3</v>
      </c>
      <c r="J149" s="13">
        <f>(22-8)/47</f>
        <v>0.2978723404255319</v>
      </c>
      <c r="K149" s="13">
        <f>advancedEstimate</f>
        <v>0.6</v>
      </c>
      <c r="L149" s="13">
        <f>(22-8)/47</f>
        <v>0.2978723404255319</v>
      </c>
      <c r="M149" s="13">
        <f>extremeEstimate</f>
        <v>0.9</v>
      </c>
      <c r="N149" s="75">
        <f>A147</f>
        <v>144</v>
      </c>
      <c r="O149" s="27" t="s">
        <v>274</v>
      </c>
      <c r="P149" s="9"/>
      <c r="Q149" s="123"/>
      <c r="R149" s="124"/>
    </row>
    <row r="150" spans="1:19" x14ac:dyDescent="0.25">
      <c r="A150" s="19">
        <f t="shared" si="33"/>
        <v>147</v>
      </c>
      <c r="B150" s="9"/>
      <c r="C150" s="9" t="str">
        <f t="shared" ca="1" si="31"/>
        <v>Retail  trade services, except of motor vehicles and motorcycles; repair services of personal and household goods</v>
      </c>
      <c r="D150" s="9" t="str">
        <f t="shared" ca="1" si="32"/>
        <v>Glass industry</v>
      </c>
      <c r="E150">
        <v>4</v>
      </c>
      <c r="F150" s="15">
        <v>14</v>
      </c>
      <c r="G150">
        <v>1</v>
      </c>
      <c r="H150" s="74">
        <v>1</v>
      </c>
      <c r="I150" s="84">
        <f>intermediateEstimate</f>
        <v>0.3</v>
      </c>
      <c r="J150" s="13">
        <f>2/47</f>
        <v>4.2553191489361701E-2</v>
      </c>
      <c r="K150" s="13">
        <f>advancedEstimate</f>
        <v>0.6</v>
      </c>
      <c r="L150" s="13">
        <f>2/47</f>
        <v>4.2553191489361701E-2</v>
      </c>
      <c r="M150" s="13">
        <f>extremeEstimate</f>
        <v>0.9</v>
      </c>
      <c r="N150" s="75">
        <f>A147</f>
        <v>144</v>
      </c>
      <c r="P150" s="9"/>
      <c r="Q150" s="123"/>
      <c r="R150" s="124"/>
    </row>
    <row r="151" spans="1:19" x14ac:dyDescent="0.25">
      <c r="A151" s="19">
        <f t="shared" si="33"/>
        <v>148</v>
      </c>
      <c r="B151" s="9"/>
      <c r="C151" s="9" t="str">
        <f t="shared" ca="1" si="31"/>
        <v>Glass products</v>
      </c>
      <c r="D151" s="9" t="str">
        <f t="shared" ca="1" si="32"/>
        <v>Glass industry</v>
      </c>
      <c r="E151">
        <v>21</v>
      </c>
      <c r="F151" s="15">
        <v>14</v>
      </c>
      <c r="G151">
        <v>1</v>
      </c>
      <c r="H151" s="74">
        <v>1</v>
      </c>
      <c r="I151" s="84">
        <f>intermediateEstimate</f>
        <v>0.3</v>
      </c>
      <c r="J151" s="13">
        <f>(7+5-5)/47</f>
        <v>0.14893617021276595</v>
      </c>
      <c r="K151" s="13">
        <f>advancedEstimate</f>
        <v>0.6</v>
      </c>
      <c r="L151" s="13">
        <f>(7+5-5)/47</f>
        <v>0.14893617021276595</v>
      </c>
      <c r="M151" s="13">
        <f>extremeEstimate</f>
        <v>0.9</v>
      </c>
      <c r="N151" s="75">
        <f>A147</f>
        <v>144</v>
      </c>
      <c r="O151" s="27" t="s">
        <v>322</v>
      </c>
      <c r="P151" s="9"/>
      <c r="Q151" s="123"/>
      <c r="R151" s="124"/>
    </row>
    <row r="152" spans="1:19" x14ac:dyDescent="0.25">
      <c r="A152" s="19">
        <f t="shared" si="33"/>
        <v>149</v>
      </c>
      <c r="B152" s="9" t="s">
        <v>549</v>
      </c>
      <c r="C152" s="9" t="str">
        <f t="shared" ca="1" si="31"/>
        <v>All products</v>
      </c>
      <c r="D152" s="9" t="str">
        <f t="shared" ca="1" si="32"/>
        <v>Paper industry (inc. pulp &amp; recycled pulp)</v>
      </c>
      <c r="E152">
        <v>1</v>
      </c>
      <c r="F152">
        <v>35</v>
      </c>
      <c r="G152">
        <v>1</v>
      </c>
      <c r="H152" s="74">
        <v>1</v>
      </c>
      <c r="I152" s="84">
        <f>intermediateEstimate</f>
        <v>0.3</v>
      </c>
      <c r="J152" s="74">
        <v>-0.1</v>
      </c>
      <c r="K152" s="13">
        <f>advancedEstimate</f>
        <v>0.6</v>
      </c>
      <c r="L152" s="74">
        <v>-0.1</v>
      </c>
      <c r="M152" s="13">
        <f>extremeEstimate</f>
        <v>0.9</v>
      </c>
      <c r="N152" s="75">
        <f>A152</f>
        <v>149</v>
      </c>
      <c r="O152" s="27" t="s">
        <v>551</v>
      </c>
      <c r="P152" s="9"/>
      <c r="Q152" s="123"/>
      <c r="R152" s="124"/>
    </row>
    <row r="153" spans="1:19" x14ac:dyDescent="0.25">
      <c r="A153" s="19">
        <f t="shared" si="33"/>
        <v>150</v>
      </c>
      <c r="B153" s="9" t="s">
        <v>552</v>
      </c>
      <c r="C153" s="9" t="str">
        <f t="shared" ca="1" si="31"/>
        <v>Secondary pulp</v>
      </c>
      <c r="D153" s="9" t="str">
        <f t="shared" ca="1" si="32"/>
        <v>Paper industry (inc. pulp &amp; recycled pulp)</v>
      </c>
      <c r="E153" s="15">
        <v>41</v>
      </c>
      <c r="F153">
        <v>35</v>
      </c>
      <c r="G153">
        <v>1</v>
      </c>
      <c r="H153" s="74">
        <v>1</v>
      </c>
      <c r="I153" s="74">
        <f>(60%-45%)/45%</f>
        <v>0.33333333333333326</v>
      </c>
      <c r="J153" s="74">
        <v>1</v>
      </c>
      <c r="K153" s="74">
        <f>(75%-45%)/45%</f>
        <v>0.66666666666666663</v>
      </c>
      <c r="L153" s="74">
        <v>1</v>
      </c>
      <c r="M153" s="1">
        <f>(90%-45%)/45%</f>
        <v>1</v>
      </c>
      <c r="N153" s="75">
        <f>A153</f>
        <v>150</v>
      </c>
      <c r="O153" s="27" t="s">
        <v>555</v>
      </c>
      <c r="P153" s="9"/>
      <c r="Q153" s="123"/>
      <c r="R153" s="124"/>
    </row>
    <row r="154" spans="1:19" x14ac:dyDescent="0.25">
      <c r="A154" s="19">
        <f t="shared" si="33"/>
        <v>151</v>
      </c>
      <c r="B154" s="9" t="s">
        <v>278</v>
      </c>
      <c r="C154" s="9" t="str">
        <f t="shared" ca="1" si="31"/>
        <v>Pulp</v>
      </c>
      <c r="D154" s="9" t="str">
        <f t="shared" ca="1" si="32"/>
        <v>Paper industry (inc. pulp &amp; recycled pulp)</v>
      </c>
      <c r="E154" s="15">
        <v>40</v>
      </c>
      <c r="F154">
        <v>35</v>
      </c>
      <c r="G154">
        <v>14</v>
      </c>
      <c r="H154" s="74">
        <v>1</v>
      </c>
      <c r="I154" s="74">
        <v>1</v>
      </c>
      <c r="J154" s="74">
        <v>-1</v>
      </c>
      <c r="K154" s="74">
        <v>1</v>
      </c>
      <c r="L154" s="74">
        <v>-1</v>
      </c>
      <c r="M154" s="1">
        <v>1</v>
      </c>
      <c r="N154" s="75">
        <f>A153</f>
        <v>150</v>
      </c>
      <c r="O154" s="27" t="s">
        <v>558</v>
      </c>
      <c r="P154" s="9"/>
      <c r="Q154" s="123"/>
      <c r="R154" s="124"/>
    </row>
    <row r="155" spans="1:19" s="15" customFormat="1" x14ac:dyDescent="0.25">
      <c r="A155" s="19">
        <f t="shared" si="33"/>
        <v>152</v>
      </c>
      <c r="B155" s="9" t="s">
        <v>572</v>
      </c>
      <c r="C155" s="9" t="str">
        <f t="shared" ref="C155:C222" ca="1" si="34">INDIRECT(ADDRESS(E155+2,2,,,"product Table"))</f>
        <v>Materials</v>
      </c>
      <c r="D155" s="9" t="str">
        <f t="shared" ref="D155:D222" ca="1" si="35">INDIRECT(ADDRESS(F155+2,2,,,"industry Table"))</f>
        <v>Textiles</v>
      </c>
      <c r="E155" s="15">
        <v>5</v>
      </c>
      <c r="F155" s="15">
        <v>40</v>
      </c>
      <c r="G155" s="15">
        <v>1</v>
      </c>
      <c r="H155" s="1">
        <v>0.3</v>
      </c>
      <c r="I155" s="1">
        <f>intermediateEstimate</f>
        <v>0.3</v>
      </c>
      <c r="J155" s="13">
        <v>-0.5</v>
      </c>
      <c r="K155" s="74">
        <f>advancedEstimate</f>
        <v>0.6</v>
      </c>
      <c r="L155" s="74">
        <v>-0.5</v>
      </c>
      <c r="M155" s="74">
        <f>extremeEstimate</f>
        <v>0.9</v>
      </c>
      <c r="N155" s="75">
        <f>A155</f>
        <v>152</v>
      </c>
      <c r="O155" s="38" t="s">
        <v>724</v>
      </c>
      <c r="P155" s="9"/>
      <c r="Q155" s="123"/>
      <c r="R155" s="124"/>
    </row>
    <row r="156" spans="1:19" s="9" customFormat="1" x14ac:dyDescent="0.25">
      <c r="A156" s="19">
        <f t="shared" si="33"/>
        <v>153</v>
      </c>
      <c r="B156" s="9" t="s">
        <v>162</v>
      </c>
      <c r="C156" s="9" t="str">
        <f t="shared" ca="1" si="34"/>
        <v>Textiles</v>
      </c>
      <c r="D156" s="9" t="str">
        <f t="shared" ca="1" si="35"/>
        <v>Apparel industry</v>
      </c>
      <c r="E156" s="9">
        <v>23</v>
      </c>
      <c r="F156" s="9">
        <v>17</v>
      </c>
      <c r="G156" s="9">
        <v>1</v>
      </c>
      <c r="H156" s="74">
        <v>1</v>
      </c>
      <c r="I156" s="74">
        <v>1</v>
      </c>
      <c r="J156" s="74">
        <v>-0.05</v>
      </c>
      <c r="K156" s="74">
        <v>1</v>
      </c>
      <c r="L156" s="74">
        <v>-0.05</v>
      </c>
      <c r="M156" s="13">
        <v>1</v>
      </c>
      <c r="N156" s="75">
        <f>A156</f>
        <v>153</v>
      </c>
      <c r="O156" s="38" t="s">
        <v>743</v>
      </c>
      <c r="Q156" s="123"/>
      <c r="R156" s="124"/>
    </row>
    <row r="157" spans="1:19" s="9" customFormat="1" x14ac:dyDescent="0.25">
      <c r="A157" s="19">
        <f t="shared" si="33"/>
        <v>154</v>
      </c>
      <c r="B157" s="9" t="s">
        <v>639</v>
      </c>
      <c r="C157" s="9" t="str">
        <f t="shared" ca="1" si="34"/>
        <v>All products</v>
      </c>
      <c r="D157" s="9" t="str">
        <f t="shared" ca="1" si="35"/>
        <v>Apparel industry</v>
      </c>
      <c r="E157" s="9">
        <v>1</v>
      </c>
      <c r="F157" s="9">
        <v>17</v>
      </c>
      <c r="G157" s="9">
        <v>1</v>
      </c>
      <c r="H157" s="74">
        <v>1</v>
      </c>
      <c r="I157" s="74">
        <v>1</v>
      </c>
      <c r="J157" s="74">
        <v>-0.1</v>
      </c>
      <c r="K157" s="74">
        <v>1</v>
      </c>
      <c r="L157" s="74">
        <v>-0.1</v>
      </c>
      <c r="M157" s="13">
        <v>1</v>
      </c>
      <c r="N157" s="75">
        <f>A157</f>
        <v>154</v>
      </c>
      <c r="O157" s="38" t="s">
        <v>299</v>
      </c>
      <c r="Q157" s="123"/>
      <c r="R157" s="124"/>
    </row>
    <row r="158" spans="1:19" s="9" customFormat="1" x14ac:dyDescent="0.25">
      <c r="A158" s="19">
        <f t="shared" si="33"/>
        <v>155</v>
      </c>
      <c r="B158" s="9" t="s">
        <v>165</v>
      </c>
      <c r="C158" s="9" t="str">
        <f t="shared" ca="1" si="34"/>
        <v>All products</v>
      </c>
      <c r="D158" s="9" t="str">
        <f t="shared" ca="1" si="35"/>
        <v>Apparel industry</v>
      </c>
      <c r="E158" s="9">
        <v>1</v>
      </c>
      <c r="F158" s="9">
        <v>17</v>
      </c>
      <c r="G158" s="9">
        <v>2</v>
      </c>
      <c r="H158" s="13">
        <v>0.73</v>
      </c>
      <c r="I158" s="13">
        <f>0.65-0.48</f>
        <v>0.17000000000000004</v>
      </c>
      <c r="J158" s="13">
        <v>-0.55000000000000004</v>
      </c>
      <c r="K158" s="13">
        <f>0.9-0.48</f>
        <v>0.42000000000000004</v>
      </c>
      <c r="L158" s="13">
        <v>-0.55000000000000004</v>
      </c>
      <c r="M158" s="13">
        <f>extremeEstimate-48%</f>
        <v>0.42000000000000004</v>
      </c>
      <c r="N158" s="75">
        <f>A158</f>
        <v>155</v>
      </c>
      <c r="O158" s="38" t="s">
        <v>302</v>
      </c>
      <c r="Q158" s="123"/>
      <c r="R158" s="124"/>
    </row>
    <row r="159" spans="1:19" s="9" customFormat="1" x14ac:dyDescent="0.25">
      <c r="A159" s="19">
        <f t="shared" si="33"/>
        <v>156</v>
      </c>
      <c r="C159" s="9" t="str">
        <f t="shared" ca="1" si="34"/>
        <v>Land transport</v>
      </c>
      <c r="D159" s="9" t="str">
        <f t="shared" ca="1" si="35"/>
        <v>Apparel industry</v>
      </c>
      <c r="E159" s="9">
        <v>9</v>
      </c>
      <c r="F159" s="9">
        <v>17</v>
      </c>
      <c r="G159" s="9">
        <v>2</v>
      </c>
      <c r="H159" s="13">
        <v>1</v>
      </c>
      <c r="I159" s="13">
        <v>1</v>
      </c>
      <c r="J159" s="13">
        <f>293.2/1909</f>
        <v>0.1535882661079099</v>
      </c>
      <c r="K159" s="13">
        <v>1</v>
      </c>
      <c r="L159" s="13">
        <f>293.2/1909</f>
        <v>0.1535882661079099</v>
      </c>
      <c r="M159" s="13">
        <v>1</v>
      </c>
      <c r="N159" s="75">
        <f>A158</f>
        <v>155</v>
      </c>
      <c r="O159" s="38" t="s">
        <v>300</v>
      </c>
      <c r="Q159" s="123"/>
      <c r="R159" s="124"/>
    </row>
    <row r="160" spans="1:19" s="9" customFormat="1" x14ac:dyDescent="0.25">
      <c r="A160" s="19">
        <f t="shared" ref="A160:A181" si="36">1+A159</f>
        <v>157</v>
      </c>
      <c r="C160" s="9" t="str">
        <f t="shared" ca="1" si="34"/>
        <v>Wholesale trade</v>
      </c>
      <c r="D160" s="9" t="str">
        <f t="shared" ca="1" si="35"/>
        <v>Apparel industry</v>
      </c>
      <c r="E160" s="9">
        <v>25</v>
      </c>
      <c r="F160" s="9">
        <v>17</v>
      </c>
      <c r="G160" s="9">
        <v>2</v>
      </c>
      <c r="H160" s="13">
        <v>1</v>
      </c>
      <c r="I160" s="13">
        <v>1</v>
      </c>
      <c r="J160" s="13">
        <f>332.1/1909</f>
        <v>0.17396542692509168</v>
      </c>
      <c r="K160" s="13">
        <v>1</v>
      </c>
      <c r="L160" s="13">
        <f>332.1/1909</f>
        <v>0.17396542692509168</v>
      </c>
      <c r="M160" s="13">
        <v>1</v>
      </c>
      <c r="N160" s="75">
        <f>A158</f>
        <v>155</v>
      </c>
      <c r="O160" s="38" t="s">
        <v>329</v>
      </c>
      <c r="Q160" s="123"/>
      <c r="R160" s="124"/>
    </row>
    <row r="161" spans="1:18" s="9" customFormat="1" x14ac:dyDescent="0.25">
      <c r="A161" s="19">
        <f t="shared" si="36"/>
        <v>158</v>
      </c>
      <c r="C161" s="9" t="str">
        <f t="shared" ca="1" si="34"/>
        <v>Apparel</v>
      </c>
      <c r="D161" s="9" t="str">
        <f t="shared" ca="1" si="35"/>
        <v>Apparel industry</v>
      </c>
      <c r="E161" s="9">
        <v>24</v>
      </c>
      <c r="F161" s="9">
        <v>17</v>
      </c>
      <c r="G161" s="9">
        <v>2</v>
      </c>
      <c r="H161" s="13">
        <v>1</v>
      </c>
      <c r="I161" s="13">
        <v>1</v>
      </c>
      <c r="J161" s="13">
        <f>17/1909</f>
        <v>8.9051859612362498E-3</v>
      </c>
      <c r="K161" s="13">
        <v>1</v>
      </c>
      <c r="L161" s="13">
        <f>17/1909</f>
        <v>8.9051859612362498E-3</v>
      </c>
      <c r="M161" s="13">
        <v>1</v>
      </c>
      <c r="N161" s="75">
        <f>A158</f>
        <v>155</v>
      </c>
      <c r="O161" s="38" t="s">
        <v>328</v>
      </c>
      <c r="Q161" s="123"/>
      <c r="R161" s="124"/>
    </row>
    <row r="162" spans="1:18" s="9" customFormat="1" x14ac:dyDescent="0.25">
      <c r="A162" s="19">
        <f t="shared" si="36"/>
        <v>159</v>
      </c>
      <c r="C162" s="9" t="str">
        <f t="shared" ca="1" si="34"/>
        <v>Retail  trade services, except of motor vehicles and motorcycles; repair services of personal and household goods</v>
      </c>
      <c r="D162" s="9" t="str">
        <f t="shared" ca="1" si="35"/>
        <v>Apparel industry</v>
      </c>
      <c r="E162" s="9">
        <v>4</v>
      </c>
      <c r="F162" s="9">
        <v>17</v>
      </c>
      <c r="G162" s="9">
        <v>2</v>
      </c>
      <c r="H162" s="13">
        <v>1</v>
      </c>
      <c r="I162" s="13">
        <v>1</v>
      </c>
      <c r="J162" s="13">
        <f>21/1909</f>
        <v>1.1000523834468309E-2</v>
      </c>
      <c r="K162" s="13">
        <v>1</v>
      </c>
      <c r="L162" s="13">
        <f>21/1909</f>
        <v>1.1000523834468309E-2</v>
      </c>
      <c r="M162" s="13">
        <v>1</v>
      </c>
      <c r="N162" s="75">
        <f>A158</f>
        <v>155</v>
      </c>
      <c r="O162" s="38" t="s">
        <v>332</v>
      </c>
      <c r="Q162" s="123"/>
      <c r="R162" s="124"/>
    </row>
    <row r="163" spans="1:18" s="9" customFormat="1" x14ac:dyDescent="0.25">
      <c r="A163" s="19">
        <f t="shared" si="36"/>
        <v>160</v>
      </c>
      <c r="B163" s="9" t="s">
        <v>166</v>
      </c>
      <c r="C163" s="9" t="str">
        <f t="shared" ca="1" si="34"/>
        <v>Textiles</v>
      </c>
      <c r="D163" s="9" t="str">
        <f t="shared" ca="1" si="35"/>
        <v>Apparel industry</v>
      </c>
      <c r="E163" s="9">
        <v>23</v>
      </c>
      <c r="F163" s="9">
        <v>17</v>
      </c>
      <c r="G163" s="9">
        <v>2</v>
      </c>
      <c r="H163" s="13">
        <v>0.22</v>
      </c>
      <c r="I163" s="13">
        <f>I158</f>
        <v>0.17000000000000004</v>
      </c>
      <c r="J163" s="13">
        <v>-0.5</v>
      </c>
      <c r="K163" s="13">
        <f>K158</f>
        <v>0.42000000000000004</v>
      </c>
      <c r="L163" s="13">
        <v>-0.5</v>
      </c>
      <c r="M163" s="13">
        <f>extremeEstimate-48%</f>
        <v>0.42000000000000004</v>
      </c>
      <c r="N163" s="75">
        <f>A163</f>
        <v>160</v>
      </c>
      <c r="O163" s="38" t="s">
        <v>301</v>
      </c>
      <c r="Q163" s="123"/>
      <c r="R163" s="124"/>
    </row>
    <row r="164" spans="1:18" s="9" customFormat="1" x14ac:dyDescent="0.25">
      <c r="A164" s="19">
        <f t="shared" si="36"/>
        <v>161</v>
      </c>
      <c r="B164" s="9" t="s">
        <v>163</v>
      </c>
      <c r="C164" s="9" t="str">
        <f t="shared" ca="1" si="34"/>
        <v>All products</v>
      </c>
      <c r="D164" s="9" t="str">
        <f t="shared" ca="1" si="35"/>
        <v>Apparel industry</v>
      </c>
      <c r="E164" s="9">
        <v>1</v>
      </c>
      <c r="F164" s="9">
        <v>17</v>
      </c>
      <c r="G164" s="9">
        <v>3</v>
      </c>
      <c r="H164" s="13">
        <v>0.73</v>
      </c>
      <c r="I164" s="13">
        <f>0.4-0.25</f>
        <v>0.15000000000000002</v>
      </c>
      <c r="J164" s="13">
        <v>-0.55000000000000004</v>
      </c>
      <c r="K164" s="13">
        <f>0.65-0.25</f>
        <v>0.4</v>
      </c>
      <c r="L164" s="13">
        <v>-0.55000000000000004</v>
      </c>
      <c r="M164" s="13">
        <f>extremeEstimate-25%</f>
        <v>0.65</v>
      </c>
      <c r="N164" s="75">
        <f>A164</f>
        <v>161</v>
      </c>
      <c r="O164" s="38" t="s">
        <v>303</v>
      </c>
    </row>
    <row r="165" spans="1:18" s="9" customFormat="1" x14ac:dyDescent="0.25">
      <c r="A165" s="19">
        <f t="shared" si="36"/>
        <v>162</v>
      </c>
      <c r="C165" s="9" t="str">
        <f t="shared" ca="1" si="34"/>
        <v>Land transport</v>
      </c>
      <c r="D165" s="9" t="str">
        <f t="shared" ca="1" si="35"/>
        <v>Apparel industry</v>
      </c>
      <c r="E165" s="9">
        <v>9</v>
      </c>
      <c r="F165" s="9">
        <v>17</v>
      </c>
      <c r="G165" s="9">
        <v>3</v>
      </c>
      <c r="H165" s="13">
        <v>1</v>
      </c>
      <c r="I165" s="13">
        <v>1</v>
      </c>
      <c r="J165" s="13">
        <f>293.2/1909</f>
        <v>0.1535882661079099</v>
      </c>
      <c r="K165" s="13">
        <v>1</v>
      </c>
      <c r="L165" s="13">
        <f>293.2/1909</f>
        <v>0.1535882661079099</v>
      </c>
      <c r="M165" s="13">
        <v>1</v>
      </c>
      <c r="N165" s="75">
        <f>A164</f>
        <v>161</v>
      </c>
      <c r="O165" s="38" t="s">
        <v>300</v>
      </c>
    </row>
    <row r="166" spans="1:18" s="9" customFormat="1" x14ac:dyDescent="0.25">
      <c r="A166" s="19">
        <f t="shared" si="36"/>
        <v>163</v>
      </c>
      <c r="C166" s="9" t="str">
        <f t="shared" ca="1" si="34"/>
        <v>Wholesale trade</v>
      </c>
      <c r="D166" s="9" t="str">
        <f t="shared" ca="1" si="35"/>
        <v>Apparel industry</v>
      </c>
      <c r="E166" s="9">
        <v>25</v>
      </c>
      <c r="F166" s="9">
        <v>17</v>
      </c>
      <c r="G166" s="9">
        <v>3</v>
      </c>
      <c r="H166" s="13">
        <v>1</v>
      </c>
      <c r="I166" s="13">
        <v>1</v>
      </c>
      <c r="J166" s="13">
        <f>332.1/1909</f>
        <v>0.17396542692509168</v>
      </c>
      <c r="K166" s="13">
        <v>1</v>
      </c>
      <c r="L166" s="13">
        <f>332.1/1909</f>
        <v>0.17396542692509168</v>
      </c>
      <c r="M166" s="13">
        <v>1</v>
      </c>
      <c r="N166" s="75">
        <f>A164</f>
        <v>161</v>
      </c>
      <c r="O166" s="38"/>
    </row>
    <row r="167" spans="1:18" s="9" customFormat="1" x14ac:dyDescent="0.25">
      <c r="A167" s="19">
        <f t="shared" si="36"/>
        <v>164</v>
      </c>
      <c r="C167" s="9" t="str">
        <f t="shared" ca="1" si="34"/>
        <v>Apparel</v>
      </c>
      <c r="D167" s="9" t="str">
        <f t="shared" ca="1" si="35"/>
        <v>Apparel industry</v>
      </c>
      <c r="E167" s="9">
        <v>24</v>
      </c>
      <c r="F167" s="9">
        <v>17</v>
      </c>
      <c r="G167" s="9">
        <v>3</v>
      </c>
      <c r="H167" s="13">
        <v>1</v>
      </c>
      <c r="I167" s="13">
        <v>1</v>
      </c>
      <c r="J167" s="13">
        <f>17/1909</f>
        <v>8.9051859612362498E-3</v>
      </c>
      <c r="K167" s="13">
        <v>1</v>
      </c>
      <c r="L167" s="13">
        <f>17/1909</f>
        <v>8.9051859612362498E-3</v>
      </c>
      <c r="M167" s="13">
        <v>1</v>
      </c>
      <c r="N167" s="75">
        <f>A164</f>
        <v>161</v>
      </c>
      <c r="O167" s="38"/>
    </row>
    <row r="168" spans="1:18" s="9" customFormat="1" x14ac:dyDescent="0.25">
      <c r="A168" s="19">
        <f t="shared" si="36"/>
        <v>165</v>
      </c>
      <c r="C168" s="9" t="str">
        <f t="shared" ca="1" si="34"/>
        <v>Retail  trade services, except of motor vehicles and motorcycles; repair services of personal and household goods</v>
      </c>
      <c r="D168" s="9" t="str">
        <f t="shared" ca="1" si="35"/>
        <v>Apparel industry</v>
      </c>
      <c r="E168" s="9">
        <v>4</v>
      </c>
      <c r="F168" s="9">
        <v>17</v>
      </c>
      <c r="G168" s="9">
        <v>3</v>
      </c>
      <c r="H168" s="13">
        <v>1</v>
      </c>
      <c r="I168" s="13">
        <v>1</v>
      </c>
      <c r="J168" s="13">
        <f>21/1909</f>
        <v>1.1000523834468309E-2</v>
      </c>
      <c r="K168" s="13">
        <v>1</v>
      </c>
      <c r="L168" s="13">
        <f>21/1909</f>
        <v>1.1000523834468309E-2</v>
      </c>
      <c r="M168" s="13">
        <v>1</v>
      </c>
      <c r="N168" s="75">
        <f>A164</f>
        <v>161</v>
      </c>
      <c r="O168" s="38"/>
    </row>
    <row r="169" spans="1:18" s="9" customFormat="1" x14ac:dyDescent="0.25">
      <c r="A169" s="19">
        <f t="shared" si="36"/>
        <v>166</v>
      </c>
      <c r="B169" s="9" t="s">
        <v>166</v>
      </c>
      <c r="C169" s="9" t="str">
        <f t="shared" ca="1" si="34"/>
        <v>Textiles</v>
      </c>
      <c r="D169" s="9" t="str">
        <f t="shared" ca="1" si="35"/>
        <v>Apparel industry</v>
      </c>
      <c r="E169" s="9">
        <v>23</v>
      </c>
      <c r="F169" s="9">
        <v>17</v>
      </c>
      <c r="G169" s="9">
        <v>3</v>
      </c>
      <c r="H169" s="13">
        <v>0.22</v>
      </c>
      <c r="I169" s="13">
        <f>I164</f>
        <v>0.15000000000000002</v>
      </c>
      <c r="J169" s="13">
        <v>-0.5</v>
      </c>
      <c r="K169" s="13">
        <f>K164</f>
        <v>0.4</v>
      </c>
      <c r="L169" s="13">
        <v>-0.5</v>
      </c>
      <c r="M169" s="13">
        <f>extremeEstimate-25%</f>
        <v>0.65</v>
      </c>
      <c r="N169" s="75">
        <f>A169</f>
        <v>166</v>
      </c>
      <c r="O169" s="38" t="s">
        <v>744</v>
      </c>
    </row>
    <row r="170" spans="1:18" s="9" customFormat="1" x14ac:dyDescent="0.25">
      <c r="A170" s="19">
        <f t="shared" si="36"/>
        <v>167</v>
      </c>
      <c r="B170" s="9" t="s">
        <v>119</v>
      </c>
      <c r="C170" s="9" t="str">
        <f t="shared" ca="1" si="34"/>
        <v>All products</v>
      </c>
      <c r="D170" s="9" t="str">
        <f t="shared" ca="1" si="35"/>
        <v>Apparel industry</v>
      </c>
      <c r="E170" s="9">
        <v>1</v>
      </c>
      <c r="F170" s="9">
        <v>17</v>
      </c>
      <c r="G170" s="9">
        <v>4</v>
      </c>
      <c r="H170" s="13">
        <v>0.73</v>
      </c>
      <c r="I170" s="13">
        <f>0.35-0.15</f>
        <v>0.19999999999999998</v>
      </c>
      <c r="J170" s="13">
        <v>-0.55000000000000004</v>
      </c>
      <c r="K170" s="13">
        <f>0.55-0.15</f>
        <v>0.4</v>
      </c>
      <c r="L170" s="13">
        <v>-0.55000000000000004</v>
      </c>
      <c r="M170" s="13">
        <f>extremeEstimate-15%</f>
        <v>0.75</v>
      </c>
      <c r="N170" s="75">
        <f>A170</f>
        <v>167</v>
      </c>
      <c r="O170" s="38" t="s">
        <v>304</v>
      </c>
    </row>
    <row r="171" spans="1:18" s="9" customFormat="1" x14ac:dyDescent="0.25">
      <c r="A171" s="19">
        <f t="shared" si="36"/>
        <v>168</v>
      </c>
      <c r="C171" s="9" t="str">
        <f t="shared" ca="1" si="34"/>
        <v>Land transport</v>
      </c>
      <c r="D171" s="9" t="str">
        <f t="shared" ca="1" si="35"/>
        <v>Apparel industry</v>
      </c>
      <c r="E171" s="9">
        <v>9</v>
      </c>
      <c r="F171" s="9">
        <v>17</v>
      </c>
      <c r="G171" s="9">
        <v>4</v>
      </c>
      <c r="H171" s="13">
        <v>1</v>
      </c>
      <c r="I171" s="13">
        <v>1</v>
      </c>
      <c r="J171" s="13">
        <f>293.2/1909</f>
        <v>0.1535882661079099</v>
      </c>
      <c r="K171" s="13">
        <v>1</v>
      </c>
      <c r="L171" s="13">
        <f>293.2/1909</f>
        <v>0.1535882661079099</v>
      </c>
      <c r="M171" s="13">
        <v>1</v>
      </c>
      <c r="N171" s="75">
        <f>A170</f>
        <v>167</v>
      </c>
      <c r="O171" s="38" t="s">
        <v>300</v>
      </c>
    </row>
    <row r="172" spans="1:18" s="9" customFormat="1" x14ac:dyDescent="0.25">
      <c r="A172" s="19">
        <f t="shared" si="36"/>
        <v>169</v>
      </c>
      <c r="C172" s="9" t="str">
        <f t="shared" ca="1" si="34"/>
        <v>Wholesale trade</v>
      </c>
      <c r="D172" s="9" t="str">
        <f t="shared" ca="1" si="35"/>
        <v>Apparel industry</v>
      </c>
      <c r="E172" s="9">
        <v>25</v>
      </c>
      <c r="F172" s="9">
        <v>17</v>
      </c>
      <c r="G172" s="9">
        <v>4</v>
      </c>
      <c r="H172" s="13">
        <v>1</v>
      </c>
      <c r="I172" s="13">
        <v>1</v>
      </c>
      <c r="J172" s="13">
        <f>332.1/1909</f>
        <v>0.17396542692509168</v>
      </c>
      <c r="K172" s="13">
        <v>1</v>
      </c>
      <c r="L172" s="13">
        <f>332.1/1909</f>
        <v>0.17396542692509168</v>
      </c>
      <c r="M172" s="13">
        <v>1</v>
      </c>
      <c r="N172" s="75">
        <f>A170</f>
        <v>167</v>
      </c>
      <c r="O172" s="38"/>
      <c r="Q172" s="13"/>
    </row>
    <row r="173" spans="1:18" s="9" customFormat="1" x14ac:dyDescent="0.25">
      <c r="A173" s="19">
        <f t="shared" si="36"/>
        <v>170</v>
      </c>
      <c r="C173" s="9" t="str">
        <f t="shared" ca="1" si="34"/>
        <v>Apparel</v>
      </c>
      <c r="D173" s="9" t="str">
        <f t="shared" ca="1" si="35"/>
        <v>Apparel industry</v>
      </c>
      <c r="E173" s="9">
        <v>24</v>
      </c>
      <c r="F173" s="9">
        <v>17</v>
      </c>
      <c r="G173" s="9">
        <v>4</v>
      </c>
      <c r="H173" s="13">
        <v>1</v>
      </c>
      <c r="I173" s="13">
        <v>1</v>
      </c>
      <c r="J173" s="13">
        <f>17/1909</f>
        <v>8.9051859612362498E-3</v>
      </c>
      <c r="K173" s="13">
        <v>1</v>
      </c>
      <c r="L173" s="13">
        <f>17/1909</f>
        <v>8.9051859612362498E-3</v>
      </c>
      <c r="M173" s="13">
        <v>1</v>
      </c>
      <c r="N173" s="75">
        <f>A170</f>
        <v>167</v>
      </c>
      <c r="O173" s="38"/>
      <c r="Q173" s="13"/>
    </row>
    <row r="174" spans="1:18" s="9" customFormat="1" x14ac:dyDescent="0.25">
      <c r="A174" s="19">
        <f t="shared" si="36"/>
        <v>171</v>
      </c>
      <c r="C174" s="9" t="str">
        <f t="shared" ca="1" si="34"/>
        <v>Retail  trade services, except of motor vehicles and motorcycles; repair services of personal and household goods</v>
      </c>
      <c r="D174" s="9" t="str">
        <f t="shared" ca="1" si="35"/>
        <v>Apparel industry</v>
      </c>
      <c r="E174" s="9">
        <v>4</v>
      </c>
      <c r="F174" s="9">
        <v>17</v>
      </c>
      <c r="G174" s="9">
        <v>4</v>
      </c>
      <c r="H174" s="13">
        <v>1</v>
      </c>
      <c r="I174" s="13">
        <v>1</v>
      </c>
      <c r="J174" s="13">
        <f>21/1909</f>
        <v>1.1000523834468309E-2</v>
      </c>
      <c r="K174" s="13">
        <v>1</v>
      </c>
      <c r="L174" s="13">
        <f>21/1909</f>
        <v>1.1000523834468309E-2</v>
      </c>
      <c r="M174" s="13">
        <v>1</v>
      </c>
      <c r="N174" s="75">
        <f>A170</f>
        <v>167</v>
      </c>
      <c r="O174" s="38"/>
      <c r="Q174" s="13"/>
    </row>
    <row r="175" spans="1:18" s="9" customFormat="1" x14ac:dyDescent="0.25">
      <c r="A175" s="19">
        <f t="shared" si="36"/>
        <v>172</v>
      </c>
      <c r="B175" s="9" t="s">
        <v>166</v>
      </c>
      <c r="C175" s="9" t="str">
        <f t="shared" ca="1" si="34"/>
        <v>Textiles</v>
      </c>
      <c r="D175" s="9" t="str">
        <f t="shared" ca="1" si="35"/>
        <v>Apparel industry</v>
      </c>
      <c r="E175" s="9">
        <v>23</v>
      </c>
      <c r="F175" s="9">
        <v>17</v>
      </c>
      <c r="G175" s="9">
        <v>4</v>
      </c>
      <c r="H175" s="13">
        <v>0.22</v>
      </c>
      <c r="I175" s="13">
        <f>I170</f>
        <v>0.19999999999999998</v>
      </c>
      <c r="J175" s="13">
        <v>-0.5</v>
      </c>
      <c r="K175" s="13">
        <f>K170</f>
        <v>0.4</v>
      </c>
      <c r="L175" s="13">
        <v>-0.5</v>
      </c>
      <c r="M175" s="13">
        <f>extremeEstimate-15%</f>
        <v>0.75</v>
      </c>
      <c r="N175" s="75">
        <f>A175</f>
        <v>172</v>
      </c>
      <c r="O175" s="38" t="s">
        <v>164</v>
      </c>
      <c r="Q175" s="13"/>
    </row>
    <row r="176" spans="1:18" s="9" customFormat="1" x14ac:dyDescent="0.25">
      <c r="A176" s="19">
        <f t="shared" si="36"/>
        <v>173</v>
      </c>
      <c r="B176" s="9" t="s">
        <v>120</v>
      </c>
      <c r="C176" s="9" t="str">
        <f t="shared" ca="1" si="34"/>
        <v>All products</v>
      </c>
      <c r="D176" s="9" t="str">
        <f t="shared" ca="1" si="35"/>
        <v>Apparel industry</v>
      </c>
      <c r="E176" s="9">
        <v>1</v>
      </c>
      <c r="F176" s="9">
        <v>17</v>
      </c>
      <c r="G176" s="9">
        <v>5</v>
      </c>
      <c r="H176" s="13">
        <v>0.73</v>
      </c>
      <c r="I176" s="13">
        <f>0.75-0.65</f>
        <v>9.9999999999999978E-2</v>
      </c>
      <c r="J176" s="13">
        <v>-0.55000000000000004</v>
      </c>
      <c r="K176" s="13">
        <f>0.9-0.65</f>
        <v>0.25</v>
      </c>
      <c r="L176" s="13">
        <v>-0.55000000000000004</v>
      </c>
      <c r="M176" s="13">
        <f>extremeEstimate-65%</f>
        <v>0.25</v>
      </c>
      <c r="N176" s="75">
        <f>A176</f>
        <v>173</v>
      </c>
      <c r="O176" s="38" t="s">
        <v>305</v>
      </c>
      <c r="Q176" s="13"/>
    </row>
    <row r="177" spans="1:19" s="9" customFormat="1" x14ac:dyDescent="0.25">
      <c r="A177" s="19">
        <f t="shared" si="36"/>
        <v>174</v>
      </c>
      <c r="C177" s="9" t="str">
        <f t="shared" ca="1" si="34"/>
        <v>Land transport</v>
      </c>
      <c r="D177" s="9" t="str">
        <f t="shared" ca="1" si="35"/>
        <v>Apparel industry</v>
      </c>
      <c r="E177" s="9">
        <v>9</v>
      </c>
      <c r="F177" s="9">
        <v>17</v>
      </c>
      <c r="G177" s="9">
        <v>5</v>
      </c>
      <c r="H177" s="13">
        <v>1</v>
      </c>
      <c r="I177" s="13">
        <v>1</v>
      </c>
      <c r="J177" s="13">
        <f>293.2/1909</f>
        <v>0.1535882661079099</v>
      </c>
      <c r="K177" s="13">
        <v>1</v>
      </c>
      <c r="L177" s="13">
        <f>293.2/1909</f>
        <v>0.1535882661079099</v>
      </c>
      <c r="M177" s="13">
        <v>1</v>
      </c>
      <c r="N177" s="75">
        <f>A176</f>
        <v>173</v>
      </c>
      <c r="O177" s="38" t="s">
        <v>300</v>
      </c>
      <c r="Q177" s="13"/>
    </row>
    <row r="178" spans="1:19" s="9" customFormat="1" x14ac:dyDescent="0.25">
      <c r="A178" s="19">
        <f t="shared" si="36"/>
        <v>175</v>
      </c>
      <c r="C178" s="9" t="str">
        <f t="shared" ca="1" si="34"/>
        <v>Wholesale trade</v>
      </c>
      <c r="D178" s="9" t="str">
        <f t="shared" ca="1" si="35"/>
        <v>Apparel industry</v>
      </c>
      <c r="E178" s="9">
        <v>25</v>
      </c>
      <c r="F178" s="9">
        <v>17</v>
      </c>
      <c r="G178" s="9">
        <v>5</v>
      </c>
      <c r="H178" s="13">
        <v>1</v>
      </c>
      <c r="I178" s="13">
        <v>1</v>
      </c>
      <c r="J178" s="13">
        <f>332.1/1909</f>
        <v>0.17396542692509168</v>
      </c>
      <c r="K178" s="13">
        <v>1</v>
      </c>
      <c r="L178" s="13">
        <f>332.1/1909</f>
        <v>0.17396542692509168</v>
      </c>
      <c r="M178" s="13">
        <v>1</v>
      </c>
      <c r="N178" s="75">
        <f>A176</f>
        <v>173</v>
      </c>
      <c r="O178" s="38"/>
      <c r="Q178" s="13"/>
    </row>
    <row r="179" spans="1:19" s="9" customFormat="1" x14ac:dyDescent="0.25">
      <c r="A179" s="19">
        <f t="shared" si="36"/>
        <v>176</v>
      </c>
      <c r="C179" s="9" t="str">
        <f t="shared" ca="1" si="34"/>
        <v>Apparel</v>
      </c>
      <c r="D179" s="9" t="str">
        <f t="shared" ca="1" si="35"/>
        <v>Apparel industry</v>
      </c>
      <c r="E179" s="9">
        <v>24</v>
      </c>
      <c r="F179" s="9">
        <v>17</v>
      </c>
      <c r="G179" s="9">
        <v>5</v>
      </c>
      <c r="H179" s="13">
        <v>1</v>
      </c>
      <c r="I179" s="13">
        <v>1</v>
      </c>
      <c r="J179" s="13">
        <f>17/1909</f>
        <v>8.9051859612362498E-3</v>
      </c>
      <c r="K179" s="13">
        <v>1</v>
      </c>
      <c r="L179" s="13">
        <f>17/1909</f>
        <v>8.9051859612362498E-3</v>
      </c>
      <c r="M179" s="13">
        <v>1</v>
      </c>
      <c r="N179" s="75">
        <f>A176</f>
        <v>173</v>
      </c>
      <c r="O179" s="38"/>
      <c r="Q179" s="13"/>
    </row>
    <row r="180" spans="1:19" s="9" customFormat="1" x14ac:dyDescent="0.25">
      <c r="A180" s="19">
        <f t="shared" si="36"/>
        <v>177</v>
      </c>
      <c r="C180" s="9" t="str">
        <f t="shared" ca="1" si="34"/>
        <v>Retail  trade services, except of motor vehicles and motorcycles; repair services of personal and household goods</v>
      </c>
      <c r="D180" s="9" t="str">
        <f t="shared" ca="1" si="35"/>
        <v>Apparel industry</v>
      </c>
      <c r="E180" s="9">
        <v>4</v>
      </c>
      <c r="F180" s="9">
        <v>17</v>
      </c>
      <c r="G180" s="9">
        <v>5</v>
      </c>
      <c r="H180" s="13">
        <v>1</v>
      </c>
      <c r="I180" s="13">
        <v>1</v>
      </c>
      <c r="J180" s="13">
        <f>21/1909</f>
        <v>1.1000523834468309E-2</v>
      </c>
      <c r="K180" s="13">
        <v>1</v>
      </c>
      <c r="L180" s="13">
        <f>21/1909</f>
        <v>1.1000523834468309E-2</v>
      </c>
      <c r="M180" s="13">
        <v>1</v>
      </c>
      <c r="N180" s="75">
        <f>A176</f>
        <v>173</v>
      </c>
      <c r="O180" s="38"/>
      <c r="Q180" s="13"/>
    </row>
    <row r="181" spans="1:19" s="9" customFormat="1" x14ac:dyDescent="0.25">
      <c r="A181" s="19">
        <f t="shared" si="36"/>
        <v>178</v>
      </c>
      <c r="B181" s="9" t="s">
        <v>166</v>
      </c>
      <c r="C181" s="9" t="str">
        <f t="shared" ca="1" si="34"/>
        <v>Textiles</v>
      </c>
      <c r="D181" s="9" t="str">
        <f t="shared" ca="1" si="35"/>
        <v>Apparel industry</v>
      </c>
      <c r="E181" s="9">
        <v>23</v>
      </c>
      <c r="F181" s="9">
        <v>17</v>
      </c>
      <c r="G181" s="9">
        <v>5</v>
      </c>
      <c r="H181" s="13">
        <v>0.22</v>
      </c>
      <c r="I181" s="13">
        <f>I176</f>
        <v>9.9999999999999978E-2</v>
      </c>
      <c r="J181" s="13">
        <v>-0.5</v>
      </c>
      <c r="K181" s="13">
        <f>K176</f>
        <v>0.25</v>
      </c>
      <c r="L181" s="13">
        <v>-0.5</v>
      </c>
      <c r="M181" s="13">
        <f>extremeEstimate-65%</f>
        <v>0.25</v>
      </c>
      <c r="N181" s="75">
        <f>A181</f>
        <v>178</v>
      </c>
      <c r="O181" s="38" t="s">
        <v>164</v>
      </c>
      <c r="Q181" s="13"/>
    </row>
    <row r="182" spans="1:19" x14ac:dyDescent="0.25">
      <c r="A182" s="70">
        <f>1+A181</f>
        <v>179</v>
      </c>
      <c r="B182" s="9" t="s">
        <v>620</v>
      </c>
      <c r="C182" s="9" t="str">
        <f ca="1">INDIRECT(ADDRESS(E182+2,2,,,"product Table"))</f>
        <v>All products</v>
      </c>
      <c r="D182" s="9" t="str">
        <f ca="1">INDIRECT(ADDRESS(F182+2,2,,,"industry Table"))</f>
        <v>Food waste treatment ind</v>
      </c>
      <c r="E182" s="15">
        <v>1</v>
      </c>
      <c r="F182" s="9">
        <v>42</v>
      </c>
      <c r="G182" s="9">
        <v>1</v>
      </c>
      <c r="H182" s="1">
        <v>1</v>
      </c>
      <c r="I182" s="1">
        <f>intermediateEstimate</f>
        <v>0.3</v>
      </c>
      <c r="J182" s="1">
        <v>-1</v>
      </c>
      <c r="K182" s="1">
        <f>advancedEstimate</f>
        <v>0.6</v>
      </c>
      <c r="L182" s="74">
        <v>-1</v>
      </c>
      <c r="M182" s="74">
        <f>extremeEstimate</f>
        <v>0.9</v>
      </c>
      <c r="N182" s="31">
        <f>A182</f>
        <v>179</v>
      </c>
      <c r="P182" s="9"/>
      <c r="Q182" s="123"/>
      <c r="R182" s="124"/>
      <c r="S182" s="9"/>
    </row>
    <row r="183" spans="1:19" s="15" customFormat="1" x14ac:dyDescent="0.25">
      <c r="A183" s="70">
        <f t="shared" ref="A183:A186" si="37">1+A182</f>
        <v>180</v>
      </c>
      <c r="B183" s="9" t="s">
        <v>621</v>
      </c>
      <c r="C183" s="9" t="str">
        <f ca="1">INDIRECT(ADDRESS(E183+2,2,,,"product Table"))</f>
        <v>Food waste treated except biogasification</v>
      </c>
      <c r="D183" s="9" t="str">
        <f ca="1">INDIRECT(ADDRESS(F183+2,2,,,"industry Table"))</f>
        <v>All industries and final demand</v>
      </c>
      <c r="E183" s="15">
        <v>42</v>
      </c>
      <c r="F183">
        <v>1</v>
      </c>
      <c r="G183" s="9">
        <v>1</v>
      </c>
      <c r="H183" s="1">
        <v>1</v>
      </c>
      <c r="I183" s="1">
        <f>intermediateEstimate</f>
        <v>0.3</v>
      </c>
      <c r="J183" s="1">
        <v>0.01</v>
      </c>
      <c r="K183" s="1">
        <f>advancedEstimate</f>
        <v>0.6</v>
      </c>
      <c r="L183" s="74">
        <v>0.01</v>
      </c>
      <c r="M183" s="74">
        <f>extremeEstimate</f>
        <v>0.9</v>
      </c>
      <c r="N183" s="31">
        <f>A183</f>
        <v>180</v>
      </c>
      <c r="O183" s="27" t="s">
        <v>740</v>
      </c>
      <c r="P183" s="9"/>
      <c r="Q183" s="123"/>
      <c r="R183" s="124"/>
      <c r="S183" s="9"/>
    </row>
    <row r="184" spans="1:19" s="15" customFormat="1" x14ac:dyDescent="0.25">
      <c r="A184" s="70">
        <f t="shared" si="37"/>
        <v>181</v>
      </c>
      <c r="B184" s="9"/>
      <c r="C184" s="9" t="str">
        <f ca="1">INDIRECT(ADDRESS(E184+2,2,,,"product Table"))</f>
        <v>Food waste biogasified</v>
      </c>
      <c r="D184" s="9" t="str">
        <f ca="1">INDIRECT(ADDRESS(F184+2,2,,,"industry Table"))</f>
        <v>All industries and final demand</v>
      </c>
      <c r="E184" s="15">
        <v>43</v>
      </c>
      <c r="F184">
        <v>1</v>
      </c>
      <c r="G184" s="9">
        <v>1</v>
      </c>
      <c r="H184" s="1">
        <v>1</v>
      </c>
      <c r="I184" s="1">
        <v>1</v>
      </c>
      <c r="J184" s="13">
        <f>-J183</f>
        <v>-0.01</v>
      </c>
      <c r="K184" s="1">
        <v>1</v>
      </c>
      <c r="L184" s="1">
        <f>-L183</f>
        <v>-0.01</v>
      </c>
      <c r="M184" s="13">
        <v>1</v>
      </c>
      <c r="N184" s="31">
        <f>A183</f>
        <v>180</v>
      </c>
      <c r="O184" s="15" t="s">
        <v>627</v>
      </c>
      <c r="P184" s="9"/>
      <c r="Q184" s="123"/>
      <c r="R184" s="124"/>
      <c r="S184" s="9"/>
    </row>
    <row r="185" spans="1:19" s="15" customFormat="1" x14ac:dyDescent="0.25">
      <c r="A185" s="70">
        <f t="shared" si="37"/>
        <v>182</v>
      </c>
      <c r="B185" s="9" t="s">
        <v>624</v>
      </c>
      <c r="C185" s="9" t="str">
        <f ca="1">INDIRECT(ADDRESS(E185+2,2,,,"product Table"))</f>
        <v>Natural gas</v>
      </c>
      <c r="D185" s="9" t="str">
        <f ca="1">INDIRECT(ADDRESS(F185+2,2,,,"industry Table"))</f>
        <v>All industries and final demand</v>
      </c>
      <c r="E185" s="15">
        <v>44</v>
      </c>
      <c r="F185" s="15">
        <v>43</v>
      </c>
      <c r="G185" s="9">
        <v>1</v>
      </c>
      <c r="H185" s="1">
        <v>1</v>
      </c>
      <c r="I185" s="1">
        <v>1</v>
      </c>
      <c r="J185" s="13">
        <f>-(1-((232694+446334)/0.8)/2781481)*39*98*1300/104895359*0.6*0.01</f>
        <v>-1.9747697315192415E-4</v>
      </c>
      <c r="K185" s="13">
        <v>1</v>
      </c>
      <c r="L185" s="89">
        <f>-(1-((232694+446334)/0.8)/2781481)*39*98*1300/104895359*0.01</f>
        <v>-3.2912828858654028E-4</v>
      </c>
      <c r="M185" s="13">
        <v>1</v>
      </c>
      <c r="N185" s="75">
        <f>A185</f>
        <v>182</v>
      </c>
      <c r="O185" s="15" t="s">
        <v>628</v>
      </c>
      <c r="P185" s="9"/>
      <c r="Q185" s="123"/>
      <c r="R185" s="124"/>
      <c r="S185" s="9"/>
    </row>
    <row r="186" spans="1:19" s="9" customFormat="1" x14ac:dyDescent="0.25">
      <c r="A186" s="70">
        <f t="shared" si="37"/>
        <v>183</v>
      </c>
      <c r="B186" s="9" t="s">
        <v>532</v>
      </c>
      <c r="C186" s="9" t="str">
        <f t="shared" ca="1" si="34"/>
        <v>Fertlizer</v>
      </c>
      <c r="D186" s="9" t="str">
        <f t="shared" ca="1" si="35"/>
        <v>Agriculture</v>
      </c>
      <c r="E186" s="9">
        <v>16</v>
      </c>
      <c r="F186" s="9">
        <v>19</v>
      </c>
      <c r="G186" s="9">
        <v>1</v>
      </c>
      <c r="H186" s="74">
        <v>1</v>
      </c>
      <c r="I186" s="74">
        <f>intermediateEstimate</f>
        <v>0.3</v>
      </c>
      <c r="J186" s="74">
        <v>-0.4</v>
      </c>
      <c r="K186" s="13">
        <f>advancedEstimate</f>
        <v>0.6</v>
      </c>
      <c r="L186" s="74">
        <v>-0.4</v>
      </c>
      <c r="M186" s="74">
        <f>extremeEstimate</f>
        <v>0.9</v>
      </c>
      <c r="N186" s="9">
        <f>A186</f>
        <v>183</v>
      </c>
      <c r="O186" s="9" t="s">
        <v>534</v>
      </c>
      <c r="Q186" s="13"/>
    </row>
    <row r="187" spans="1:19" s="9" customFormat="1" x14ac:dyDescent="0.25">
      <c r="A187" s="70">
        <f t="shared" ref="A187:A191" si="38">1+A186</f>
        <v>184</v>
      </c>
      <c r="C187" s="9" t="str">
        <f t="shared" ca="1" si="34"/>
        <v>Research &amp; Development</v>
      </c>
      <c r="D187" s="9" t="str">
        <f t="shared" ca="1" si="35"/>
        <v>Agriculture</v>
      </c>
      <c r="E187" s="9">
        <v>7</v>
      </c>
      <c r="F187" s="9">
        <v>19</v>
      </c>
      <c r="G187" s="9">
        <v>1</v>
      </c>
      <c r="H187" s="74">
        <v>1</v>
      </c>
      <c r="I187" s="74">
        <v>1</v>
      </c>
      <c r="J187" s="74">
        <v>0.03</v>
      </c>
      <c r="K187" s="74">
        <v>1</v>
      </c>
      <c r="L187" s="74">
        <v>0.03</v>
      </c>
      <c r="M187" s="13">
        <v>1</v>
      </c>
      <c r="N187" s="9">
        <f>A186</f>
        <v>183</v>
      </c>
      <c r="O187" s="38" t="s">
        <v>533</v>
      </c>
      <c r="Q187" s="13"/>
    </row>
    <row r="188" spans="1:19" s="9" customFormat="1" x14ac:dyDescent="0.25">
      <c r="A188" s="70">
        <f t="shared" si="38"/>
        <v>185</v>
      </c>
      <c r="C188" s="9" t="str">
        <f t="shared" ca="1" si="34"/>
        <v>Public awareness campaign product (post &amp; telecoms, other business, education)</v>
      </c>
      <c r="D188" s="9" t="str">
        <f t="shared" ca="1" si="35"/>
        <v>Agriculture</v>
      </c>
      <c r="E188" s="9">
        <v>34</v>
      </c>
      <c r="F188" s="9">
        <v>19</v>
      </c>
      <c r="G188" s="9">
        <v>1</v>
      </c>
      <c r="H188" s="74">
        <v>1</v>
      </c>
      <c r="I188" s="74">
        <v>1</v>
      </c>
      <c r="J188" s="74">
        <v>0.03</v>
      </c>
      <c r="K188" s="74">
        <v>1</v>
      </c>
      <c r="L188" s="74">
        <v>0.03</v>
      </c>
      <c r="M188" s="13">
        <v>1</v>
      </c>
      <c r="N188" s="9">
        <f>A186</f>
        <v>183</v>
      </c>
      <c r="O188" s="9" t="s">
        <v>536</v>
      </c>
      <c r="Q188" s="13"/>
    </row>
    <row r="189" spans="1:19" s="9" customFormat="1" x14ac:dyDescent="0.25">
      <c r="A189" s="70">
        <f t="shared" si="38"/>
        <v>186</v>
      </c>
      <c r="B189" s="9" t="s">
        <v>388</v>
      </c>
      <c r="C189" s="9" t="str">
        <f t="shared" ca="1" si="34"/>
        <v>All products</v>
      </c>
      <c r="D189" s="9" t="str">
        <f t="shared" ca="1" si="35"/>
        <v xml:space="preserve">Cereals </v>
      </c>
      <c r="E189" s="9">
        <v>1</v>
      </c>
      <c r="F189" s="9">
        <v>20</v>
      </c>
      <c r="G189" s="9">
        <v>6</v>
      </c>
      <c r="H189" s="13">
        <v>0.37766080000000002</v>
      </c>
      <c r="I189" s="13">
        <f>intermediateEstimate</f>
        <v>0.3</v>
      </c>
      <c r="J189" s="13">
        <v>-1</v>
      </c>
      <c r="K189" s="13">
        <f>advancedEstimate</f>
        <v>0.6</v>
      </c>
      <c r="L189" s="13">
        <v>-1</v>
      </c>
      <c r="M189" s="13">
        <f>extremeEstimate</f>
        <v>0.9</v>
      </c>
      <c r="N189" s="86">
        <f>A189</f>
        <v>186</v>
      </c>
      <c r="O189" s="38" t="s">
        <v>741</v>
      </c>
    </row>
    <row r="190" spans="1:19" s="9" customFormat="1" x14ac:dyDescent="0.25">
      <c r="A190" s="70">
        <f t="shared" si="38"/>
        <v>187</v>
      </c>
      <c r="C190" s="9" t="str">
        <f t="shared" ca="1" si="34"/>
        <v>Equipment and transport</v>
      </c>
      <c r="D190" s="9" t="str">
        <f t="shared" ca="1" si="35"/>
        <v xml:space="preserve">Cereals </v>
      </c>
      <c r="E190" s="9">
        <v>26</v>
      </c>
      <c r="F190" s="9">
        <v>20</v>
      </c>
      <c r="G190" s="9">
        <v>6</v>
      </c>
      <c r="H190" s="13">
        <v>1</v>
      </c>
      <c r="I190" s="13">
        <v>1</v>
      </c>
      <c r="J190" s="13">
        <f>J189*-15%</f>
        <v>0.15</v>
      </c>
      <c r="K190" s="13">
        <v>1</v>
      </c>
      <c r="L190" s="13">
        <f>L189*-15%</f>
        <v>0.15</v>
      </c>
      <c r="M190" s="13">
        <v>1</v>
      </c>
      <c r="N190" s="86">
        <f>A189</f>
        <v>186</v>
      </c>
      <c r="O190" s="38" t="s">
        <v>159</v>
      </c>
    </row>
    <row r="191" spans="1:19" s="9" customFormat="1" x14ac:dyDescent="0.25">
      <c r="A191" s="70">
        <f t="shared" si="38"/>
        <v>188</v>
      </c>
      <c r="C191" s="9" t="str">
        <f t="shared" ca="1" si="34"/>
        <v>Land transport</v>
      </c>
      <c r="D191" s="9" t="str">
        <f t="shared" ca="1" si="35"/>
        <v xml:space="preserve">Cereals </v>
      </c>
      <c r="E191" s="9">
        <v>9</v>
      </c>
      <c r="F191" s="9">
        <v>20</v>
      </c>
      <c r="G191" s="9">
        <v>6</v>
      </c>
      <c r="H191" s="13">
        <f>100%</f>
        <v>1</v>
      </c>
      <c r="I191" s="13">
        <f>100%</f>
        <v>1</v>
      </c>
      <c r="J191" s="13">
        <f>J189*-15%</f>
        <v>0.15</v>
      </c>
      <c r="K191" s="13">
        <v>1</v>
      </c>
      <c r="L191" s="13">
        <f>L189*-15%</f>
        <v>0.15</v>
      </c>
      <c r="M191" s="13">
        <v>1</v>
      </c>
      <c r="N191" s="86">
        <f>A189</f>
        <v>186</v>
      </c>
      <c r="O191" s="38"/>
    </row>
    <row r="192" spans="1:19" s="9" customFormat="1" x14ac:dyDescent="0.25">
      <c r="A192" s="70">
        <f t="shared" ref="A192:A244" si="39">1+A191</f>
        <v>189</v>
      </c>
      <c r="C192" s="9" t="str">
        <f t="shared" ca="1" si="34"/>
        <v>All products</v>
      </c>
      <c r="D192" s="9" t="str">
        <f t="shared" ca="1" si="35"/>
        <v>Fruit &amp; veg</v>
      </c>
      <c r="E192" s="9">
        <v>1</v>
      </c>
      <c r="F192" s="9">
        <v>21</v>
      </c>
      <c r="G192" s="9">
        <v>6</v>
      </c>
      <c r="H192" s="13">
        <v>0.45704079999999991</v>
      </c>
      <c r="I192" s="13">
        <f>intermediateEstimate</f>
        <v>0.3</v>
      </c>
      <c r="J192" s="13">
        <v>-1</v>
      </c>
      <c r="K192" s="13">
        <f>advancedEstimate</f>
        <v>0.6</v>
      </c>
      <c r="L192" s="13">
        <v>-1</v>
      </c>
      <c r="M192" s="13">
        <f>extremeEstimate</f>
        <v>0.9</v>
      </c>
      <c r="N192" s="86">
        <f>A192</f>
        <v>189</v>
      </c>
      <c r="O192" s="38" t="s">
        <v>386</v>
      </c>
    </row>
    <row r="193" spans="1:20" s="9" customFormat="1" x14ac:dyDescent="0.25">
      <c r="A193" s="70">
        <f t="shared" si="39"/>
        <v>190</v>
      </c>
      <c r="C193" s="9" t="str">
        <f t="shared" ca="1" si="34"/>
        <v>Equipment and transport</v>
      </c>
      <c r="D193" s="9" t="str">
        <f t="shared" ca="1" si="35"/>
        <v>Fruit &amp; veg</v>
      </c>
      <c r="E193" s="9">
        <v>26</v>
      </c>
      <c r="F193" s="9">
        <v>21</v>
      </c>
      <c r="G193" s="9">
        <v>6</v>
      </c>
      <c r="H193" s="13">
        <v>1</v>
      </c>
      <c r="I193" s="13">
        <v>1</v>
      </c>
      <c r="J193" s="13">
        <f>J192*-15%</f>
        <v>0.15</v>
      </c>
      <c r="K193" s="13">
        <v>1</v>
      </c>
      <c r="L193" s="13">
        <f>L192*-15%</f>
        <v>0.15</v>
      </c>
      <c r="M193" s="13">
        <v>1</v>
      </c>
      <c r="N193" s="86">
        <f>A192</f>
        <v>189</v>
      </c>
      <c r="O193" s="38" t="s">
        <v>742</v>
      </c>
    </row>
    <row r="194" spans="1:20" s="9" customFormat="1" x14ac:dyDescent="0.25">
      <c r="A194" s="70">
        <f t="shared" si="39"/>
        <v>191</v>
      </c>
      <c r="C194" s="9" t="str">
        <f t="shared" ca="1" si="34"/>
        <v>Land transport</v>
      </c>
      <c r="D194" s="9" t="str">
        <f t="shared" ca="1" si="35"/>
        <v>Fruit &amp; veg</v>
      </c>
      <c r="E194" s="9">
        <v>9</v>
      </c>
      <c r="F194" s="9">
        <v>21</v>
      </c>
      <c r="G194" s="9">
        <v>6</v>
      </c>
      <c r="H194" s="13">
        <f>100%</f>
        <v>1</v>
      </c>
      <c r="I194" s="13">
        <f>100%</f>
        <v>1</v>
      </c>
      <c r="J194" s="13">
        <f>J192*-15%</f>
        <v>0.15</v>
      </c>
      <c r="K194" s="13">
        <v>1</v>
      </c>
      <c r="L194" s="13">
        <f>L192*-15%</f>
        <v>0.15</v>
      </c>
      <c r="M194" s="13">
        <v>1</v>
      </c>
      <c r="N194" s="86">
        <f>A192</f>
        <v>189</v>
      </c>
      <c r="O194" s="38" t="s">
        <v>333</v>
      </c>
    </row>
    <row r="195" spans="1:20" s="9" customFormat="1" x14ac:dyDescent="0.25">
      <c r="A195" s="70">
        <f t="shared" si="39"/>
        <v>192</v>
      </c>
      <c r="C195" s="9" t="str">
        <f t="shared" ca="1" si="34"/>
        <v>All products</v>
      </c>
      <c r="D195" s="9" t="str">
        <f t="shared" ca="1" si="35"/>
        <v>Oilseeds and pulses</v>
      </c>
      <c r="E195" s="9">
        <v>1</v>
      </c>
      <c r="F195" s="9">
        <v>22</v>
      </c>
      <c r="G195" s="9">
        <v>6</v>
      </c>
      <c r="H195" s="13">
        <v>0.19553392000000014</v>
      </c>
      <c r="I195" s="13">
        <f>intermediateEstimate</f>
        <v>0.3</v>
      </c>
      <c r="J195" s="13">
        <v>-1</v>
      </c>
      <c r="K195" s="13">
        <f>advancedEstimate</f>
        <v>0.6</v>
      </c>
      <c r="L195" s="13">
        <v>-1</v>
      </c>
      <c r="M195" s="13">
        <f>extremeEstimate</f>
        <v>0.9</v>
      </c>
      <c r="N195" s="86">
        <f>A195</f>
        <v>192</v>
      </c>
      <c r="O195" s="38"/>
    </row>
    <row r="196" spans="1:20" s="9" customFormat="1" x14ac:dyDescent="0.25">
      <c r="A196" s="70">
        <f t="shared" si="39"/>
        <v>193</v>
      </c>
      <c r="C196" s="9" t="str">
        <f t="shared" ca="1" si="34"/>
        <v>Equipment and transport</v>
      </c>
      <c r="D196" s="9" t="str">
        <f t="shared" ca="1" si="35"/>
        <v>Oilseeds and pulses</v>
      </c>
      <c r="E196" s="9">
        <v>26</v>
      </c>
      <c r="F196" s="9">
        <v>22</v>
      </c>
      <c r="G196" s="9">
        <v>6</v>
      </c>
      <c r="H196" s="13">
        <v>1</v>
      </c>
      <c r="I196" s="13">
        <v>1</v>
      </c>
      <c r="J196" s="13">
        <f>J195*-15%</f>
        <v>0.15</v>
      </c>
      <c r="K196" s="13">
        <v>1</v>
      </c>
      <c r="L196" s="13">
        <f>L195*-15%</f>
        <v>0.15</v>
      </c>
      <c r="M196" s="13">
        <v>1</v>
      </c>
      <c r="N196" s="86">
        <f>A195</f>
        <v>192</v>
      </c>
      <c r="O196" s="38" t="s">
        <v>343</v>
      </c>
    </row>
    <row r="197" spans="1:20" s="9" customFormat="1" x14ac:dyDescent="0.25">
      <c r="A197" s="70">
        <f t="shared" si="39"/>
        <v>194</v>
      </c>
      <c r="C197" s="9" t="str">
        <f t="shared" ca="1" si="34"/>
        <v>Land transport</v>
      </c>
      <c r="D197" s="9" t="str">
        <f t="shared" ca="1" si="35"/>
        <v>Oilseeds and pulses</v>
      </c>
      <c r="E197" s="9">
        <v>9</v>
      </c>
      <c r="F197" s="9">
        <v>22</v>
      </c>
      <c r="G197" s="9">
        <v>6</v>
      </c>
      <c r="H197" s="13">
        <f>100%</f>
        <v>1</v>
      </c>
      <c r="I197" s="13">
        <f>100%</f>
        <v>1</v>
      </c>
      <c r="J197" s="13">
        <f>J195*-15%</f>
        <v>0.15</v>
      </c>
      <c r="K197" s="13">
        <v>1</v>
      </c>
      <c r="L197" s="13">
        <f>L195*-15%</f>
        <v>0.15</v>
      </c>
      <c r="M197" s="13">
        <v>1</v>
      </c>
      <c r="N197" s="86">
        <f>A195</f>
        <v>192</v>
      </c>
      <c r="O197" s="38" t="s">
        <v>344</v>
      </c>
    </row>
    <row r="198" spans="1:20" s="9" customFormat="1" x14ac:dyDescent="0.25">
      <c r="A198" s="70">
        <f t="shared" si="39"/>
        <v>195</v>
      </c>
      <c r="C198" s="9" t="str">
        <f t="shared" ca="1" si="34"/>
        <v>All products</v>
      </c>
      <c r="D198" s="9" t="str">
        <f t="shared" ca="1" si="35"/>
        <v>Roots &amp; tubers</v>
      </c>
      <c r="E198" s="9">
        <v>1</v>
      </c>
      <c r="F198" s="9">
        <v>23</v>
      </c>
      <c r="G198" s="9">
        <v>6</v>
      </c>
      <c r="H198" s="13">
        <v>0.52234828000000011</v>
      </c>
      <c r="I198" s="13">
        <f>intermediateEstimate</f>
        <v>0.3</v>
      </c>
      <c r="J198" s="13">
        <v>-1</v>
      </c>
      <c r="K198" s="13">
        <f>advancedEstimate</f>
        <v>0.6</v>
      </c>
      <c r="L198" s="13">
        <v>-1</v>
      </c>
      <c r="M198" s="13">
        <f>extremeEstimate</f>
        <v>0.9</v>
      </c>
      <c r="N198" s="86">
        <f>A198</f>
        <v>195</v>
      </c>
      <c r="O198" s="38" t="s">
        <v>373</v>
      </c>
    </row>
    <row r="199" spans="1:20" s="9" customFormat="1" x14ac:dyDescent="0.25">
      <c r="A199" s="70">
        <f t="shared" si="39"/>
        <v>196</v>
      </c>
      <c r="C199" s="9" t="str">
        <f t="shared" ca="1" si="34"/>
        <v>Equipment and transport</v>
      </c>
      <c r="D199" s="9" t="str">
        <f t="shared" ca="1" si="35"/>
        <v>Roots &amp; tubers</v>
      </c>
      <c r="E199" s="9">
        <v>26</v>
      </c>
      <c r="F199" s="9">
        <v>23</v>
      </c>
      <c r="G199" s="9">
        <v>6</v>
      </c>
      <c r="H199" s="13">
        <v>1</v>
      </c>
      <c r="I199" s="13">
        <v>1</v>
      </c>
      <c r="J199" s="13">
        <f>J198*-15%</f>
        <v>0.15</v>
      </c>
      <c r="K199" s="13">
        <v>1</v>
      </c>
      <c r="L199" s="13">
        <f>L198*-15%</f>
        <v>0.15</v>
      </c>
      <c r="M199" s="13">
        <v>1</v>
      </c>
      <c r="N199" s="86">
        <f>A198</f>
        <v>195</v>
      </c>
    </row>
    <row r="200" spans="1:20" s="9" customFormat="1" x14ac:dyDescent="0.25">
      <c r="A200" s="70">
        <f t="shared" si="39"/>
        <v>197</v>
      </c>
      <c r="C200" s="9" t="str">
        <f t="shared" ca="1" si="34"/>
        <v>Land transport</v>
      </c>
      <c r="D200" s="9" t="str">
        <f t="shared" ca="1" si="35"/>
        <v>Roots &amp; tubers</v>
      </c>
      <c r="E200" s="9">
        <v>9</v>
      </c>
      <c r="F200" s="9">
        <v>23</v>
      </c>
      <c r="G200" s="9">
        <v>6</v>
      </c>
      <c r="H200" s="13">
        <f>100%</f>
        <v>1</v>
      </c>
      <c r="I200" s="13">
        <f>100%</f>
        <v>1</v>
      </c>
      <c r="J200" s="13">
        <f>J198*-15%</f>
        <v>0.15</v>
      </c>
      <c r="K200" s="13">
        <v>1</v>
      </c>
      <c r="L200" s="13">
        <f>L198*-15%</f>
        <v>0.15</v>
      </c>
      <c r="M200" s="13">
        <v>1</v>
      </c>
      <c r="N200" s="86">
        <f>A198</f>
        <v>195</v>
      </c>
    </row>
    <row r="201" spans="1:20" s="9" customFormat="1" x14ac:dyDescent="0.25">
      <c r="A201" s="70">
        <f t="shared" si="39"/>
        <v>198</v>
      </c>
      <c r="C201" s="9" t="str">
        <f t="shared" ca="1" si="34"/>
        <v>All products</v>
      </c>
      <c r="D201" s="9" t="str">
        <f t="shared" ca="1" si="35"/>
        <v>Meat</v>
      </c>
      <c r="E201" s="9">
        <v>1</v>
      </c>
      <c r="F201" s="9">
        <v>24</v>
      </c>
      <c r="G201" s="9">
        <v>6</v>
      </c>
      <c r="H201" s="13">
        <v>0.21898770544000012</v>
      </c>
      <c r="I201" s="13">
        <f>intermediateEstimate</f>
        <v>0.3</v>
      </c>
      <c r="J201" s="13">
        <v>-1</v>
      </c>
      <c r="K201" s="13">
        <f>advancedEstimate</f>
        <v>0.6</v>
      </c>
      <c r="L201" s="13">
        <v>-1</v>
      </c>
      <c r="M201" s="13">
        <f>extremeEstimate</f>
        <v>0.9</v>
      </c>
      <c r="N201" s="86">
        <f>A201</f>
        <v>198</v>
      </c>
      <c r="O201" s="38"/>
    </row>
    <row r="202" spans="1:20" s="9" customFormat="1" x14ac:dyDescent="0.25">
      <c r="A202" s="70">
        <f t="shared" si="39"/>
        <v>199</v>
      </c>
      <c r="C202" s="9" t="str">
        <f t="shared" ca="1" si="34"/>
        <v>Equipment and transport</v>
      </c>
      <c r="D202" s="9" t="str">
        <f t="shared" ca="1" si="35"/>
        <v>Meat</v>
      </c>
      <c r="E202" s="9">
        <v>26</v>
      </c>
      <c r="F202" s="9">
        <v>24</v>
      </c>
      <c r="G202" s="9">
        <v>6</v>
      </c>
      <c r="H202" s="13">
        <v>1</v>
      </c>
      <c r="I202" s="13">
        <v>1</v>
      </c>
      <c r="J202" s="13">
        <f>J201*-15%</f>
        <v>0.15</v>
      </c>
      <c r="K202" s="13">
        <v>1</v>
      </c>
      <c r="L202" s="13">
        <f>L201*-15%</f>
        <v>0.15</v>
      </c>
      <c r="M202" s="13">
        <v>1</v>
      </c>
      <c r="N202" s="86">
        <f>A201</f>
        <v>198</v>
      </c>
      <c r="O202" s="38"/>
    </row>
    <row r="203" spans="1:20" s="9" customFormat="1" x14ac:dyDescent="0.25">
      <c r="A203" s="70">
        <f t="shared" si="39"/>
        <v>200</v>
      </c>
      <c r="C203" s="9" t="str">
        <f t="shared" ca="1" si="34"/>
        <v>Land transport</v>
      </c>
      <c r="D203" s="9" t="str">
        <f t="shared" ca="1" si="35"/>
        <v>Meat</v>
      </c>
      <c r="E203" s="9">
        <v>9</v>
      </c>
      <c r="F203" s="9">
        <v>24</v>
      </c>
      <c r="G203" s="9">
        <v>6</v>
      </c>
      <c r="H203" s="13">
        <f>100%</f>
        <v>1</v>
      </c>
      <c r="I203" s="13">
        <f>100%</f>
        <v>1</v>
      </c>
      <c r="J203" s="13">
        <f>J201*-15%</f>
        <v>0.15</v>
      </c>
      <c r="K203" s="13">
        <v>1</v>
      </c>
      <c r="L203" s="13">
        <f>L201*-15%</f>
        <v>0.15</v>
      </c>
      <c r="M203" s="13">
        <v>1</v>
      </c>
      <c r="N203" s="86">
        <f>A201</f>
        <v>198</v>
      </c>
      <c r="O203" s="38"/>
    </row>
    <row r="204" spans="1:20" s="9" customFormat="1" x14ac:dyDescent="0.25">
      <c r="A204" s="70">
        <f t="shared" si="39"/>
        <v>201</v>
      </c>
      <c r="C204" s="9" t="str">
        <f t="shared" ca="1" si="34"/>
        <v>All products</v>
      </c>
      <c r="D204" s="9" t="str">
        <f t="shared" ca="1" si="35"/>
        <v>Milk</v>
      </c>
      <c r="E204" s="9">
        <v>1</v>
      </c>
      <c r="F204" s="9">
        <v>25</v>
      </c>
      <c r="G204" s="9">
        <v>6</v>
      </c>
      <c r="H204" s="13">
        <v>0.12216403898499995</v>
      </c>
      <c r="I204" s="13">
        <f>intermediateEstimate</f>
        <v>0.3</v>
      </c>
      <c r="J204" s="13">
        <v>-1</v>
      </c>
      <c r="K204" s="13">
        <f>advancedEstimate</f>
        <v>0.6</v>
      </c>
      <c r="L204" s="13">
        <v>-1</v>
      </c>
      <c r="M204" s="13">
        <f>extremeEstimate</f>
        <v>0.9</v>
      </c>
      <c r="N204" s="86">
        <f>A204</f>
        <v>201</v>
      </c>
      <c r="O204" s="38"/>
      <c r="Q204" s="13"/>
      <c r="S204" s="13"/>
      <c r="T204" s="13"/>
    </row>
    <row r="205" spans="1:20" s="9" customFormat="1" x14ac:dyDescent="0.25">
      <c r="A205" s="70">
        <f t="shared" si="39"/>
        <v>202</v>
      </c>
      <c r="C205" s="9" t="str">
        <f t="shared" ca="1" si="34"/>
        <v>Equipment and transport</v>
      </c>
      <c r="D205" s="9" t="str">
        <f t="shared" ca="1" si="35"/>
        <v>Milk</v>
      </c>
      <c r="E205" s="9">
        <v>26</v>
      </c>
      <c r="F205" s="9">
        <v>25</v>
      </c>
      <c r="G205" s="9">
        <v>6</v>
      </c>
      <c r="H205" s="13">
        <v>1</v>
      </c>
      <c r="I205" s="13">
        <v>1</v>
      </c>
      <c r="J205" s="13">
        <f>J204*-15%</f>
        <v>0.15</v>
      </c>
      <c r="K205" s="13">
        <v>1</v>
      </c>
      <c r="L205" s="13">
        <f>L204*-15%</f>
        <v>0.15</v>
      </c>
      <c r="M205" s="13">
        <v>1</v>
      </c>
      <c r="N205" s="86">
        <f>A204</f>
        <v>201</v>
      </c>
      <c r="O205" s="38"/>
      <c r="Q205" s="13"/>
      <c r="S205" s="13"/>
      <c r="T205" s="13"/>
    </row>
    <row r="206" spans="1:20" s="9" customFormat="1" x14ac:dyDescent="0.25">
      <c r="A206" s="70">
        <f t="shared" si="39"/>
        <v>203</v>
      </c>
      <c r="C206" s="9" t="str">
        <f t="shared" ca="1" si="34"/>
        <v>Land transport</v>
      </c>
      <c r="D206" s="9" t="str">
        <f t="shared" ca="1" si="35"/>
        <v>Milk</v>
      </c>
      <c r="E206" s="9">
        <v>9</v>
      </c>
      <c r="F206" s="9">
        <v>25</v>
      </c>
      <c r="G206" s="9">
        <v>6</v>
      </c>
      <c r="H206" s="13">
        <f>100%</f>
        <v>1</v>
      </c>
      <c r="I206" s="13">
        <f>100%</f>
        <v>1</v>
      </c>
      <c r="J206" s="13">
        <f>J204*-15%</f>
        <v>0.15</v>
      </c>
      <c r="K206" s="13">
        <v>1</v>
      </c>
      <c r="L206" s="13">
        <f>L204*-15%</f>
        <v>0.15</v>
      </c>
      <c r="M206" s="13">
        <v>1</v>
      </c>
      <c r="N206" s="86">
        <f>A204</f>
        <v>201</v>
      </c>
      <c r="O206" s="38"/>
      <c r="Q206" s="13"/>
      <c r="S206" s="13"/>
      <c r="T206" s="13"/>
    </row>
    <row r="207" spans="1:20" s="9" customFormat="1" x14ac:dyDescent="0.25">
      <c r="A207" s="70">
        <f t="shared" si="39"/>
        <v>204</v>
      </c>
      <c r="C207" s="9" t="str">
        <f t="shared" ca="1" si="34"/>
        <v>All products</v>
      </c>
      <c r="D207" s="9" t="str">
        <f t="shared" ca="1" si="35"/>
        <v>Fish &amp; seafood</v>
      </c>
      <c r="E207" s="9">
        <v>1</v>
      </c>
      <c r="F207" s="9">
        <v>26</v>
      </c>
      <c r="G207" s="9">
        <v>6</v>
      </c>
      <c r="H207" s="13">
        <v>0.31370548018</v>
      </c>
      <c r="I207" s="13">
        <f>intermediateEstimate</f>
        <v>0.3</v>
      </c>
      <c r="J207" s="13">
        <v>-1</v>
      </c>
      <c r="K207" s="13">
        <f>advancedEstimate</f>
        <v>0.6</v>
      </c>
      <c r="L207" s="13">
        <v>-1</v>
      </c>
      <c r="M207" s="13">
        <f>extremeEstimate</f>
        <v>0.9</v>
      </c>
      <c r="N207" s="86">
        <f>A207</f>
        <v>204</v>
      </c>
      <c r="O207" s="38"/>
      <c r="Q207" s="13"/>
      <c r="S207" s="13"/>
      <c r="T207" s="13"/>
    </row>
    <row r="208" spans="1:20" s="9" customFormat="1" x14ac:dyDescent="0.25">
      <c r="A208" s="70">
        <f t="shared" si="39"/>
        <v>205</v>
      </c>
      <c r="C208" s="9" t="str">
        <f t="shared" ca="1" si="34"/>
        <v>Equipment and transport</v>
      </c>
      <c r="D208" s="9" t="str">
        <f t="shared" ca="1" si="35"/>
        <v>Fish &amp; seafood</v>
      </c>
      <c r="E208" s="9">
        <v>26</v>
      </c>
      <c r="F208" s="9">
        <v>26</v>
      </c>
      <c r="G208" s="9">
        <v>6</v>
      </c>
      <c r="H208" s="13">
        <v>1</v>
      </c>
      <c r="I208" s="13">
        <v>1</v>
      </c>
      <c r="J208" s="13">
        <f>J207*-15%</f>
        <v>0.15</v>
      </c>
      <c r="K208" s="13">
        <v>1</v>
      </c>
      <c r="L208" s="13">
        <f>L207*-15%</f>
        <v>0.15</v>
      </c>
      <c r="M208" s="13">
        <v>1</v>
      </c>
      <c r="N208" s="86">
        <f>A207</f>
        <v>204</v>
      </c>
      <c r="O208" s="38"/>
      <c r="Q208" s="13"/>
      <c r="S208" s="13"/>
      <c r="T208" s="13"/>
    </row>
    <row r="209" spans="1:20" s="9" customFormat="1" x14ac:dyDescent="0.25">
      <c r="A209" s="70">
        <f t="shared" si="39"/>
        <v>206</v>
      </c>
      <c r="C209" s="9" t="str">
        <f t="shared" ca="1" si="34"/>
        <v>Land transport</v>
      </c>
      <c r="D209" s="9" t="str">
        <f t="shared" ca="1" si="35"/>
        <v>Fish &amp; seafood</v>
      </c>
      <c r="E209" s="9">
        <v>9</v>
      </c>
      <c r="F209" s="9">
        <v>26</v>
      </c>
      <c r="G209" s="9">
        <v>6</v>
      </c>
      <c r="H209" s="13">
        <f>100%</f>
        <v>1</v>
      </c>
      <c r="I209" s="13">
        <f>100%</f>
        <v>1</v>
      </c>
      <c r="J209" s="13">
        <f>J207*-15%</f>
        <v>0.15</v>
      </c>
      <c r="K209" s="13">
        <v>1</v>
      </c>
      <c r="L209" s="13">
        <f>L207*-15%</f>
        <v>0.15</v>
      </c>
      <c r="M209" s="13">
        <v>1</v>
      </c>
      <c r="N209" s="86">
        <f>A207</f>
        <v>204</v>
      </c>
      <c r="O209" s="38"/>
      <c r="Q209" s="13"/>
      <c r="S209" s="13"/>
      <c r="T209" s="13"/>
    </row>
    <row r="210" spans="1:20" s="9" customFormat="1" x14ac:dyDescent="0.25">
      <c r="A210" s="70">
        <f t="shared" si="39"/>
        <v>207</v>
      </c>
      <c r="B210" s="9" t="s">
        <v>389</v>
      </c>
      <c r="C210" s="9" t="str">
        <f t="shared" ca="1" si="34"/>
        <v>All products</v>
      </c>
      <c r="D210" s="9" t="str">
        <f t="shared" ca="1" si="35"/>
        <v xml:space="preserve">Cereals </v>
      </c>
      <c r="E210" s="9">
        <v>1</v>
      </c>
      <c r="F210" s="9">
        <v>20</v>
      </c>
      <c r="G210" s="9">
        <v>7</v>
      </c>
      <c r="H210" s="13">
        <v>0.38163685600000008</v>
      </c>
      <c r="I210" s="13">
        <f>intermediateEstimate</f>
        <v>0.3</v>
      </c>
      <c r="J210" s="13">
        <v>-1</v>
      </c>
      <c r="K210" s="13">
        <f>advancedEstimate</f>
        <v>0.6</v>
      </c>
      <c r="L210" s="13">
        <v>-1</v>
      </c>
      <c r="M210" s="13">
        <f>extremeEstimate</f>
        <v>0.9</v>
      </c>
      <c r="N210" s="86">
        <f>A210</f>
        <v>207</v>
      </c>
      <c r="O210" s="38"/>
      <c r="Q210" s="13"/>
      <c r="S210" s="13"/>
      <c r="T210" s="13"/>
    </row>
    <row r="211" spans="1:20" s="9" customFormat="1" x14ac:dyDescent="0.25">
      <c r="A211" s="70">
        <f t="shared" si="39"/>
        <v>208</v>
      </c>
      <c r="C211" s="9" t="str">
        <f t="shared" ca="1" si="34"/>
        <v>Equipment and transport</v>
      </c>
      <c r="D211" s="9" t="str">
        <f t="shared" ca="1" si="35"/>
        <v xml:space="preserve">Cereals </v>
      </c>
      <c r="E211" s="9">
        <v>26</v>
      </c>
      <c r="F211" s="9">
        <v>20</v>
      </c>
      <c r="G211" s="9">
        <v>7</v>
      </c>
      <c r="H211" s="13">
        <v>1</v>
      </c>
      <c r="I211" s="13">
        <v>1</v>
      </c>
      <c r="J211" s="13">
        <f>J210*-15%</f>
        <v>0.15</v>
      </c>
      <c r="K211" s="13">
        <v>1</v>
      </c>
      <c r="L211" s="13">
        <f>L210*-15%</f>
        <v>0.15</v>
      </c>
      <c r="M211" s="13">
        <v>1</v>
      </c>
      <c r="N211" s="86">
        <f>A210</f>
        <v>207</v>
      </c>
      <c r="O211" s="38"/>
      <c r="Q211" s="13"/>
      <c r="S211" s="13"/>
      <c r="T211" s="13"/>
    </row>
    <row r="212" spans="1:20" s="9" customFormat="1" x14ac:dyDescent="0.25">
      <c r="A212" s="70">
        <f t="shared" si="39"/>
        <v>209</v>
      </c>
      <c r="C212" s="9" t="str">
        <f t="shared" ca="1" si="34"/>
        <v>Land transport</v>
      </c>
      <c r="D212" s="9" t="str">
        <f t="shared" ca="1" si="35"/>
        <v xml:space="preserve">Cereals </v>
      </c>
      <c r="E212" s="9">
        <v>9</v>
      </c>
      <c r="F212" s="9">
        <v>20</v>
      </c>
      <c r="G212" s="9">
        <v>7</v>
      </c>
      <c r="H212" s="13">
        <f>100%</f>
        <v>1</v>
      </c>
      <c r="I212" s="13">
        <f>100%</f>
        <v>1</v>
      </c>
      <c r="J212" s="13">
        <f>J210*-15%</f>
        <v>0.15</v>
      </c>
      <c r="K212" s="13">
        <v>1</v>
      </c>
      <c r="L212" s="13">
        <f>L210*-15%</f>
        <v>0.15</v>
      </c>
      <c r="M212" s="13">
        <v>1</v>
      </c>
      <c r="N212" s="86">
        <f>A210</f>
        <v>207</v>
      </c>
      <c r="O212" s="38"/>
      <c r="Q212" s="13"/>
      <c r="S212" s="13"/>
      <c r="T212" s="13"/>
    </row>
    <row r="213" spans="1:20" s="9" customFormat="1" x14ac:dyDescent="0.25">
      <c r="A213" s="70">
        <f t="shared" si="39"/>
        <v>210</v>
      </c>
      <c r="C213" s="9" t="str">
        <f t="shared" ca="1" si="34"/>
        <v>All products</v>
      </c>
      <c r="D213" s="9" t="str">
        <f t="shared" ca="1" si="35"/>
        <v>Fruit &amp; veg</v>
      </c>
      <c r="E213" s="9">
        <v>1</v>
      </c>
      <c r="F213" s="9">
        <v>21</v>
      </c>
      <c r="G213" s="9">
        <v>7</v>
      </c>
      <c r="H213" s="13">
        <v>0.52312729599999996</v>
      </c>
      <c r="I213" s="13">
        <f>intermediateEstimate</f>
        <v>0.3</v>
      </c>
      <c r="J213" s="13">
        <v>-1</v>
      </c>
      <c r="K213" s="13">
        <f>advancedEstimate</f>
        <v>0.6</v>
      </c>
      <c r="L213" s="13">
        <v>-1</v>
      </c>
      <c r="M213" s="13">
        <f>extremeEstimate</f>
        <v>0.9</v>
      </c>
      <c r="N213" s="86">
        <f>A213</f>
        <v>210</v>
      </c>
      <c r="O213" s="38"/>
      <c r="Q213" s="13"/>
      <c r="S213" s="13"/>
      <c r="T213" s="13"/>
    </row>
    <row r="214" spans="1:20" s="9" customFormat="1" x14ac:dyDescent="0.25">
      <c r="A214" s="70">
        <f t="shared" si="39"/>
        <v>211</v>
      </c>
      <c r="C214" s="9" t="str">
        <f t="shared" ca="1" si="34"/>
        <v>Equipment and transport</v>
      </c>
      <c r="D214" s="9" t="str">
        <f t="shared" ca="1" si="35"/>
        <v>Fruit &amp; veg</v>
      </c>
      <c r="E214" s="9">
        <v>26</v>
      </c>
      <c r="F214" s="9">
        <v>21</v>
      </c>
      <c r="G214" s="9">
        <v>7</v>
      </c>
      <c r="H214" s="13">
        <v>1</v>
      </c>
      <c r="I214" s="13">
        <v>1</v>
      </c>
      <c r="J214" s="13">
        <f>J213*-15%</f>
        <v>0.15</v>
      </c>
      <c r="K214" s="13">
        <v>1</v>
      </c>
      <c r="L214" s="13">
        <f>L213*-15%</f>
        <v>0.15</v>
      </c>
      <c r="M214" s="13">
        <v>1</v>
      </c>
      <c r="N214" s="86">
        <f>A213</f>
        <v>210</v>
      </c>
      <c r="O214" s="38"/>
      <c r="Q214" s="13"/>
      <c r="S214" s="13"/>
      <c r="T214" s="13"/>
    </row>
    <row r="215" spans="1:20" s="9" customFormat="1" x14ac:dyDescent="0.25">
      <c r="A215" s="70">
        <f t="shared" si="39"/>
        <v>212</v>
      </c>
      <c r="C215" s="9" t="str">
        <f t="shared" ca="1" si="34"/>
        <v>Land transport</v>
      </c>
      <c r="D215" s="9" t="str">
        <f t="shared" ca="1" si="35"/>
        <v>Fruit &amp; veg</v>
      </c>
      <c r="E215" s="9">
        <v>9</v>
      </c>
      <c r="F215" s="9">
        <v>21</v>
      </c>
      <c r="G215" s="9">
        <v>7</v>
      </c>
      <c r="H215" s="13">
        <f>100%</f>
        <v>1</v>
      </c>
      <c r="I215" s="13">
        <f>100%</f>
        <v>1</v>
      </c>
      <c r="J215" s="13">
        <f>J213*-15%</f>
        <v>0.15</v>
      </c>
      <c r="K215" s="13">
        <v>1</v>
      </c>
      <c r="L215" s="13">
        <f>L213*-15%</f>
        <v>0.15</v>
      </c>
      <c r="M215" s="13">
        <v>1</v>
      </c>
      <c r="N215" s="86">
        <f>A213</f>
        <v>210</v>
      </c>
      <c r="O215" s="38"/>
      <c r="Q215" s="13"/>
      <c r="S215" s="13"/>
      <c r="T215" s="13"/>
    </row>
    <row r="216" spans="1:20" s="9" customFormat="1" x14ac:dyDescent="0.25">
      <c r="A216" s="70">
        <f t="shared" si="39"/>
        <v>213</v>
      </c>
      <c r="C216" s="9" t="str">
        <f t="shared" ca="1" si="34"/>
        <v>All products</v>
      </c>
      <c r="D216" s="9" t="str">
        <f t="shared" ca="1" si="35"/>
        <v>Oilseeds and pulses</v>
      </c>
      <c r="E216" s="9">
        <v>1</v>
      </c>
      <c r="F216" s="9">
        <v>22</v>
      </c>
      <c r="G216" s="9">
        <v>7</v>
      </c>
      <c r="H216" s="13">
        <v>0.20546560000000014</v>
      </c>
      <c r="I216" s="13">
        <f>intermediateEstimate</f>
        <v>0.3</v>
      </c>
      <c r="J216" s="13">
        <v>-1</v>
      </c>
      <c r="K216" s="13">
        <f>advancedEstimate</f>
        <v>0.6</v>
      </c>
      <c r="L216" s="13">
        <v>-1</v>
      </c>
      <c r="M216" s="13">
        <f>extremeEstimate</f>
        <v>0.9</v>
      </c>
      <c r="N216" s="86">
        <f>A216</f>
        <v>213</v>
      </c>
      <c r="O216" s="38"/>
      <c r="Q216" s="13"/>
      <c r="S216" s="13"/>
      <c r="T216" s="13"/>
    </row>
    <row r="217" spans="1:20" s="9" customFormat="1" x14ac:dyDescent="0.25">
      <c r="A217" s="70">
        <f t="shared" si="39"/>
        <v>214</v>
      </c>
      <c r="C217" s="9" t="str">
        <f t="shared" ca="1" si="34"/>
        <v>Equipment and transport</v>
      </c>
      <c r="D217" s="9" t="str">
        <f t="shared" ca="1" si="35"/>
        <v>Oilseeds and pulses</v>
      </c>
      <c r="E217" s="9">
        <v>26</v>
      </c>
      <c r="F217" s="9">
        <v>22</v>
      </c>
      <c r="G217" s="9">
        <v>7</v>
      </c>
      <c r="H217" s="13">
        <v>1</v>
      </c>
      <c r="I217" s="13">
        <v>1</v>
      </c>
      <c r="J217" s="13">
        <f>J216*-15%</f>
        <v>0.15</v>
      </c>
      <c r="K217" s="13">
        <v>1</v>
      </c>
      <c r="L217" s="13">
        <f>L216*-15%</f>
        <v>0.15</v>
      </c>
      <c r="M217" s="13">
        <v>1</v>
      </c>
      <c r="N217" s="86">
        <f>A216</f>
        <v>213</v>
      </c>
      <c r="O217" s="38"/>
      <c r="Q217" s="13"/>
      <c r="S217" s="13"/>
      <c r="T217" s="13"/>
    </row>
    <row r="218" spans="1:20" s="9" customFormat="1" x14ac:dyDescent="0.25">
      <c r="A218" s="70">
        <f t="shared" si="39"/>
        <v>215</v>
      </c>
      <c r="C218" s="9" t="str">
        <f t="shared" ca="1" si="34"/>
        <v>Land transport</v>
      </c>
      <c r="D218" s="9" t="str">
        <f t="shared" ca="1" si="35"/>
        <v>Oilseeds and pulses</v>
      </c>
      <c r="E218" s="9">
        <v>9</v>
      </c>
      <c r="F218" s="9">
        <v>22</v>
      </c>
      <c r="G218" s="9">
        <v>7</v>
      </c>
      <c r="H218" s="13">
        <f>100%</f>
        <v>1</v>
      </c>
      <c r="I218" s="13">
        <f>100%</f>
        <v>1</v>
      </c>
      <c r="J218" s="13">
        <f>J216*-15%</f>
        <v>0.15</v>
      </c>
      <c r="K218" s="13">
        <v>1</v>
      </c>
      <c r="L218" s="13">
        <f>L216*-15%</f>
        <v>0.15</v>
      </c>
      <c r="M218" s="13">
        <v>1</v>
      </c>
      <c r="N218" s="86">
        <f>A216</f>
        <v>213</v>
      </c>
      <c r="O218" s="38"/>
      <c r="Q218" s="13"/>
      <c r="S218" s="13"/>
      <c r="T218" s="13"/>
    </row>
    <row r="219" spans="1:20" s="9" customFormat="1" x14ac:dyDescent="0.25">
      <c r="A219" s="70">
        <f t="shared" si="39"/>
        <v>216</v>
      </c>
      <c r="C219" s="9" t="str">
        <f t="shared" ca="1" si="34"/>
        <v>All products</v>
      </c>
      <c r="D219" s="9" t="str">
        <f t="shared" ca="1" si="35"/>
        <v>Roots &amp; tubers</v>
      </c>
      <c r="E219" s="9">
        <v>1</v>
      </c>
      <c r="F219" s="9">
        <v>23</v>
      </c>
      <c r="G219" s="9">
        <v>7</v>
      </c>
      <c r="H219" s="13">
        <v>0.60158800000000001</v>
      </c>
      <c r="I219" s="13">
        <f>intermediateEstimate</f>
        <v>0.3</v>
      </c>
      <c r="J219" s="13">
        <v>-1</v>
      </c>
      <c r="K219" s="13">
        <f>advancedEstimate</f>
        <v>0.6</v>
      </c>
      <c r="L219" s="13">
        <v>-1</v>
      </c>
      <c r="M219" s="13">
        <f>extremeEstimate</f>
        <v>0.9</v>
      </c>
      <c r="N219" s="86">
        <f>A219</f>
        <v>216</v>
      </c>
      <c r="O219" s="38"/>
      <c r="Q219" s="13"/>
      <c r="S219" s="13"/>
      <c r="T219" s="13"/>
    </row>
    <row r="220" spans="1:20" s="9" customFormat="1" x14ac:dyDescent="0.25">
      <c r="A220" s="70">
        <f t="shared" si="39"/>
        <v>217</v>
      </c>
      <c r="C220" s="9" t="str">
        <f t="shared" ca="1" si="34"/>
        <v>Equipment and transport</v>
      </c>
      <c r="D220" s="9" t="str">
        <f t="shared" ca="1" si="35"/>
        <v>Roots &amp; tubers</v>
      </c>
      <c r="E220" s="9">
        <v>26</v>
      </c>
      <c r="F220" s="9">
        <v>23</v>
      </c>
      <c r="G220" s="9">
        <v>7</v>
      </c>
      <c r="H220" s="13">
        <v>1</v>
      </c>
      <c r="I220" s="13">
        <v>1</v>
      </c>
      <c r="J220" s="13">
        <f>J219*-15%</f>
        <v>0.15</v>
      </c>
      <c r="K220" s="13">
        <v>1</v>
      </c>
      <c r="L220" s="13">
        <f>L219*-15%</f>
        <v>0.15</v>
      </c>
      <c r="M220" s="13">
        <v>1</v>
      </c>
      <c r="N220" s="86">
        <f>A219</f>
        <v>216</v>
      </c>
      <c r="O220" s="38"/>
      <c r="Q220" s="13"/>
      <c r="S220" s="13"/>
      <c r="T220" s="13"/>
    </row>
    <row r="221" spans="1:20" s="9" customFormat="1" x14ac:dyDescent="0.25">
      <c r="A221" s="70">
        <f t="shared" si="39"/>
        <v>218</v>
      </c>
      <c r="C221" s="9" t="str">
        <f t="shared" ca="1" si="34"/>
        <v>Land transport</v>
      </c>
      <c r="D221" s="9" t="str">
        <f t="shared" ca="1" si="35"/>
        <v>Roots &amp; tubers</v>
      </c>
      <c r="E221" s="9">
        <v>9</v>
      </c>
      <c r="F221" s="9">
        <v>23</v>
      </c>
      <c r="G221" s="9">
        <v>7</v>
      </c>
      <c r="H221" s="13">
        <f>100%</f>
        <v>1</v>
      </c>
      <c r="I221" s="13">
        <f>100%</f>
        <v>1</v>
      </c>
      <c r="J221" s="13">
        <f>J219*-15%</f>
        <v>0.15</v>
      </c>
      <c r="K221" s="13">
        <v>1</v>
      </c>
      <c r="L221" s="13">
        <f>L219*-15%</f>
        <v>0.15</v>
      </c>
      <c r="M221" s="13">
        <v>1</v>
      </c>
      <c r="N221" s="86">
        <f>A219</f>
        <v>216</v>
      </c>
      <c r="O221" s="38"/>
      <c r="Q221" s="13"/>
      <c r="S221" s="13"/>
      <c r="T221" s="13"/>
    </row>
    <row r="222" spans="1:20" s="9" customFormat="1" x14ac:dyDescent="0.25">
      <c r="A222" s="70">
        <f t="shared" si="39"/>
        <v>219</v>
      </c>
      <c r="C222" s="9" t="str">
        <f t="shared" ca="1" si="34"/>
        <v>All products</v>
      </c>
      <c r="D222" s="9" t="str">
        <f t="shared" ca="1" si="35"/>
        <v>Meat</v>
      </c>
      <c r="E222" s="9">
        <v>1</v>
      </c>
      <c r="F222" s="9">
        <v>24</v>
      </c>
      <c r="G222" s="9">
        <v>7</v>
      </c>
      <c r="H222" s="13">
        <v>0.22456151200000019</v>
      </c>
      <c r="I222" s="13">
        <f>intermediateEstimate</f>
        <v>0.3</v>
      </c>
      <c r="J222" s="13">
        <v>-1</v>
      </c>
      <c r="K222" s="13">
        <f>advancedEstimate</f>
        <v>0.6</v>
      </c>
      <c r="L222" s="13">
        <v>-1</v>
      </c>
      <c r="M222" s="13">
        <f>extremeEstimate</f>
        <v>0.9</v>
      </c>
      <c r="N222" s="86">
        <f>A222</f>
        <v>219</v>
      </c>
      <c r="O222" s="38"/>
      <c r="Q222" s="13"/>
      <c r="S222" s="13"/>
      <c r="T222" s="13"/>
    </row>
    <row r="223" spans="1:20" s="9" customFormat="1" x14ac:dyDescent="0.25">
      <c r="A223" s="70">
        <f t="shared" si="39"/>
        <v>220</v>
      </c>
      <c r="C223" s="9" t="str">
        <f t="shared" ref="C223:C286" ca="1" si="40">INDIRECT(ADDRESS(E223+2,2,,,"product Table"))</f>
        <v>Equipment and transport</v>
      </c>
      <c r="D223" s="9" t="str">
        <f t="shared" ref="D223:D286" ca="1" si="41">INDIRECT(ADDRESS(F223+2,2,,,"industry Table"))</f>
        <v>Meat</v>
      </c>
      <c r="E223" s="9">
        <v>26</v>
      </c>
      <c r="F223" s="9">
        <v>24</v>
      </c>
      <c r="G223" s="9">
        <v>7</v>
      </c>
      <c r="H223" s="13">
        <v>1</v>
      </c>
      <c r="I223" s="13">
        <v>1</v>
      </c>
      <c r="J223" s="13">
        <f>J222*-15%</f>
        <v>0.15</v>
      </c>
      <c r="K223" s="13">
        <v>1</v>
      </c>
      <c r="L223" s="13">
        <f>L222*-15%</f>
        <v>0.15</v>
      </c>
      <c r="M223" s="13">
        <v>1</v>
      </c>
      <c r="N223" s="86">
        <f>A222</f>
        <v>219</v>
      </c>
      <c r="O223" s="38"/>
      <c r="Q223" s="13"/>
      <c r="S223" s="13"/>
      <c r="T223" s="13"/>
    </row>
    <row r="224" spans="1:20" s="9" customFormat="1" x14ac:dyDescent="0.25">
      <c r="A224" s="70">
        <f t="shared" si="39"/>
        <v>221</v>
      </c>
      <c r="C224" s="9" t="str">
        <f t="shared" ca="1" si="40"/>
        <v>Land transport</v>
      </c>
      <c r="D224" s="9" t="str">
        <f t="shared" ca="1" si="41"/>
        <v>Meat</v>
      </c>
      <c r="E224" s="9">
        <v>9</v>
      </c>
      <c r="F224" s="9">
        <v>24</v>
      </c>
      <c r="G224" s="9">
        <v>7</v>
      </c>
      <c r="H224" s="13">
        <f>100%</f>
        <v>1</v>
      </c>
      <c r="I224" s="13">
        <f>100%</f>
        <v>1</v>
      </c>
      <c r="J224" s="13">
        <f>J222*-15%</f>
        <v>0.15</v>
      </c>
      <c r="K224" s="13">
        <v>1</v>
      </c>
      <c r="L224" s="13">
        <f>L222*-15%</f>
        <v>0.15</v>
      </c>
      <c r="M224" s="13">
        <v>1</v>
      </c>
      <c r="N224" s="86">
        <f>A222</f>
        <v>219</v>
      </c>
      <c r="O224" s="38"/>
      <c r="Q224" s="13"/>
      <c r="S224" s="13"/>
      <c r="T224" s="13"/>
    </row>
    <row r="225" spans="1:20" s="9" customFormat="1" x14ac:dyDescent="0.25">
      <c r="A225" s="70">
        <f t="shared" si="39"/>
        <v>222</v>
      </c>
      <c r="C225" s="9" t="str">
        <f t="shared" ca="1" si="40"/>
        <v>All products</v>
      </c>
      <c r="D225" s="9" t="str">
        <f t="shared" ca="1" si="41"/>
        <v>Milk</v>
      </c>
      <c r="E225" s="9">
        <v>1</v>
      </c>
      <c r="F225" s="9">
        <v>25</v>
      </c>
      <c r="G225" s="9">
        <v>7</v>
      </c>
      <c r="H225" s="13">
        <v>0.19767680982499991</v>
      </c>
      <c r="I225" s="13">
        <f>intermediateEstimate</f>
        <v>0.3</v>
      </c>
      <c r="J225" s="13">
        <v>-1</v>
      </c>
      <c r="K225" s="13">
        <f>advancedEstimate</f>
        <v>0.6</v>
      </c>
      <c r="L225" s="13">
        <v>-1</v>
      </c>
      <c r="M225" s="13">
        <f>extremeEstimate</f>
        <v>0.9</v>
      </c>
      <c r="N225" s="86">
        <f>A225</f>
        <v>222</v>
      </c>
      <c r="O225" s="38"/>
      <c r="Q225" s="13"/>
      <c r="S225" s="13"/>
      <c r="T225" s="13"/>
    </row>
    <row r="226" spans="1:20" s="9" customFormat="1" x14ac:dyDescent="0.25">
      <c r="A226" s="70">
        <f t="shared" si="39"/>
        <v>223</v>
      </c>
      <c r="C226" s="9" t="str">
        <f t="shared" ca="1" si="40"/>
        <v>Equipment and transport</v>
      </c>
      <c r="D226" s="9" t="str">
        <f t="shared" ca="1" si="41"/>
        <v>Milk</v>
      </c>
      <c r="E226" s="9">
        <v>26</v>
      </c>
      <c r="F226" s="9">
        <v>25</v>
      </c>
      <c r="G226" s="9">
        <v>7</v>
      </c>
      <c r="H226" s="13">
        <v>1</v>
      </c>
      <c r="I226" s="13">
        <v>1</v>
      </c>
      <c r="J226" s="13">
        <f>J225*-15%</f>
        <v>0.15</v>
      </c>
      <c r="K226" s="13">
        <v>1</v>
      </c>
      <c r="L226" s="13">
        <f>L225*-15%</f>
        <v>0.15</v>
      </c>
      <c r="M226" s="13">
        <v>1</v>
      </c>
      <c r="N226" s="86">
        <f>A225</f>
        <v>222</v>
      </c>
      <c r="O226" s="38"/>
      <c r="Q226" s="13"/>
      <c r="S226" s="13"/>
      <c r="T226" s="13"/>
    </row>
    <row r="227" spans="1:20" s="9" customFormat="1" x14ac:dyDescent="0.25">
      <c r="A227" s="70">
        <f t="shared" si="39"/>
        <v>224</v>
      </c>
      <c r="C227" s="9" t="str">
        <f t="shared" ca="1" si="40"/>
        <v>Land transport</v>
      </c>
      <c r="D227" s="9" t="str">
        <f t="shared" ca="1" si="41"/>
        <v>Milk</v>
      </c>
      <c r="E227" s="9">
        <v>9</v>
      </c>
      <c r="F227" s="9">
        <v>25</v>
      </c>
      <c r="G227" s="9">
        <v>7</v>
      </c>
      <c r="H227" s="13">
        <f>100%</f>
        <v>1</v>
      </c>
      <c r="I227" s="13">
        <f>100%</f>
        <v>1</v>
      </c>
      <c r="J227" s="13">
        <f>J225*-15%</f>
        <v>0.15</v>
      </c>
      <c r="K227" s="13">
        <v>1</v>
      </c>
      <c r="L227" s="13">
        <f>L225*-15%</f>
        <v>0.15</v>
      </c>
      <c r="M227" s="13">
        <v>1</v>
      </c>
      <c r="N227" s="86">
        <f>A225</f>
        <v>222</v>
      </c>
      <c r="O227" s="38"/>
      <c r="Q227" s="13"/>
      <c r="S227" s="13"/>
      <c r="T227" s="13"/>
    </row>
    <row r="228" spans="1:20" s="9" customFormat="1" x14ac:dyDescent="0.25">
      <c r="A228" s="70">
        <f t="shared" si="39"/>
        <v>225</v>
      </c>
      <c r="C228" s="9" t="str">
        <f t="shared" ca="1" si="40"/>
        <v>All products</v>
      </c>
      <c r="D228" s="9" t="str">
        <f t="shared" ca="1" si="41"/>
        <v>Fish &amp; seafood</v>
      </c>
      <c r="E228" s="9">
        <v>1</v>
      </c>
      <c r="F228" s="9">
        <v>26</v>
      </c>
      <c r="G228" s="9">
        <v>7</v>
      </c>
      <c r="H228" s="13">
        <v>0.49817787920000001</v>
      </c>
      <c r="I228" s="13">
        <f>intermediateEstimate</f>
        <v>0.3</v>
      </c>
      <c r="J228" s="13">
        <v>-1</v>
      </c>
      <c r="K228" s="13">
        <f>advancedEstimate</f>
        <v>0.6</v>
      </c>
      <c r="L228" s="13">
        <v>-1</v>
      </c>
      <c r="M228" s="13">
        <f>extremeEstimate</f>
        <v>0.9</v>
      </c>
      <c r="N228" s="86">
        <f>A228</f>
        <v>225</v>
      </c>
      <c r="O228" s="38"/>
      <c r="Q228" s="13"/>
      <c r="S228" s="13"/>
      <c r="T228" s="13"/>
    </row>
    <row r="229" spans="1:20" s="9" customFormat="1" x14ac:dyDescent="0.25">
      <c r="A229" s="70">
        <f t="shared" si="39"/>
        <v>226</v>
      </c>
      <c r="C229" s="9" t="str">
        <f t="shared" ca="1" si="40"/>
        <v>Equipment and transport</v>
      </c>
      <c r="D229" s="9" t="str">
        <f t="shared" ca="1" si="41"/>
        <v>Fish &amp; seafood</v>
      </c>
      <c r="E229" s="9">
        <v>26</v>
      </c>
      <c r="F229" s="9">
        <v>26</v>
      </c>
      <c r="G229" s="9">
        <v>7</v>
      </c>
      <c r="H229" s="13">
        <v>1</v>
      </c>
      <c r="I229" s="13">
        <v>1</v>
      </c>
      <c r="J229" s="13">
        <f>J228*-15%</f>
        <v>0.15</v>
      </c>
      <c r="K229" s="13">
        <v>1</v>
      </c>
      <c r="L229" s="13">
        <f>L228*-15%</f>
        <v>0.15</v>
      </c>
      <c r="M229" s="13">
        <v>1</v>
      </c>
      <c r="N229" s="86">
        <f>A228</f>
        <v>225</v>
      </c>
      <c r="O229" s="38"/>
      <c r="Q229" s="13"/>
      <c r="S229" s="13"/>
      <c r="T229" s="13"/>
    </row>
    <row r="230" spans="1:20" s="9" customFormat="1" x14ac:dyDescent="0.25">
      <c r="A230" s="70">
        <f t="shared" si="39"/>
        <v>227</v>
      </c>
      <c r="C230" s="9" t="str">
        <f t="shared" ca="1" si="40"/>
        <v>Land transport</v>
      </c>
      <c r="D230" s="9" t="str">
        <f t="shared" ca="1" si="41"/>
        <v>Fish &amp; seafood</v>
      </c>
      <c r="E230" s="9">
        <v>9</v>
      </c>
      <c r="F230" s="9">
        <v>26</v>
      </c>
      <c r="G230" s="9">
        <v>7</v>
      </c>
      <c r="H230" s="13">
        <f>100%</f>
        <v>1</v>
      </c>
      <c r="I230" s="13">
        <f>100%</f>
        <v>1</v>
      </c>
      <c r="J230" s="13">
        <f>J228*-15%</f>
        <v>0.15</v>
      </c>
      <c r="K230" s="13">
        <v>1</v>
      </c>
      <c r="L230" s="13">
        <f>L228*-15%</f>
        <v>0.15</v>
      </c>
      <c r="M230" s="13">
        <v>1</v>
      </c>
      <c r="N230" s="86">
        <f>A228</f>
        <v>225</v>
      </c>
      <c r="O230" s="38"/>
      <c r="Q230" s="13"/>
      <c r="S230" s="13"/>
      <c r="T230" s="13"/>
    </row>
    <row r="231" spans="1:20" s="9" customFormat="1" x14ac:dyDescent="0.25">
      <c r="A231" s="70">
        <f t="shared" si="39"/>
        <v>228</v>
      </c>
      <c r="B231" s="9" t="s">
        <v>390</v>
      </c>
      <c r="C231" s="9" t="str">
        <f t="shared" ca="1" si="40"/>
        <v>All products</v>
      </c>
      <c r="D231" s="9" t="str">
        <f t="shared" ca="1" si="41"/>
        <v xml:space="preserve">Cereals </v>
      </c>
      <c r="E231" s="9">
        <v>1</v>
      </c>
      <c r="F231" s="9">
        <v>20</v>
      </c>
      <c r="G231" s="9">
        <v>8</v>
      </c>
      <c r="H231" s="13">
        <v>0.37766079999999991</v>
      </c>
      <c r="I231" s="13">
        <f>intermediateEstimate</f>
        <v>0.3</v>
      </c>
      <c r="J231" s="13">
        <v>-1</v>
      </c>
      <c r="K231" s="13">
        <f>advancedEstimate</f>
        <v>0.6</v>
      </c>
      <c r="L231" s="13">
        <v>-1</v>
      </c>
      <c r="M231" s="13">
        <f>extremeEstimate</f>
        <v>0.9</v>
      </c>
      <c r="N231" s="86">
        <f>A231</f>
        <v>228</v>
      </c>
      <c r="O231" s="38"/>
      <c r="Q231" s="13"/>
      <c r="S231" s="13"/>
      <c r="T231" s="13"/>
    </row>
    <row r="232" spans="1:20" s="9" customFormat="1" x14ac:dyDescent="0.25">
      <c r="A232" s="70">
        <f t="shared" si="39"/>
        <v>229</v>
      </c>
      <c r="C232" s="9" t="str">
        <f t="shared" ca="1" si="40"/>
        <v>Equipment and transport</v>
      </c>
      <c r="D232" s="9" t="str">
        <f t="shared" ca="1" si="41"/>
        <v xml:space="preserve">Cereals </v>
      </c>
      <c r="E232" s="9">
        <v>26</v>
      </c>
      <c r="F232" s="9">
        <v>20</v>
      </c>
      <c r="G232" s="9">
        <v>8</v>
      </c>
      <c r="H232" s="13">
        <v>1</v>
      </c>
      <c r="I232" s="13">
        <v>1</v>
      </c>
      <c r="J232" s="13">
        <f>J231*-15%</f>
        <v>0.15</v>
      </c>
      <c r="K232" s="13">
        <v>1</v>
      </c>
      <c r="L232" s="13">
        <f>L231*-15%</f>
        <v>0.15</v>
      </c>
      <c r="M232" s="13">
        <v>1</v>
      </c>
      <c r="N232" s="86">
        <f>A231</f>
        <v>228</v>
      </c>
      <c r="O232" s="38"/>
      <c r="Q232" s="13"/>
      <c r="S232" s="13"/>
      <c r="T232" s="13"/>
    </row>
    <row r="233" spans="1:20" s="9" customFormat="1" x14ac:dyDescent="0.25">
      <c r="A233" s="70">
        <f t="shared" si="39"/>
        <v>230</v>
      </c>
      <c r="C233" s="9" t="str">
        <f t="shared" ca="1" si="40"/>
        <v>Land transport</v>
      </c>
      <c r="D233" s="9" t="str">
        <f t="shared" ca="1" si="41"/>
        <v xml:space="preserve">Cereals </v>
      </c>
      <c r="E233" s="9">
        <v>9</v>
      </c>
      <c r="F233" s="9">
        <v>20</v>
      </c>
      <c r="G233" s="9">
        <v>8</v>
      </c>
      <c r="H233" s="13">
        <f>100%</f>
        <v>1</v>
      </c>
      <c r="I233" s="13">
        <f>100%</f>
        <v>1</v>
      </c>
      <c r="J233" s="13">
        <f>J231*-15%</f>
        <v>0.15</v>
      </c>
      <c r="K233" s="13">
        <v>1</v>
      </c>
      <c r="L233" s="13">
        <f>L231*-15%</f>
        <v>0.15</v>
      </c>
      <c r="M233" s="13">
        <v>1</v>
      </c>
      <c r="N233" s="86">
        <f>A231</f>
        <v>228</v>
      </c>
      <c r="O233" s="38"/>
      <c r="Q233" s="13"/>
      <c r="S233" s="13"/>
      <c r="T233" s="13"/>
    </row>
    <row r="234" spans="1:20" s="9" customFormat="1" x14ac:dyDescent="0.25">
      <c r="A234" s="70">
        <f t="shared" si="39"/>
        <v>231</v>
      </c>
      <c r="C234" s="9" t="str">
        <f t="shared" ca="1" si="40"/>
        <v>All products</v>
      </c>
      <c r="D234" s="9" t="str">
        <f t="shared" ca="1" si="41"/>
        <v>Fruit &amp; veg</v>
      </c>
      <c r="E234" s="9">
        <v>1</v>
      </c>
      <c r="F234" s="9">
        <v>21</v>
      </c>
      <c r="G234" s="9">
        <v>8</v>
      </c>
      <c r="H234" s="13">
        <v>0.36545391999999988</v>
      </c>
      <c r="I234" s="13">
        <f>intermediateEstimate</f>
        <v>0.3</v>
      </c>
      <c r="J234" s="13">
        <v>-1</v>
      </c>
      <c r="K234" s="13">
        <f>advancedEstimate</f>
        <v>0.6</v>
      </c>
      <c r="L234" s="13">
        <v>-1</v>
      </c>
      <c r="M234" s="13">
        <f>extremeEstimate</f>
        <v>0.9</v>
      </c>
      <c r="N234" s="86">
        <f>A234</f>
        <v>231</v>
      </c>
      <c r="O234" s="38"/>
      <c r="Q234" s="13"/>
      <c r="S234" s="13"/>
      <c r="T234" s="13"/>
    </row>
    <row r="235" spans="1:20" s="9" customFormat="1" x14ac:dyDescent="0.25">
      <c r="A235" s="70">
        <f t="shared" si="39"/>
        <v>232</v>
      </c>
      <c r="C235" s="9" t="str">
        <f t="shared" ca="1" si="40"/>
        <v>Equipment and transport</v>
      </c>
      <c r="D235" s="9" t="str">
        <f t="shared" ca="1" si="41"/>
        <v>Fruit &amp; veg</v>
      </c>
      <c r="E235" s="9">
        <v>26</v>
      </c>
      <c r="F235" s="9">
        <v>21</v>
      </c>
      <c r="G235" s="9">
        <v>8</v>
      </c>
      <c r="H235" s="13">
        <v>1</v>
      </c>
      <c r="I235" s="13">
        <v>1</v>
      </c>
      <c r="J235" s="13">
        <f>J234*-15%</f>
        <v>0.15</v>
      </c>
      <c r="K235" s="13">
        <v>1</v>
      </c>
      <c r="L235" s="13">
        <f>L234*-15%</f>
        <v>0.15</v>
      </c>
      <c r="M235" s="13">
        <v>1</v>
      </c>
      <c r="N235" s="86">
        <f>A234</f>
        <v>231</v>
      </c>
      <c r="O235" s="38"/>
    </row>
    <row r="236" spans="1:20" s="9" customFormat="1" x14ac:dyDescent="0.25">
      <c r="A236" s="70">
        <f t="shared" si="39"/>
        <v>233</v>
      </c>
      <c r="C236" s="9" t="str">
        <f t="shared" ca="1" si="40"/>
        <v>Land transport</v>
      </c>
      <c r="D236" s="9" t="str">
        <f t="shared" ca="1" si="41"/>
        <v>Fruit &amp; veg</v>
      </c>
      <c r="E236" s="9">
        <v>9</v>
      </c>
      <c r="F236" s="9">
        <v>21</v>
      </c>
      <c r="G236" s="9">
        <v>8</v>
      </c>
      <c r="H236" s="13">
        <f>100%</f>
        <v>1</v>
      </c>
      <c r="I236" s="13">
        <f>100%</f>
        <v>1</v>
      </c>
      <c r="J236" s="13">
        <f>J234*-15%</f>
        <v>0.15</v>
      </c>
      <c r="K236" s="13">
        <v>1</v>
      </c>
      <c r="L236" s="13">
        <f>L234*-15%</f>
        <v>0.15</v>
      </c>
      <c r="M236" s="13">
        <v>1</v>
      </c>
      <c r="N236" s="86">
        <f>A234</f>
        <v>231</v>
      </c>
      <c r="O236" s="38"/>
    </row>
    <row r="237" spans="1:20" s="9" customFormat="1" x14ac:dyDescent="0.25">
      <c r="A237" s="70">
        <f t="shared" si="39"/>
        <v>234</v>
      </c>
      <c r="C237" s="9" t="str">
        <f t="shared" ca="1" si="40"/>
        <v>All products</v>
      </c>
      <c r="D237" s="9" t="str">
        <f t="shared" ca="1" si="41"/>
        <v>Oilseeds and pulses</v>
      </c>
      <c r="E237" s="9">
        <v>1</v>
      </c>
      <c r="F237" s="9">
        <v>22</v>
      </c>
      <c r="G237" s="9">
        <v>8</v>
      </c>
      <c r="H237" s="13">
        <v>0.17675401600000007</v>
      </c>
      <c r="I237" s="13">
        <f>intermediateEstimate</f>
        <v>0.3</v>
      </c>
      <c r="J237" s="13">
        <v>-1</v>
      </c>
      <c r="K237" s="13">
        <f>advancedEstimate</f>
        <v>0.6</v>
      </c>
      <c r="L237" s="13">
        <v>-1</v>
      </c>
      <c r="M237" s="13">
        <f>extremeEstimate</f>
        <v>0.9</v>
      </c>
      <c r="N237" s="86">
        <f>A237</f>
        <v>234</v>
      </c>
      <c r="O237" s="38"/>
    </row>
    <row r="238" spans="1:20" s="9" customFormat="1" x14ac:dyDescent="0.25">
      <c r="A238" s="70">
        <f t="shared" si="39"/>
        <v>235</v>
      </c>
      <c r="C238" s="9" t="str">
        <f t="shared" ca="1" si="40"/>
        <v>Equipment and transport</v>
      </c>
      <c r="D238" s="9" t="str">
        <f t="shared" ca="1" si="41"/>
        <v>Oilseeds and pulses</v>
      </c>
      <c r="E238" s="9">
        <v>26</v>
      </c>
      <c r="F238" s="9">
        <v>22</v>
      </c>
      <c r="G238" s="9">
        <v>8</v>
      </c>
      <c r="H238" s="13">
        <v>1</v>
      </c>
      <c r="I238" s="13">
        <v>1</v>
      </c>
      <c r="J238" s="13">
        <f>J237*-15%</f>
        <v>0.15</v>
      </c>
      <c r="K238" s="13">
        <v>1</v>
      </c>
      <c r="L238" s="13">
        <f>L237*-15%</f>
        <v>0.15</v>
      </c>
      <c r="M238" s="13">
        <v>1</v>
      </c>
      <c r="N238" s="86">
        <f>A237</f>
        <v>234</v>
      </c>
      <c r="O238" s="38"/>
    </row>
    <row r="239" spans="1:20" s="9" customFormat="1" x14ac:dyDescent="0.25">
      <c r="A239" s="70">
        <f t="shared" si="39"/>
        <v>236</v>
      </c>
      <c r="C239" s="9" t="str">
        <f t="shared" ca="1" si="40"/>
        <v>Land transport</v>
      </c>
      <c r="D239" s="9" t="str">
        <f t="shared" ca="1" si="41"/>
        <v>Oilseeds and pulses</v>
      </c>
      <c r="E239" s="9">
        <v>9</v>
      </c>
      <c r="F239" s="9">
        <v>22</v>
      </c>
      <c r="G239" s="9">
        <v>8</v>
      </c>
      <c r="H239" s="13">
        <f>100%</f>
        <v>1</v>
      </c>
      <c r="I239" s="13">
        <f>100%</f>
        <v>1</v>
      </c>
      <c r="J239" s="13">
        <f>J237*-15%</f>
        <v>0.15</v>
      </c>
      <c r="K239" s="13">
        <v>1</v>
      </c>
      <c r="L239" s="13">
        <f>L237*-15%</f>
        <v>0.15</v>
      </c>
      <c r="M239" s="13">
        <v>1</v>
      </c>
      <c r="N239" s="86">
        <f>A237</f>
        <v>234</v>
      </c>
      <c r="O239" s="38"/>
    </row>
    <row r="240" spans="1:20" s="9" customFormat="1" x14ac:dyDescent="0.25">
      <c r="A240" s="70">
        <f t="shared" si="39"/>
        <v>237</v>
      </c>
      <c r="C240" s="9" t="str">
        <f t="shared" ca="1" si="40"/>
        <v>All products</v>
      </c>
      <c r="D240" s="9" t="str">
        <f t="shared" ca="1" si="41"/>
        <v>Roots &amp; tubers</v>
      </c>
      <c r="E240" s="9">
        <v>1</v>
      </c>
      <c r="F240" s="9">
        <v>23</v>
      </c>
      <c r="G240" s="9">
        <v>8</v>
      </c>
      <c r="H240" s="13">
        <v>0.48206439999999995</v>
      </c>
      <c r="I240" s="13">
        <f>intermediateEstimate</f>
        <v>0.3</v>
      </c>
      <c r="J240" s="13">
        <v>-1</v>
      </c>
      <c r="K240" s="13">
        <f>advancedEstimate</f>
        <v>0.6</v>
      </c>
      <c r="L240" s="13">
        <v>-1</v>
      </c>
      <c r="M240" s="13">
        <f>extremeEstimate</f>
        <v>0.9</v>
      </c>
      <c r="N240" s="86">
        <f>A240</f>
        <v>237</v>
      </c>
      <c r="O240" s="38"/>
    </row>
    <row r="241" spans="1:24" s="9" customFormat="1" x14ac:dyDescent="0.25">
      <c r="A241" s="70">
        <f t="shared" si="39"/>
        <v>238</v>
      </c>
      <c r="C241" s="9" t="str">
        <f t="shared" ca="1" si="40"/>
        <v>Equipment and transport</v>
      </c>
      <c r="D241" s="9" t="str">
        <f t="shared" ca="1" si="41"/>
        <v>Roots &amp; tubers</v>
      </c>
      <c r="E241" s="9">
        <v>26</v>
      </c>
      <c r="F241" s="9">
        <v>23</v>
      </c>
      <c r="G241" s="9">
        <v>8</v>
      </c>
      <c r="H241" s="13">
        <v>1</v>
      </c>
      <c r="I241" s="13">
        <v>1</v>
      </c>
      <c r="J241" s="13">
        <f>J240*-15%</f>
        <v>0.15</v>
      </c>
      <c r="K241" s="13">
        <v>1</v>
      </c>
      <c r="L241" s="13">
        <f>L240*-15%</f>
        <v>0.15</v>
      </c>
      <c r="M241" s="13">
        <v>1</v>
      </c>
      <c r="N241" s="86">
        <f>A240</f>
        <v>237</v>
      </c>
      <c r="O241" s="38"/>
      <c r="X241" s="87"/>
    </row>
    <row r="242" spans="1:24" s="9" customFormat="1" x14ac:dyDescent="0.25">
      <c r="A242" s="70">
        <f t="shared" si="39"/>
        <v>239</v>
      </c>
      <c r="C242" s="9" t="str">
        <f t="shared" ca="1" si="40"/>
        <v>Land transport</v>
      </c>
      <c r="D242" s="9" t="str">
        <f t="shared" ca="1" si="41"/>
        <v>Roots &amp; tubers</v>
      </c>
      <c r="E242" s="9">
        <v>9</v>
      </c>
      <c r="F242" s="9">
        <v>23</v>
      </c>
      <c r="G242" s="9">
        <v>8</v>
      </c>
      <c r="H242" s="13">
        <f>100%</f>
        <v>1</v>
      </c>
      <c r="I242" s="13">
        <f>100%</f>
        <v>1</v>
      </c>
      <c r="J242" s="13">
        <f>J240*-15%</f>
        <v>0.15</v>
      </c>
      <c r="K242" s="13">
        <v>1</v>
      </c>
      <c r="L242" s="13">
        <f>L240*-15%</f>
        <v>0.15</v>
      </c>
      <c r="M242" s="13">
        <v>1</v>
      </c>
      <c r="N242" s="86">
        <f>A240</f>
        <v>237</v>
      </c>
      <c r="O242" s="38"/>
      <c r="X242" s="87"/>
    </row>
    <row r="243" spans="1:24" s="9" customFormat="1" x14ac:dyDescent="0.25">
      <c r="A243" s="70">
        <f t="shared" si="39"/>
        <v>240</v>
      </c>
      <c r="C243" s="9" t="str">
        <f t="shared" ca="1" si="40"/>
        <v>All products</v>
      </c>
      <c r="D243" s="9" t="str">
        <f t="shared" ca="1" si="41"/>
        <v>Meat</v>
      </c>
      <c r="E243" s="9">
        <v>1</v>
      </c>
      <c r="F243" s="9">
        <v>24</v>
      </c>
      <c r="G243" s="9">
        <v>8</v>
      </c>
      <c r="H243" s="13">
        <v>0.20705164856000002</v>
      </c>
      <c r="I243" s="13">
        <f>intermediateEstimate</f>
        <v>0.3</v>
      </c>
      <c r="J243" s="13">
        <v>-1</v>
      </c>
      <c r="K243" s="13">
        <f>advancedEstimate</f>
        <v>0.6</v>
      </c>
      <c r="L243" s="13">
        <v>-1</v>
      </c>
      <c r="M243" s="13">
        <f>extremeEstimate</f>
        <v>0.9</v>
      </c>
      <c r="N243" s="86">
        <f>A243</f>
        <v>240</v>
      </c>
      <c r="O243" s="38"/>
    </row>
    <row r="244" spans="1:24" s="9" customFormat="1" x14ac:dyDescent="0.25">
      <c r="A244" s="70">
        <f t="shared" si="39"/>
        <v>241</v>
      </c>
      <c r="C244" s="9" t="str">
        <f t="shared" ca="1" si="40"/>
        <v>Equipment and transport</v>
      </c>
      <c r="D244" s="9" t="str">
        <f t="shared" ca="1" si="41"/>
        <v>Meat</v>
      </c>
      <c r="E244" s="9">
        <v>26</v>
      </c>
      <c r="F244" s="9">
        <v>24</v>
      </c>
      <c r="G244" s="9">
        <v>8</v>
      </c>
      <c r="H244" s="13">
        <v>1</v>
      </c>
      <c r="I244" s="13">
        <v>1</v>
      </c>
      <c r="J244" s="13">
        <f>J243*-15%</f>
        <v>0.15</v>
      </c>
      <c r="K244" s="13">
        <v>1</v>
      </c>
      <c r="L244" s="13">
        <f>L243*-15%</f>
        <v>0.15</v>
      </c>
      <c r="M244" s="13">
        <v>1</v>
      </c>
      <c r="N244" s="86">
        <f>A243</f>
        <v>240</v>
      </c>
      <c r="O244" s="38"/>
    </row>
    <row r="245" spans="1:24" s="9" customFormat="1" x14ac:dyDescent="0.25">
      <c r="A245" s="70">
        <f t="shared" ref="A245:A308" si="42">1+A244</f>
        <v>242</v>
      </c>
      <c r="C245" s="9" t="str">
        <f t="shared" ca="1" si="40"/>
        <v>Land transport</v>
      </c>
      <c r="D245" s="9" t="str">
        <f t="shared" ca="1" si="41"/>
        <v>Meat</v>
      </c>
      <c r="E245" s="9">
        <v>9</v>
      </c>
      <c r="F245" s="9">
        <v>24</v>
      </c>
      <c r="G245" s="9">
        <v>8</v>
      </c>
      <c r="H245" s="13">
        <f>100%</f>
        <v>1</v>
      </c>
      <c r="I245" s="13">
        <f>100%</f>
        <v>1</v>
      </c>
      <c r="J245" s="13">
        <f>J243*-15%</f>
        <v>0.15</v>
      </c>
      <c r="K245" s="13">
        <v>1</v>
      </c>
      <c r="L245" s="13">
        <f>L243*-15%</f>
        <v>0.15</v>
      </c>
      <c r="M245" s="13">
        <v>1</v>
      </c>
      <c r="N245" s="86">
        <f>A243</f>
        <v>240</v>
      </c>
      <c r="O245" s="38"/>
    </row>
    <row r="246" spans="1:24" s="9" customFormat="1" x14ac:dyDescent="0.25">
      <c r="A246" s="70">
        <f t="shared" si="42"/>
        <v>243</v>
      </c>
      <c r="C246" s="9" t="str">
        <f t="shared" ca="1" si="40"/>
        <v>All products</v>
      </c>
      <c r="D246" s="9" t="str">
        <f t="shared" ca="1" si="41"/>
        <v>Milk</v>
      </c>
      <c r="E246" s="9">
        <v>1</v>
      </c>
      <c r="F246" s="9">
        <v>25</v>
      </c>
      <c r="G246" s="9">
        <v>8</v>
      </c>
      <c r="H246" s="13">
        <v>0.1077919475500001</v>
      </c>
      <c r="I246" s="13">
        <f>intermediateEstimate</f>
        <v>0.3</v>
      </c>
      <c r="J246" s="13">
        <v>-1</v>
      </c>
      <c r="K246" s="13">
        <f>advancedEstimate</f>
        <v>0.6</v>
      </c>
      <c r="L246" s="13">
        <v>-1</v>
      </c>
      <c r="M246" s="13">
        <f>extremeEstimate</f>
        <v>0.9</v>
      </c>
      <c r="N246" s="86">
        <f>A246</f>
        <v>243</v>
      </c>
      <c r="O246" s="38"/>
      <c r="X246" s="74"/>
    </row>
    <row r="247" spans="1:24" s="9" customFormat="1" x14ac:dyDescent="0.25">
      <c r="A247" s="70">
        <f t="shared" si="42"/>
        <v>244</v>
      </c>
      <c r="C247" s="9" t="str">
        <f t="shared" ca="1" si="40"/>
        <v>Equipment and transport</v>
      </c>
      <c r="D247" s="9" t="str">
        <f t="shared" ca="1" si="41"/>
        <v>Milk</v>
      </c>
      <c r="E247" s="9">
        <v>26</v>
      </c>
      <c r="F247" s="9">
        <v>25</v>
      </c>
      <c r="G247" s="9">
        <v>8</v>
      </c>
      <c r="H247" s="13">
        <v>1</v>
      </c>
      <c r="I247" s="13">
        <v>1</v>
      </c>
      <c r="J247" s="13">
        <f>J246*-15%</f>
        <v>0.15</v>
      </c>
      <c r="K247" s="13">
        <v>1</v>
      </c>
      <c r="L247" s="13">
        <f>L246*-15%</f>
        <v>0.15</v>
      </c>
      <c r="M247" s="13">
        <v>1</v>
      </c>
      <c r="N247" s="86">
        <f>A246</f>
        <v>243</v>
      </c>
      <c r="O247" s="38"/>
    </row>
    <row r="248" spans="1:24" s="9" customFormat="1" x14ac:dyDescent="0.25">
      <c r="A248" s="70">
        <f t="shared" si="42"/>
        <v>245</v>
      </c>
      <c r="C248" s="9" t="str">
        <f t="shared" ca="1" si="40"/>
        <v>Land transport</v>
      </c>
      <c r="D248" s="9" t="str">
        <f t="shared" ca="1" si="41"/>
        <v>Milk</v>
      </c>
      <c r="E248" s="9">
        <v>9</v>
      </c>
      <c r="F248" s="9">
        <v>25</v>
      </c>
      <c r="G248" s="9">
        <v>8</v>
      </c>
      <c r="H248" s="13">
        <f>100%</f>
        <v>1</v>
      </c>
      <c r="I248" s="13">
        <f>100%</f>
        <v>1</v>
      </c>
      <c r="J248" s="13">
        <f>J246*-15%</f>
        <v>0.15</v>
      </c>
      <c r="K248" s="13">
        <v>1</v>
      </c>
      <c r="L248" s="13">
        <f>L246*-15%</f>
        <v>0.15</v>
      </c>
      <c r="M248" s="13">
        <v>1</v>
      </c>
      <c r="N248" s="86">
        <f>A246</f>
        <v>243</v>
      </c>
      <c r="O248" s="38"/>
    </row>
    <row r="249" spans="1:24" s="9" customFormat="1" x14ac:dyDescent="0.25">
      <c r="A249" s="70">
        <f t="shared" si="42"/>
        <v>246</v>
      </c>
      <c r="C249" s="9" t="str">
        <f t="shared" ca="1" si="40"/>
        <v>All products</v>
      </c>
      <c r="D249" s="9" t="str">
        <f t="shared" ca="1" si="41"/>
        <v>Fish &amp; seafood</v>
      </c>
      <c r="E249" s="9">
        <v>1</v>
      </c>
      <c r="F249" s="9">
        <v>26</v>
      </c>
      <c r="G249" s="9">
        <v>8</v>
      </c>
      <c r="H249" s="13">
        <v>0.35886322400000004</v>
      </c>
      <c r="I249" s="13">
        <f>intermediateEstimate</f>
        <v>0.3</v>
      </c>
      <c r="J249" s="13">
        <v>-1</v>
      </c>
      <c r="K249" s="13">
        <f>advancedEstimate</f>
        <v>0.6</v>
      </c>
      <c r="L249" s="13">
        <v>-1</v>
      </c>
      <c r="M249" s="13">
        <f>extremeEstimate</f>
        <v>0.9</v>
      </c>
      <c r="N249" s="86">
        <f>A249</f>
        <v>246</v>
      </c>
      <c r="O249" s="38"/>
    </row>
    <row r="250" spans="1:24" s="9" customFormat="1" x14ac:dyDescent="0.25">
      <c r="A250" s="70">
        <f t="shared" si="42"/>
        <v>247</v>
      </c>
      <c r="C250" s="9" t="str">
        <f t="shared" ca="1" si="40"/>
        <v>Equipment and transport</v>
      </c>
      <c r="D250" s="9" t="str">
        <f t="shared" ca="1" si="41"/>
        <v>Fish &amp; seafood</v>
      </c>
      <c r="E250" s="9">
        <v>26</v>
      </c>
      <c r="F250" s="9">
        <v>26</v>
      </c>
      <c r="G250" s="9">
        <v>8</v>
      </c>
      <c r="H250" s="13">
        <v>1</v>
      </c>
      <c r="I250" s="13">
        <v>1</v>
      </c>
      <c r="J250" s="13">
        <f>J249*-15%</f>
        <v>0.15</v>
      </c>
      <c r="K250" s="13">
        <v>1</v>
      </c>
      <c r="L250" s="13">
        <f>L249*-15%</f>
        <v>0.15</v>
      </c>
      <c r="M250" s="13">
        <v>1</v>
      </c>
      <c r="N250" s="86">
        <f>A249</f>
        <v>246</v>
      </c>
      <c r="O250" s="38"/>
    </row>
    <row r="251" spans="1:24" s="9" customFormat="1" x14ac:dyDescent="0.25">
      <c r="A251" s="70">
        <f t="shared" si="42"/>
        <v>248</v>
      </c>
      <c r="C251" s="9" t="str">
        <f t="shared" ca="1" si="40"/>
        <v>Land transport</v>
      </c>
      <c r="D251" s="9" t="str">
        <f t="shared" ca="1" si="41"/>
        <v>Fish &amp; seafood</v>
      </c>
      <c r="E251" s="9">
        <v>9</v>
      </c>
      <c r="F251" s="9">
        <v>26</v>
      </c>
      <c r="G251" s="9">
        <v>8</v>
      </c>
      <c r="H251" s="13">
        <f>100%</f>
        <v>1</v>
      </c>
      <c r="I251" s="13">
        <f>100%</f>
        <v>1</v>
      </c>
      <c r="J251" s="13">
        <f>J249*-15%</f>
        <v>0.15</v>
      </c>
      <c r="K251" s="13">
        <v>1</v>
      </c>
      <c r="L251" s="13">
        <f>L249*-15%</f>
        <v>0.15</v>
      </c>
      <c r="M251" s="13">
        <v>1</v>
      </c>
      <c r="N251" s="86">
        <f>A249</f>
        <v>246</v>
      </c>
      <c r="O251" s="38"/>
      <c r="Q251" s="13"/>
      <c r="S251" s="13"/>
      <c r="T251" s="13"/>
    </row>
    <row r="252" spans="1:24" s="9" customFormat="1" x14ac:dyDescent="0.25">
      <c r="A252" s="70">
        <f t="shared" si="42"/>
        <v>249</v>
      </c>
      <c r="B252" s="9" t="s">
        <v>391</v>
      </c>
      <c r="C252" s="9" t="str">
        <f t="shared" ca="1" si="40"/>
        <v>All products</v>
      </c>
      <c r="D252" s="9" t="str">
        <f t="shared" ca="1" si="41"/>
        <v xml:space="preserve">Cereals </v>
      </c>
      <c r="E252" s="9">
        <v>1</v>
      </c>
      <c r="F252" s="9">
        <v>20</v>
      </c>
      <c r="G252" s="9">
        <v>9</v>
      </c>
      <c r="H252" s="13">
        <v>0.19033705360000008</v>
      </c>
      <c r="I252" s="13">
        <f>intermediateEstimate</f>
        <v>0.3</v>
      </c>
      <c r="J252" s="13">
        <v>-1</v>
      </c>
      <c r="K252" s="13">
        <f>advancedEstimate</f>
        <v>0.6</v>
      </c>
      <c r="L252" s="13">
        <v>-1</v>
      </c>
      <c r="M252" s="13">
        <f>extremeEstimate</f>
        <v>0.9</v>
      </c>
      <c r="N252" s="86">
        <f>A252</f>
        <v>249</v>
      </c>
      <c r="O252" s="38"/>
      <c r="Q252" s="13"/>
      <c r="S252" s="13"/>
      <c r="T252" s="13"/>
    </row>
    <row r="253" spans="1:24" s="9" customFormat="1" x14ac:dyDescent="0.25">
      <c r="A253" s="70">
        <f t="shared" si="42"/>
        <v>250</v>
      </c>
      <c r="C253" s="9" t="str">
        <f t="shared" ca="1" si="40"/>
        <v>Equipment and transport</v>
      </c>
      <c r="D253" s="9" t="str">
        <f t="shared" ca="1" si="41"/>
        <v xml:space="preserve">Cereals </v>
      </c>
      <c r="E253" s="9">
        <v>26</v>
      </c>
      <c r="F253" s="9">
        <v>20</v>
      </c>
      <c r="G253" s="9">
        <v>9</v>
      </c>
      <c r="H253" s="13">
        <v>1</v>
      </c>
      <c r="I253" s="13">
        <v>1</v>
      </c>
      <c r="J253" s="13">
        <f>J252*-15%</f>
        <v>0.15</v>
      </c>
      <c r="K253" s="13">
        <v>1</v>
      </c>
      <c r="L253" s="13">
        <f>L252*-15%</f>
        <v>0.15</v>
      </c>
      <c r="M253" s="13">
        <v>1</v>
      </c>
      <c r="N253" s="86">
        <f>A252</f>
        <v>249</v>
      </c>
      <c r="O253" s="38"/>
      <c r="Q253" s="13"/>
      <c r="S253" s="13"/>
      <c r="T253" s="13"/>
    </row>
    <row r="254" spans="1:24" s="9" customFormat="1" x14ac:dyDescent="0.25">
      <c r="A254" s="70">
        <f t="shared" si="42"/>
        <v>251</v>
      </c>
      <c r="C254" s="9" t="str">
        <f t="shared" ca="1" si="40"/>
        <v>Land transport</v>
      </c>
      <c r="D254" s="9" t="str">
        <f t="shared" ca="1" si="41"/>
        <v xml:space="preserve">Cereals </v>
      </c>
      <c r="E254" s="9">
        <v>9</v>
      </c>
      <c r="F254" s="9">
        <v>20</v>
      </c>
      <c r="G254" s="9">
        <v>9</v>
      </c>
      <c r="H254" s="13">
        <f>100%</f>
        <v>1</v>
      </c>
      <c r="I254" s="13">
        <f>100%</f>
        <v>1</v>
      </c>
      <c r="J254" s="13">
        <f>J252*-15%</f>
        <v>0.15</v>
      </c>
      <c r="K254" s="13">
        <v>1</v>
      </c>
      <c r="L254" s="13">
        <f>L252*-15%</f>
        <v>0.15</v>
      </c>
      <c r="M254" s="13">
        <v>1</v>
      </c>
      <c r="N254" s="86">
        <f>A252</f>
        <v>249</v>
      </c>
      <c r="O254" s="38"/>
      <c r="Q254" s="13"/>
      <c r="S254" s="13"/>
      <c r="T254" s="13"/>
    </row>
    <row r="255" spans="1:24" s="9" customFormat="1" x14ac:dyDescent="0.25">
      <c r="A255" s="70">
        <f t="shared" si="42"/>
        <v>252</v>
      </c>
      <c r="C255" s="9" t="str">
        <f t="shared" ca="1" si="40"/>
        <v>All products</v>
      </c>
      <c r="D255" s="9" t="str">
        <f t="shared" ca="1" si="41"/>
        <v>Fruit &amp; veg</v>
      </c>
      <c r="E255" s="9">
        <v>1</v>
      </c>
      <c r="F255" s="9">
        <v>21</v>
      </c>
      <c r="G255" s="9">
        <v>9</v>
      </c>
      <c r="H255" s="13">
        <v>0.51566387499999999</v>
      </c>
      <c r="I255" s="13">
        <f>intermediateEstimate</f>
        <v>0.3</v>
      </c>
      <c r="J255" s="13">
        <v>-1</v>
      </c>
      <c r="K255" s="13">
        <f>advancedEstimate</f>
        <v>0.6</v>
      </c>
      <c r="L255" s="13">
        <v>-1</v>
      </c>
      <c r="M255" s="13">
        <f>extremeEstimate</f>
        <v>0.9</v>
      </c>
      <c r="N255" s="86">
        <f>A255</f>
        <v>252</v>
      </c>
      <c r="O255" s="38"/>
      <c r="X255" s="87"/>
    </row>
    <row r="256" spans="1:24" s="9" customFormat="1" x14ac:dyDescent="0.25">
      <c r="A256" s="70">
        <f t="shared" si="42"/>
        <v>253</v>
      </c>
      <c r="C256" s="9" t="str">
        <f t="shared" ca="1" si="40"/>
        <v>Equipment and transport</v>
      </c>
      <c r="D256" s="9" t="str">
        <f t="shared" ca="1" si="41"/>
        <v>Fruit &amp; veg</v>
      </c>
      <c r="E256" s="9">
        <v>26</v>
      </c>
      <c r="F256" s="9">
        <v>21</v>
      </c>
      <c r="G256" s="9">
        <v>9</v>
      </c>
      <c r="H256" s="13">
        <v>1</v>
      </c>
      <c r="I256" s="13">
        <v>1</v>
      </c>
      <c r="J256" s="13">
        <f>J255*-15%</f>
        <v>0.15</v>
      </c>
      <c r="K256" s="13">
        <v>1</v>
      </c>
      <c r="L256" s="13">
        <f>L255*-15%</f>
        <v>0.15</v>
      </c>
      <c r="M256" s="13">
        <v>1</v>
      </c>
      <c r="N256" s="86">
        <f>A255</f>
        <v>252</v>
      </c>
      <c r="O256" s="38"/>
    </row>
    <row r="257" spans="1:24" s="9" customFormat="1" x14ac:dyDescent="0.25">
      <c r="A257" s="70">
        <f t="shared" si="42"/>
        <v>254</v>
      </c>
      <c r="C257" s="9" t="str">
        <f t="shared" ca="1" si="40"/>
        <v>Land transport</v>
      </c>
      <c r="D257" s="9" t="str">
        <f t="shared" ca="1" si="41"/>
        <v>Fruit &amp; veg</v>
      </c>
      <c r="E257" s="9">
        <v>9</v>
      </c>
      <c r="F257" s="9">
        <v>21</v>
      </c>
      <c r="G257" s="9">
        <v>9</v>
      </c>
      <c r="H257" s="13">
        <f>100%</f>
        <v>1</v>
      </c>
      <c r="I257" s="13">
        <f>100%</f>
        <v>1</v>
      </c>
      <c r="J257" s="13">
        <f>J255*-15%</f>
        <v>0.15</v>
      </c>
      <c r="K257" s="13">
        <v>1</v>
      </c>
      <c r="L257" s="13">
        <f>L255*-15%</f>
        <v>0.15</v>
      </c>
      <c r="M257" s="13">
        <v>1</v>
      </c>
      <c r="N257" s="86">
        <f>A255</f>
        <v>252</v>
      </c>
      <c r="O257" s="38"/>
    </row>
    <row r="258" spans="1:24" s="9" customFormat="1" x14ac:dyDescent="0.25">
      <c r="A258" s="70">
        <f t="shared" si="42"/>
        <v>255</v>
      </c>
      <c r="C258" s="9" t="str">
        <f t="shared" ca="1" si="40"/>
        <v>All products</v>
      </c>
      <c r="D258" s="9" t="str">
        <f t="shared" ca="1" si="41"/>
        <v>Oilseeds and pulses</v>
      </c>
      <c r="E258" s="9">
        <v>1</v>
      </c>
      <c r="F258" s="9">
        <v>22</v>
      </c>
      <c r="G258" s="9">
        <v>9</v>
      </c>
      <c r="H258" s="13">
        <v>0.27736399359999997</v>
      </c>
      <c r="I258" s="13">
        <f>intermediateEstimate</f>
        <v>0.3</v>
      </c>
      <c r="J258" s="13">
        <v>-1</v>
      </c>
      <c r="K258" s="13">
        <f>advancedEstimate</f>
        <v>0.6</v>
      </c>
      <c r="L258" s="13">
        <v>-1</v>
      </c>
      <c r="M258" s="13">
        <f>extremeEstimate</f>
        <v>0.9</v>
      </c>
      <c r="N258" s="86">
        <f>A258</f>
        <v>255</v>
      </c>
      <c r="O258" s="38"/>
      <c r="X258" s="74"/>
    </row>
    <row r="259" spans="1:24" s="9" customFormat="1" x14ac:dyDescent="0.25">
      <c r="A259" s="70">
        <f t="shared" si="42"/>
        <v>256</v>
      </c>
      <c r="C259" s="9" t="str">
        <f t="shared" ca="1" si="40"/>
        <v>Equipment and transport</v>
      </c>
      <c r="D259" s="9" t="str">
        <f t="shared" ca="1" si="41"/>
        <v>Oilseeds and pulses</v>
      </c>
      <c r="E259" s="9">
        <v>26</v>
      </c>
      <c r="F259" s="9">
        <v>22</v>
      </c>
      <c r="G259" s="9">
        <v>9</v>
      </c>
      <c r="H259" s="13">
        <v>1</v>
      </c>
      <c r="I259" s="13">
        <v>1</v>
      </c>
      <c r="J259" s="13">
        <f>J258*-15%</f>
        <v>0.15</v>
      </c>
      <c r="K259" s="13">
        <v>1</v>
      </c>
      <c r="L259" s="13">
        <f>L258*-15%</f>
        <v>0.15</v>
      </c>
      <c r="M259" s="13">
        <v>1</v>
      </c>
      <c r="N259" s="86">
        <f>A258</f>
        <v>255</v>
      </c>
      <c r="O259" s="38"/>
      <c r="X259" s="87"/>
    </row>
    <row r="260" spans="1:24" s="9" customFormat="1" x14ac:dyDescent="0.25">
      <c r="A260" s="70">
        <f t="shared" si="42"/>
        <v>257</v>
      </c>
      <c r="C260" s="9" t="str">
        <f t="shared" ca="1" si="40"/>
        <v>Land transport</v>
      </c>
      <c r="D260" s="9" t="str">
        <f t="shared" ca="1" si="41"/>
        <v>Oilseeds and pulses</v>
      </c>
      <c r="E260" s="9">
        <v>9</v>
      </c>
      <c r="F260" s="9">
        <v>22</v>
      </c>
      <c r="G260" s="9">
        <v>9</v>
      </c>
      <c r="H260" s="13">
        <f>100%</f>
        <v>1</v>
      </c>
      <c r="I260" s="13">
        <f>100%</f>
        <v>1</v>
      </c>
      <c r="J260" s="13">
        <f>J258*-15%</f>
        <v>0.15</v>
      </c>
      <c r="K260" s="13">
        <v>1</v>
      </c>
      <c r="L260" s="13">
        <f>L258*-15%</f>
        <v>0.15</v>
      </c>
      <c r="M260" s="13">
        <v>1</v>
      </c>
      <c r="N260" s="86">
        <f>A258</f>
        <v>255</v>
      </c>
      <c r="O260" s="38"/>
      <c r="X260" s="87"/>
    </row>
    <row r="261" spans="1:24" s="9" customFormat="1" x14ac:dyDescent="0.25">
      <c r="A261" s="70">
        <f t="shared" si="42"/>
        <v>258</v>
      </c>
      <c r="C261" s="9" t="str">
        <f t="shared" ca="1" si="40"/>
        <v>All products</v>
      </c>
      <c r="D261" s="9" t="str">
        <f t="shared" ca="1" si="41"/>
        <v>Roots &amp; tubers</v>
      </c>
      <c r="E261" s="9">
        <v>1</v>
      </c>
      <c r="F261" s="9">
        <v>23</v>
      </c>
      <c r="G261" s="9">
        <v>9</v>
      </c>
      <c r="H261" s="13">
        <v>0.44193998000000001</v>
      </c>
      <c r="I261" s="13">
        <f>intermediateEstimate</f>
        <v>0.3</v>
      </c>
      <c r="J261" s="13">
        <v>-1</v>
      </c>
      <c r="K261" s="13">
        <f>advancedEstimate</f>
        <v>0.6</v>
      </c>
      <c r="L261" s="13">
        <v>-1</v>
      </c>
      <c r="M261" s="13">
        <f>extremeEstimate</f>
        <v>0.9</v>
      </c>
      <c r="N261" s="86">
        <f>A261</f>
        <v>258</v>
      </c>
      <c r="O261" s="38"/>
      <c r="X261" s="74"/>
    </row>
    <row r="262" spans="1:24" s="9" customFormat="1" x14ac:dyDescent="0.25">
      <c r="A262" s="70">
        <f t="shared" si="42"/>
        <v>259</v>
      </c>
      <c r="C262" s="9" t="str">
        <f t="shared" ca="1" si="40"/>
        <v>Equipment and transport</v>
      </c>
      <c r="D262" s="9" t="str">
        <f t="shared" ca="1" si="41"/>
        <v>Roots &amp; tubers</v>
      </c>
      <c r="E262" s="9">
        <v>26</v>
      </c>
      <c r="F262" s="9">
        <v>23</v>
      </c>
      <c r="G262" s="9">
        <v>9</v>
      </c>
      <c r="H262" s="13">
        <v>1</v>
      </c>
      <c r="I262" s="13">
        <v>1</v>
      </c>
      <c r="J262" s="13">
        <f>J261*-15%</f>
        <v>0.15</v>
      </c>
      <c r="K262" s="13">
        <v>1</v>
      </c>
      <c r="L262" s="13">
        <f>L261*-15%</f>
        <v>0.15</v>
      </c>
      <c r="M262" s="13">
        <v>1</v>
      </c>
      <c r="N262" s="86">
        <f>A261</f>
        <v>258</v>
      </c>
      <c r="O262" s="38"/>
      <c r="X262" s="87"/>
    </row>
    <row r="263" spans="1:24" s="9" customFormat="1" x14ac:dyDescent="0.25">
      <c r="A263" s="70">
        <f t="shared" si="42"/>
        <v>260</v>
      </c>
      <c r="C263" s="9" t="str">
        <f t="shared" ca="1" si="40"/>
        <v>Land transport</v>
      </c>
      <c r="D263" s="9" t="str">
        <f t="shared" ca="1" si="41"/>
        <v>Roots &amp; tubers</v>
      </c>
      <c r="E263" s="9">
        <v>9</v>
      </c>
      <c r="F263" s="9">
        <v>23</v>
      </c>
      <c r="G263" s="9">
        <v>9</v>
      </c>
      <c r="H263" s="13">
        <f>100%</f>
        <v>1</v>
      </c>
      <c r="I263" s="13">
        <f>100%</f>
        <v>1</v>
      </c>
      <c r="J263" s="13">
        <f>J261*-15%</f>
        <v>0.15</v>
      </c>
      <c r="K263" s="13">
        <v>1</v>
      </c>
      <c r="L263" s="13">
        <f>L261*-15%</f>
        <v>0.15</v>
      </c>
      <c r="M263" s="13">
        <v>1</v>
      </c>
      <c r="N263" s="86">
        <f>A261</f>
        <v>258</v>
      </c>
      <c r="O263" s="38"/>
      <c r="X263" s="87"/>
    </row>
    <row r="264" spans="1:24" s="9" customFormat="1" x14ac:dyDescent="0.25">
      <c r="A264" s="70">
        <f t="shared" si="42"/>
        <v>261</v>
      </c>
      <c r="C264" s="9" t="str">
        <f t="shared" ca="1" si="40"/>
        <v>All products</v>
      </c>
      <c r="D264" s="9" t="str">
        <f t="shared" ca="1" si="41"/>
        <v>Meat</v>
      </c>
      <c r="E264" s="9">
        <v>1</v>
      </c>
      <c r="F264" s="9">
        <v>24</v>
      </c>
      <c r="G264" s="9">
        <v>9</v>
      </c>
      <c r="H264" s="13">
        <v>0.26919618850000004</v>
      </c>
      <c r="I264" s="13">
        <f>intermediateEstimate</f>
        <v>0.3</v>
      </c>
      <c r="J264" s="13">
        <v>-1</v>
      </c>
      <c r="K264" s="13">
        <f>advancedEstimate</f>
        <v>0.6</v>
      </c>
      <c r="L264" s="13">
        <v>-1</v>
      </c>
      <c r="M264" s="13">
        <f>extremeEstimate</f>
        <v>0.9</v>
      </c>
      <c r="N264" s="86">
        <f>A264</f>
        <v>261</v>
      </c>
      <c r="O264" s="38"/>
    </row>
    <row r="265" spans="1:24" s="9" customFormat="1" x14ac:dyDescent="0.25">
      <c r="A265" s="70">
        <f t="shared" si="42"/>
        <v>262</v>
      </c>
      <c r="C265" s="9" t="str">
        <f t="shared" ca="1" si="40"/>
        <v>Equipment and transport</v>
      </c>
      <c r="D265" s="9" t="str">
        <f t="shared" ca="1" si="41"/>
        <v>Meat</v>
      </c>
      <c r="E265" s="9">
        <v>26</v>
      </c>
      <c r="F265" s="9">
        <v>24</v>
      </c>
      <c r="G265" s="9">
        <v>9</v>
      </c>
      <c r="H265" s="13">
        <v>1</v>
      </c>
      <c r="I265" s="13">
        <v>1</v>
      </c>
      <c r="J265" s="13">
        <f>J264*-15%</f>
        <v>0.15</v>
      </c>
      <c r="K265" s="13">
        <v>1</v>
      </c>
      <c r="L265" s="13">
        <f>L264*-15%</f>
        <v>0.15</v>
      </c>
      <c r="M265" s="13">
        <v>1</v>
      </c>
      <c r="N265" s="86">
        <f>A264</f>
        <v>261</v>
      </c>
      <c r="O265" s="38"/>
    </row>
    <row r="266" spans="1:24" s="9" customFormat="1" x14ac:dyDescent="0.25">
      <c r="A266" s="70">
        <f t="shared" si="42"/>
        <v>263</v>
      </c>
      <c r="C266" s="9" t="str">
        <f t="shared" ca="1" si="40"/>
        <v>Land transport</v>
      </c>
      <c r="D266" s="9" t="str">
        <f t="shared" ca="1" si="41"/>
        <v>Meat</v>
      </c>
      <c r="E266" s="9">
        <v>9</v>
      </c>
      <c r="F266" s="9">
        <v>24</v>
      </c>
      <c r="G266" s="9">
        <v>9</v>
      </c>
      <c r="H266" s="13">
        <f>100%</f>
        <v>1</v>
      </c>
      <c r="I266" s="13">
        <f>100%</f>
        <v>1</v>
      </c>
      <c r="J266" s="13">
        <f>J264*-15%</f>
        <v>0.15</v>
      </c>
      <c r="K266" s="13">
        <v>1</v>
      </c>
      <c r="L266" s="13">
        <f>L264*-15%</f>
        <v>0.15</v>
      </c>
      <c r="M266" s="13">
        <v>1</v>
      </c>
      <c r="N266" s="86">
        <f>A264</f>
        <v>261</v>
      </c>
      <c r="O266" s="38"/>
    </row>
    <row r="267" spans="1:24" s="9" customFormat="1" x14ac:dyDescent="0.25">
      <c r="A267" s="70">
        <f t="shared" si="42"/>
        <v>264</v>
      </c>
      <c r="C267" s="9" t="str">
        <f t="shared" ca="1" si="40"/>
        <v>All products</v>
      </c>
      <c r="D267" s="9" t="str">
        <f t="shared" ca="1" si="41"/>
        <v>Milk</v>
      </c>
      <c r="E267" s="9">
        <v>1</v>
      </c>
      <c r="F267" s="9">
        <v>25</v>
      </c>
      <c r="G267" s="9">
        <v>9</v>
      </c>
      <c r="H267" s="13">
        <v>0.24856512706</v>
      </c>
      <c r="I267" s="13">
        <f>intermediateEstimate</f>
        <v>0.3</v>
      </c>
      <c r="J267" s="13">
        <v>-1</v>
      </c>
      <c r="K267" s="13">
        <f>advancedEstimate</f>
        <v>0.6</v>
      </c>
      <c r="L267" s="13">
        <v>-1</v>
      </c>
      <c r="M267" s="13">
        <f>extremeEstimate</f>
        <v>0.9</v>
      </c>
      <c r="N267" s="86">
        <f>A267</f>
        <v>264</v>
      </c>
      <c r="O267" s="38"/>
    </row>
    <row r="268" spans="1:24" s="9" customFormat="1" x14ac:dyDescent="0.25">
      <c r="A268" s="70">
        <f t="shared" si="42"/>
        <v>265</v>
      </c>
      <c r="C268" s="9" t="str">
        <f t="shared" ca="1" si="40"/>
        <v>Equipment and transport</v>
      </c>
      <c r="D268" s="9" t="str">
        <f t="shared" ca="1" si="41"/>
        <v>Milk</v>
      </c>
      <c r="E268" s="9">
        <v>26</v>
      </c>
      <c r="F268" s="9">
        <v>25</v>
      </c>
      <c r="G268" s="9">
        <v>9</v>
      </c>
      <c r="H268" s="13">
        <v>1</v>
      </c>
      <c r="I268" s="13">
        <v>1</v>
      </c>
      <c r="J268" s="13">
        <f>J267*-15%</f>
        <v>0.15</v>
      </c>
      <c r="K268" s="13">
        <v>1</v>
      </c>
      <c r="L268" s="13">
        <f>L267*-15%</f>
        <v>0.15</v>
      </c>
      <c r="M268" s="13">
        <v>1</v>
      </c>
      <c r="N268" s="86">
        <f>A267</f>
        <v>264</v>
      </c>
      <c r="O268" s="38"/>
    </row>
    <row r="269" spans="1:24" s="9" customFormat="1" x14ac:dyDescent="0.25">
      <c r="A269" s="70">
        <f t="shared" si="42"/>
        <v>266</v>
      </c>
      <c r="C269" s="9" t="str">
        <f t="shared" ca="1" si="40"/>
        <v>Land transport</v>
      </c>
      <c r="D269" s="9" t="str">
        <f t="shared" ca="1" si="41"/>
        <v>Milk</v>
      </c>
      <c r="E269" s="9">
        <v>9</v>
      </c>
      <c r="F269" s="9">
        <v>25</v>
      </c>
      <c r="G269" s="9">
        <v>9</v>
      </c>
      <c r="H269" s="13">
        <f>100%</f>
        <v>1</v>
      </c>
      <c r="I269" s="13">
        <f>100%</f>
        <v>1</v>
      </c>
      <c r="J269" s="13">
        <f>J267*-15%</f>
        <v>0.15</v>
      </c>
      <c r="K269" s="13">
        <v>1</v>
      </c>
      <c r="L269" s="13">
        <f>L267*-15%</f>
        <v>0.15</v>
      </c>
      <c r="M269" s="13">
        <v>1</v>
      </c>
      <c r="N269" s="86">
        <f>A267</f>
        <v>264</v>
      </c>
      <c r="O269" s="38"/>
    </row>
    <row r="270" spans="1:24" s="9" customFormat="1" x14ac:dyDescent="0.25">
      <c r="A270" s="70">
        <f t="shared" si="42"/>
        <v>267</v>
      </c>
      <c r="C270" s="9" t="str">
        <f t="shared" ca="1" si="40"/>
        <v>All products</v>
      </c>
      <c r="D270" s="9" t="str">
        <f t="shared" ca="1" si="41"/>
        <v>Fish &amp; seafood</v>
      </c>
      <c r="E270" s="9">
        <v>1</v>
      </c>
      <c r="F270" s="9">
        <v>26</v>
      </c>
      <c r="G270" s="9">
        <v>9</v>
      </c>
      <c r="H270" s="13">
        <v>0.32806704740000014</v>
      </c>
      <c r="I270" s="13">
        <f>intermediateEstimate</f>
        <v>0.3</v>
      </c>
      <c r="J270" s="13">
        <v>-1</v>
      </c>
      <c r="K270" s="13">
        <f>advancedEstimate</f>
        <v>0.6</v>
      </c>
      <c r="L270" s="13">
        <v>-1</v>
      </c>
      <c r="M270" s="13">
        <f>extremeEstimate</f>
        <v>0.9</v>
      </c>
      <c r="N270" s="86">
        <f>A270</f>
        <v>267</v>
      </c>
      <c r="O270" s="38"/>
    </row>
    <row r="271" spans="1:24" s="9" customFormat="1" x14ac:dyDescent="0.25">
      <c r="A271" s="70">
        <f t="shared" si="42"/>
        <v>268</v>
      </c>
      <c r="C271" s="9" t="str">
        <f t="shared" ca="1" si="40"/>
        <v>Equipment and transport</v>
      </c>
      <c r="D271" s="9" t="str">
        <f t="shared" ca="1" si="41"/>
        <v>Fish &amp; seafood</v>
      </c>
      <c r="E271" s="9">
        <v>26</v>
      </c>
      <c r="F271" s="9">
        <v>26</v>
      </c>
      <c r="G271" s="9">
        <v>9</v>
      </c>
      <c r="H271" s="13">
        <v>1</v>
      </c>
      <c r="I271" s="13">
        <v>1</v>
      </c>
      <c r="J271" s="13">
        <f>J270*-15%</f>
        <v>0.15</v>
      </c>
      <c r="K271" s="13">
        <v>1</v>
      </c>
      <c r="L271" s="13">
        <f>L270*-15%</f>
        <v>0.15</v>
      </c>
      <c r="M271" s="13">
        <v>1</v>
      </c>
      <c r="N271" s="86">
        <f>A270</f>
        <v>267</v>
      </c>
      <c r="O271" s="38"/>
    </row>
    <row r="272" spans="1:24" s="9" customFormat="1" x14ac:dyDescent="0.25">
      <c r="A272" s="70">
        <f t="shared" si="42"/>
        <v>269</v>
      </c>
      <c r="C272" s="9" t="str">
        <f t="shared" ca="1" si="40"/>
        <v>Land transport</v>
      </c>
      <c r="D272" s="9" t="str">
        <f t="shared" ca="1" si="41"/>
        <v>Fish &amp; seafood</v>
      </c>
      <c r="E272" s="9">
        <v>9</v>
      </c>
      <c r="F272" s="9">
        <v>26</v>
      </c>
      <c r="G272" s="9">
        <v>9</v>
      </c>
      <c r="H272" s="13">
        <f>100%</f>
        <v>1</v>
      </c>
      <c r="I272" s="13">
        <f>100%</f>
        <v>1</v>
      </c>
      <c r="J272" s="13">
        <f>J270*-15%</f>
        <v>0.15</v>
      </c>
      <c r="K272" s="13">
        <v>1</v>
      </c>
      <c r="L272" s="13">
        <f>L270*-15%</f>
        <v>0.15</v>
      </c>
      <c r="M272" s="13">
        <v>1</v>
      </c>
      <c r="N272" s="86">
        <f>A270</f>
        <v>267</v>
      </c>
      <c r="O272" s="38"/>
    </row>
    <row r="273" spans="1:24" s="9" customFormat="1" x14ac:dyDescent="0.25">
      <c r="A273" s="70">
        <f t="shared" si="42"/>
        <v>270</v>
      </c>
      <c r="B273" s="9" t="s">
        <v>392</v>
      </c>
      <c r="C273" s="9" t="str">
        <f t="shared" ca="1" si="40"/>
        <v>All products</v>
      </c>
      <c r="D273" s="9" t="str">
        <f t="shared" ca="1" si="41"/>
        <v xml:space="preserve">Cereals </v>
      </c>
      <c r="E273" s="9">
        <v>1</v>
      </c>
      <c r="F273" s="9">
        <v>20</v>
      </c>
      <c r="G273" s="9">
        <v>10</v>
      </c>
      <c r="H273" s="13">
        <v>0.32055777280000008</v>
      </c>
      <c r="I273" s="13">
        <f>intermediateEstimate</f>
        <v>0.3</v>
      </c>
      <c r="J273" s="13">
        <v>-1</v>
      </c>
      <c r="K273" s="13">
        <f>advancedEstimate</f>
        <v>0.6</v>
      </c>
      <c r="L273" s="13">
        <v>-1</v>
      </c>
      <c r="M273" s="13">
        <f>extremeEstimate</f>
        <v>0.9</v>
      </c>
      <c r="N273" s="86">
        <f>A273</f>
        <v>270</v>
      </c>
      <c r="O273" s="38"/>
    </row>
    <row r="274" spans="1:24" s="9" customFormat="1" x14ac:dyDescent="0.25">
      <c r="A274" s="70">
        <f t="shared" si="42"/>
        <v>271</v>
      </c>
      <c r="C274" s="9" t="str">
        <f t="shared" ca="1" si="40"/>
        <v>Equipment and transport</v>
      </c>
      <c r="D274" s="9" t="str">
        <f t="shared" ca="1" si="41"/>
        <v xml:space="preserve">Cereals </v>
      </c>
      <c r="E274" s="9">
        <v>26</v>
      </c>
      <c r="F274" s="9">
        <v>20</v>
      </c>
      <c r="G274" s="9">
        <v>10</v>
      </c>
      <c r="H274" s="13">
        <v>1</v>
      </c>
      <c r="I274" s="13">
        <v>1</v>
      </c>
      <c r="J274" s="13">
        <f>J273*-15%</f>
        <v>0.15</v>
      </c>
      <c r="K274" s="13">
        <v>1</v>
      </c>
      <c r="L274" s="13">
        <f>L273*-15%</f>
        <v>0.15</v>
      </c>
      <c r="M274" s="13">
        <v>1</v>
      </c>
      <c r="N274" s="86">
        <f>A273</f>
        <v>270</v>
      </c>
      <c r="O274" s="38"/>
    </row>
    <row r="275" spans="1:24" s="9" customFormat="1" x14ac:dyDescent="0.25">
      <c r="A275" s="70">
        <f t="shared" si="42"/>
        <v>272</v>
      </c>
      <c r="C275" s="9" t="str">
        <f t="shared" ca="1" si="40"/>
        <v>Land transport</v>
      </c>
      <c r="D275" s="9" t="str">
        <f t="shared" ca="1" si="41"/>
        <v xml:space="preserve">Cereals </v>
      </c>
      <c r="E275" s="9">
        <v>9</v>
      </c>
      <c r="F275" s="9">
        <v>20</v>
      </c>
      <c r="G275" s="9">
        <v>10</v>
      </c>
      <c r="H275" s="13">
        <f>100%</f>
        <v>1</v>
      </c>
      <c r="I275" s="13">
        <f>100%</f>
        <v>1</v>
      </c>
      <c r="J275" s="13">
        <f>J273*-15%</f>
        <v>0.15</v>
      </c>
      <c r="K275" s="13">
        <v>1</v>
      </c>
      <c r="L275" s="13">
        <f>L273*-15%</f>
        <v>0.15</v>
      </c>
      <c r="M275" s="13">
        <v>1</v>
      </c>
      <c r="N275" s="86">
        <f>A273</f>
        <v>270</v>
      </c>
      <c r="O275" s="38"/>
    </row>
    <row r="276" spans="1:24" s="9" customFormat="1" x14ac:dyDescent="0.25">
      <c r="A276" s="70">
        <f t="shared" si="42"/>
        <v>273</v>
      </c>
      <c r="C276" s="9" t="str">
        <f t="shared" ca="1" si="40"/>
        <v>All products</v>
      </c>
      <c r="D276" s="9" t="str">
        <f t="shared" ca="1" si="41"/>
        <v>Fruit &amp; veg</v>
      </c>
      <c r="E276" s="9">
        <v>1</v>
      </c>
      <c r="F276" s="9">
        <v>21</v>
      </c>
      <c r="G276" s="9">
        <v>10</v>
      </c>
      <c r="H276" s="13">
        <v>0.55299520000000002</v>
      </c>
      <c r="I276" s="13">
        <f>intermediateEstimate</f>
        <v>0.3</v>
      </c>
      <c r="J276" s="13">
        <v>-1</v>
      </c>
      <c r="K276" s="13">
        <f>advancedEstimate</f>
        <v>0.6</v>
      </c>
      <c r="L276" s="13">
        <v>-1</v>
      </c>
      <c r="M276" s="13">
        <f>extremeEstimate</f>
        <v>0.9</v>
      </c>
      <c r="N276" s="86">
        <f>A276</f>
        <v>273</v>
      </c>
      <c r="O276" s="38"/>
    </row>
    <row r="277" spans="1:24" s="9" customFormat="1" x14ac:dyDescent="0.25">
      <c r="A277" s="70">
        <f t="shared" si="42"/>
        <v>274</v>
      </c>
      <c r="C277" s="9" t="str">
        <f t="shared" ca="1" si="40"/>
        <v>Equipment and transport</v>
      </c>
      <c r="D277" s="9" t="str">
        <f t="shared" ca="1" si="41"/>
        <v>Fruit &amp; veg</v>
      </c>
      <c r="E277" s="9">
        <v>26</v>
      </c>
      <c r="F277" s="9">
        <v>21</v>
      </c>
      <c r="G277" s="9">
        <v>10</v>
      </c>
      <c r="H277" s="13">
        <v>1</v>
      </c>
      <c r="I277" s="13">
        <v>1</v>
      </c>
      <c r="J277" s="13">
        <f>J276*-15%</f>
        <v>0.15</v>
      </c>
      <c r="K277" s="13">
        <v>1</v>
      </c>
      <c r="L277" s="13">
        <f>L276*-15%</f>
        <v>0.15</v>
      </c>
      <c r="M277" s="13">
        <v>1</v>
      </c>
      <c r="N277" s="86">
        <f>A276</f>
        <v>273</v>
      </c>
      <c r="O277" s="38"/>
    </row>
    <row r="278" spans="1:24" s="9" customFormat="1" x14ac:dyDescent="0.25">
      <c r="A278" s="70">
        <f t="shared" si="42"/>
        <v>275</v>
      </c>
      <c r="C278" s="9" t="str">
        <f t="shared" ca="1" si="40"/>
        <v>Land transport</v>
      </c>
      <c r="D278" s="9" t="str">
        <f t="shared" ca="1" si="41"/>
        <v>Fruit &amp; veg</v>
      </c>
      <c r="E278" s="9">
        <v>9</v>
      </c>
      <c r="F278" s="9">
        <v>21</v>
      </c>
      <c r="G278" s="9">
        <v>10</v>
      </c>
      <c r="H278" s="13">
        <f>100%</f>
        <v>1</v>
      </c>
      <c r="I278" s="13">
        <f>100%</f>
        <v>1</v>
      </c>
      <c r="J278" s="13">
        <f>J276*-15%</f>
        <v>0.15</v>
      </c>
      <c r="K278" s="13">
        <v>1</v>
      </c>
      <c r="L278" s="13">
        <f>L276*-15%</f>
        <v>0.15</v>
      </c>
      <c r="M278" s="13">
        <v>1</v>
      </c>
      <c r="N278" s="86">
        <f>A276</f>
        <v>273</v>
      </c>
      <c r="O278" s="38"/>
    </row>
    <row r="279" spans="1:24" s="9" customFormat="1" x14ac:dyDescent="0.25">
      <c r="A279" s="70">
        <f t="shared" si="42"/>
        <v>276</v>
      </c>
      <c r="C279" s="9" t="str">
        <f t="shared" ca="1" si="40"/>
        <v>All products</v>
      </c>
      <c r="D279" s="9" t="str">
        <f t="shared" ca="1" si="41"/>
        <v>Oilseeds and pulses</v>
      </c>
      <c r="E279" s="9">
        <v>1</v>
      </c>
      <c r="F279" s="9">
        <v>22</v>
      </c>
      <c r="G279" s="9">
        <v>10</v>
      </c>
      <c r="H279" s="13">
        <v>0.29402916800000001</v>
      </c>
      <c r="I279" s="13">
        <f>intermediateEstimate</f>
        <v>0.3</v>
      </c>
      <c r="J279" s="13">
        <v>-1</v>
      </c>
      <c r="K279" s="13">
        <f>advancedEstimate</f>
        <v>0.6</v>
      </c>
      <c r="L279" s="13">
        <v>-1</v>
      </c>
      <c r="M279" s="13">
        <f>extremeEstimate</f>
        <v>0.9</v>
      </c>
      <c r="N279" s="86">
        <f>A279</f>
        <v>276</v>
      </c>
      <c r="O279" s="38"/>
    </row>
    <row r="280" spans="1:24" s="9" customFormat="1" x14ac:dyDescent="0.25">
      <c r="A280" s="70">
        <f t="shared" si="42"/>
        <v>277</v>
      </c>
      <c r="C280" s="9" t="str">
        <f t="shared" ca="1" si="40"/>
        <v>Equipment and transport</v>
      </c>
      <c r="D280" s="9" t="str">
        <f t="shared" ca="1" si="41"/>
        <v>Oilseeds and pulses</v>
      </c>
      <c r="E280" s="9">
        <v>26</v>
      </c>
      <c r="F280" s="9">
        <v>22</v>
      </c>
      <c r="G280" s="9">
        <v>10</v>
      </c>
      <c r="H280" s="13">
        <v>1</v>
      </c>
      <c r="I280" s="13">
        <v>1</v>
      </c>
      <c r="J280" s="13">
        <f>J279*-15%</f>
        <v>0.15</v>
      </c>
      <c r="K280" s="13">
        <v>1</v>
      </c>
      <c r="L280" s="13">
        <f>L279*-15%</f>
        <v>0.15</v>
      </c>
      <c r="M280" s="13">
        <v>1</v>
      </c>
      <c r="N280" s="86">
        <f>A279</f>
        <v>276</v>
      </c>
      <c r="O280" s="38"/>
    </row>
    <row r="281" spans="1:24" s="9" customFormat="1" x14ac:dyDescent="0.25">
      <c r="A281" s="70">
        <f t="shared" si="42"/>
        <v>278</v>
      </c>
      <c r="C281" s="9" t="str">
        <f t="shared" ca="1" si="40"/>
        <v>Land transport</v>
      </c>
      <c r="D281" s="9" t="str">
        <f t="shared" ca="1" si="41"/>
        <v>Oilseeds and pulses</v>
      </c>
      <c r="E281" s="9">
        <v>9</v>
      </c>
      <c r="F281" s="9">
        <v>22</v>
      </c>
      <c r="G281" s="9">
        <v>10</v>
      </c>
      <c r="H281" s="13">
        <f>100%</f>
        <v>1</v>
      </c>
      <c r="I281" s="13">
        <f>100%</f>
        <v>1</v>
      </c>
      <c r="J281" s="13">
        <f>J279*-15%</f>
        <v>0.15</v>
      </c>
      <c r="K281" s="13">
        <v>1</v>
      </c>
      <c r="L281" s="13">
        <f>L279*-15%</f>
        <v>0.15</v>
      </c>
      <c r="M281" s="13">
        <v>1</v>
      </c>
      <c r="N281" s="86">
        <f>A279</f>
        <v>276</v>
      </c>
      <c r="O281" s="38"/>
    </row>
    <row r="282" spans="1:24" s="9" customFormat="1" x14ac:dyDescent="0.25">
      <c r="A282" s="70">
        <f t="shared" si="42"/>
        <v>279</v>
      </c>
      <c r="C282" s="9" t="str">
        <f t="shared" ca="1" si="40"/>
        <v>All products</v>
      </c>
      <c r="D282" s="9" t="str">
        <f t="shared" ca="1" si="41"/>
        <v>Roots &amp; tubers</v>
      </c>
      <c r="E282" s="9">
        <v>1</v>
      </c>
      <c r="F282" s="9">
        <v>23</v>
      </c>
      <c r="G282" s="9">
        <v>10</v>
      </c>
      <c r="H282" s="13">
        <v>0.32818124800000004</v>
      </c>
      <c r="I282" s="13">
        <f>intermediateEstimate</f>
        <v>0.3</v>
      </c>
      <c r="J282" s="13">
        <v>-1</v>
      </c>
      <c r="K282" s="13">
        <f>advancedEstimate</f>
        <v>0.6</v>
      </c>
      <c r="L282" s="13">
        <v>-1</v>
      </c>
      <c r="M282" s="13">
        <f>extremeEstimate</f>
        <v>0.9</v>
      </c>
      <c r="N282" s="86">
        <f>A282</f>
        <v>279</v>
      </c>
      <c r="O282" s="38"/>
    </row>
    <row r="283" spans="1:24" s="9" customFormat="1" x14ac:dyDescent="0.25">
      <c r="A283" s="70">
        <f t="shared" si="42"/>
        <v>280</v>
      </c>
      <c r="C283" s="9" t="str">
        <f t="shared" ca="1" si="40"/>
        <v>Equipment and transport</v>
      </c>
      <c r="D283" s="9" t="str">
        <f t="shared" ca="1" si="41"/>
        <v>Roots &amp; tubers</v>
      </c>
      <c r="E283" s="9">
        <v>26</v>
      </c>
      <c r="F283" s="9">
        <v>23</v>
      </c>
      <c r="G283" s="9">
        <v>10</v>
      </c>
      <c r="H283" s="13">
        <v>1</v>
      </c>
      <c r="I283" s="13">
        <v>1</v>
      </c>
      <c r="J283" s="13">
        <f>J282*-15%</f>
        <v>0.15</v>
      </c>
      <c r="K283" s="13">
        <v>1</v>
      </c>
      <c r="L283" s="13">
        <f>L282*-15%</f>
        <v>0.15</v>
      </c>
      <c r="M283" s="13">
        <v>1</v>
      </c>
      <c r="N283" s="86">
        <f>A282</f>
        <v>279</v>
      </c>
      <c r="O283" s="38"/>
    </row>
    <row r="284" spans="1:24" s="9" customFormat="1" x14ac:dyDescent="0.25">
      <c r="A284" s="70">
        <f t="shared" si="42"/>
        <v>281</v>
      </c>
      <c r="C284" s="9" t="str">
        <f t="shared" ca="1" si="40"/>
        <v>Land transport</v>
      </c>
      <c r="D284" s="9" t="str">
        <f t="shared" ca="1" si="41"/>
        <v>Roots &amp; tubers</v>
      </c>
      <c r="E284" s="9">
        <v>9</v>
      </c>
      <c r="F284" s="9">
        <v>23</v>
      </c>
      <c r="G284" s="9">
        <v>10</v>
      </c>
      <c r="H284" s="13">
        <f>100%</f>
        <v>1</v>
      </c>
      <c r="I284" s="13">
        <f>100%</f>
        <v>1</v>
      </c>
      <c r="J284" s="13">
        <f>J282*-15%</f>
        <v>0.15</v>
      </c>
      <c r="K284" s="13">
        <v>1</v>
      </c>
      <c r="L284" s="13">
        <f>L282*-15%</f>
        <v>0.15</v>
      </c>
      <c r="M284" s="13">
        <v>1</v>
      </c>
      <c r="N284" s="86">
        <f>A282</f>
        <v>279</v>
      </c>
      <c r="O284" s="38"/>
    </row>
    <row r="285" spans="1:24" s="9" customFormat="1" x14ac:dyDescent="0.25">
      <c r="A285" s="70">
        <f t="shared" si="42"/>
        <v>282</v>
      </c>
      <c r="C285" s="9" t="str">
        <f t="shared" ca="1" si="40"/>
        <v>All products</v>
      </c>
      <c r="D285" s="9" t="str">
        <f t="shared" ca="1" si="41"/>
        <v>Meat</v>
      </c>
      <c r="E285" s="9">
        <v>1</v>
      </c>
      <c r="F285" s="9">
        <v>24</v>
      </c>
      <c r="G285" s="9">
        <v>10</v>
      </c>
      <c r="H285" s="13">
        <v>0.22605080040000003</v>
      </c>
      <c r="I285" s="13">
        <f>intermediateEstimate</f>
        <v>0.3</v>
      </c>
      <c r="J285" s="13">
        <v>-1</v>
      </c>
      <c r="K285" s="13">
        <f>advancedEstimate</f>
        <v>0.6</v>
      </c>
      <c r="L285" s="13">
        <v>-1</v>
      </c>
      <c r="M285" s="13">
        <f>extremeEstimate</f>
        <v>0.9</v>
      </c>
      <c r="N285" s="86">
        <f>A285</f>
        <v>282</v>
      </c>
      <c r="O285" s="38"/>
      <c r="X285" s="87"/>
    </row>
    <row r="286" spans="1:24" s="9" customFormat="1" x14ac:dyDescent="0.25">
      <c r="A286" s="70">
        <f t="shared" si="42"/>
        <v>283</v>
      </c>
      <c r="C286" s="9" t="str">
        <f t="shared" ca="1" si="40"/>
        <v>Equipment and transport</v>
      </c>
      <c r="D286" s="9" t="str">
        <f t="shared" ca="1" si="41"/>
        <v>Meat</v>
      </c>
      <c r="E286" s="9">
        <v>26</v>
      </c>
      <c r="F286" s="9">
        <v>24</v>
      </c>
      <c r="G286" s="9">
        <v>10</v>
      </c>
      <c r="H286" s="13">
        <v>1</v>
      </c>
      <c r="I286" s="13">
        <v>1</v>
      </c>
      <c r="J286" s="13">
        <f>J285*-15%</f>
        <v>0.15</v>
      </c>
      <c r="K286" s="13">
        <v>1</v>
      </c>
      <c r="L286" s="13">
        <f>L285*-15%</f>
        <v>0.15</v>
      </c>
      <c r="M286" s="13">
        <v>1</v>
      </c>
      <c r="N286" s="86">
        <f>A285</f>
        <v>282</v>
      </c>
      <c r="O286" s="38"/>
    </row>
    <row r="287" spans="1:24" s="9" customFormat="1" x14ac:dyDescent="0.25">
      <c r="A287" s="70">
        <f t="shared" si="42"/>
        <v>284</v>
      </c>
      <c r="C287" s="9" t="str">
        <f t="shared" ref="C287:C350" ca="1" si="43">INDIRECT(ADDRESS(E287+2,2,,,"product Table"))</f>
        <v>Land transport</v>
      </c>
      <c r="D287" s="9" t="str">
        <f t="shared" ref="D287:D350" ca="1" si="44">INDIRECT(ADDRESS(F287+2,2,,,"industry Table"))</f>
        <v>Meat</v>
      </c>
      <c r="E287" s="9">
        <v>9</v>
      </c>
      <c r="F287" s="9">
        <v>24</v>
      </c>
      <c r="G287" s="9">
        <v>10</v>
      </c>
      <c r="H287" s="13">
        <f>100%</f>
        <v>1</v>
      </c>
      <c r="I287" s="13">
        <f>100%</f>
        <v>1</v>
      </c>
      <c r="J287" s="13">
        <f>J285*-15%</f>
        <v>0.15</v>
      </c>
      <c r="K287" s="13">
        <v>1</v>
      </c>
      <c r="L287" s="13">
        <f>L285*-15%</f>
        <v>0.15</v>
      </c>
      <c r="M287" s="13">
        <v>1</v>
      </c>
      <c r="N287" s="86">
        <f>A285</f>
        <v>282</v>
      </c>
      <c r="O287" s="38"/>
    </row>
    <row r="288" spans="1:24" s="9" customFormat="1" x14ac:dyDescent="0.25">
      <c r="A288" s="70">
        <f t="shared" si="42"/>
        <v>285</v>
      </c>
      <c r="C288" s="9" t="str">
        <f t="shared" ca="1" si="43"/>
        <v>All products</v>
      </c>
      <c r="D288" s="9" t="str">
        <f t="shared" ca="1" si="44"/>
        <v>Milk</v>
      </c>
      <c r="E288" s="9">
        <v>1</v>
      </c>
      <c r="F288" s="9">
        <v>25</v>
      </c>
      <c r="G288" s="9">
        <v>10</v>
      </c>
      <c r="H288" s="13">
        <v>0.19851546720000002</v>
      </c>
      <c r="I288" s="13">
        <f>intermediateEstimate</f>
        <v>0.3</v>
      </c>
      <c r="J288" s="13">
        <v>-1</v>
      </c>
      <c r="K288" s="13">
        <f>advancedEstimate</f>
        <v>0.6</v>
      </c>
      <c r="L288" s="13">
        <v>-1</v>
      </c>
      <c r="M288" s="13">
        <f>extremeEstimate</f>
        <v>0.9</v>
      </c>
      <c r="N288" s="86">
        <f>A288</f>
        <v>285</v>
      </c>
      <c r="O288" s="38"/>
    </row>
    <row r="289" spans="1:24" s="9" customFormat="1" x14ac:dyDescent="0.25">
      <c r="A289" s="70">
        <f t="shared" si="42"/>
        <v>286</v>
      </c>
      <c r="C289" s="9" t="str">
        <f t="shared" ca="1" si="43"/>
        <v>Equipment and transport</v>
      </c>
      <c r="D289" s="9" t="str">
        <f t="shared" ca="1" si="44"/>
        <v>Milk</v>
      </c>
      <c r="E289" s="9">
        <v>26</v>
      </c>
      <c r="F289" s="9">
        <v>25</v>
      </c>
      <c r="G289" s="9">
        <v>10</v>
      </c>
      <c r="H289" s="13">
        <v>1</v>
      </c>
      <c r="I289" s="13">
        <v>1</v>
      </c>
      <c r="J289" s="13">
        <f>J288*-15%</f>
        <v>0.15</v>
      </c>
      <c r="K289" s="13">
        <v>1</v>
      </c>
      <c r="L289" s="13">
        <f>L288*-15%</f>
        <v>0.15</v>
      </c>
      <c r="M289" s="13">
        <v>1</v>
      </c>
      <c r="N289" s="86">
        <f>A288</f>
        <v>285</v>
      </c>
      <c r="O289" s="38"/>
      <c r="X289" s="74"/>
    </row>
    <row r="290" spans="1:24" s="9" customFormat="1" x14ac:dyDescent="0.25">
      <c r="A290" s="70">
        <f t="shared" si="42"/>
        <v>287</v>
      </c>
      <c r="C290" s="9" t="str">
        <f t="shared" ca="1" si="43"/>
        <v>Land transport</v>
      </c>
      <c r="D290" s="9" t="str">
        <f t="shared" ca="1" si="44"/>
        <v>Milk</v>
      </c>
      <c r="E290" s="9">
        <v>9</v>
      </c>
      <c r="F290" s="9">
        <v>25</v>
      </c>
      <c r="G290" s="9">
        <v>10</v>
      </c>
      <c r="H290" s="13">
        <f>100%</f>
        <v>1</v>
      </c>
      <c r="I290" s="13">
        <f>100%</f>
        <v>1</v>
      </c>
      <c r="J290" s="13">
        <f>J288*-15%</f>
        <v>0.15</v>
      </c>
      <c r="K290" s="13">
        <v>1</v>
      </c>
      <c r="L290" s="13">
        <f>L288*-15%</f>
        <v>0.15</v>
      </c>
      <c r="M290" s="13">
        <v>1</v>
      </c>
      <c r="N290" s="86">
        <f>A288</f>
        <v>285</v>
      </c>
      <c r="O290" s="38"/>
      <c r="X290" s="74"/>
    </row>
    <row r="291" spans="1:24" s="9" customFormat="1" x14ac:dyDescent="0.25">
      <c r="A291" s="70">
        <f t="shared" si="42"/>
        <v>288</v>
      </c>
      <c r="C291" s="9" t="str">
        <f t="shared" ca="1" si="43"/>
        <v>All products</v>
      </c>
      <c r="D291" s="9" t="str">
        <f t="shared" ca="1" si="44"/>
        <v>Fish &amp; seafood</v>
      </c>
      <c r="E291" s="9">
        <v>1</v>
      </c>
      <c r="F291" s="9">
        <v>26</v>
      </c>
      <c r="G291" s="9">
        <v>10</v>
      </c>
      <c r="H291" s="13">
        <v>0.30236924800000009</v>
      </c>
      <c r="I291" s="13">
        <f>intermediateEstimate</f>
        <v>0.3</v>
      </c>
      <c r="J291" s="13">
        <v>-1</v>
      </c>
      <c r="K291" s="13">
        <f>advancedEstimate</f>
        <v>0.6</v>
      </c>
      <c r="L291" s="13">
        <v>-1</v>
      </c>
      <c r="M291" s="13">
        <f>extremeEstimate</f>
        <v>0.9</v>
      </c>
      <c r="N291" s="86">
        <f>A291</f>
        <v>288</v>
      </c>
      <c r="O291" s="38"/>
      <c r="X291" s="74"/>
    </row>
    <row r="292" spans="1:24" s="9" customFormat="1" x14ac:dyDescent="0.25">
      <c r="A292" s="70">
        <f t="shared" si="42"/>
        <v>289</v>
      </c>
      <c r="C292" s="9" t="str">
        <f t="shared" ca="1" si="43"/>
        <v>Equipment and transport</v>
      </c>
      <c r="D292" s="9" t="str">
        <f t="shared" ca="1" si="44"/>
        <v>Fish &amp; seafood</v>
      </c>
      <c r="E292" s="9">
        <v>26</v>
      </c>
      <c r="F292" s="9">
        <v>26</v>
      </c>
      <c r="G292" s="9">
        <v>10</v>
      </c>
      <c r="H292" s="13">
        <v>1</v>
      </c>
      <c r="I292" s="13">
        <v>1</v>
      </c>
      <c r="J292" s="13">
        <f>J291*-15%</f>
        <v>0.15</v>
      </c>
      <c r="K292" s="13">
        <v>1</v>
      </c>
      <c r="L292" s="13">
        <f>L291*-15%</f>
        <v>0.15</v>
      </c>
      <c r="M292" s="13">
        <v>1</v>
      </c>
      <c r="N292" s="86">
        <f>A291</f>
        <v>288</v>
      </c>
      <c r="O292" s="38"/>
      <c r="X292" s="74"/>
    </row>
    <row r="293" spans="1:24" s="9" customFormat="1" x14ac:dyDescent="0.25">
      <c r="A293" s="70">
        <f t="shared" si="42"/>
        <v>290</v>
      </c>
      <c r="C293" s="9" t="str">
        <f t="shared" ca="1" si="43"/>
        <v>Land transport</v>
      </c>
      <c r="D293" s="9" t="str">
        <f t="shared" ca="1" si="44"/>
        <v>Fish &amp; seafood</v>
      </c>
      <c r="E293" s="9">
        <v>9</v>
      </c>
      <c r="F293" s="9">
        <v>26</v>
      </c>
      <c r="G293" s="9">
        <v>10</v>
      </c>
      <c r="H293" s="13">
        <f>100%</f>
        <v>1</v>
      </c>
      <c r="I293" s="13">
        <f>100%</f>
        <v>1</v>
      </c>
      <c r="J293" s="13">
        <f>J291*-15%</f>
        <v>0.15</v>
      </c>
      <c r="K293" s="13">
        <v>1</v>
      </c>
      <c r="L293" s="13">
        <f>L291*-15%</f>
        <v>0.15</v>
      </c>
      <c r="M293" s="13">
        <v>1</v>
      </c>
      <c r="N293" s="86">
        <f>A291</f>
        <v>288</v>
      </c>
      <c r="O293" s="38"/>
      <c r="X293" s="74"/>
    </row>
    <row r="294" spans="1:24" s="9" customFormat="1" x14ac:dyDescent="0.25">
      <c r="A294" s="70">
        <f t="shared" si="42"/>
        <v>291</v>
      </c>
      <c r="B294" s="9" t="s">
        <v>393</v>
      </c>
      <c r="C294" s="9" t="str">
        <f t="shared" ca="1" si="43"/>
        <v>All products</v>
      </c>
      <c r="D294" s="9" t="str">
        <f t="shared" ca="1" si="44"/>
        <v xml:space="preserve">Cereals </v>
      </c>
      <c r="E294" s="9">
        <v>1</v>
      </c>
      <c r="F294" s="9">
        <v>20</v>
      </c>
      <c r="G294" s="9">
        <v>11</v>
      </c>
      <c r="H294" s="13">
        <v>0.19807098820000013</v>
      </c>
      <c r="I294" s="13">
        <f>intermediateEstimate</f>
        <v>0.3</v>
      </c>
      <c r="J294" s="13">
        <v>-1</v>
      </c>
      <c r="K294" s="13">
        <f>advancedEstimate</f>
        <v>0.6</v>
      </c>
      <c r="L294" s="13">
        <v>-1</v>
      </c>
      <c r="M294" s="13">
        <f>extremeEstimate</f>
        <v>0.9</v>
      </c>
      <c r="N294" s="86">
        <f>A294</f>
        <v>291</v>
      </c>
      <c r="Q294" s="13"/>
      <c r="S294" s="13"/>
      <c r="X294" s="74"/>
    </row>
    <row r="295" spans="1:24" s="9" customFormat="1" x14ac:dyDescent="0.25">
      <c r="A295" s="70">
        <f t="shared" si="42"/>
        <v>292</v>
      </c>
      <c r="C295" s="9" t="str">
        <f t="shared" ca="1" si="43"/>
        <v>Equipment and transport</v>
      </c>
      <c r="D295" s="9" t="str">
        <f t="shared" ca="1" si="44"/>
        <v xml:space="preserve">Cereals </v>
      </c>
      <c r="E295" s="9">
        <v>26</v>
      </c>
      <c r="F295" s="9">
        <v>20</v>
      </c>
      <c r="G295" s="9">
        <v>11</v>
      </c>
      <c r="H295" s="13">
        <v>1</v>
      </c>
      <c r="I295" s="13">
        <v>1</v>
      </c>
      <c r="J295" s="13">
        <f>J294*-15%</f>
        <v>0.15</v>
      </c>
      <c r="K295" s="13">
        <v>1</v>
      </c>
      <c r="L295" s="13">
        <f>L294*-15%</f>
        <v>0.15</v>
      </c>
      <c r="M295" s="13">
        <v>1</v>
      </c>
      <c r="N295" s="86">
        <f>A294</f>
        <v>291</v>
      </c>
      <c r="Q295" s="13"/>
      <c r="S295" s="13"/>
      <c r="X295" s="74"/>
    </row>
    <row r="296" spans="1:24" s="9" customFormat="1" x14ac:dyDescent="0.25">
      <c r="A296" s="70">
        <f t="shared" si="42"/>
        <v>293</v>
      </c>
      <c r="C296" s="9" t="str">
        <f t="shared" ca="1" si="43"/>
        <v>Land transport</v>
      </c>
      <c r="D296" s="9" t="str">
        <f t="shared" ca="1" si="44"/>
        <v xml:space="preserve">Cereals </v>
      </c>
      <c r="E296" s="9">
        <v>9</v>
      </c>
      <c r="F296" s="9">
        <v>20</v>
      </c>
      <c r="G296" s="9">
        <v>11</v>
      </c>
      <c r="H296" s="13">
        <f>100%</f>
        <v>1</v>
      </c>
      <c r="I296" s="13">
        <f>100%</f>
        <v>1</v>
      </c>
      <c r="J296" s="13">
        <f>J294*-15%</f>
        <v>0.15</v>
      </c>
      <c r="K296" s="13">
        <v>1</v>
      </c>
      <c r="L296" s="13">
        <f>L294*-15%</f>
        <v>0.15</v>
      </c>
      <c r="M296" s="13">
        <v>1</v>
      </c>
      <c r="N296" s="86">
        <f>A294</f>
        <v>291</v>
      </c>
      <c r="Q296" s="13"/>
      <c r="S296" s="13"/>
      <c r="X296" s="74"/>
    </row>
    <row r="297" spans="1:24" s="9" customFormat="1" x14ac:dyDescent="0.25">
      <c r="A297" s="70">
        <f t="shared" si="42"/>
        <v>294</v>
      </c>
      <c r="C297" s="9" t="str">
        <f t="shared" ca="1" si="43"/>
        <v>All products</v>
      </c>
      <c r="D297" s="9" t="str">
        <f t="shared" ca="1" si="44"/>
        <v>Fruit &amp; veg</v>
      </c>
      <c r="E297" s="9">
        <v>1</v>
      </c>
      <c r="F297" s="9">
        <v>21</v>
      </c>
      <c r="G297" s="9">
        <v>11</v>
      </c>
      <c r="H297" s="13">
        <v>0.51443537500000003</v>
      </c>
      <c r="I297" s="13">
        <f>intermediateEstimate</f>
        <v>0.3</v>
      </c>
      <c r="J297" s="13">
        <v>-1</v>
      </c>
      <c r="K297" s="13">
        <f>advancedEstimate</f>
        <v>0.6</v>
      </c>
      <c r="L297" s="13">
        <v>-1</v>
      </c>
      <c r="M297" s="13">
        <f>extremeEstimate</f>
        <v>0.9</v>
      </c>
      <c r="N297" s="86">
        <f>A297</f>
        <v>294</v>
      </c>
      <c r="Q297" s="13"/>
      <c r="S297" s="13"/>
      <c r="X297" s="74"/>
    </row>
    <row r="298" spans="1:24" s="9" customFormat="1" x14ac:dyDescent="0.25">
      <c r="A298" s="70">
        <f t="shared" si="42"/>
        <v>295</v>
      </c>
      <c r="C298" s="9" t="str">
        <f t="shared" ca="1" si="43"/>
        <v>Equipment and transport</v>
      </c>
      <c r="D298" s="9" t="str">
        <f t="shared" ca="1" si="44"/>
        <v>Fruit &amp; veg</v>
      </c>
      <c r="E298" s="9">
        <v>26</v>
      </c>
      <c r="F298" s="9">
        <v>21</v>
      </c>
      <c r="G298" s="9">
        <v>11</v>
      </c>
      <c r="H298" s="13">
        <v>1</v>
      </c>
      <c r="I298" s="13">
        <v>1</v>
      </c>
      <c r="J298" s="13">
        <f>J297*-15%</f>
        <v>0.15</v>
      </c>
      <c r="K298" s="13">
        <v>1</v>
      </c>
      <c r="L298" s="13">
        <f>L297*-15%</f>
        <v>0.15</v>
      </c>
      <c r="M298" s="13">
        <v>1</v>
      </c>
      <c r="N298" s="86">
        <f>A297</f>
        <v>294</v>
      </c>
      <c r="Q298" s="13"/>
      <c r="S298" s="13"/>
      <c r="X298" s="74"/>
    </row>
    <row r="299" spans="1:24" s="9" customFormat="1" x14ac:dyDescent="0.25">
      <c r="A299" s="70">
        <f t="shared" si="42"/>
        <v>296</v>
      </c>
      <c r="C299" s="9" t="str">
        <f t="shared" ca="1" si="43"/>
        <v>Land transport</v>
      </c>
      <c r="D299" s="9" t="str">
        <f t="shared" ca="1" si="44"/>
        <v>Fruit &amp; veg</v>
      </c>
      <c r="E299" s="9">
        <v>9</v>
      </c>
      <c r="F299" s="9">
        <v>21</v>
      </c>
      <c r="G299" s="9">
        <v>11</v>
      </c>
      <c r="H299" s="13">
        <f>100%</f>
        <v>1</v>
      </c>
      <c r="I299" s="13">
        <f>100%</f>
        <v>1</v>
      </c>
      <c r="J299" s="13">
        <f>J297*-15%</f>
        <v>0.15</v>
      </c>
      <c r="K299" s="13">
        <v>1</v>
      </c>
      <c r="L299" s="13">
        <f>L297*-15%</f>
        <v>0.15</v>
      </c>
      <c r="M299" s="13">
        <v>1</v>
      </c>
      <c r="N299" s="86">
        <f>A297</f>
        <v>294</v>
      </c>
      <c r="Q299" s="13"/>
      <c r="S299" s="13"/>
      <c r="X299" s="74"/>
    </row>
    <row r="300" spans="1:24" s="9" customFormat="1" x14ac:dyDescent="0.25">
      <c r="A300" s="70">
        <f t="shared" si="42"/>
        <v>297</v>
      </c>
      <c r="C300" s="9" t="str">
        <f t="shared" ca="1" si="43"/>
        <v>All products</v>
      </c>
      <c r="D300" s="9" t="str">
        <f t="shared" ca="1" si="44"/>
        <v>Oilseeds and pulses</v>
      </c>
      <c r="E300" s="9">
        <v>1</v>
      </c>
      <c r="F300" s="9">
        <v>22</v>
      </c>
      <c r="G300" s="9">
        <v>11</v>
      </c>
      <c r="H300" s="13">
        <v>0.26950925440000018</v>
      </c>
      <c r="I300" s="13">
        <f>intermediateEstimate</f>
        <v>0.3</v>
      </c>
      <c r="J300" s="13">
        <v>-1</v>
      </c>
      <c r="K300" s="13">
        <f>advancedEstimate</f>
        <v>0.6</v>
      </c>
      <c r="L300" s="13">
        <v>-1</v>
      </c>
      <c r="M300" s="13">
        <f>extremeEstimate</f>
        <v>0.9</v>
      </c>
      <c r="N300" s="86">
        <f>A300</f>
        <v>297</v>
      </c>
      <c r="Q300" s="13"/>
      <c r="S300" s="13"/>
      <c r="X300" s="74"/>
    </row>
    <row r="301" spans="1:24" s="9" customFormat="1" x14ac:dyDescent="0.25">
      <c r="A301" s="70">
        <f t="shared" si="42"/>
        <v>298</v>
      </c>
      <c r="C301" s="9" t="str">
        <f t="shared" ca="1" si="43"/>
        <v>Equipment and transport</v>
      </c>
      <c r="D301" s="9" t="str">
        <f t="shared" ca="1" si="44"/>
        <v>Oilseeds and pulses</v>
      </c>
      <c r="E301" s="9">
        <v>26</v>
      </c>
      <c r="F301" s="9">
        <v>22</v>
      </c>
      <c r="G301" s="9">
        <v>11</v>
      </c>
      <c r="H301" s="13">
        <v>1</v>
      </c>
      <c r="I301" s="13">
        <v>1</v>
      </c>
      <c r="J301" s="13">
        <f>J300*-15%</f>
        <v>0.15</v>
      </c>
      <c r="K301" s="13">
        <v>1</v>
      </c>
      <c r="L301" s="13">
        <f>L300*-15%</f>
        <v>0.15</v>
      </c>
      <c r="M301" s="13">
        <v>1</v>
      </c>
      <c r="N301" s="86">
        <f>A300</f>
        <v>297</v>
      </c>
      <c r="Q301" s="13"/>
      <c r="S301" s="13"/>
      <c r="X301" s="74"/>
    </row>
    <row r="302" spans="1:24" s="9" customFormat="1" x14ac:dyDescent="0.25">
      <c r="A302" s="70">
        <f t="shared" si="42"/>
        <v>299</v>
      </c>
      <c r="C302" s="9" t="str">
        <f t="shared" ca="1" si="43"/>
        <v>Land transport</v>
      </c>
      <c r="D302" s="9" t="str">
        <f t="shared" ca="1" si="44"/>
        <v>Oilseeds and pulses</v>
      </c>
      <c r="E302" s="9">
        <v>9</v>
      </c>
      <c r="F302" s="9">
        <v>22</v>
      </c>
      <c r="G302" s="9">
        <v>11</v>
      </c>
      <c r="H302" s="13">
        <f>100%</f>
        <v>1</v>
      </c>
      <c r="I302" s="13">
        <f>100%</f>
        <v>1</v>
      </c>
      <c r="J302" s="13">
        <f>J300*-15%</f>
        <v>0.15</v>
      </c>
      <c r="K302" s="13">
        <v>1</v>
      </c>
      <c r="L302" s="13">
        <f>L300*-15%</f>
        <v>0.15</v>
      </c>
      <c r="M302" s="13">
        <v>1</v>
      </c>
      <c r="N302" s="86">
        <f>A300</f>
        <v>297</v>
      </c>
      <c r="Q302" s="13"/>
      <c r="S302" s="13"/>
      <c r="X302" s="74"/>
    </row>
    <row r="303" spans="1:24" s="9" customFormat="1" x14ac:dyDescent="0.25">
      <c r="A303" s="70">
        <f t="shared" si="42"/>
        <v>300</v>
      </c>
      <c r="C303" s="9" t="str">
        <f t="shared" ca="1" si="43"/>
        <v>All products</v>
      </c>
      <c r="D303" s="9" t="str">
        <f t="shared" ca="1" si="44"/>
        <v>Roots &amp; tubers</v>
      </c>
      <c r="E303" s="9">
        <v>1</v>
      </c>
      <c r="F303" s="9">
        <v>23</v>
      </c>
      <c r="G303" s="9">
        <v>11</v>
      </c>
      <c r="H303" s="13">
        <v>0.40841504200000001</v>
      </c>
      <c r="I303" s="13">
        <f>intermediateEstimate</f>
        <v>0.3</v>
      </c>
      <c r="J303" s="13">
        <v>-1</v>
      </c>
      <c r="K303" s="13">
        <f>advancedEstimate</f>
        <v>0.6</v>
      </c>
      <c r="L303" s="13">
        <v>-1</v>
      </c>
      <c r="M303" s="13">
        <f>extremeEstimate</f>
        <v>0.9</v>
      </c>
      <c r="N303" s="86">
        <f>A303</f>
        <v>300</v>
      </c>
      <c r="Q303" s="13"/>
      <c r="S303" s="13"/>
      <c r="X303" s="74"/>
    </row>
    <row r="304" spans="1:24" s="9" customFormat="1" x14ac:dyDescent="0.25">
      <c r="A304" s="70">
        <f t="shared" si="42"/>
        <v>301</v>
      </c>
      <c r="C304" s="9" t="str">
        <f t="shared" ca="1" si="43"/>
        <v>Equipment and transport</v>
      </c>
      <c r="D304" s="9" t="str">
        <f t="shared" ca="1" si="44"/>
        <v>Roots &amp; tubers</v>
      </c>
      <c r="E304" s="9">
        <v>26</v>
      </c>
      <c r="F304" s="9">
        <v>23</v>
      </c>
      <c r="G304" s="9">
        <v>11</v>
      </c>
      <c r="H304" s="13">
        <v>1</v>
      </c>
      <c r="I304" s="13">
        <v>1</v>
      </c>
      <c r="J304" s="13">
        <f>J303*-15%</f>
        <v>0.15</v>
      </c>
      <c r="K304" s="13">
        <v>1</v>
      </c>
      <c r="L304" s="13">
        <f>L303*-15%</f>
        <v>0.15</v>
      </c>
      <c r="M304" s="13">
        <v>1</v>
      </c>
      <c r="N304" s="86">
        <f>A303</f>
        <v>300</v>
      </c>
      <c r="Q304" s="13"/>
      <c r="S304" s="13"/>
    </row>
    <row r="305" spans="1:19" s="9" customFormat="1" x14ac:dyDescent="0.25">
      <c r="A305" s="70">
        <f t="shared" si="42"/>
        <v>302</v>
      </c>
      <c r="C305" s="9" t="str">
        <f t="shared" ca="1" si="43"/>
        <v>Land transport</v>
      </c>
      <c r="D305" s="9" t="str">
        <f t="shared" ca="1" si="44"/>
        <v>Roots &amp; tubers</v>
      </c>
      <c r="E305" s="9">
        <v>9</v>
      </c>
      <c r="F305" s="9">
        <v>23</v>
      </c>
      <c r="G305" s="9">
        <v>11</v>
      </c>
      <c r="H305" s="13">
        <f>100%</f>
        <v>1</v>
      </c>
      <c r="I305" s="13">
        <f>100%</f>
        <v>1</v>
      </c>
      <c r="J305" s="13">
        <f>J303*-15%</f>
        <v>0.15</v>
      </c>
      <c r="K305" s="13">
        <v>1</v>
      </c>
      <c r="L305" s="13">
        <f>L303*-15%</f>
        <v>0.15</v>
      </c>
      <c r="M305" s="13">
        <v>1</v>
      </c>
      <c r="N305" s="86">
        <f>A303</f>
        <v>300</v>
      </c>
      <c r="Q305" s="13"/>
      <c r="S305" s="13"/>
    </row>
    <row r="306" spans="1:19" s="9" customFormat="1" x14ac:dyDescent="0.25">
      <c r="A306" s="70">
        <f t="shared" si="42"/>
        <v>303</v>
      </c>
      <c r="C306" s="9" t="str">
        <f t="shared" ca="1" si="43"/>
        <v>All products</v>
      </c>
      <c r="D306" s="9" t="str">
        <f t="shared" ca="1" si="44"/>
        <v>Meat</v>
      </c>
      <c r="E306" s="9">
        <v>1</v>
      </c>
      <c r="F306" s="9">
        <v>24</v>
      </c>
      <c r="G306" s="9">
        <v>11</v>
      </c>
      <c r="H306" s="13">
        <v>0.19751087152000024</v>
      </c>
      <c r="I306" s="13">
        <f>intermediateEstimate</f>
        <v>0.3</v>
      </c>
      <c r="J306" s="13">
        <v>-1</v>
      </c>
      <c r="K306" s="13">
        <f>advancedEstimate</f>
        <v>0.6</v>
      </c>
      <c r="L306" s="13">
        <v>-1</v>
      </c>
      <c r="M306" s="13">
        <f>extremeEstimate</f>
        <v>0.9</v>
      </c>
      <c r="N306" s="86">
        <f>A306</f>
        <v>303</v>
      </c>
      <c r="Q306" s="13"/>
      <c r="S306" s="13"/>
    </row>
    <row r="307" spans="1:19" s="9" customFormat="1" x14ac:dyDescent="0.25">
      <c r="A307" s="70">
        <f t="shared" si="42"/>
        <v>304</v>
      </c>
      <c r="C307" s="9" t="str">
        <f t="shared" ca="1" si="43"/>
        <v>Equipment and transport</v>
      </c>
      <c r="D307" s="9" t="str">
        <f t="shared" ca="1" si="44"/>
        <v>Meat</v>
      </c>
      <c r="E307" s="9">
        <v>26</v>
      </c>
      <c r="F307" s="9">
        <v>24</v>
      </c>
      <c r="G307" s="9">
        <v>11</v>
      </c>
      <c r="H307" s="13">
        <v>1</v>
      </c>
      <c r="I307" s="13">
        <v>1</v>
      </c>
      <c r="J307" s="13">
        <f>J306*-15%</f>
        <v>0.15</v>
      </c>
      <c r="K307" s="13">
        <v>1</v>
      </c>
      <c r="L307" s="13">
        <f>L306*-15%</f>
        <v>0.15</v>
      </c>
      <c r="M307" s="13">
        <v>1</v>
      </c>
      <c r="N307" s="86">
        <f>A306</f>
        <v>303</v>
      </c>
      <c r="Q307" s="13"/>
      <c r="S307" s="13"/>
    </row>
    <row r="308" spans="1:19" s="9" customFormat="1" x14ac:dyDescent="0.25">
      <c r="A308" s="70">
        <f t="shared" si="42"/>
        <v>305</v>
      </c>
      <c r="C308" s="9" t="str">
        <f t="shared" ca="1" si="43"/>
        <v>Land transport</v>
      </c>
      <c r="D308" s="9" t="str">
        <f t="shared" ca="1" si="44"/>
        <v>Meat</v>
      </c>
      <c r="E308" s="9">
        <v>9</v>
      </c>
      <c r="F308" s="9">
        <v>24</v>
      </c>
      <c r="G308" s="9">
        <v>11</v>
      </c>
      <c r="H308" s="13">
        <f>100%</f>
        <v>1</v>
      </c>
      <c r="I308" s="13">
        <f>100%</f>
        <v>1</v>
      </c>
      <c r="J308" s="13">
        <f>J306*-15%</f>
        <v>0.15</v>
      </c>
      <c r="K308" s="13">
        <v>1</v>
      </c>
      <c r="L308" s="13">
        <f>L306*-15%</f>
        <v>0.15</v>
      </c>
      <c r="M308" s="13">
        <v>1</v>
      </c>
      <c r="N308" s="86">
        <f>A306</f>
        <v>303</v>
      </c>
      <c r="O308" s="38"/>
    </row>
    <row r="309" spans="1:19" s="9" customFormat="1" x14ac:dyDescent="0.25">
      <c r="A309" s="70">
        <f t="shared" ref="A309:A388" si="45">1+A308</f>
        <v>306</v>
      </c>
      <c r="C309" s="9" t="str">
        <f t="shared" ca="1" si="43"/>
        <v>All products</v>
      </c>
      <c r="D309" s="9" t="str">
        <f t="shared" ca="1" si="44"/>
        <v>Milk</v>
      </c>
      <c r="E309" s="9">
        <v>1</v>
      </c>
      <c r="F309" s="9">
        <v>25</v>
      </c>
      <c r="G309" s="9">
        <v>11</v>
      </c>
      <c r="H309" s="13">
        <v>0.20793842200000001</v>
      </c>
      <c r="I309" s="13">
        <f>intermediateEstimate</f>
        <v>0.3</v>
      </c>
      <c r="J309" s="13">
        <v>-1</v>
      </c>
      <c r="K309" s="13">
        <f>advancedEstimate</f>
        <v>0.6</v>
      </c>
      <c r="L309" s="13">
        <v>-1</v>
      </c>
      <c r="M309" s="13">
        <f>extremeEstimate</f>
        <v>0.9</v>
      </c>
      <c r="N309" s="86">
        <f>A309</f>
        <v>306</v>
      </c>
      <c r="O309" s="38"/>
    </row>
    <row r="310" spans="1:19" s="9" customFormat="1" x14ac:dyDescent="0.25">
      <c r="A310" s="70">
        <f t="shared" si="45"/>
        <v>307</v>
      </c>
      <c r="C310" s="9" t="str">
        <f t="shared" ca="1" si="43"/>
        <v>Equipment and transport</v>
      </c>
      <c r="D310" s="9" t="str">
        <f t="shared" ca="1" si="44"/>
        <v>Milk</v>
      </c>
      <c r="E310" s="9">
        <v>26</v>
      </c>
      <c r="F310" s="9">
        <v>25</v>
      </c>
      <c r="G310" s="9">
        <v>11</v>
      </c>
      <c r="H310" s="13">
        <v>1</v>
      </c>
      <c r="I310" s="13">
        <v>1</v>
      </c>
      <c r="J310" s="13">
        <f>J309*-15%</f>
        <v>0.15</v>
      </c>
      <c r="K310" s="13">
        <v>1</v>
      </c>
      <c r="L310" s="13">
        <f>L309*-15%</f>
        <v>0.15</v>
      </c>
      <c r="M310" s="13">
        <v>1</v>
      </c>
      <c r="N310" s="86">
        <f>A309</f>
        <v>306</v>
      </c>
      <c r="O310" s="38"/>
    </row>
    <row r="311" spans="1:19" s="9" customFormat="1" x14ac:dyDescent="0.25">
      <c r="A311" s="70">
        <f t="shared" si="45"/>
        <v>308</v>
      </c>
      <c r="C311" s="9" t="str">
        <f t="shared" ca="1" si="43"/>
        <v>Land transport</v>
      </c>
      <c r="D311" s="9" t="str">
        <f t="shared" ca="1" si="44"/>
        <v>Milk</v>
      </c>
      <c r="E311" s="9">
        <v>9</v>
      </c>
      <c r="F311" s="9">
        <v>25</v>
      </c>
      <c r="G311" s="9">
        <v>11</v>
      </c>
      <c r="H311" s="13">
        <f>100%</f>
        <v>1</v>
      </c>
      <c r="I311" s="13">
        <f>100%</f>
        <v>1</v>
      </c>
      <c r="J311" s="13">
        <f>J309*-15%</f>
        <v>0.15</v>
      </c>
      <c r="K311" s="13">
        <v>1</v>
      </c>
      <c r="L311" s="13">
        <f>L309*-15%</f>
        <v>0.15</v>
      </c>
      <c r="M311" s="13">
        <v>1</v>
      </c>
      <c r="N311" s="86">
        <f>A309</f>
        <v>306</v>
      </c>
      <c r="O311" s="38"/>
    </row>
    <row r="312" spans="1:19" s="9" customFormat="1" x14ac:dyDescent="0.25">
      <c r="A312" s="70">
        <f t="shared" si="45"/>
        <v>309</v>
      </c>
      <c r="C312" s="9" t="str">
        <f t="shared" ca="1" si="43"/>
        <v>All products</v>
      </c>
      <c r="D312" s="9" t="str">
        <f t="shared" ca="1" si="44"/>
        <v>Fish &amp; seafood</v>
      </c>
      <c r="E312" s="9">
        <v>1</v>
      </c>
      <c r="F312" s="9">
        <v>26</v>
      </c>
      <c r="G312" s="9">
        <v>11</v>
      </c>
      <c r="H312" s="13">
        <v>0.34588075239999994</v>
      </c>
      <c r="I312" s="13">
        <f>intermediateEstimate</f>
        <v>0.3</v>
      </c>
      <c r="J312" s="13">
        <v>-1</v>
      </c>
      <c r="K312" s="13">
        <f>advancedEstimate</f>
        <v>0.6</v>
      </c>
      <c r="L312" s="13">
        <v>-1</v>
      </c>
      <c r="M312" s="13">
        <f>extremeEstimate</f>
        <v>0.9</v>
      </c>
      <c r="N312" s="86">
        <f>A312</f>
        <v>309</v>
      </c>
      <c r="O312" s="38"/>
    </row>
    <row r="313" spans="1:19" s="9" customFormat="1" x14ac:dyDescent="0.25">
      <c r="A313" s="70">
        <f t="shared" si="45"/>
        <v>310</v>
      </c>
      <c r="C313" s="9" t="str">
        <f t="shared" ca="1" si="43"/>
        <v>Equipment and transport</v>
      </c>
      <c r="D313" s="9" t="str">
        <f t="shared" ca="1" si="44"/>
        <v>Fish &amp; seafood</v>
      </c>
      <c r="E313" s="9">
        <v>26</v>
      </c>
      <c r="F313" s="9">
        <v>26</v>
      </c>
      <c r="G313" s="9">
        <v>11</v>
      </c>
      <c r="H313" s="13">
        <v>1</v>
      </c>
      <c r="I313" s="13">
        <v>1</v>
      </c>
      <c r="J313" s="13">
        <f>J312*-15%</f>
        <v>0.15</v>
      </c>
      <c r="K313" s="13">
        <v>1</v>
      </c>
      <c r="L313" s="13">
        <f>L312*-15%</f>
        <v>0.15</v>
      </c>
      <c r="M313" s="13">
        <v>1</v>
      </c>
      <c r="N313" s="86">
        <f>A312</f>
        <v>309</v>
      </c>
      <c r="O313" s="38"/>
    </row>
    <row r="314" spans="1:19" s="9" customFormat="1" x14ac:dyDescent="0.25">
      <c r="A314" s="70">
        <f t="shared" si="45"/>
        <v>311</v>
      </c>
      <c r="C314" s="9" t="str">
        <f t="shared" ca="1" si="43"/>
        <v>Land transport</v>
      </c>
      <c r="D314" s="9" t="str">
        <f t="shared" ca="1" si="44"/>
        <v>Fish &amp; seafood</v>
      </c>
      <c r="E314" s="9">
        <v>9</v>
      </c>
      <c r="F314" s="9">
        <v>26</v>
      </c>
      <c r="G314" s="9">
        <v>11</v>
      </c>
      <c r="H314" s="13">
        <f>100%</f>
        <v>1</v>
      </c>
      <c r="I314" s="13">
        <f>100%</f>
        <v>1</v>
      </c>
      <c r="J314" s="13">
        <f>J312*-15%</f>
        <v>0.15</v>
      </c>
      <c r="K314" s="13">
        <v>1</v>
      </c>
      <c r="L314" s="13">
        <f>L312*-15%</f>
        <v>0.15</v>
      </c>
      <c r="M314" s="13">
        <v>1</v>
      </c>
      <c r="N314" s="86">
        <f>A312</f>
        <v>309</v>
      </c>
      <c r="O314" s="38"/>
    </row>
    <row r="315" spans="1:19" s="9" customFormat="1" x14ac:dyDescent="0.25">
      <c r="A315" s="70">
        <f t="shared" si="45"/>
        <v>312</v>
      </c>
      <c r="B315" s="9" t="s">
        <v>394</v>
      </c>
      <c r="C315" s="9" t="str">
        <f t="shared" ca="1" si="43"/>
        <v>All products</v>
      </c>
      <c r="D315" s="9" t="str">
        <f t="shared" ca="1" si="44"/>
        <v xml:space="preserve">Cereals </v>
      </c>
      <c r="E315" s="9">
        <v>1</v>
      </c>
      <c r="F315" s="9">
        <v>20</v>
      </c>
      <c r="G315" s="9">
        <v>12</v>
      </c>
      <c r="H315" s="13">
        <v>0.27490355200000016</v>
      </c>
      <c r="I315" s="13">
        <f>intermediateEstimate</f>
        <v>0.3</v>
      </c>
      <c r="J315" s="13">
        <v>-1</v>
      </c>
      <c r="K315" s="13">
        <f>advancedEstimate</f>
        <v>0.6</v>
      </c>
      <c r="L315" s="13">
        <v>-1</v>
      </c>
      <c r="M315" s="13">
        <f>extremeEstimate</f>
        <v>0.9</v>
      </c>
      <c r="N315" s="86">
        <f>A315</f>
        <v>312</v>
      </c>
      <c r="O315" s="38"/>
    </row>
    <row r="316" spans="1:19" s="9" customFormat="1" x14ac:dyDescent="0.25">
      <c r="A316" s="70">
        <f t="shared" si="45"/>
        <v>313</v>
      </c>
      <c r="C316" s="9" t="str">
        <f t="shared" ca="1" si="43"/>
        <v>Equipment and transport</v>
      </c>
      <c r="D316" s="9" t="str">
        <f t="shared" ca="1" si="44"/>
        <v xml:space="preserve">Cereals </v>
      </c>
      <c r="E316" s="9">
        <v>26</v>
      </c>
      <c r="F316" s="9">
        <v>20</v>
      </c>
      <c r="G316" s="9">
        <v>12</v>
      </c>
      <c r="H316" s="13">
        <v>1</v>
      </c>
      <c r="I316" s="13">
        <v>1</v>
      </c>
      <c r="J316" s="13">
        <f>J315*-15%</f>
        <v>0.15</v>
      </c>
      <c r="K316" s="13">
        <v>1</v>
      </c>
      <c r="L316" s="13">
        <f>L315*-15%</f>
        <v>0.15</v>
      </c>
      <c r="M316" s="13">
        <v>1</v>
      </c>
      <c r="N316" s="86">
        <f>A315</f>
        <v>312</v>
      </c>
      <c r="O316" s="38"/>
    </row>
    <row r="317" spans="1:19" s="9" customFormat="1" x14ac:dyDescent="0.25">
      <c r="A317" s="70">
        <f t="shared" si="45"/>
        <v>314</v>
      </c>
      <c r="C317" s="9" t="str">
        <f t="shared" ca="1" si="43"/>
        <v>Land transport</v>
      </c>
      <c r="D317" s="9" t="str">
        <f t="shared" ca="1" si="44"/>
        <v xml:space="preserve">Cereals </v>
      </c>
      <c r="E317" s="9">
        <v>9</v>
      </c>
      <c r="F317" s="9">
        <v>20</v>
      </c>
      <c r="G317" s="9">
        <v>12</v>
      </c>
      <c r="H317" s="13">
        <f>100%</f>
        <v>1</v>
      </c>
      <c r="I317" s="13">
        <f>100%</f>
        <v>1</v>
      </c>
      <c r="J317" s="13">
        <f>J315*-15%</f>
        <v>0.15</v>
      </c>
      <c r="K317" s="13">
        <v>1</v>
      </c>
      <c r="L317" s="13">
        <f>L315*-15%</f>
        <v>0.15</v>
      </c>
      <c r="M317" s="13">
        <v>1</v>
      </c>
      <c r="N317" s="86">
        <f>A315</f>
        <v>312</v>
      </c>
      <c r="O317" s="38"/>
    </row>
    <row r="318" spans="1:19" s="9" customFormat="1" x14ac:dyDescent="0.25">
      <c r="A318" s="70">
        <f t="shared" si="45"/>
        <v>315</v>
      </c>
      <c r="C318" s="9" t="str">
        <f t="shared" ca="1" si="43"/>
        <v>All products</v>
      </c>
      <c r="D318" s="9" t="str">
        <f t="shared" ca="1" si="44"/>
        <v>Fruit &amp; veg</v>
      </c>
      <c r="E318" s="9">
        <v>1</v>
      </c>
      <c r="F318" s="9">
        <v>21</v>
      </c>
      <c r="G318" s="9">
        <v>12</v>
      </c>
      <c r="H318" s="13">
        <v>0.54380799999999985</v>
      </c>
      <c r="I318" s="13">
        <f>intermediateEstimate</f>
        <v>0.3</v>
      </c>
      <c r="J318" s="13">
        <v>-1</v>
      </c>
      <c r="K318" s="13">
        <f>advancedEstimate</f>
        <v>0.6</v>
      </c>
      <c r="L318" s="13">
        <v>-1</v>
      </c>
      <c r="M318" s="13">
        <f>extremeEstimate</f>
        <v>0.9</v>
      </c>
      <c r="N318" s="86">
        <f>A318</f>
        <v>315</v>
      </c>
      <c r="O318" s="38"/>
    </row>
    <row r="319" spans="1:19" s="9" customFormat="1" x14ac:dyDescent="0.25">
      <c r="A319" s="70">
        <f t="shared" si="45"/>
        <v>316</v>
      </c>
      <c r="C319" s="9" t="str">
        <f t="shared" ca="1" si="43"/>
        <v>Equipment and transport</v>
      </c>
      <c r="D319" s="9" t="str">
        <f t="shared" ca="1" si="44"/>
        <v>Fruit &amp; veg</v>
      </c>
      <c r="E319" s="9">
        <v>26</v>
      </c>
      <c r="F319" s="9">
        <v>21</v>
      </c>
      <c r="G319" s="9">
        <v>12</v>
      </c>
      <c r="H319" s="13">
        <v>1</v>
      </c>
      <c r="I319" s="13">
        <v>1</v>
      </c>
      <c r="J319" s="13">
        <f>J318*-15%</f>
        <v>0.15</v>
      </c>
      <c r="K319" s="13">
        <v>1</v>
      </c>
      <c r="L319" s="13">
        <f>L318*-15%</f>
        <v>0.15</v>
      </c>
      <c r="M319" s="13">
        <v>1</v>
      </c>
      <c r="N319" s="86">
        <f>A318</f>
        <v>315</v>
      </c>
      <c r="O319" s="38"/>
    </row>
    <row r="320" spans="1:19" s="9" customFormat="1" x14ac:dyDescent="0.25">
      <c r="A320" s="70">
        <f t="shared" si="45"/>
        <v>317</v>
      </c>
      <c r="C320" s="9" t="str">
        <f t="shared" ca="1" si="43"/>
        <v>Land transport</v>
      </c>
      <c r="D320" s="9" t="str">
        <f t="shared" ca="1" si="44"/>
        <v>Fruit &amp; veg</v>
      </c>
      <c r="E320" s="9">
        <v>9</v>
      </c>
      <c r="F320" s="9">
        <v>21</v>
      </c>
      <c r="G320" s="9">
        <v>12</v>
      </c>
      <c r="H320" s="13">
        <f>100%</f>
        <v>1</v>
      </c>
      <c r="I320" s="13">
        <f>100%</f>
        <v>1</v>
      </c>
      <c r="J320" s="13">
        <f>J318*-15%</f>
        <v>0.15</v>
      </c>
      <c r="K320" s="13">
        <v>1</v>
      </c>
      <c r="L320" s="13">
        <f>L318*-15%</f>
        <v>0.15</v>
      </c>
      <c r="M320" s="13">
        <v>1</v>
      </c>
      <c r="N320" s="86">
        <f>A318</f>
        <v>315</v>
      </c>
      <c r="O320" s="38"/>
    </row>
    <row r="321" spans="1:15" s="9" customFormat="1" x14ac:dyDescent="0.25">
      <c r="A321" s="70">
        <f t="shared" si="45"/>
        <v>318</v>
      </c>
      <c r="C321" s="9" t="str">
        <f t="shared" ca="1" si="43"/>
        <v>All products</v>
      </c>
      <c r="D321" s="9" t="str">
        <f t="shared" ca="1" si="44"/>
        <v>Oilseeds and pulses</v>
      </c>
      <c r="E321" s="9">
        <v>1</v>
      </c>
      <c r="F321" s="9">
        <v>22</v>
      </c>
      <c r="G321" s="9">
        <v>12</v>
      </c>
      <c r="H321" s="13">
        <v>0.19436269760000002</v>
      </c>
      <c r="I321" s="13">
        <f>intermediateEstimate</f>
        <v>0.3</v>
      </c>
      <c r="J321" s="13">
        <v>-1</v>
      </c>
      <c r="K321" s="13">
        <f>advancedEstimate</f>
        <v>0.6</v>
      </c>
      <c r="L321" s="13">
        <v>-1</v>
      </c>
      <c r="M321" s="13">
        <f>extremeEstimate</f>
        <v>0.9</v>
      </c>
      <c r="N321" s="86">
        <f>A321</f>
        <v>318</v>
      </c>
      <c r="O321" s="38"/>
    </row>
    <row r="322" spans="1:15" s="9" customFormat="1" x14ac:dyDescent="0.25">
      <c r="A322" s="70">
        <f t="shared" si="45"/>
        <v>319</v>
      </c>
      <c r="C322" s="9" t="str">
        <f t="shared" ca="1" si="43"/>
        <v>Equipment and transport</v>
      </c>
      <c r="D322" s="9" t="str">
        <f t="shared" ca="1" si="44"/>
        <v>Oilseeds and pulses</v>
      </c>
      <c r="E322" s="9">
        <v>26</v>
      </c>
      <c r="F322" s="9">
        <v>22</v>
      </c>
      <c r="G322" s="9">
        <v>12</v>
      </c>
      <c r="H322" s="13">
        <v>1</v>
      </c>
      <c r="I322" s="13">
        <v>1</v>
      </c>
      <c r="J322" s="13">
        <f>J321*-15%</f>
        <v>0.15</v>
      </c>
      <c r="K322" s="13">
        <v>1</v>
      </c>
      <c r="L322" s="13">
        <f>L321*-15%</f>
        <v>0.15</v>
      </c>
      <c r="M322" s="13">
        <v>1</v>
      </c>
      <c r="N322" s="86">
        <f>A321</f>
        <v>318</v>
      </c>
      <c r="O322" s="38"/>
    </row>
    <row r="323" spans="1:15" s="9" customFormat="1" x14ac:dyDescent="0.25">
      <c r="A323" s="70">
        <f t="shared" si="45"/>
        <v>320</v>
      </c>
      <c r="C323" s="9" t="str">
        <f t="shared" ca="1" si="43"/>
        <v>Land transport</v>
      </c>
      <c r="D323" s="9" t="str">
        <f t="shared" ca="1" si="44"/>
        <v>Oilseeds and pulses</v>
      </c>
      <c r="E323" s="9">
        <v>9</v>
      </c>
      <c r="F323" s="9">
        <v>22</v>
      </c>
      <c r="G323" s="9">
        <v>12</v>
      </c>
      <c r="H323" s="13">
        <f>100%</f>
        <v>1</v>
      </c>
      <c r="I323" s="13">
        <f>100%</f>
        <v>1</v>
      </c>
      <c r="J323" s="13">
        <f>J321*-15%</f>
        <v>0.15</v>
      </c>
      <c r="K323" s="13">
        <v>1</v>
      </c>
      <c r="L323" s="13">
        <f>L321*-15%</f>
        <v>0.15</v>
      </c>
      <c r="M323" s="13">
        <v>1</v>
      </c>
      <c r="N323" s="86">
        <f>A321</f>
        <v>318</v>
      </c>
      <c r="O323" s="38"/>
    </row>
    <row r="324" spans="1:15" s="9" customFormat="1" x14ac:dyDescent="0.25">
      <c r="A324" s="70">
        <f t="shared" si="45"/>
        <v>321</v>
      </c>
      <c r="C324" s="9" t="str">
        <f t="shared" ca="1" si="43"/>
        <v>All products</v>
      </c>
      <c r="D324" s="9" t="str">
        <f t="shared" ca="1" si="44"/>
        <v>Roots &amp; tubers</v>
      </c>
      <c r="E324" s="9">
        <v>1</v>
      </c>
      <c r="F324" s="9">
        <v>23</v>
      </c>
      <c r="G324" s="9">
        <v>12</v>
      </c>
      <c r="H324" s="13">
        <v>0.39393034240000002</v>
      </c>
      <c r="I324" s="13">
        <f>intermediateEstimate</f>
        <v>0.3</v>
      </c>
      <c r="J324" s="13">
        <v>-1</v>
      </c>
      <c r="K324" s="13">
        <f>advancedEstimate</f>
        <v>0.6</v>
      </c>
      <c r="L324" s="13">
        <v>-1</v>
      </c>
      <c r="M324" s="13">
        <f>extremeEstimate</f>
        <v>0.9</v>
      </c>
      <c r="N324" s="86">
        <f>A324</f>
        <v>321</v>
      </c>
      <c r="O324" s="38"/>
    </row>
    <row r="325" spans="1:15" s="9" customFormat="1" x14ac:dyDescent="0.25">
      <c r="A325" s="70">
        <f t="shared" si="45"/>
        <v>322</v>
      </c>
      <c r="C325" s="9" t="str">
        <f t="shared" ca="1" si="43"/>
        <v>Equipment and transport</v>
      </c>
      <c r="D325" s="9" t="str">
        <f t="shared" ca="1" si="44"/>
        <v>Roots &amp; tubers</v>
      </c>
      <c r="E325" s="9">
        <v>26</v>
      </c>
      <c r="F325" s="9">
        <v>23</v>
      </c>
      <c r="G325" s="9">
        <v>12</v>
      </c>
      <c r="H325" s="13">
        <v>1</v>
      </c>
      <c r="I325" s="13">
        <v>1</v>
      </c>
      <c r="J325" s="13">
        <f>J324*-15%</f>
        <v>0.15</v>
      </c>
      <c r="K325" s="13">
        <v>1</v>
      </c>
      <c r="L325" s="13">
        <f>L324*-15%</f>
        <v>0.15</v>
      </c>
      <c r="M325" s="13">
        <v>1</v>
      </c>
      <c r="N325" s="86">
        <f>A324</f>
        <v>321</v>
      </c>
      <c r="O325" s="38"/>
    </row>
    <row r="326" spans="1:15" s="9" customFormat="1" x14ac:dyDescent="0.25">
      <c r="A326" s="70">
        <f t="shared" si="45"/>
        <v>323</v>
      </c>
      <c r="C326" s="9" t="str">
        <f t="shared" ca="1" si="43"/>
        <v>Land transport</v>
      </c>
      <c r="D326" s="9" t="str">
        <f t="shared" ca="1" si="44"/>
        <v>Roots &amp; tubers</v>
      </c>
      <c r="E326" s="9">
        <v>9</v>
      </c>
      <c r="F326" s="9">
        <v>23</v>
      </c>
      <c r="G326" s="9">
        <v>12</v>
      </c>
      <c r="H326" s="13">
        <f>100%</f>
        <v>1</v>
      </c>
      <c r="I326" s="13">
        <f>100%</f>
        <v>1</v>
      </c>
      <c r="J326" s="13">
        <f>J324*-15%</f>
        <v>0.15</v>
      </c>
      <c r="K326" s="13">
        <v>1</v>
      </c>
      <c r="L326" s="13">
        <f>L324*-15%</f>
        <v>0.15</v>
      </c>
      <c r="M326" s="13">
        <v>1</v>
      </c>
      <c r="N326" s="86">
        <f>A324</f>
        <v>321</v>
      </c>
      <c r="O326" s="38"/>
    </row>
    <row r="327" spans="1:15" s="9" customFormat="1" x14ac:dyDescent="0.25">
      <c r="A327" s="70">
        <f t="shared" si="45"/>
        <v>324</v>
      </c>
      <c r="C327" s="9" t="str">
        <f t="shared" ca="1" si="43"/>
        <v>All products</v>
      </c>
      <c r="D327" s="9" t="str">
        <f t="shared" ca="1" si="44"/>
        <v>Meat</v>
      </c>
      <c r="E327" s="9">
        <v>1</v>
      </c>
      <c r="F327" s="9">
        <v>24</v>
      </c>
      <c r="G327" s="9">
        <v>12</v>
      </c>
      <c r="H327" s="13">
        <v>0.20544981195000012</v>
      </c>
      <c r="I327" s="13">
        <f>intermediateEstimate</f>
        <v>0.3</v>
      </c>
      <c r="J327" s="13">
        <v>-1</v>
      </c>
      <c r="K327" s="13">
        <f>advancedEstimate</f>
        <v>0.6</v>
      </c>
      <c r="L327" s="13">
        <v>-1</v>
      </c>
      <c r="M327" s="13">
        <f>extremeEstimate</f>
        <v>0.9</v>
      </c>
      <c r="N327" s="86">
        <f>A327</f>
        <v>324</v>
      </c>
      <c r="O327" s="38"/>
    </row>
    <row r="328" spans="1:15" s="9" customFormat="1" x14ac:dyDescent="0.25">
      <c r="A328" s="70">
        <f t="shared" si="45"/>
        <v>325</v>
      </c>
      <c r="C328" s="9" t="str">
        <f t="shared" ca="1" si="43"/>
        <v>Equipment and transport</v>
      </c>
      <c r="D328" s="9" t="str">
        <f t="shared" ca="1" si="44"/>
        <v>Meat</v>
      </c>
      <c r="E328" s="9">
        <v>26</v>
      </c>
      <c r="F328" s="9">
        <v>24</v>
      </c>
      <c r="G328" s="9">
        <v>12</v>
      </c>
      <c r="H328" s="13">
        <v>1</v>
      </c>
      <c r="I328" s="13">
        <v>1</v>
      </c>
      <c r="J328" s="13">
        <f>J327*-15%</f>
        <v>0.15</v>
      </c>
      <c r="K328" s="13">
        <v>1</v>
      </c>
      <c r="L328" s="13">
        <f>L327*-15%</f>
        <v>0.15</v>
      </c>
      <c r="M328" s="13">
        <v>1</v>
      </c>
      <c r="N328" s="86">
        <f>A327</f>
        <v>324</v>
      </c>
      <c r="O328" s="38"/>
    </row>
    <row r="329" spans="1:15" s="9" customFormat="1" x14ac:dyDescent="0.25">
      <c r="A329" s="70">
        <f t="shared" si="45"/>
        <v>326</v>
      </c>
      <c r="C329" s="9" t="str">
        <f t="shared" ca="1" si="43"/>
        <v>Land transport</v>
      </c>
      <c r="D329" s="9" t="str">
        <f t="shared" ca="1" si="44"/>
        <v>Meat</v>
      </c>
      <c r="E329" s="9">
        <v>9</v>
      </c>
      <c r="F329" s="9">
        <v>24</v>
      </c>
      <c r="G329" s="9">
        <v>12</v>
      </c>
      <c r="H329" s="13">
        <f>100%</f>
        <v>1</v>
      </c>
      <c r="I329" s="13">
        <f>100%</f>
        <v>1</v>
      </c>
      <c r="J329" s="13">
        <f>J327*-15%</f>
        <v>0.15</v>
      </c>
      <c r="K329" s="13">
        <v>1</v>
      </c>
      <c r="L329" s="13">
        <f>L327*-15%</f>
        <v>0.15</v>
      </c>
      <c r="M329" s="13">
        <v>1</v>
      </c>
      <c r="N329" s="86">
        <f>A327</f>
        <v>324</v>
      </c>
      <c r="O329" s="38"/>
    </row>
    <row r="330" spans="1:15" s="9" customFormat="1" x14ac:dyDescent="0.25">
      <c r="A330" s="70">
        <f t="shared" si="45"/>
        <v>327</v>
      </c>
      <c r="C330" s="9" t="str">
        <f t="shared" ca="1" si="43"/>
        <v>All products</v>
      </c>
      <c r="D330" s="9" t="str">
        <f t="shared" ca="1" si="44"/>
        <v>Milk</v>
      </c>
      <c r="E330" s="9">
        <v>1</v>
      </c>
      <c r="F330" s="9">
        <v>25</v>
      </c>
      <c r="G330" s="9">
        <v>12</v>
      </c>
      <c r="H330" s="13">
        <v>0.21487229440000011</v>
      </c>
      <c r="I330" s="13">
        <f>intermediateEstimate</f>
        <v>0.3</v>
      </c>
      <c r="J330" s="13">
        <v>-1</v>
      </c>
      <c r="K330" s="13">
        <f>advancedEstimate</f>
        <v>0.6</v>
      </c>
      <c r="L330" s="13">
        <v>-1</v>
      </c>
      <c r="M330" s="13">
        <f>extremeEstimate</f>
        <v>0.9</v>
      </c>
      <c r="N330" s="86">
        <f>A330</f>
        <v>327</v>
      </c>
      <c r="O330" s="38"/>
    </row>
    <row r="331" spans="1:15" s="9" customFormat="1" x14ac:dyDescent="0.25">
      <c r="A331" s="70">
        <f t="shared" si="45"/>
        <v>328</v>
      </c>
      <c r="C331" s="9" t="str">
        <f t="shared" ca="1" si="43"/>
        <v>Equipment and transport</v>
      </c>
      <c r="D331" s="9" t="str">
        <f t="shared" ca="1" si="44"/>
        <v>Milk</v>
      </c>
      <c r="E331" s="9">
        <v>26</v>
      </c>
      <c r="F331" s="9">
        <v>25</v>
      </c>
      <c r="G331" s="9">
        <v>12</v>
      </c>
      <c r="H331" s="13">
        <v>1</v>
      </c>
      <c r="I331" s="13">
        <v>1</v>
      </c>
      <c r="J331" s="13">
        <f>J330*-15%</f>
        <v>0.15</v>
      </c>
      <c r="K331" s="13">
        <v>1</v>
      </c>
      <c r="L331" s="13">
        <f>L330*-15%</f>
        <v>0.15</v>
      </c>
      <c r="M331" s="13">
        <v>1</v>
      </c>
      <c r="N331" s="86">
        <f>A330</f>
        <v>327</v>
      </c>
      <c r="O331" s="38"/>
    </row>
    <row r="332" spans="1:15" s="9" customFormat="1" x14ac:dyDescent="0.25">
      <c r="A332" s="70">
        <f t="shared" si="45"/>
        <v>329</v>
      </c>
      <c r="C332" s="9" t="str">
        <f t="shared" ca="1" si="43"/>
        <v>Land transport</v>
      </c>
      <c r="D332" s="9" t="str">
        <f t="shared" ca="1" si="44"/>
        <v>Milk</v>
      </c>
      <c r="E332" s="9">
        <v>9</v>
      </c>
      <c r="F332" s="9">
        <v>25</v>
      </c>
      <c r="G332" s="9">
        <v>12</v>
      </c>
      <c r="H332" s="13">
        <f>100%</f>
        <v>1</v>
      </c>
      <c r="I332" s="13">
        <f>100%</f>
        <v>1</v>
      </c>
      <c r="J332" s="13">
        <f>J330*-15%</f>
        <v>0.15</v>
      </c>
      <c r="K332" s="13">
        <v>1</v>
      </c>
      <c r="L332" s="13">
        <f>L330*-15%</f>
        <v>0.15</v>
      </c>
      <c r="M332" s="13">
        <v>1</v>
      </c>
      <c r="N332" s="86">
        <f>A330</f>
        <v>327</v>
      </c>
      <c r="O332" s="38"/>
    </row>
    <row r="333" spans="1:15" s="9" customFormat="1" x14ac:dyDescent="0.25">
      <c r="A333" s="70">
        <f t="shared" si="45"/>
        <v>330</v>
      </c>
      <c r="C333" s="9" t="str">
        <f t="shared" ca="1" si="43"/>
        <v>All products</v>
      </c>
      <c r="D333" s="9" t="str">
        <f t="shared" ca="1" si="44"/>
        <v>Fish &amp; seafood</v>
      </c>
      <c r="E333" s="9">
        <v>1</v>
      </c>
      <c r="F333" s="9">
        <v>26</v>
      </c>
      <c r="G333" s="9">
        <v>12</v>
      </c>
      <c r="H333" s="13">
        <v>0.29564689600000005</v>
      </c>
      <c r="I333" s="13">
        <f>intermediateEstimate</f>
        <v>0.3</v>
      </c>
      <c r="J333" s="13">
        <v>-1</v>
      </c>
      <c r="K333" s="13">
        <f>advancedEstimate</f>
        <v>0.6</v>
      </c>
      <c r="L333" s="13">
        <v>-1</v>
      </c>
      <c r="M333" s="13">
        <f>extremeEstimate</f>
        <v>0.9</v>
      </c>
      <c r="N333" s="86">
        <f>A333</f>
        <v>330</v>
      </c>
      <c r="O333" s="38"/>
    </row>
    <row r="334" spans="1:15" s="9" customFormat="1" x14ac:dyDescent="0.25">
      <c r="A334" s="70">
        <f t="shared" si="45"/>
        <v>331</v>
      </c>
      <c r="C334" s="9" t="str">
        <f t="shared" ca="1" si="43"/>
        <v>Equipment and transport</v>
      </c>
      <c r="D334" s="9" t="str">
        <f t="shared" ca="1" si="44"/>
        <v>Fish &amp; seafood</v>
      </c>
      <c r="E334" s="9">
        <v>26</v>
      </c>
      <c r="F334" s="9">
        <v>26</v>
      </c>
      <c r="G334" s="9">
        <v>12</v>
      </c>
      <c r="H334" s="13">
        <v>1</v>
      </c>
      <c r="I334" s="13">
        <v>1</v>
      </c>
      <c r="J334" s="13">
        <f>J333*-15%</f>
        <v>0.15</v>
      </c>
      <c r="K334" s="13">
        <v>1</v>
      </c>
      <c r="L334" s="13">
        <f>L333*-15%</f>
        <v>0.15</v>
      </c>
      <c r="M334" s="13">
        <v>1</v>
      </c>
      <c r="N334" s="86">
        <f>A333</f>
        <v>330</v>
      </c>
      <c r="O334" s="38"/>
    </row>
    <row r="335" spans="1:15" s="9" customFormat="1" x14ac:dyDescent="0.25">
      <c r="A335" s="70">
        <f t="shared" si="45"/>
        <v>332</v>
      </c>
      <c r="C335" s="9" t="str">
        <f t="shared" ca="1" si="43"/>
        <v>Land transport</v>
      </c>
      <c r="D335" s="9" t="str">
        <f t="shared" ca="1" si="44"/>
        <v>Fish &amp; seafood</v>
      </c>
      <c r="E335" s="9">
        <v>9</v>
      </c>
      <c r="F335" s="9">
        <v>26</v>
      </c>
      <c r="G335" s="9">
        <v>12</v>
      </c>
      <c r="H335" s="13">
        <f>100%</f>
        <v>1</v>
      </c>
      <c r="I335" s="13">
        <f>100%</f>
        <v>1</v>
      </c>
      <c r="J335" s="13">
        <f>J333*-15%</f>
        <v>0.15</v>
      </c>
      <c r="K335" s="13">
        <v>1</v>
      </c>
      <c r="L335" s="13">
        <f>L333*-15%</f>
        <v>0.15</v>
      </c>
      <c r="M335" s="13">
        <v>1</v>
      </c>
      <c r="N335" s="86">
        <f>A333</f>
        <v>330</v>
      </c>
      <c r="O335" s="38"/>
    </row>
    <row r="336" spans="1:15" s="9" customFormat="1" x14ac:dyDescent="0.25">
      <c r="A336" s="70">
        <f t="shared" si="45"/>
        <v>333</v>
      </c>
      <c r="B336" s="9" t="s">
        <v>395</v>
      </c>
      <c r="C336" s="9" t="str">
        <f t="shared" ca="1" si="43"/>
        <v>All products</v>
      </c>
      <c r="D336" s="9" t="str">
        <f t="shared" ca="1" si="44"/>
        <v>Processing of Meat</v>
      </c>
      <c r="E336" s="75">
        <v>1</v>
      </c>
      <c r="F336" s="75">
        <v>27</v>
      </c>
      <c r="G336" s="9">
        <v>6</v>
      </c>
      <c r="H336" s="13">
        <v>0.14560000000000006</v>
      </c>
      <c r="I336" s="13">
        <f>intermediateEstimate</f>
        <v>0.3</v>
      </c>
      <c r="J336" s="13">
        <v>-1</v>
      </c>
      <c r="K336" s="13">
        <f>advancedEstimate</f>
        <v>0.6</v>
      </c>
      <c r="L336" s="13">
        <v>-1</v>
      </c>
      <c r="M336" s="13">
        <f>extremeEstimate</f>
        <v>0.9</v>
      </c>
      <c r="N336" s="86">
        <f>A336</f>
        <v>333</v>
      </c>
      <c r="O336" s="38" t="s">
        <v>437</v>
      </c>
    </row>
    <row r="337" spans="1:15" s="9" customFormat="1" x14ac:dyDescent="0.25">
      <c r="A337" s="70">
        <f t="shared" si="45"/>
        <v>334</v>
      </c>
      <c r="C337" s="9" t="str">
        <f t="shared" ca="1" si="43"/>
        <v>Meat</v>
      </c>
      <c r="D337" s="9" t="str">
        <f t="shared" ca="1" si="44"/>
        <v>Processing of Meat</v>
      </c>
      <c r="E337" s="75">
        <v>30</v>
      </c>
      <c r="F337" s="75">
        <v>27</v>
      </c>
      <c r="G337" s="9">
        <v>6</v>
      </c>
      <c r="H337" s="13">
        <f>H336</f>
        <v>0.14560000000000006</v>
      </c>
      <c r="I337" s="13">
        <f>I336</f>
        <v>0.3</v>
      </c>
      <c r="J337" s="13">
        <f>-J336</f>
        <v>1</v>
      </c>
      <c r="K337" s="13">
        <f>K336</f>
        <v>0.6</v>
      </c>
      <c r="L337" s="13">
        <f>-L336</f>
        <v>1</v>
      </c>
      <c r="M337" s="13">
        <v>1</v>
      </c>
      <c r="N337" s="88">
        <f>A337</f>
        <v>334</v>
      </c>
      <c r="O337" s="38" t="s">
        <v>397</v>
      </c>
    </row>
    <row r="338" spans="1:15" s="9" customFormat="1" x14ac:dyDescent="0.25">
      <c r="A338" s="70">
        <f t="shared" si="45"/>
        <v>335</v>
      </c>
      <c r="C338" s="9" t="str">
        <f t="shared" ca="1" si="43"/>
        <v>Equipment and transport</v>
      </c>
      <c r="D338" s="9" t="str">
        <f t="shared" ca="1" si="44"/>
        <v>Processing of Meat</v>
      </c>
      <c r="E338" s="75">
        <v>26</v>
      </c>
      <c r="F338" s="75">
        <v>27</v>
      </c>
      <c r="G338" s="9">
        <v>6</v>
      </c>
      <c r="H338" s="13">
        <f>100%</f>
        <v>1</v>
      </c>
      <c r="I338" s="13">
        <f>100%</f>
        <v>1</v>
      </c>
      <c r="J338" s="13">
        <f>J336*-10%</f>
        <v>0.1</v>
      </c>
      <c r="K338" s="13">
        <v>1</v>
      </c>
      <c r="L338" s="13">
        <f>L336*-10%</f>
        <v>0.1</v>
      </c>
      <c r="M338" s="13">
        <v>1</v>
      </c>
      <c r="N338" s="88">
        <f>A336</f>
        <v>333</v>
      </c>
      <c r="O338" s="38" t="s">
        <v>434</v>
      </c>
    </row>
    <row r="339" spans="1:15" s="9" customFormat="1" x14ac:dyDescent="0.25">
      <c r="A339" s="70">
        <f t="shared" si="45"/>
        <v>336</v>
      </c>
      <c r="C339" s="9" t="str">
        <f t="shared" ca="1" si="43"/>
        <v>Public awareness campaign product (post &amp; telecoms, other business, education)</v>
      </c>
      <c r="D339" s="9" t="str">
        <f t="shared" ca="1" si="44"/>
        <v>Processing of Meat</v>
      </c>
      <c r="E339" s="75">
        <v>34</v>
      </c>
      <c r="F339" s="75">
        <v>27</v>
      </c>
      <c r="G339" s="9">
        <v>6</v>
      </c>
      <c r="H339" s="13">
        <f>100%</f>
        <v>1</v>
      </c>
      <c r="I339" s="13">
        <f>100%</f>
        <v>1</v>
      </c>
      <c r="J339" s="13">
        <f>J336*-2%</f>
        <v>0.02</v>
      </c>
      <c r="K339" s="13">
        <v>1</v>
      </c>
      <c r="L339" s="13">
        <f>L336*-2%</f>
        <v>0.02</v>
      </c>
      <c r="M339" s="13">
        <v>1</v>
      </c>
      <c r="N339" s="88">
        <f>A336</f>
        <v>333</v>
      </c>
      <c r="O339" s="38" t="s">
        <v>436</v>
      </c>
    </row>
    <row r="340" spans="1:15" s="9" customFormat="1" x14ac:dyDescent="0.25">
      <c r="A340" s="70">
        <f t="shared" si="45"/>
        <v>337</v>
      </c>
      <c r="C340" s="9" t="str">
        <f t="shared" ca="1" si="43"/>
        <v>All products</v>
      </c>
      <c r="D340" s="9" t="str">
        <f t="shared" ca="1" si="44"/>
        <v>Processing vegetable oils and fats'</v>
      </c>
      <c r="E340" s="75">
        <v>1</v>
      </c>
      <c r="F340" s="75">
        <v>28</v>
      </c>
      <c r="G340" s="9">
        <v>6</v>
      </c>
      <c r="H340" s="13">
        <v>4.9600000000000088E-2</v>
      </c>
      <c r="I340" s="13">
        <f>intermediateEstimate</f>
        <v>0.3</v>
      </c>
      <c r="J340" s="13">
        <v>-1</v>
      </c>
      <c r="K340" s="13">
        <f>advancedEstimate</f>
        <v>0.6</v>
      </c>
      <c r="L340" s="13">
        <v>-1</v>
      </c>
      <c r="M340" s="13">
        <f>extremeEstimate</f>
        <v>0.9</v>
      </c>
      <c r="N340" s="86">
        <f>A340</f>
        <v>337</v>
      </c>
      <c r="O340" s="38"/>
    </row>
    <row r="341" spans="1:15" s="9" customFormat="1" x14ac:dyDescent="0.25">
      <c r="A341" s="70">
        <f t="shared" si="45"/>
        <v>338</v>
      </c>
      <c r="C341" s="9" t="str">
        <f t="shared" ca="1" si="43"/>
        <v>Oilseeds and pulses</v>
      </c>
      <c r="D341" s="9" t="str">
        <f t="shared" ca="1" si="44"/>
        <v>Processing vegetable oils and fats'</v>
      </c>
      <c r="E341" s="75">
        <v>28</v>
      </c>
      <c r="F341" s="75">
        <v>28</v>
      </c>
      <c r="G341" s="9">
        <v>6</v>
      </c>
      <c r="H341" s="13">
        <f>H340</f>
        <v>4.9600000000000088E-2</v>
      </c>
      <c r="I341" s="13">
        <f>I340</f>
        <v>0.3</v>
      </c>
      <c r="J341" s="13">
        <f>-J340</f>
        <v>1</v>
      </c>
      <c r="K341" s="13">
        <f>K340</f>
        <v>0.6</v>
      </c>
      <c r="L341" s="13">
        <f>-L340</f>
        <v>1</v>
      </c>
      <c r="M341" s="13">
        <v>1</v>
      </c>
      <c r="N341" s="88">
        <f>A341</f>
        <v>338</v>
      </c>
      <c r="O341" s="38"/>
    </row>
    <row r="342" spans="1:15" s="9" customFormat="1" x14ac:dyDescent="0.25">
      <c r="A342" s="70">
        <f t="shared" si="45"/>
        <v>339</v>
      </c>
      <c r="C342" s="9" t="str">
        <f t="shared" ca="1" si="43"/>
        <v>Equipment and transport</v>
      </c>
      <c r="D342" s="9" t="str">
        <f t="shared" ca="1" si="44"/>
        <v>Processing vegetable oils and fats'</v>
      </c>
      <c r="E342" s="75">
        <v>26</v>
      </c>
      <c r="F342" s="75">
        <v>28</v>
      </c>
      <c r="G342" s="9">
        <v>6</v>
      </c>
      <c r="H342" s="13">
        <f>100%</f>
        <v>1</v>
      </c>
      <c r="I342" s="13">
        <f>100%</f>
        <v>1</v>
      </c>
      <c r="J342" s="13">
        <f>J340*-10%</f>
        <v>0.1</v>
      </c>
      <c r="K342" s="13">
        <v>1</v>
      </c>
      <c r="L342" s="13">
        <f>L340*-10%</f>
        <v>0.1</v>
      </c>
      <c r="M342" s="13">
        <v>1</v>
      </c>
      <c r="N342" s="88">
        <f>A340</f>
        <v>337</v>
      </c>
      <c r="O342" s="38"/>
    </row>
    <row r="343" spans="1:15" s="9" customFormat="1" x14ac:dyDescent="0.25">
      <c r="A343" s="70">
        <f t="shared" si="45"/>
        <v>340</v>
      </c>
      <c r="C343" s="9" t="str">
        <f t="shared" ca="1" si="43"/>
        <v>Public awareness campaign product (post &amp; telecoms, other business, education)</v>
      </c>
      <c r="D343" s="9" t="str">
        <f t="shared" ca="1" si="44"/>
        <v>Processing vegetable oils and fats'</v>
      </c>
      <c r="E343" s="75">
        <v>34</v>
      </c>
      <c r="F343" s="75">
        <v>28</v>
      </c>
      <c r="G343" s="9">
        <v>6</v>
      </c>
      <c r="H343" s="13">
        <f>100%</f>
        <v>1</v>
      </c>
      <c r="I343" s="13">
        <f>100%</f>
        <v>1</v>
      </c>
      <c r="J343" s="13">
        <f>J340*-2%</f>
        <v>0.02</v>
      </c>
      <c r="K343" s="13">
        <v>1</v>
      </c>
      <c r="L343" s="13">
        <f>L340*-2%</f>
        <v>0.02</v>
      </c>
      <c r="M343" s="13">
        <v>1</v>
      </c>
      <c r="N343" s="88">
        <f>A340</f>
        <v>337</v>
      </c>
      <c r="O343" s="38"/>
    </row>
    <row r="344" spans="1:15" s="9" customFormat="1" x14ac:dyDescent="0.25">
      <c r="A344" s="70">
        <f t="shared" si="45"/>
        <v>341</v>
      </c>
      <c r="C344" s="9" t="str">
        <f t="shared" ca="1" si="43"/>
        <v>All products</v>
      </c>
      <c r="D344" s="9" t="str">
        <f t="shared" ca="1" si="44"/>
        <v>Processing of dairy products'</v>
      </c>
      <c r="E344" s="75">
        <v>1</v>
      </c>
      <c r="F344" s="75">
        <v>29</v>
      </c>
      <c r="G344" s="9">
        <v>6</v>
      </c>
      <c r="H344" s="13">
        <v>7.4650000000000105E-2</v>
      </c>
      <c r="I344" s="13">
        <f>intermediateEstimate</f>
        <v>0.3</v>
      </c>
      <c r="J344" s="13">
        <v>-1</v>
      </c>
      <c r="K344" s="13">
        <f>advancedEstimate</f>
        <v>0.6</v>
      </c>
      <c r="L344" s="13">
        <v>-1</v>
      </c>
      <c r="M344" s="13">
        <f>extremeEstimate</f>
        <v>0.9</v>
      </c>
      <c r="N344" s="86">
        <f>A344</f>
        <v>341</v>
      </c>
      <c r="O344" s="38"/>
    </row>
    <row r="345" spans="1:15" s="9" customFormat="1" x14ac:dyDescent="0.25">
      <c r="A345" s="70">
        <f t="shared" si="45"/>
        <v>342</v>
      </c>
      <c r="C345" s="9" t="str">
        <f t="shared" ca="1" si="43"/>
        <v>Milk</v>
      </c>
      <c r="D345" s="9" t="str">
        <f t="shared" ca="1" si="44"/>
        <v>Processing of dairy products'</v>
      </c>
      <c r="E345" s="75">
        <v>31</v>
      </c>
      <c r="F345" s="75">
        <v>29</v>
      </c>
      <c r="G345" s="9">
        <v>6</v>
      </c>
      <c r="H345" s="13">
        <f>H344</f>
        <v>7.4650000000000105E-2</v>
      </c>
      <c r="I345" s="13">
        <f>I344</f>
        <v>0.3</v>
      </c>
      <c r="J345" s="13">
        <f>-J344</f>
        <v>1</v>
      </c>
      <c r="K345" s="13">
        <f>K344</f>
        <v>0.6</v>
      </c>
      <c r="L345" s="13">
        <f>-L344</f>
        <v>1</v>
      </c>
      <c r="M345" s="13">
        <v>1</v>
      </c>
      <c r="N345" s="88">
        <f>A345</f>
        <v>342</v>
      </c>
      <c r="O345" s="38"/>
    </row>
    <row r="346" spans="1:15" s="9" customFormat="1" x14ac:dyDescent="0.25">
      <c r="A346" s="70">
        <f t="shared" si="45"/>
        <v>343</v>
      </c>
      <c r="C346" s="9" t="str">
        <f t="shared" ca="1" si="43"/>
        <v>Equipment and transport</v>
      </c>
      <c r="D346" s="9" t="str">
        <f t="shared" ca="1" si="44"/>
        <v>Processing of dairy products'</v>
      </c>
      <c r="E346" s="75">
        <v>26</v>
      </c>
      <c r="F346" s="75">
        <v>29</v>
      </c>
      <c r="G346" s="9">
        <v>6</v>
      </c>
      <c r="H346" s="13">
        <f>100%</f>
        <v>1</v>
      </c>
      <c r="I346" s="13">
        <f>100%</f>
        <v>1</v>
      </c>
      <c r="J346" s="13">
        <f>J344*-10%</f>
        <v>0.1</v>
      </c>
      <c r="K346" s="13">
        <v>1</v>
      </c>
      <c r="L346" s="13">
        <f>L344*-10%</f>
        <v>0.1</v>
      </c>
      <c r="M346" s="13">
        <v>1</v>
      </c>
      <c r="N346" s="88">
        <f>A344</f>
        <v>341</v>
      </c>
      <c r="O346" s="38"/>
    </row>
    <row r="347" spans="1:15" s="9" customFormat="1" x14ac:dyDescent="0.25">
      <c r="A347" s="70">
        <f t="shared" si="45"/>
        <v>344</v>
      </c>
      <c r="C347" s="9" t="str">
        <f t="shared" ca="1" si="43"/>
        <v>Public awareness campaign product (post &amp; telecoms, other business, education)</v>
      </c>
      <c r="D347" s="9" t="str">
        <f t="shared" ca="1" si="44"/>
        <v>Processing of dairy products'</v>
      </c>
      <c r="E347" s="75">
        <v>34</v>
      </c>
      <c r="F347" s="75">
        <v>29</v>
      </c>
      <c r="G347" s="9">
        <v>6</v>
      </c>
      <c r="H347" s="13">
        <f>100%</f>
        <v>1</v>
      </c>
      <c r="I347" s="13">
        <f>100%</f>
        <v>1</v>
      </c>
      <c r="J347" s="13">
        <f>J344*-2%</f>
        <v>0.02</v>
      </c>
      <c r="K347" s="13">
        <v>1</v>
      </c>
      <c r="L347" s="13">
        <f>L344*-2%</f>
        <v>0.02</v>
      </c>
      <c r="M347" s="13">
        <v>1</v>
      </c>
      <c r="N347" s="88">
        <f>A344</f>
        <v>341</v>
      </c>
      <c r="O347" s="38"/>
    </row>
    <row r="348" spans="1:15" s="9" customFormat="1" x14ac:dyDescent="0.25">
      <c r="A348" s="70">
        <f t="shared" si="45"/>
        <v>345</v>
      </c>
      <c r="C348" s="9" t="str">
        <f t="shared" ca="1" si="43"/>
        <v>All products</v>
      </c>
      <c r="D348" s="9" t="str">
        <f t="shared" ca="1" si="44"/>
        <v>Processed rice'</v>
      </c>
      <c r="E348" s="75">
        <v>1</v>
      </c>
      <c r="F348" s="75">
        <v>30</v>
      </c>
      <c r="G348" s="9">
        <v>6</v>
      </c>
      <c r="H348" s="13">
        <v>0.26500000000000001</v>
      </c>
      <c r="I348" s="13">
        <f>intermediateEstimate</f>
        <v>0.3</v>
      </c>
      <c r="J348" s="13">
        <v>-1</v>
      </c>
      <c r="K348" s="13">
        <f>advancedEstimate</f>
        <v>0.6</v>
      </c>
      <c r="L348" s="13">
        <v>-1</v>
      </c>
      <c r="M348" s="13">
        <f>extremeEstimate</f>
        <v>0.9</v>
      </c>
      <c r="N348" s="86">
        <f>A348</f>
        <v>345</v>
      </c>
      <c r="O348" s="38"/>
    </row>
    <row r="349" spans="1:15" s="9" customFormat="1" x14ac:dyDescent="0.25">
      <c r="A349" s="70">
        <f t="shared" si="45"/>
        <v>346</v>
      </c>
      <c r="C349" s="9" t="str">
        <f t="shared" ca="1" si="43"/>
        <v xml:space="preserve">Cereals </v>
      </c>
      <c r="D349" s="9" t="str">
        <f t="shared" ca="1" si="44"/>
        <v>Processed rice'</v>
      </c>
      <c r="E349" s="75">
        <v>27</v>
      </c>
      <c r="F349" s="75">
        <v>30</v>
      </c>
      <c r="G349" s="9">
        <v>6</v>
      </c>
      <c r="H349" s="13">
        <f>H348</f>
        <v>0.26500000000000001</v>
      </c>
      <c r="I349" s="13">
        <f>I348</f>
        <v>0.3</v>
      </c>
      <c r="J349" s="13">
        <f>-J348</f>
        <v>1</v>
      </c>
      <c r="K349" s="13">
        <f>K348</f>
        <v>0.6</v>
      </c>
      <c r="L349" s="13">
        <f>-L348</f>
        <v>1</v>
      </c>
      <c r="M349" s="13">
        <v>1</v>
      </c>
      <c r="N349" s="88">
        <f>A349</f>
        <v>346</v>
      </c>
      <c r="O349" s="38"/>
    </row>
    <row r="350" spans="1:15" s="9" customFormat="1" x14ac:dyDescent="0.25">
      <c r="A350" s="70">
        <f t="shared" si="45"/>
        <v>347</v>
      </c>
      <c r="C350" s="9" t="str">
        <f t="shared" ca="1" si="43"/>
        <v>Equipment and transport</v>
      </c>
      <c r="D350" s="9" t="str">
        <f t="shared" ca="1" si="44"/>
        <v>Processed rice'</v>
      </c>
      <c r="E350" s="75">
        <v>26</v>
      </c>
      <c r="F350" s="75">
        <v>30</v>
      </c>
      <c r="G350" s="9">
        <v>6</v>
      </c>
      <c r="H350" s="13">
        <f>100%</f>
        <v>1</v>
      </c>
      <c r="I350" s="13">
        <f>100%</f>
        <v>1</v>
      </c>
      <c r="J350" s="13">
        <f>J348*-10%</f>
        <v>0.1</v>
      </c>
      <c r="K350" s="13">
        <v>1</v>
      </c>
      <c r="L350" s="13">
        <f>L348*-10%</f>
        <v>0.1</v>
      </c>
      <c r="M350" s="13">
        <v>1</v>
      </c>
      <c r="N350" s="88">
        <f>A348</f>
        <v>345</v>
      </c>
      <c r="O350" s="38"/>
    </row>
    <row r="351" spans="1:15" s="9" customFormat="1" x14ac:dyDescent="0.25">
      <c r="A351" s="70">
        <f t="shared" si="45"/>
        <v>348</v>
      </c>
      <c r="C351" s="9" t="str">
        <f t="shared" ref="C351:C414" ca="1" si="46">INDIRECT(ADDRESS(E351+2,2,,,"product Table"))</f>
        <v>Public awareness campaign product (post &amp; telecoms, other business, education)</v>
      </c>
      <c r="D351" s="9" t="str">
        <f t="shared" ref="D351:D414" ca="1" si="47">INDIRECT(ADDRESS(F351+2,2,,,"industry Table"))</f>
        <v>Processed rice'</v>
      </c>
      <c r="E351" s="75">
        <v>34</v>
      </c>
      <c r="F351" s="75">
        <v>30</v>
      </c>
      <c r="G351" s="9">
        <v>6</v>
      </c>
      <c r="H351" s="13">
        <f>100%</f>
        <v>1</v>
      </c>
      <c r="I351" s="13">
        <f>100%</f>
        <v>1</v>
      </c>
      <c r="J351" s="13">
        <f>J348*-2%</f>
        <v>0.02</v>
      </c>
      <c r="K351" s="13">
        <v>1</v>
      </c>
      <c r="L351" s="13">
        <f>L348*-2%</f>
        <v>0.02</v>
      </c>
      <c r="M351" s="13">
        <v>1</v>
      </c>
      <c r="N351" s="88">
        <f>A348</f>
        <v>345</v>
      </c>
      <c r="O351" s="38"/>
    </row>
    <row r="352" spans="1:15" s="9" customFormat="1" x14ac:dyDescent="0.25">
      <c r="A352" s="70">
        <f t="shared" si="45"/>
        <v>349</v>
      </c>
      <c r="C352" s="9" t="str">
        <f t="shared" ca="1" si="46"/>
        <v>All products</v>
      </c>
      <c r="D352" s="9" t="str">
        <f t="shared" ca="1" si="47"/>
        <v>Sugar refining'</v>
      </c>
      <c r="E352" s="75">
        <v>1</v>
      </c>
      <c r="F352" s="75">
        <v>31</v>
      </c>
      <c r="G352" s="9">
        <v>6</v>
      </c>
      <c r="H352" s="13">
        <v>0.22810000000000008</v>
      </c>
      <c r="I352" s="13">
        <f>intermediateEstimate</f>
        <v>0.3</v>
      </c>
      <c r="J352" s="13">
        <v>-1</v>
      </c>
      <c r="K352" s="13">
        <f>advancedEstimate</f>
        <v>0.6</v>
      </c>
      <c r="L352" s="13">
        <v>-1</v>
      </c>
      <c r="M352" s="13">
        <f>extremeEstimate</f>
        <v>0.9</v>
      </c>
      <c r="N352" s="86">
        <f>A352</f>
        <v>349</v>
      </c>
      <c r="O352" s="38"/>
    </row>
    <row r="353" spans="1:15" s="9" customFormat="1" x14ac:dyDescent="0.25">
      <c r="A353" s="70">
        <f t="shared" si="45"/>
        <v>350</v>
      </c>
      <c r="C353" s="9" t="str">
        <f t="shared" ca="1" si="46"/>
        <v>Roots &amp; tubers</v>
      </c>
      <c r="D353" s="9" t="str">
        <f t="shared" ca="1" si="47"/>
        <v>Sugar refining'</v>
      </c>
      <c r="E353" s="75">
        <v>29</v>
      </c>
      <c r="F353" s="75">
        <v>31</v>
      </c>
      <c r="G353" s="9">
        <v>6</v>
      </c>
      <c r="H353" s="13">
        <f>H352</f>
        <v>0.22810000000000008</v>
      </c>
      <c r="I353" s="13">
        <f>I352</f>
        <v>0.3</v>
      </c>
      <c r="J353" s="13">
        <f>-J352</f>
        <v>1</v>
      </c>
      <c r="K353" s="13">
        <f>K352</f>
        <v>0.6</v>
      </c>
      <c r="L353" s="13">
        <f>-L352</f>
        <v>1</v>
      </c>
      <c r="M353" s="13">
        <v>1</v>
      </c>
      <c r="N353" s="88">
        <f>A353</f>
        <v>350</v>
      </c>
      <c r="O353" s="38"/>
    </row>
    <row r="354" spans="1:15" s="9" customFormat="1" x14ac:dyDescent="0.25">
      <c r="A354" s="70">
        <f t="shared" si="45"/>
        <v>351</v>
      </c>
      <c r="C354" s="9" t="str">
        <f t="shared" ca="1" si="46"/>
        <v>Equipment and transport</v>
      </c>
      <c r="D354" s="9" t="str">
        <f t="shared" ca="1" si="47"/>
        <v>Sugar refining'</v>
      </c>
      <c r="E354" s="75">
        <v>26</v>
      </c>
      <c r="F354" s="75">
        <v>31</v>
      </c>
      <c r="G354" s="9">
        <v>6</v>
      </c>
      <c r="H354" s="13">
        <f>100%</f>
        <v>1</v>
      </c>
      <c r="I354" s="13">
        <f>100%</f>
        <v>1</v>
      </c>
      <c r="J354" s="13">
        <f>J352*-10%</f>
        <v>0.1</v>
      </c>
      <c r="K354" s="13">
        <v>1</v>
      </c>
      <c r="L354" s="13">
        <f>L352*-10%</f>
        <v>0.1</v>
      </c>
      <c r="M354" s="13">
        <v>1</v>
      </c>
      <c r="N354" s="88">
        <f>A352</f>
        <v>349</v>
      </c>
      <c r="O354" s="38"/>
    </row>
    <row r="355" spans="1:15" s="9" customFormat="1" x14ac:dyDescent="0.25">
      <c r="A355" s="70">
        <f t="shared" si="45"/>
        <v>352</v>
      </c>
      <c r="C355" s="9" t="str">
        <f t="shared" ca="1" si="46"/>
        <v>Public awareness campaign product (post &amp; telecoms, other business, education)</v>
      </c>
      <c r="D355" s="9" t="str">
        <f t="shared" ca="1" si="47"/>
        <v>Sugar refining'</v>
      </c>
      <c r="E355" s="75">
        <v>34</v>
      </c>
      <c r="F355" s="75">
        <v>31</v>
      </c>
      <c r="G355" s="9">
        <v>6</v>
      </c>
      <c r="H355" s="13">
        <f>100%</f>
        <v>1</v>
      </c>
      <c r="I355" s="13">
        <f>100%</f>
        <v>1</v>
      </c>
      <c r="J355" s="13">
        <f>J352*-2%</f>
        <v>0.02</v>
      </c>
      <c r="K355" s="13">
        <v>1</v>
      </c>
      <c r="L355" s="13">
        <f>L352*-2%</f>
        <v>0.02</v>
      </c>
      <c r="M355" s="13">
        <v>1</v>
      </c>
      <c r="N355" s="88">
        <f>A352</f>
        <v>349</v>
      </c>
      <c r="O355" s="38"/>
    </row>
    <row r="356" spans="1:15" s="9" customFormat="1" x14ac:dyDescent="0.25">
      <c r="A356" s="70">
        <f t="shared" si="45"/>
        <v>353</v>
      </c>
      <c r="C356" s="9" t="str">
        <f t="shared" ca="1" si="46"/>
        <v>All products</v>
      </c>
      <c r="D356" s="9" t="str">
        <f t="shared" ca="1" si="47"/>
        <v>Processing of Food products nec'</v>
      </c>
      <c r="E356" s="75">
        <v>1</v>
      </c>
      <c r="F356" s="75">
        <v>32</v>
      </c>
      <c r="G356" s="9">
        <v>6</v>
      </c>
      <c r="H356" s="13">
        <v>0.17486428571428572</v>
      </c>
      <c r="I356" s="13">
        <f>intermediateEstimate</f>
        <v>0.3</v>
      </c>
      <c r="J356" s="13">
        <v>-1</v>
      </c>
      <c r="K356" s="13">
        <f>advancedEstimate</f>
        <v>0.6</v>
      </c>
      <c r="L356" s="13">
        <v>-1</v>
      </c>
      <c r="M356" s="13">
        <f>extremeEstimate</f>
        <v>0.9</v>
      </c>
      <c r="N356" s="86">
        <f>A356</f>
        <v>353</v>
      </c>
      <c r="O356" s="38"/>
    </row>
    <row r="357" spans="1:15" s="9" customFormat="1" x14ac:dyDescent="0.25">
      <c r="A357" s="70">
        <f t="shared" si="45"/>
        <v>354</v>
      </c>
      <c r="C357" s="9" t="str">
        <f t="shared" ca="1" si="46"/>
        <v>All food products</v>
      </c>
      <c r="D357" s="9" t="str">
        <f t="shared" ca="1" si="47"/>
        <v>Processing of Food products nec'</v>
      </c>
      <c r="E357" s="75">
        <v>33</v>
      </c>
      <c r="F357" s="75">
        <v>32</v>
      </c>
      <c r="G357" s="9">
        <v>6</v>
      </c>
      <c r="H357" s="13">
        <f>H356</f>
        <v>0.17486428571428572</v>
      </c>
      <c r="I357" s="13">
        <f>I356</f>
        <v>0.3</v>
      </c>
      <c r="J357" s="13">
        <f>-J356</f>
        <v>1</v>
      </c>
      <c r="K357" s="13">
        <f>K356</f>
        <v>0.6</v>
      </c>
      <c r="L357" s="13">
        <f>-L356</f>
        <v>1</v>
      </c>
      <c r="M357" s="13">
        <v>1</v>
      </c>
      <c r="N357" s="88">
        <f>A357</f>
        <v>354</v>
      </c>
      <c r="O357" s="38"/>
    </row>
    <row r="358" spans="1:15" s="9" customFormat="1" x14ac:dyDescent="0.25">
      <c r="A358" s="70">
        <f t="shared" si="45"/>
        <v>355</v>
      </c>
      <c r="C358" s="9" t="str">
        <f t="shared" ca="1" si="46"/>
        <v>Equipment and transport</v>
      </c>
      <c r="D358" s="9" t="str">
        <f t="shared" ca="1" si="47"/>
        <v>Processing of Food products nec'</v>
      </c>
      <c r="E358" s="75">
        <v>26</v>
      </c>
      <c r="F358" s="75">
        <v>32</v>
      </c>
      <c r="G358" s="9">
        <v>6</v>
      </c>
      <c r="H358" s="13">
        <f>100%</f>
        <v>1</v>
      </c>
      <c r="I358" s="13">
        <f>100%</f>
        <v>1</v>
      </c>
      <c r="J358" s="13">
        <f>J356*-10%</f>
        <v>0.1</v>
      </c>
      <c r="K358" s="13">
        <v>1</v>
      </c>
      <c r="L358" s="13">
        <f>L356*-10%</f>
        <v>0.1</v>
      </c>
      <c r="M358" s="13">
        <v>1</v>
      </c>
      <c r="N358" s="88">
        <f>A356</f>
        <v>353</v>
      </c>
      <c r="O358" s="38"/>
    </row>
    <row r="359" spans="1:15" s="9" customFormat="1" x14ac:dyDescent="0.25">
      <c r="A359" s="70">
        <f t="shared" si="45"/>
        <v>356</v>
      </c>
      <c r="C359" s="9" t="str">
        <f t="shared" ca="1" si="46"/>
        <v>Public awareness campaign product (post &amp; telecoms, other business, education)</v>
      </c>
      <c r="D359" s="9" t="str">
        <f t="shared" ca="1" si="47"/>
        <v>Processing of Food products nec'</v>
      </c>
      <c r="E359" s="75">
        <v>34</v>
      </c>
      <c r="F359" s="75">
        <v>32</v>
      </c>
      <c r="G359" s="9">
        <v>6</v>
      </c>
      <c r="H359" s="13">
        <f>100%</f>
        <v>1</v>
      </c>
      <c r="I359" s="13">
        <f>100%</f>
        <v>1</v>
      </c>
      <c r="J359" s="13">
        <f>J356*-2%</f>
        <v>0.02</v>
      </c>
      <c r="K359" s="13">
        <v>1</v>
      </c>
      <c r="L359" s="13">
        <f>L356*-2%</f>
        <v>0.02</v>
      </c>
      <c r="M359" s="13">
        <v>1</v>
      </c>
      <c r="N359" s="88">
        <f>A356</f>
        <v>353</v>
      </c>
      <c r="O359" s="38"/>
    </row>
    <row r="360" spans="1:15" s="9" customFormat="1" x14ac:dyDescent="0.25">
      <c r="A360" s="70">
        <f t="shared" si="45"/>
        <v>357</v>
      </c>
      <c r="C360" s="9" t="str">
        <f t="shared" ca="1" si="46"/>
        <v>All products</v>
      </c>
      <c r="D360" s="9" t="str">
        <f t="shared" ca="1" si="47"/>
        <v>Manufacture of beverages'</v>
      </c>
      <c r="E360" s="75">
        <v>1</v>
      </c>
      <c r="F360" s="75">
        <v>33</v>
      </c>
      <c r="G360" s="9">
        <v>6</v>
      </c>
      <c r="H360" s="13">
        <v>0.17486428571428572</v>
      </c>
      <c r="I360" s="13">
        <f>intermediateEstimate</f>
        <v>0.3</v>
      </c>
      <c r="J360" s="13">
        <v>-1</v>
      </c>
      <c r="K360" s="13">
        <f>advancedEstimate</f>
        <v>0.6</v>
      </c>
      <c r="L360" s="13">
        <v>-1</v>
      </c>
      <c r="M360" s="13">
        <f>extremeEstimate</f>
        <v>0.9</v>
      </c>
      <c r="N360" s="86">
        <f>A360</f>
        <v>357</v>
      </c>
      <c r="O360" s="38"/>
    </row>
    <row r="361" spans="1:15" s="9" customFormat="1" x14ac:dyDescent="0.25">
      <c r="A361" s="70">
        <f t="shared" si="45"/>
        <v>358</v>
      </c>
      <c r="C361" s="9" t="str">
        <f t="shared" ca="1" si="46"/>
        <v>All food products</v>
      </c>
      <c r="D361" s="9" t="str">
        <f t="shared" ca="1" si="47"/>
        <v>Manufacture of beverages'</v>
      </c>
      <c r="E361" s="75">
        <v>33</v>
      </c>
      <c r="F361" s="75">
        <v>33</v>
      </c>
      <c r="G361" s="9">
        <v>6</v>
      </c>
      <c r="H361" s="13">
        <f>H360</f>
        <v>0.17486428571428572</v>
      </c>
      <c r="I361" s="13">
        <f>I360</f>
        <v>0.3</v>
      </c>
      <c r="J361" s="13">
        <f>-J360</f>
        <v>1</v>
      </c>
      <c r="K361" s="13">
        <f>K360</f>
        <v>0.6</v>
      </c>
      <c r="L361" s="13">
        <f>-L360</f>
        <v>1</v>
      </c>
      <c r="M361" s="13">
        <v>1</v>
      </c>
      <c r="N361" s="88">
        <f>A361</f>
        <v>358</v>
      </c>
      <c r="O361" s="38"/>
    </row>
    <row r="362" spans="1:15" s="9" customFormat="1" x14ac:dyDescent="0.25">
      <c r="A362" s="70">
        <f t="shared" si="45"/>
        <v>359</v>
      </c>
      <c r="C362" s="9" t="str">
        <f t="shared" ca="1" si="46"/>
        <v>Equipment and transport</v>
      </c>
      <c r="D362" s="9" t="str">
        <f t="shared" ca="1" si="47"/>
        <v>Manufacture of beverages'</v>
      </c>
      <c r="E362" s="75">
        <v>26</v>
      </c>
      <c r="F362" s="75">
        <v>33</v>
      </c>
      <c r="G362" s="9">
        <v>6</v>
      </c>
      <c r="H362" s="13">
        <f>100%</f>
        <v>1</v>
      </c>
      <c r="I362" s="13">
        <f>100%</f>
        <v>1</v>
      </c>
      <c r="J362" s="13">
        <f>J360*-10%</f>
        <v>0.1</v>
      </c>
      <c r="K362" s="13">
        <v>1</v>
      </c>
      <c r="L362" s="13">
        <f>L360*-10%</f>
        <v>0.1</v>
      </c>
      <c r="M362" s="13">
        <v>1</v>
      </c>
      <c r="N362" s="88">
        <f>A360</f>
        <v>357</v>
      </c>
      <c r="O362" s="38"/>
    </row>
    <row r="363" spans="1:15" s="9" customFormat="1" x14ac:dyDescent="0.25">
      <c r="A363" s="70">
        <f t="shared" si="45"/>
        <v>360</v>
      </c>
      <c r="C363" s="9" t="str">
        <f t="shared" ca="1" si="46"/>
        <v>Public awareness campaign product (post &amp; telecoms, other business, education)</v>
      </c>
      <c r="D363" s="9" t="str">
        <f t="shared" ca="1" si="47"/>
        <v>Manufacture of beverages'</v>
      </c>
      <c r="E363" s="75">
        <v>34</v>
      </c>
      <c r="F363" s="75">
        <v>33</v>
      </c>
      <c r="G363" s="9">
        <v>6</v>
      </c>
      <c r="H363" s="13">
        <f>100%</f>
        <v>1</v>
      </c>
      <c r="I363" s="13">
        <f>100%</f>
        <v>1</v>
      </c>
      <c r="J363" s="13">
        <f>J360*-2%</f>
        <v>0.02</v>
      </c>
      <c r="K363" s="13">
        <v>1</v>
      </c>
      <c r="L363" s="13">
        <f>L360*-2%</f>
        <v>0.02</v>
      </c>
      <c r="M363" s="13">
        <v>1</v>
      </c>
      <c r="N363" s="88">
        <f>A360</f>
        <v>357</v>
      </c>
      <c r="O363" s="38"/>
    </row>
    <row r="364" spans="1:15" s="9" customFormat="1" x14ac:dyDescent="0.25">
      <c r="A364" s="70">
        <f t="shared" si="45"/>
        <v>361</v>
      </c>
      <c r="C364" s="9" t="str">
        <f t="shared" ca="1" si="46"/>
        <v>All products</v>
      </c>
      <c r="D364" s="9" t="str">
        <f t="shared" ca="1" si="47"/>
        <v>Manufacture of fish products'</v>
      </c>
      <c r="E364" s="75">
        <v>1</v>
      </c>
      <c r="F364" s="75">
        <v>34</v>
      </c>
      <c r="G364" s="9">
        <v>6</v>
      </c>
      <c r="H364" s="13">
        <v>0.19009999999999994</v>
      </c>
      <c r="I364" s="13">
        <f>intermediateEstimate</f>
        <v>0.3</v>
      </c>
      <c r="J364" s="13">
        <v>-1</v>
      </c>
      <c r="K364" s="13">
        <f>advancedEstimate</f>
        <v>0.6</v>
      </c>
      <c r="L364" s="13">
        <v>-1</v>
      </c>
      <c r="M364" s="13">
        <f>extremeEstimate</f>
        <v>0.9</v>
      </c>
      <c r="N364" s="86">
        <f>A364</f>
        <v>361</v>
      </c>
      <c r="O364" s="38"/>
    </row>
    <row r="365" spans="1:15" s="9" customFormat="1" x14ac:dyDescent="0.25">
      <c r="A365" s="70">
        <f t="shared" si="45"/>
        <v>362</v>
      </c>
      <c r="C365" s="9" t="str">
        <f t="shared" ca="1" si="46"/>
        <v>Fish &amp; seafood</v>
      </c>
      <c r="D365" s="9" t="str">
        <f t="shared" ca="1" si="47"/>
        <v>Manufacture of fish products'</v>
      </c>
      <c r="E365" s="75">
        <v>32</v>
      </c>
      <c r="F365" s="75">
        <v>34</v>
      </c>
      <c r="G365" s="9">
        <v>6</v>
      </c>
      <c r="H365" s="13">
        <f>H364</f>
        <v>0.19009999999999994</v>
      </c>
      <c r="I365" s="13">
        <f>I364</f>
        <v>0.3</v>
      </c>
      <c r="J365" s="13">
        <f>-J364</f>
        <v>1</v>
      </c>
      <c r="K365" s="13">
        <f>K364</f>
        <v>0.6</v>
      </c>
      <c r="L365" s="13">
        <f>-L364</f>
        <v>1</v>
      </c>
      <c r="M365" s="13">
        <v>1</v>
      </c>
      <c r="N365" s="88">
        <f>A365</f>
        <v>362</v>
      </c>
      <c r="O365" s="38"/>
    </row>
    <row r="366" spans="1:15" s="9" customFormat="1" x14ac:dyDescent="0.25">
      <c r="A366" s="70">
        <f t="shared" si="45"/>
        <v>363</v>
      </c>
      <c r="C366" s="9" t="str">
        <f t="shared" ca="1" si="46"/>
        <v>Equipment and transport</v>
      </c>
      <c r="D366" s="9" t="str">
        <f t="shared" ca="1" si="47"/>
        <v>Manufacture of fish products'</v>
      </c>
      <c r="E366" s="75">
        <v>26</v>
      </c>
      <c r="F366" s="75">
        <v>34</v>
      </c>
      <c r="G366" s="9">
        <v>6</v>
      </c>
      <c r="H366" s="13">
        <f>100%</f>
        <v>1</v>
      </c>
      <c r="I366" s="13">
        <f>100%</f>
        <v>1</v>
      </c>
      <c r="J366" s="13">
        <f>J364*-10%</f>
        <v>0.1</v>
      </c>
      <c r="K366" s="13">
        <v>1</v>
      </c>
      <c r="L366" s="13">
        <f>L364*-10%</f>
        <v>0.1</v>
      </c>
      <c r="M366" s="13">
        <v>1</v>
      </c>
      <c r="N366" s="88">
        <f>A364</f>
        <v>361</v>
      </c>
      <c r="O366" s="38"/>
    </row>
    <row r="367" spans="1:15" s="9" customFormat="1" x14ac:dyDescent="0.25">
      <c r="A367" s="70">
        <f t="shared" si="45"/>
        <v>364</v>
      </c>
      <c r="C367" s="9" t="str">
        <f t="shared" ca="1" si="46"/>
        <v>Public awareness campaign product (post &amp; telecoms, other business, education)</v>
      </c>
      <c r="D367" s="9" t="str">
        <f t="shared" ca="1" si="47"/>
        <v>Manufacture of fish products'</v>
      </c>
      <c r="E367" s="75">
        <v>34</v>
      </c>
      <c r="F367" s="75">
        <v>34</v>
      </c>
      <c r="G367" s="9">
        <v>6</v>
      </c>
      <c r="H367" s="13">
        <f>100%</f>
        <v>1</v>
      </c>
      <c r="I367" s="13">
        <f>100%</f>
        <v>1</v>
      </c>
      <c r="J367" s="13">
        <f>J364*-2%</f>
        <v>0.02</v>
      </c>
      <c r="K367" s="13">
        <v>1</v>
      </c>
      <c r="L367" s="13">
        <f>L364*-2%</f>
        <v>0.02</v>
      </c>
      <c r="M367" s="13">
        <v>1</v>
      </c>
      <c r="N367" s="88">
        <f>A364</f>
        <v>361</v>
      </c>
      <c r="O367" s="38"/>
    </row>
    <row r="368" spans="1:15" s="9" customFormat="1" x14ac:dyDescent="0.25">
      <c r="A368" s="70">
        <f t="shared" si="45"/>
        <v>365</v>
      </c>
      <c r="B368" s="9" t="s">
        <v>398</v>
      </c>
      <c r="C368" s="9" t="str">
        <f t="shared" ca="1" si="46"/>
        <v>All products</v>
      </c>
      <c r="D368" s="9" t="str">
        <f t="shared" ca="1" si="47"/>
        <v>Processing of Meat</v>
      </c>
      <c r="E368" s="9">
        <v>1</v>
      </c>
      <c r="F368" s="9">
        <v>27</v>
      </c>
      <c r="G368" s="9">
        <v>7</v>
      </c>
      <c r="H368" s="13">
        <v>0.14560000000000006</v>
      </c>
      <c r="I368" s="13">
        <f>intermediateEstimate</f>
        <v>0.3</v>
      </c>
      <c r="J368" s="13">
        <v>-1</v>
      </c>
      <c r="K368" s="13">
        <f>advancedEstimate</f>
        <v>0.6</v>
      </c>
      <c r="L368" s="13">
        <v>-1</v>
      </c>
      <c r="M368" s="13">
        <f>extremeEstimate</f>
        <v>0.9</v>
      </c>
      <c r="N368" s="86">
        <f>A368</f>
        <v>365</v>
      </c>
      <c r="O368" s="38"/>
    </row>
    <row r="369" spans="1:15" s="9" customFormat="1" x14ac:dyDescent="0.25">
      <c r="A369" s="70">
        <f t="shared" si="45"/>
        <v>366</v>
      </c>
      <c r="C369" s="9" t="str">
        <f t="shared" ca="1" si="46"/>
        <v>Meat</v>
      </c>
      <c r="D369" s="9" t="str">
        <f t="shared" ca="1" si="47"/>
        <v>Processing of Meat</v>
      </c>
      <c r="E369" s="9">
        <v>30</v>
      </c>
      <c r="F369" s="9">
        <v>27</v>
      </c>
      <c r="G369" s="9">
        <v>7</v>
      </c>
      <c r="H369" s="13">
        <f>H368</f>
        <v>0.14560000000000006</v>
      </c>
      <c r="I369" s="13">
        <f>I368</f>
        <v>0.3</v>
      </c>
      <c r="J369" s="13">
        <f>-J368</f>
        <v>1</v>
      </c>
      <c r="K369" s="13">
        <f>K368</f>
        <v>0.6</v>
      </c>
      <c r="L369" s="13">
        <f>-L368</f>
        <v>1</v>
      </c>
      <c r="M369" s="13">
        <v>1</v>
      </c>
      <c r="N369" s="88">
        <f>A369</f>
        <v>366</v>
      </c>
      <c r="O369" s="38"/>
    </row>
    <row r="370" spans="1:15" s="9" customFormat="1" x14ac:dyDescent="0.25">
      <c r="A370" s="70">
        <f t="shared" si="45"/>
        <v>367</v>
      </c>
      <c r="C370" s="9" t="str">
        <f t="shared" ca="1" si="46"/>
        <v>Equipment and transport</v>
      </c>
      <c r="D370" s="9" t="str">
        <f t="shared" ca="1" si="47"/>
        <v>Processing of Meat</v>
      </c>
      <c r="E370" s="9">
        <v>26</v>
      </c>
      <c r="F370" s="9">
        <v>27</v>
      </c>
      <c r="G370" s="9">
        <v>7</v>
      </c>
      <c r="H370" s="13">
        <f>100%</f>
        <v>1</v>
      </c>
      <c r="I370" s="13">
        <f>100%</f>
        <v>1</v>
      </c>
      <c r="J370" s="13">
        <f>J368*-10%</f>
        <v>0.1</v>
      </c>
      <c r="K370" s="13">
        <v>1</v>
      </c>
      <c r="L370" s="13">
        <f>L368*-10%</f>
        <v>0.1</v>
      </c>
      <c r="M370" s="13">
        <v>1</v>
      </c>
      <c r="N370" s="88">
        <f>A368</f>
        <v>365</v>
      </c>
      <c r="O370" s="38"/>
    </row>
    <row r="371" spans="1:15" s="9" customFormat="1" x14ac:dyDescent="0.25">
      <c r="A371" s="70">
        <f t="shared" si="45"/>
        <v>368</v>
      </c>
      <c r="C371" s="9" t="str">
        <f t="shared" ca="1" si="46"/>
        <v>Public awareness campaign product (post &amp; telecoms, other business, education)</v>
      </c>
      <c r="D371" s="9" t="str">
        <f t="shared" ca="1" si="47"/>
        <v>Processing of Meat</v>
      </c>
      <c r="E371" s="9">
        <v>34</v>
      </c>
      <c r="F371" s="9">
        <v>27</v>
      </c>
      <c r="G371" s="9">
        <v>7</v>
      </c>
      <c r="H371" s="13">
        <f>100%</f>
        <v>1</v>
      </c>
      <c r="I371" s="13">
        <f>100%</f>
        <v>1</v>
      </c>
      <c r="J371" s="13">
        <f>J368*-2%</f>
        <v>0.02</v>
      </c>
      <c r="K371" s="13">
        <v>1</v>
      </c>
      <c r="L371" s="13">
        <f>L368*-2%</f>
        <v>0.02</v>
      </c>
      <c r="M371" s="13">
        <v>1</v>
      </c>
      <c r="N371" s="88">
        <f>A368</f>
        <v>365</v>
      </c>
      <c r="O371" s="38"/>
    </row>
    <row r="372" spans="1:15" s="9" customFormat="1" x14ac:dyDescent="0.25">
      <c r="A372" s="70">
        <f t="shared" si="45"/>
        <v>369</v>
      </c>
      <c r="C372" s="9" t="str">
        <f t="shared" ca="1" si="46"/>
        <v>All products</v>
      </c>
      <c r="D372" s="9" t="str">
        <f t="shared" ca="1" si="47"/>
        <v>Processing vegetable oils and fats'</v>
      </c>
      <c r="E372" s="9">
        <v>1</v>
      </c>
      <c r="F372" s="9">
        <v>28</v>
      </c>
      <c r="G372" s="9">
        <v>7</v>
      </c>
      <c r="H372" s="13">
        <v>4.9600000000000088E-2</v>
      </c>
      <c r="I372" s="13">
        <f>intermediateEstimate</f>
        <v>0.3</v>
      </c>
      <c r="J372" s="13">
        <v>-1</v>
      </c>
      <c r="K372" s="13">
        <f>advancedEstimate</f>
        <v>0.6</v>
      </c>
      <c r="L372" s="13">
        <v>-1</v>
      </c>
      <c r="M372" s="13">
        <f>extremeEstimate</f>
        <v>0.9</v>
      </c>
      <c r="N372" s="86">
        <f>A372</f>
        <v>369</v>
      </c>
      <c r="O372" s="38"/>
    </row>
    <row r="373" spans="1:15" s="9" customFormat="1" x14ac:dyDescent="0.25">
      <c r="A373" s="70">
        <f t="shared" si="45"/>
        <v>370</v>
      </c>
      <c r="C373" s="9" t="str">
        <f t="shared" ca="1" si="46"/>
        <v>Oilseeds and pulses</v>
      </c>
      <c r="D373" s="9" t="str">
        <f t="shared" ca="1" si="47"/>
        <v>Processing vegetable oils and fats'</v>
      </c>
      <c r="E373" s="9">
        <v>28</v>
      </c>
      <c r="F373" s="9">
        <v>28</v>
      </c>
      <c r="G373" s="9">
        <v>7</v>
      </c>
      <c r="H373" s="13">
        <f>H372</f>
        <v>4.9600000000000088E-2</v>
      </c>
      <c r="I373" s="13">
        <f>I372</f>
        <v>0.3</v>
      </c>
      <c r="J373" s="13">
        <f>-J372</f>
        <v>1</v>
      </c>
      <c r="K373" s="13">
        <f>K372</f>
        <v>0.6</v>
      </c>
      <c r="L373" s="13">
        <f>-L372</f>
        <v>1</v>
      </c>
      <c r="M373" s="13">
        <v>1</v>
      </c>
      <c r="N373" s="88">
        <f>A373</f>
        <v>370</v>
      </c>
      <c r="O373" s="38"/>
    </row>
    <row r="374" spans="1:15" s="9" customFormat="1" x14ac:dyDescent="0.25">
      <c r="A374" s="70">
        <f t="shared" si="45"/>
        <v>371</v>
      </c>
      <c r="C374" s="9" t="str">
        <f t="shared" ca="1" si="46"/>
        <v>Equipment and transport</v>
      </c>
      <c r="D374" s="9" t="str">
        <f t="shared" ca="1" si="47"/>
        <v>Processing vegetable oils and fats'</v>
      </c>
      <c r="E374" s="9">
        <v>26</v>
      </c>
      <c r="F374" s="9">
        <v>28</v>
      </c>
      <c r="G374" s="9">
        <v>7</v>
      </c>
      <c r="H374" s="13">
        <f>100%</f>
        <v>1</v>
      </c>
      <c r="I374" s="13">
        <f>100%</f>
        <v>1</v>
      </c>
      <c r="J374" s="13">
        <f>J372*-10%</f>
        <v>0.1</v>
      </c>
      <c r="K374" s="13">
        <v>1</v>
      </c>
      <c r="L374" s="13">
        <f>L372*-10%</f>
        <v>0.1</v>
      </c>
      <c r="M374" s="13">
        <v>1</v>
      </c>
      <c r="N374" s="88">
        <f>A372</f>
        <v>369</v>
      </c>
      <c r="O374" s="38"/>
    </row>
    <row r="375" spans="1:15" s="9" customFormat="1" x14ac:dyDescent="0.25">
      <c r="A375" s="70">
        <f t="shared" si="45"/>
        <v>372</v>
      </c>
      <c r="C375" s="9" t="str">
        <f t="shared" ca="1" si="46"/>
        <v>Public awareness campaign product (post &amp; telecoms, other business, education)</v>
      </c>
      <c r="D375" s="9" t="str">
        <f t="shared" ca="1" si="47"/>
        <v>Processing vegetable oils and fats'</v>
      </c>
      <c r="E375" s="9">
        <v>34</v>
      </c>
      <c r="F375" s="9">
        <v>28</v>
      </c>
      <c r="G375" s="9">
        <v>7</v>
      </c>
      <c r="H375" s="13">
        <f>100%</f>
        <v>1</v>
      </c>
      <c r="I375" s="13">
        <f>100%</f>
        <v>1</v>
      </c>
      <c r="J375" s="13">
        <f>J372*-2%</f>
        <v>0.02</v>
      </c>
      <c r="K375" s="13">
        <v>1</v>
      </c>
      <c r="L375" s="13">
        <f>L372*-2%</f>
        <v>0.02</v>
      </c>
      <c r="M375" s="13">
        <v>1</v>
      </c>
      <c r="N375" s="88">
        <f>A372</f>
        <v>369</v>
      </c>
      <c r="O375" s="38"/>
    </row>
    <row r="376" spans="1:15" s="9" customFormat="1" x14ac:dyDescent="0.25">
      <c r="A376" s="70">
        <f t="shared" si="45"/>
        <v>373</v>
      </c>
      <c r="C376" s="9" t="str">
        <f t="shared" ca="1" si="46"/>
        <v>All products</v>
      </c>
      <c r="D376" s="9" t="str">
        <f t="shared" ca="1" si="47"/>
        <v>Processing of dairy products'</v>
      </c>
      <c r="E376" s="9">
        <v>1</v>
      </c>
      <c r="F376" s="9">
        <v>29</v>
      </c>
      <c r="G376" s="9">
        <v>7</v>
      </c>
      <c r="H376" s="13">
        <v>0.15425</v>
      </c>
      <c r="I376" s="13">
        <f>intermediateEstimate</f>
        <v>0.3</v>
      </c>
      <c r="J376" s="13">
        <v>-1</v>
      </c>
      <c r="K376" s="13">
        <f>advancedEstimate</f>
        <v>0.6</v>
      </c>
      <c r="L376" s="13">
        <v>-1</v>
      </c>
      <c r="M376" s="13">
        <f>extremeEstimate</f>
        <v>0.9</v>
      </c>
      <c r="N376" s="86">
        <f>A376</f>
        <v>373</v>
      </c>
      <c r="O376" s="38"/>
    </row>
    <row r="377" spans="1:15" s="9" customFormat="1" x14ac:dyDescent="0.25">
      <c r="A377" s="70">
        <f t="shared" si="45"/>
        <v>374</v>
      </c>
      <c r="C377" s="9" t="str">
        <f t="shared" ca="1" si="46"/>
        <v>Milk</v>
      </c>
      <c r="D377" s="9" t="str">
        <f t="shared" ca="1" si="47"/>
        <v>Processing of dairy products'</v>
      </c>
      <c r="E377" s="9">
        <v>31</v>
      </c>
      <c r="F377" s="9">
        <v>29</v>
      </c>
      <c r="G377" s="9">
        <v>7</v>
      </c>
      <c r="H377" s="13">
        <f>H376</f>
        <v>0.15425</v>
      </c>
      <c r="I377" s="13">
        <f>I376</f>
        <v>0.3</v>
      </c>
      <c r="J377" s="13">
        <f>-J376</f>
        <v>1</v>
      </c>
      <c r="K377" s="13">
        <f>K376</f>
        <v>0.6</v>
      </c>
      <c r="L377" s="13">
        <f>-L376</f>
        <v>1</v>
      </c>
      <c r="M377" s="13">
        <v>1</v>
      </c>
      <c r="N377" s="88">
        <f>A377</f>
        <v>374</v>
      </c>
      <c r="O377" s="38"/>
    </row>
    <row r="378" spans="1:15" s="9" customFormat="1" x14ac:dyDescent="0.25">
      <c r="A378" s="70">
        <f t="shared" si="45"/>
        <v>375</v>
      </c>
      <c r="C378" s="9" t="str">
        <f t="shared" ca="1" si="46"/>
        <v>Equipment and transport</v>
      </c>
      <c r="D378" s="9" t="str">
        <f t="shared" ca="1" si="47"/>
        <v>Processing of dairy products'</v>
      </c>
      <c r="E378" s="9">
        <v>26</v>
      </c>
      <c r="F378" s="9">
        <v>29</v>
      </c>
      <c r="G378" s="9">
        <v>7</v>
      </c>
      <c r="H378" s="13">
        <f>100%</f>
        <v>1</v>
      </c>
      <c r="I378" s="13">
        <f>100%</f>
        <v>1</v>
      </c>
      <c r="J378" s="13">
        <f>J376*-10%</f>
        <v>0.1</v>
      </c>
      <c r="K378" s="13">
        <v>1</v>
      </c>
      <c r="L378" s="13">
        <f>L376*-10%</f>
        <v>0.1</v>
      </c>
      <c r="M378" s="13">
        <v>1</v>
      </c>
      <c r="N378" s="88">
        <f>A376</f>
        <v>373</v>
      </c>
      <c r="O378" s="38"/>
    </row>
    <row r="379" spans="1:15" s="9" customFormat="1" x14ac:dyDescent="0.25">
      <c r="A379" s="70">
        <f t="shared" si="45"/>
        <v>376</v>
      </c>
      <c r="C379" s="9" t="str">
        <f t="shared" ca="1" si="46"/>
        <v>Public awareness campaign product (post &amp; telecoms, other business, education)</v>
      </c>
      <c r="D379" s="9" t="str">
        <f t="shared" ca="1" si="47"/>
        <v>Processing of dairy products'</v>
      </c>
      <c r="E379" s="9">
        <v>34</v>
      </c>
      <c r="F379" s="9">
        <v>29</v>
      </c>
      <c r="G379" s="9">
        <v>7</v>
      </c>
      <c r="H379" s="13">
        <f>100%</f>
        <v>1</v>
      </c>
      <c r="I379" s="13">
        <f>100%</f>
        <v>1</v>
      </c>
      <c r="J379" s="13">
        <f>J376*-2%</f>
        <v>0.02</v>
      </c>
      <c r="K379" s="13">
        <v>1</v>
      </c>
      <c r="L379" s="13">
        <f>L376*-2%</f>
        <v>0.02</v>
      </c>
      <c r="M379" s="13">
        <v>1</v>
      </c>
      <c r="N379" s="88">
        <f>A376</f>
        <v>373</v>
      </c>
      <c r="O379" s="38"/>
    </row>
    <row r="380" spans="1:15" s="9" customFormat="1" x14ac:dyDescent="0.25">
      <c r="A380" s="70">
        <f t="shared" si="45"/>
        <v>377</v>
      </c>
      <c r="C380" s="9" t="str">
        <f t="shared" ca="1" si="46"/>
        <v>All products</v>
      </c>
      <c r="D380" s="9" t="str">
        <f t="shared" ca="1" si="47"/>
        <v>Processed rice'</v>
      </c>
      <c r="E380" s="9">
        <v>1</v>
      </c>
      <c r="F380" s="9">
        <v>30</v>
      </c>
      <c r="G380" s="9">
        <v>7</v>
      </c>
      <c r="H380" s="13">
        <v>0.28460000000000008</v>
      </c>
      <c r="I380" s="13">
        <f>intermediateEstimate</f>
        <v>0.3</v>
      </c>
      <c r="J380" s="13">
        <v>-1</v>
      </c>
      <c r="K380" s="13">
        <f>advancedEstimate</f>
        <v>0.6</v>
      </c>
      <c r="L380" s="13">
        <v>-1</v>
      </c>
      <c r="M380" s="13">
        <f>extremeEstimate</f>
        <v>0.9</v>
      </c>
      <c r="N380" s="86">
        <f>A380</f>
        <v>377</v>
      </c>
      <c r="O380" s="38"/>
    </row>
    <row r="381" spans="1:15" s="9" customFormat="1" x14ac:dyDescent="0.25">
      <c r="A381" s="70">
        <f t="shared" si="45"/>
        <v>378</v>
      </c>
      <c r="C381" s="9" t="str">
        <f t="shared" ca="1" si="46"/>
        <v xml:space="preserve">Cereals </v>
      </c>
      <c r="D381" s="9" t="str">
        <f t="shared" ca="1" si="47"/>
        <v>Processed rice'</v>
      </c>
      <c r="E381" s="9">
        <v>27</v>
      </c>
      <c r="F381" s="9">
        <v>30</v>
      </c>
      <c r="G381" s="9">
        <v>7</v>
      </c>
      <c r="H381" s="13">
        <f>H380</f>
        <v>0.28460000000000008</v>
      </c>
      <c r="I381" s="13">
        <f>I380</f>
        <v>0.3</v>
      </c>
      <c r="J381" s="13">
        <f>-J380</f>
        <v>1</v>
      </c>
      <c r="K381" s="13">
        <f>K380</f>
        <v>0.6</v>
      </c>
      <c r="L381" s="13">
        <f>-L380</f>
        <v>1</v>
      </c>
      <c r="M381" s="13">
        <v>1</v>
      </c>
      <c r="N381" s="88">
        <f>A381</f>
        <v>378</v>
      </c>
      <c r="O381" s="38"/>
    </row>
    <row r="382" spans="1:15" s="9" customFormat="1" x14ac:dyDescent="0.25">
      <c r="A382" s="70">
        <f t="shared" si="45"/>
        <v>379</v>
      </c>
      <c r="C382" s="9" t="str">
        <f t="shared" ca="1" si="46"/>
        <v>Equipment and transport</v>
      </c>
      <c r="D382" s="9" t="str">
        <f t="shared" ca="1" si="47"/>
        <v>Processed rice'</v>
      </c>
      <c r="E382" s="9">
        <v>26</v>
      </c>
      <c r="F382" s="9">
        <v>30</v>
      </c>
      <c r="G382" s="9">
        <v>7</v>
      </c>
      <c r="H382" s="13">
        <f>100%</f>
        <v>1</v>
      </c>
      <c r="I382" s="13">
        <f>100%</f>
        <v>1</v>
      </c>
      <c r="J382" s="13">
        <f>J380*-10%</f>
        <v>0.1</v>
      </c>
      <c r="K382" s="13">
        <v>1</v>
      </c>
      <c r="L382" s="13">
        <f>L380*-10%</f>
        <v>0.1</v>
      </c>
      <c r="M382" s="13">
        <v>1</v>
      </c>
      <c r="N382" s="88">
        <f>A380</f>
        <v>377</v>
      </c>
      <c r="O382" s="38"/>
    </row>
    <row r="383" spans="1:15" s="9" customFormat="1" x14ac:dyDescent="0.25">
      <c r="A383" s="70">
        <f t="shared" si="45"/>
        <v>380</v>
      </c>
      <c r="C383" s="9" t="str">
        <f t="shared" ca="1" si="46"/>
        <v>Public awareness campaign product (post &amp; telecoms, other business, education)</v>
      </c>
      <c r="D383" s="9" t="str">
        <f t="shared" ca="1" si="47"/>
        <v>Processed rice'</v>
      </c>
      <c r="E383" s="9">
        <v>34</v>
      </c>
      <c r="F383" s="9">
        <v>30</v>
      </c>
      <c r="G383" s="9">
        <v>7</v>
      </c>
      <c r="H383" s="13">
        <f>100%</f>
        <v>1</v>
      </c>
      <c r="I383" s="13">
        <f>100%</f>
        <v>1</v>
      </c>
      <c r="J383" s="13">
        <f>J380*-2%</f>
        <v>0.02</v>
      </c>
      <c r="K383" s="13">
        <v>1</v>
      </c>
      <c r="L383" s="13">
        <f>L380*-2%</f>
        <v>0.02</v>
      </c>
      <c r="M383" s="13">
        <v>1</v>
      </c>
      <c r="N383" s="88">
        <f>A380</f>
        <v>377</v>
      </c>
      <c r="O383" s="38"/>
    </row>
    <row r="384" spans="1:15" s="9" customFormat="1" x14ac:dyDescent="0.25">
      <c r="A384" s="70">
        <f t="shared" si="45"/>
        <v>381</v>
      </c>
      <c r="C384" s="9" t="str">
        <f t="shared" ca="1" si="46"/>
        <v>All products</v>
      </c>
      <c r="D384" s="9" t="str">
        <f t="shared" ca="1" si="47"/>
        <v>Sugar refining'</v>
      </c>
      <c r="E384" s="9">
        <v>1</v>
      </c>
      <c r="F384" s="9">
        <v>31</v>
      </c>
      <c r="G384" s="9">
        <v>7</v>
      </c>
      <c r="H384" s="13">
        <v>0.34900000000000009</v>
      </c>
      <c r="I384" s="13">
        <f>intermediateEstimate</f>
        <v>0.3</v>
      </c>
      <c r="J384" s="13">
        <v>-1</v>
      </c>
      <c r="K384" s="13">
        <f>advancedEstimate</f>
        <v>0.6</v>
      </c>
      <c r="L384" s="13">
        <v>-1</v>
      </c>
      <c r="M384" s="13">
        <f>extremeEstimate</f>
        <v>0.9</v>
      </c>
      <c r="N384" s="86">
        <f>A384</f>
        <v>381</v>
      </c>
      <c r="O384" s="38"/>
    </row>
    <row r="385" spans="1:15" s="9" customFormat="1" x14ac:dyDescent="0.25">
      <c r="A385" s="70">
        <f t="shared" si="45"/>
        <v>382</v>
      </c>
      <c r="C385" s="9" t="str">
        <f t="shared" ca="1" si="46"/>
        <v>Roots &amp; tubers</v>
      </c>
      <c r="D385" s="9" t="str">
        <f t="shared" ca="1" si="47"/>
        <v>Sugar refining'</v>
      </c>
      <c r="E385" s="9">
        <v>29</v>
      </c>
      <c r="F385" s="9">
        <v>31</v>
      </c>
      <c r="G385" s="9">
        <v>7</v>
      </c>
      <c r="H385" s="13">
        <f>H384</f>
        <v>0.34900000000000009</v>
      </c>
      <c r="I385" s="13">
        <f>I384</f>
        <v>0.3</v>
      </c>
      <c r="J385" s="13">
        <f>-J384</f>
        <v>1</v>
      </c>
      <c r="K385" s="13">
        <f>K384</f>
        <v>0.6</v>
      </c>
      <c r="L385" s="13">
        <f>-L384</f>
        <v>1</v>
      </c>
      <c r="M385" s="13">
        <v>1</v>
      </c>
      <c r="N385" s="88">
        <f>A385</f>
        <v>382</v>
      </c>
      <c r="O385" s="38"/>
    </row>
    <row r="386" spans="1:15" s="9" customFormat="1" x14ac:dyDescent="0.25">
      <c r="A386" s="70">
        <f t="shared" si="45"/>
        <v>383</v>
      </c>
      <c r="C386" s="9" t="str">
        <f t="shared" ca="1" si="46"/>
        <v>Equipment and transport</v>
      </c>
      <c r="D386" s="9" t="str">
        <f t="shared" ca="1" si="47"/>
        <v>Sugar refining'</v>
      </c>
      <c r="E386" s="9">
        <v>26</v>
      </c>
      <c r="F386" s="9">
        <v>31</v>
      </c>
      <c r="G386" s="9">
        <v>7</v>
      </c>
      <c r="H386" s="13">
        <f>100%</f>
        <v>1</v>
      </c>
      <c r="I386" s="13">
        <f>100%</f>
        <v>1</v>
      </c>
      <c r="J386" s="13">
        <f>J384*-10%</f>
        <v>0.1</v>
      </c>
      <c r="K386" s="13">
        <v>1</v>
      </c>
      <c r="L386" s="13">
        <f>L384*-10%</f>
        <v>0.1</v>
      </c>
      <c r="M386" s="13">
        <v>1</v>
      </c>
      <c r="N386" s="88">
        <f>A384</f>
        <v>381</v>
      </c>
      <c r="O386" s="38"/>
    </row>
    <row r="387" spans="1:15" s="9" customFormat="1" x14ac:dyDescent="0.25">
      <c r="A387" s="70">
        <f t="shared" si="45"/>
        <v>384</v>
      </c>
      <c r="C387" s="9" t="str">
        <f t="shared" ca="1" si="46"/>
        <v>Public awareness campaign product (post &amp; telecoms, other business, education)</v>
      </c>
      <c r="D387" s="9" t="str">
        <f t="shared" ca="1" si="47"/>
        <v>Sugar refining'</v>
      </c>
      <c r="E387" s="9">
        <v>34</v>
      </c>
      <c r="F387" s="9">
        <v>31</v>
      </c>
      <c r="G387" s="9">
        <v>7</v>
      </c>
      <c r="H387" s="13">
        <f>100%</f>
        <v>1</v>
      </c>
      <c r="I387" s="13">
        <f>100%</f>
        <v>1</v>
      </c>
      <c r="J387" s="13">
        <f>J384*-2%</f>
        <v>0.02</v>
      </c>
      <c r="K387" s="13">
        <v>1</v>
      </c>
      <c r="L387" s="13">
        <f>L384*-2%</f>
        <v>0.02</v>
      </c>
      <c r="M387" s="13">
        <v>1</v>
      </c>
      <c r="N387" s="88">
        <f>A384</f>
        <v>381</v>
      </c>
      <c r="O387" s="38"/>
    </row>
    <row r="388" spans="1:15" s="9" customFormat="1" x14ac:dyDescent="0.25">
      <c r="A388" s="70">
        <f t="shared" si="45"/>
        <v>385</v>
      </c>
      <c r="C388" s="9" t="str">
        <f t="shared" ca="1" si="46"/>
        <v>All products</v>
      </c>
      <c r="D388" s="9" t="str">
        <f t="shared" ca="1" si="47"/>
        <v>Processing of Food products nec'</v>
      </c>
      <c r="E388" s="9">
        <v>1</v>
      </c>
      <c r="F388" s="9">
        <v>32</v>
      </c>
      <c r="G388" s="9">
        <v>7</v>
      </c>
      <c r="H388" s="13">
        <v>0.24853571428571433</v>
      </c>
      <c r="I388" s="13">
        <f>intermediateEstimate</f>
        <v>0.3</v>
      </c>
      <c r="J388" s="13">
        <v>-1</v>
      </c>
      <c r="K388" s="13">
        <f>advancedEstimate</f>
        <v>0.6</v>
      </c>
      <c r="L388" s="13">
        <v>-1</v>
      </c>
      <c r="M388" s="13">
        <f>extremeEstimate</f>
        <v>0.9</v>
      </c>
      <c r="N388" s="86">
        <f>A388</f>
        <v>385</v>
      </c>
      <c r="O388" s="38"/>
    </row>
    <row r="389" spans="1:15" s="9" customFormat="1" x14ac:dyDescent="0.25">
      <c r="A389" s="70">
        <f t="shared" ref="A389:A612" si="48">1+A388</f>
        <v>386</v>
      </c>
      <c r="C389" s="9" t="str">
        <f t="shared" ca="1" si="46"/>
        <v>All food products</v>
      </c>
      <c r="D389" s="9" t="str">
        <f t="shared" ca="1" si="47"/>
        <v>Processing of Food products nec'</v>
      </c>
      <c r="E389" s="9">
        <v>33</v>
      </c>
      <c r="F389" s="9">
        <v>32</v>
      </c>
      <c r="G389" s="9">
        <v>7</v>
      </c>
      <c r="H389" s="13">
        <f>H388</f>
        <v>0.24853571428571433</v>
      </c>
      <c r="I389" s="13">
        <f>I388</f>
        <v>0.3</v>
      </c>
      <c r="J389" s="13">
        <f>-J388</f>
        <v>1</v>
      </c>
      <c r="K389" s="13">
        <f>K388</f>
        <v>0.6</v>
      </c>
      <c r="L389" s="13">
        <f>-L388</f>
        <v>1</v>
      </c>
      <c r="M389" s="13">
        <v>1</v>
      </c>
      <c r="N389" s="88">
        <f>A389</f>
        <v>386</v>
      </c>
      <c r="O389" s="38"/>
    </row>
    <row r="390" spans="1:15" s="9" customFormat="1" x14ac:dyDescent="0.25">
      <c r="A390" s="70">
        <f t="shared" si="48"/>
        <v>387</v>
      </c>
      <c r="C390" s="9" t="str">
        <f t="shared" ca="1" si="46"/>
        <v>Equipment and transport</v>
      </c>
      <c r="D390" s="9" t="str">
        <f t="shared" ca="1" si="47"/>
        <v>Processing of Food products nec'</v>
      </c>
      <c r="E390" s="9">
        <v>26</v>
      </c>
      <c r="F390" s="9">
        <v>32</v>
      </c>
      <c r="G390" s="9">
        <v>7</v>
      </c>
      <c r="H390" s="13">
        <f>100%</f>
        <v>1</v>
      </c>
      <c r="I390" s="13">
        <f>100%</f>
        <v>1</v>
      </c>
      <c r="J390" s="13">
        <f>J388*-10%</f>
        <v>0.1</v>
      </c>
      <c r="K390" s="13">
        <v>1</v>
      </c>
      <c r="L390" s="13">
        <f>L388*-10%</f>
        <v>0.1</v>
      </c>
      <c r="M390" s="13">
        <v>1</v>
      </c>
      <c r="N390" s="88">
        <f>A388</f>
        <v>385</v>
      </c>
      <c r="O390" s="38"/>
    </row>
    <row r="391" spans="1:15" s="9" customFormat="1" x14ac:dyDescent="0.25">
      <c r="A391" s="70">
        <f t="shared" si="48"/>
        <v>388</v>
      </c>
      <c r="C391" s="9" t="str">
        <f t="shared" ca="1" si="46"/>
        <v>Public awareness campaign product (post &amp; telecoms, other business, education)</v>
      </c>
      <c r="D391" s="9" t="str">
        <f t="shared" ca="1" si="47"/>
        <v>Processing of Food products nec'</v>
      </c>
      <c r="E391" s="9">
        <v>34</v>
      </c>
      <c r="F391" s="9">
        <v>32</v>
      </c>
      <c r="G391" s="9">
        <v>7</v>
      </c>
      <c r="H391" s="13">
        <f>100%</f>
        <v>1</v>
      </c>
      <c r="I391" s="13">
        <f>100%</f>
        <v>1</v>
      </c>
      <c r="J391" s="13">
        <f>J388*-2%</f>
        <v>0.02</v>
      </c>
      <c r="K391" s="13">
        <v>1</v>
      </c>
      <c r="L391" s="13">
        <f>L388*-2%</f>
        <v>0.02</v>
      </c>
      <c r="M391" s="13">
        <v>1</v>
      </c>
      <c r="N391" s="88">
        <f>A388</f>
        <v>385</v>
      </c>
      <c r="O391" s="38"/>
    </row>
    <row r="392" spans="1:15" s="9" customFormat="1" x14ac:dyDescent="0.25">
      <c r="A392" s="70">
        <f t="shared" si="48"/>
        <v>389</v>
      </c>
      <c r="C392" s="9" t="str">
        <f t="shared" ca="1" si="46"/>
        <v>All products</v>
      </c>
      <c r="D392" s="9" t="str">
        <f t="shared" ca="1" si="47"/>
        <v>Manufacture of beverages'</v>
      </c>
      <c r="E392" s="9">
        <v>1</v>
      </c>
      <c r="F392" s="9">
        <v>33</v>
      </c>
      <c r="G392" s="9">
        <v>7</v>
      </c>
      <c r="H392" s="13">
        <v>0.24853571428571433</v>
      </c>
      <c r="I392" s="13">
        <f>intermediateEstimate</f>
        <v>0.3</v>
      </c>
      <c r="J392" s="13">
        <v>-1</v>
      </c>
      <c r="K392" s="13">
        <f>advancedEstimate</f>
        <v>0.6</v>
      </c>
      <c r="L392" s="13">
        <v>-1</v>
      </c>
      <c r="M392" s="13">
        <f>extremeEstimate</f>
        <v>0.9</v>
      </c>
      <c r="N392" s="86">
        <f>A392</f>
        <v>389</v>
      </c>
      <c r="O392" s="38"/>
    </row>
    <row r="393" spans="1:15" s="9" customFormat="1" x14ac:dyDescent="0.25">
      <c r="A393" s="70">
        <f t="shared" si="48"/>
        <v>390</v>
      </c>
      <c r="C393" s="9" t="str">
        <f t="shared" ca="1" si="46"/>
        <v>All food products</v>
      </c>
      <c r="D393" s="9" t="str">
        <f t="shared" ca="1" si="47"/>
        <v>Manufacture of beverages'</v>
      </c>
      <c r="E393" s="9">
        <v>33</v>
      </c>
      <c r="F393" s="9">
        <v>33</v>
      </c>
      <c r="G393" s="9">
        <v>7</v>
      </c>
      <c r="H393" s="13">
        <f>H392</f>
        <v>0.24853571428571433</v>
      </c>
      <c r="I393" s="13">
        <f>I392</f>
        <v>0.3</v>
      </c>
      <c r="J393" s="13">
        <f>-J392</f>
        <v>1</v>
      </c>
      <c r="K393" s="13">
        <f>K392</f>
        <v>0.6</v>
      </c>
      <c r="L393" s="13">
        <f>-L392</f>
        <v>1</v>
      </c>
      <c r="M393" s="13">
        <v>1</v>
      </c>
      <c r="N393" s="88">
        <f>A393</f>
        <v>390</v>
      </c>
      <c r="O393" s="38"/>
    </row>
    <row r="394" spans="1:15" s="9" customFormat="1" x14ac:dyDescent="0.25">
      <c r="A394" s="70">
        <f t="shared" si="48"/>
        <v>391</v>
      </c>
      <c r="C394" s="9" t="str">
        <f t="shared" ca="1" si="46"/>
        <v>Equipment and transport</v>
      </c>
      <c r="D394" s="9" t="str">
        <f t="shared" ca="1" si="47"/>
        <v>Manufacture of beverages'</v>
      </c>
      <c r="E394" s="9">
        <v>26</v>
      </c>
      <c r="F394" s="9">
        <v>33</v>
      </c>
      <c r="G394" s="9">
        <v>7</v>
      </c>
      <c r="H394" s="13">
        <f>100%</f>
        <v>1</v>
      </c>
      <c r="I394" s="13">
        <f>100%</f>
        <v>1</v>
      </c>
      <c r="J394" s="13">
        <f>J392*-10%</f>
        <v>0.1</v>
      </c>
      <c r="K394" s="13">
        <v>1</v>
      </c>
      <c r="L394" s="13">
        <f>L392*-10%</f>
        <v>0.1</v>
      </c>
      <c r="M394" s="13">
        <v>1</v>
      </c>
      <c r="N394" s="88">
        <f>A392</f>
        <v>389</v>
      </c>
      <c r="O394" s="38"/>
    </row>
    <row r="395" spans="1:15" s="9" customFormat="1" x14ac:dyDescent="0.25">
      <c r="A395" s="70">
        <f t="shared" si="48"/>
        <v>392</v>
      </c>
      <c r="C395" s="9" t="str">
        <f t="shared" ca="1" si="46"/>
        <v>Public awareness campaign product (post &amp; telecoms, other business, education)</v>
      </c>
      <c r="D395" s="9" t="str">
        <f t="shared" ca="1" si="47"/>
        <v>Manufacture of beverages'</v>
      </c>
      <c r="E395" s="9">
        <v>34</v>
      </c>
      <c r="F395" s="9">
        <v>33</v>
      </c>
      <c r="G395" s="9">
        <v>7</v>
      </c>
      <c r="H395" s="13">
        <f>100%</f>
        <v>1</v>
      </c>
      <c r="I395" s="13">
        <f>100%</f>
        <v>1</v>
      </c>
      <c r="J395" s="13">
        <f>J392*-2%</f>
        <v>0.02</v>
      </c>
      <c r="K395" s="13">
        <v>1</v>
      </c>
      <c r="L395" s="13">
        <f>L392*-2%</f>
        <v>0.02</v>
      </c>
      <c r="M395" s="13">
        <v>1</v>
      </c>
      <c r="N395" s="88">
        <f>A392</f>
        <v>389</v>
      </c>
      <c r="O395" s="38"/>
    </row>
    <row r="396" spans="1:15" s="9" customFormat="1" x14ac:dyDescent="0.25">
      <c r="A396" s="70">
        <f t="shared" si="48"/>
        <v>393</v>
      </c>
      <c r="C396" s="9" t="str">
        <f t="shared" ca="1" si="46"/>
        <v>All products</v>
      </c>
      <c r="D396" s="9" t="str">
        <f t="shared" ca="1" si="47"/>
        <v>Manufacture of fish products'</v>
      </c>
      <c r="E396" s="9">
        <v>1</v>
      </c>
      <c r="F396" s="9">
        <v>34</v>
      </c>
      <c r="G396" s="9">
        <v>7</v>
      </c>
      <c r="H396" s="13">
        <v>0.39030000000000009</v>
      </c>
      <c r="I396" s="13">
        <f>intermediateEstimate</f>
        <v>0.3</v>
      </c>
      <c r="J396" s="13">
        <v>-1</v>
      </c>
      <c r="K396" s="13">
        <f>advancedEstimate</f>
        <v>0.6</v>
      </c>
      <c r="L396" s="13">
        <v>-1</v>
      </c>
      <c r="M396" s="13">
        <f>extremeEstimate</f>
        <v>0.9</v>
      </c>
      <c r="N396" s="86">
        <f>A396</f>
        <v>393</v>
      </c>
      <c r="O396" s="38"/>
    </row>
    <row r="397" spans="1:15" s="9" customFormat="1" x14ac:dyDescent="0.25">
      <c r="A397" s="70">
        <f t="shared" si="48"/>
        <v>394</v>
      </c>
      <c r="C397" s="9" t="str">
        <f t="shared" ca="1" si="46"/>
        <v>Fish &amp; seafood</v>
      </c>
      <c r="D397" s="9" t="str">
        <f t="shared" ca="1" si="47"/>
        <v>Manufacture of fish products'</v>
      </c>
      <c r="E397" s="9">
        <v>32</v>
      </c>
      <c r="F397" s="9">
        <v>34</v>
      </c>
      <c r="G397" s="9">
        <v>7</v>
      </c>
      <c r="H397" s="13">
        <f>H396</f>
        <v>0.39030000000000009</v>
      </c>
      <c r="I397" s="13">
        <f>I396</f>
        <v>0.3</v>
      </c>
      <c r="J397" s="13">
        <f>-J396</f>
        <v>1</v>
      </c>
      <c r="K397" s="13">
        <f>K396</f>
        <v>0.6</v>
      </c>
      <c r="L397" s="13">
        <f>-L396</f>
        <v>1</v>
      </c>
      <c r="M397" s="13">
        <v>1</v>
      </c>
      <c r="N397" s="88">
        <f>A397</f>
        <v>394</v>
      </c>
      <c r="O397" s="38"/>
    </row>
    <row r="398" spans="1:15" s="9" customFormat="1" x14ac:dyDescent="0.25">
      <c r="A398" s="70">
        <f t="shared" si="48"/>
        <v>395</v>
      </c>
      <c r="C398" s="9" t="str">
        <f t="shared" ca="1" si="46"/>
        <v>Equipment and transport</v>
      </c>
      <c r="D398" s="9" t="str">
        <f t="shared" ca="1" si="47"/>
        <v>Manufacture of fish products'</v>
      </c>
      <c r="E398" s="9">
        <v>26</v>
      </c>
      <c r="F398" s="9">
        <v>34</v>
      </c>
      <c r="G398" s="9">
        <v>7</v>
      </c>
      <c r="H398" s="13">
        <f>100%</f>
        <v>1</v>
      </c>
      <c r="I398" s="13">
        <f>100%</f>
        <v>1</v>
      </c>
      <c r="J398" s="13">
        <f>J396*-10%</f>
        <v>0.1</v>
      </c>
      <c r="K398" s="13">
        <v>1</v>
      </c>
      <c r="L398" s="13">
        <f>L396*-10%</f>
        <v>0.1</v>
      </c>
      <c r="M398" s="13">
        <v>1</v>
      </c>
      <c r="N398" s="88">
        <f>A396</f>
        <v>393</v>
      </c>
      <c r="O398" s="38"/>
    </row>
    <row r="399" spans="1:15" s="9" customFormat="1" x14ac:dyDescent="0.25">
      <c r="A399" s="70">
        <f t="shared" si="48"/>
        <v>396</v>
      </c>
      <c r="C399" s="9" t="str">
        <f t="shared" ca="1" si="46"/>
        <v>Public awareness campaign product (post &amp; telecoms, other business, education)</v>
      </c>
      <c r="D399" s="9" t="str">
        <f t="shared" ca="1" si="47"/>
        <v>Manufacture of fish products'</v>
      </c>
      <c r="E399" s="9">
        <v>34</v>
      </c>
      <c r="F399" s="9">
        <v>34</v>
      </c>
      <c r="G399" s="9">
        <v>7</v>
      </c>
      <c r="H399" s="13">
        <f>100%</f>
        <v>1</v>
      </c>
      <c r="I399" s="13">
        <f>100%</f>
        <v>1</v>
      </c>
      <c r="J399" s="13">
        <f>J396*-2%</f>
        <v>0.02</v>
      </c>
      <c r="K399" s="13">
        <v>1</v>
      </c>
      <c r="L399" s="13">
        <f>L396*-2%</f>
        <v>0.02</v>
      </c>
      <c r="M399" s="13">
        <v>1</v>
      </c>
      <c r="N399" s="88">
        <f>A396</f>
        <v>393</v>
      </c>
      <c r="O399" s="38"/>
    </row>
    <row r="400" spans="1:15" s="9" customFormat="1" x14ac:dyDescent="0.25">
      <c r="A400" s="70">
        <f t="shared" si="48"/>
        <v>397</v>
      </c>
      <c r="B400" s="9" t="s">
        <v>399</v>
      </c>
      <c r="C400" s="9" t="str">
        <f t="shared" ca="1" si="46"/>
        <v>All products</v>
      </c>
      <c r="D400" s="9" t="str">
        <f t="shared" ca="1" si="47"/>
        <v>Processing of Meat</v>
      </c>
      <c r="E400" s="9">
        <v>1</v>
      </c>
      <c r="F400" s="9">
        <v>27</v>
      </c>
      <c r="G400" s="9">
        <v>8</v>
      </c>
      <c r="H400" s="13">
        <v>0.13519999999999999</v>
      </c>
      <c r="I400" s="13">
        <f>intermediateEstimate</f>
        <v>0.3</v>
      </c>
      <c r="J400" s="13">
        <v>-1</v>
      </c>
      <c r="K400" s="13">
        <f>advancedEstimate</f>
        <v>0.6</v>
      </c>
      <c r="L400" s="13">
        <v>-1</v>
      </c>
      <c r="M400" s="13">
        <f>extremeEstimate</f>
        <v>0.9</v>
      </c>
      <c r="N400" s="86">
        <f>A400</f>
        <v>397</v>
      </c>
      <c r="O400" s="38"/>
    </row>
    <row r="401" spans="1:15" s="9" customFormat="1" x14ac:dyDescent="0.25">
      <c r="A401" s="70">
        <f t="shared" si="48"/>
        <v>398</v>
      </c>
      <c r="C401" s="9" t="str">
        <f t="shared" ca="1" si="46"/>
        <v>Meat</v>
      </c>
      <c r="D401" s="9" t="str">
        <f t="shared" ca="1" si="47"/>
        <v>Processing of Meat</v>
      </c>
      <c r="E401" s="9">
        <v>30</v>
      </c>
      <c r="F401" s="9">
        <v>27</v>
      </c>
      <c r="G401" s="9">
        <v>8</v>
      </c>
      <c r="H401" s="13">
        <f>H400</f>
        <v>0.13519999999999999</v>
      </c>
      <c r="I401" s="13">
        <f>I400</f>
        <v>0.3</v>
      </c>
      <c r="J401" s="13">
        <f>-J400</f>
        <v>1</v>
      </c>
      <c r="K401" s="13">
        <f>K400</f>
        <v>0.6</v>
      </c>
      <c r="L401" s="13">
        <f>-L400</f>
        <v>1</v>
      </c>
      <c r="M401" s="13">
        <v>1</v>
      </c>
      <c r="N401" s="88">
        <f>A401</f>
        <v>398</v>
      </c>
      <c r="O401" s="38"/>
    </row>
    <row r="402" spans="1:15" s="9" customFormat="1" x14ac:dyDescent="0.25">
      <c r="A402" s="70">
        <f t="shared" si="48"/>
        <v>399</v>
      </c>
      <c r="C402" s="9" t="str">
        <f t="shared" ca="1" si="46"/>
        <v>Equipment and transport</v>
      </c>
      <c r="D402" s="9" t="str">
        <f t="shared" ca="1" si="47"/>
        <v>Processing of Meat</v>
      </c>
      <c r="E402" s="9">
        <v>26</v>
      </c>
      <c r="F402" s="9">
        <v>27</v>
      </c>
      <c r="G402" s="9">
        <v>8</v>
      </c>
      <c r="H402" s="13">
        <f>100%</f>
        <v>1</v>
      </c>
      <c r="I402" s="13">
        <f>100%</f>
        <v>1</v>
      </c>
      <c r="J402" s="13">
        <f>J400*-10%</f>
        <v>0.1</v>
      </c>
      <c r="K402" s="13">
        <v>1</v>
      </c>
      <c r="L402" s="13">
        <f>L400*-10%</f>
        <v>0.1</v>
      </c>
      <c r="M402" s="13">
        <v>1</v>
      </c>
      <c r="N402" s="88">
        <f>A400</f>
        <v>397</v>
      </c>
      <c r="O402" s="38"/>
    </row>
    <row r="403" spans="1:15" s="9" customFormat="1" x14ac:dyDescent="0.25">
      <c r="A403" s="70">
        <f t="shared" si="48"/>
        <v>400</v>
      </c>
      <c r="C403" s="9" t="str">
        <f t="shared" ca="1" si="46"/>
        <v>Public awareness campaign product (post &amp; telecoms, other business, education)</v>
      </c>
      <c r="D403" s="9" t="str">
        <f t="shared" ca="1" si="47"/>
        <v>Processing of Meat</v>
      </c>
      <c r="E403" s="9">
        <v>34</v>
      </c>
      <c r="F403" s="9">
        <v>27</v>
      </c>
      <c r="G403" s="9">
        <v>8</v>
      </c>
      <c r="H403" s="13">
        <f>100%</f>
        <v>1</v>
      </c>
      <c r="I403" s="13">
        <f>100%</f>
        <v>1</v>
      </c>
      <c r="J403" s="13">
        <f>J400*-2%</f>
        <v>0.02</v>
      </c>
      <c r="K403" s="13">
        <v>1</v>
      </c>
      <c r="L403" s="13">
        <f>L400*-2%</f>
        <v>0.02</v>
      </c>
      <c r="M403" s="13">
        <v>1</v>
      </c>
      <c r="N403" s="88">
        <f>A400</f>
        <v>397</v>
      </c>
      <c r="O403" s="38"/>
    </row>
    <row r="404" spans="1:15" s="9" customFormat="1" x14ac:dyDescent="0.25">
      <c r="A404" s="70">
        <f t="shared" si="48"/>
        <v>401</v>
      </c>
      <c r="C404" s="9" t="str">
        <f t="shared" ca="1" si="46"/>
        <v>All products</v>
      </c>
      <c r="D404" s="9" t="str">
        <f t="shared" ca="1" si="47"/>
        <v>Processing vegetable oils and fats'</v>
      </c>
      <c r="E404" s="9">
        <v>1</v>
      </c>
      <c r="F404" s="9">
        <v>28</v>
      </c>
      <c r="G404" s="9">
        <v>8</v>
      </c>
      <c r="H404" s="13">
        <v>4.9600000000000088E-2</v>
      </c>
      <c r="I404" s="13">
        <f>intermediateEstimate</f>
        <v>0.3</v>
      </c>
      <c r="J404" s="13">
        <v>-1</v>
      </c>
      <c r="K404" s="13">
        <f>advancedEstimate</f>
        <v>0.6</v>
      </c>
      <c r="L404" s="13">
        <v>-1</v>
      </c>
      <c r="M404" s="13">
        <f>extremeEstimate</f>
        <v>0.9</v>
      </c>
      <c r="N404" s="86">
        <f>A404</f>
        <v>401</v>
      </c>
      <c r="O404" s="38"/>
    </row>
    <row r="405" spans="1:15" s="9" customFormat="1" x14ac:dyDescent="0.25">
      <c r="A405" s="70">
        <f t="shared" si="48"/>
        <v>402</v>
      </c>
      <c r="C405" s="9" t="str">
        <f t="shared" ca="1" si="46"/>
        <v>Oilseeds and pulses</v>
      </c>
      <c r="D405" s="9" t="str">
        <f t="shared" ca="1" si="47"/>
        <v>Processing vegetable oils and fats'</v>
      </c>
      <c r="E405" s="9">
        <v>28</v>
      </c>
      <c r="F405" s="9">
        <v>28</v>
      </c>
      <c r="G405" s="9">
        <v>8</v>
      </c>
      <c r="H405" s="13">
        <f>H404</f>
        <v>4.9600000000000088E-2</v>
      </c>
      <c r="I405" s="13">
        <f>I404</f>
        <v>0.3</v>
      </c>
      <c r="J405" s="13">
        <f>-J404</f>
        <v>1</v>
      </c>
      <c r="K405" s="13">
        <f>K404</f>
        <v>0.6</v>
      </c>
      <c r="L405" s="13">
        <f>-L404</f>
        <v>1</v>
      </c>
      <c r="M405" s="13">
        <v>1</v>
      </c>
      <c r="N405" s="88">
        <f>A405</f>
        <v>402</v>
      </c>
      <c r="O405" s="38"/>
    </row>
    <row r="406" spans="1:15" s="9" customFormat="1" x14ac:dyDescent="0.25">
      <c r="A406" s="70">
        <f t="shared" si="48"/>
        <v>403</v>
      </c>
      <c r="C406" s="9" t="str">
        <f t="shared" ca="1" si="46"/>
        <v>Equipment and transport</v>
      </c>
      <c r="D406" s="9" t="str">
        <f t="shared" ca="1" si="47"/>
        <v>Processing vegetable oils and fats'</v>
      </c>
      <c r="E406" s="9">
        <v>26</v>
      </c>
      <c r="F406" s="9">
        <v>28</v>
      </c>
      <c r="G406" s="9">
        <v>8</v>
      </c>
      <c r="H406" s="13">
        <f>100%</f>
        <v>1</v>
      </c>
      <c r="I406" s="13">
        <f>100%</f>
        <v>1</v>
      </c>
      <c r="J406" s="13">
        <f>J404*-10%</f>
        <v>0.1</v>
      </c>
      <c r="K406" s="13">
        <v>1</v>
      </c>
      <c r="L406" s="13">
        <f>L404*-10%</f>
        <v>0.1</v>
      </c>
      <c r="M406" s="13">
        <v>1</v>
      </c>
      <c r="N406" s="88">
        <f>A404</f>
        <v>401</v>
      </c>
      <c r="O406" s="38"/>
    </row>
    <row r="407" spans="1:15" s="9" customFormat="1" x14ac:dyDescent="0.25">
      <c r="A407" s="70">
        <f t="shared" si="48"/>
        <v>404</v>
      </c>
      <c r="C407" s="9" t="str">
        <f t="shared" ca="1" si="46"/>
        <v>Public awareness campaign product (post &amp; telecoms, other business, education)</v>
      </c>
      <c r="D407" s="9" t="str">
        <f t="shared" ca="1" si="47"/>
        <v>Processing vegetable oils and fats'</v>
      </c>
      <c r="E407" s="9">
        <v>34</v>
      </c>
      <c r="F407" s="9">
        <v>28</v>
      </c>
      <c r="G407" s="9">
        <v>8</v>
      </c>
      <c r="H407" s="13">
        <f>100%</f>
        <v>1</v>
      </c>
      <c r="I407" s="13">
        <f>100%</f>
        <v>1</v>
      </c>
      <c r="J407" s="13">
        <f>J404*-2%</f>
        <v>0.02</v>
      </c>
      <c r="K407" s="13">
        <v>1</v>
      </c>
      <c r="L407" s="13">
        <f>L404*-2%</f>
        <v>0.02</v>
      </c>
      <c r="M407" s="13">
        <v>1</v>
      </c>
      <c r="N407" s="88">
        <f>A404</f>
        <v>401</v>
      </c>
      <c r="O407" s="38"/>
    </row>
    <row r="408" spans="1:15" s="9" customFormat="1" x14ac:dyDescent="0.25">
      <c r="A408" s="70">
        <f t="shared" si="48"/>
        <v>405</v>
      </c>
      <c r="C408" s="9" t="str">
        <f t="shared" ca="1" si="46"/>
        <v>All products</v>
      </c>
      <c r="D408" s="9" t="str">
        <f t="shared" ca="1" si="47"/>
        <v>Processing of dairy products'</v>
      </c>
      <c r="E408" s="9">
        <v>1</v>
      </c>
      <c r="F408" s="9">
        <v>29</v>
      </c>
      <c r="G408" s="9">
        <v>8</v>
      </c>
      <c r="H408" s="13">
        <v>5.4750000000000076E-2</v>
      </c>
      <c r="I408" s="13">
        <f>intermediateEstimate</f>
        <v>0.3</v>
      </c>
      <c r="J408" s="13">
        <v>-1</v>
      </c>
      <c r="K408" s="13">
        <f>advancedEstimate</f>
        <v>0.6</v>
      </c>
      <c r="L408" s="13">
        <v>-1</v>
      </c>
      <c r="M408" s="13">
        <f>extremeEstimate</f>
        <v>0.9</v>
      </c>
      <c r="N408" s="86">
        <f>A408</f>
        <v>405</v>
      </c>
      <c r="O408" s="38"/>
    </row>
    <row r="409" spans="1:15" s="9" customFormat="1" x14ac:dyDescent="0.25">
      <c r="A409" s="70">
        <f t="shared" si="48"/>
        <v>406</v>
      </c>
      <c r="C409" s="9" t="str">
        <f t="shared" ca="1" si="46"/>
        <v>Milk</v>
      </c>
      <c r="D409" s="9" t="str">
        <f t="shared" ca="1" si="47"/>
        <v>Processing of dairy products'</v>
      </c>
      <c r="E409" s="9">
        <v>31</v>
      </c>
      <c r="F409" s="9">
        <v>29</v>
      </c>
      <c r="G409" s="9">
        <v>8</v>
      </c>
      <c r="H409" s="13">
        <f>H408</f>
        <v>5.4750000000000076E-2</v>
      </c>
      <c r="I409" s="13">
        <f>I408</f>
        <v>0.3</v>
      </c>
      <c r="J409" s="13">
        <f>-J408</f>
        <v>1</v>
      </c>
      <c r="K409" s="13">
        <f>K408</f>
        <v>0.6</v>
      </c>
      <c r="L409" s="13">
        <f>-L408</f>
        <v>1</v>
      </c>
      <c r="M409" s="13">
        <v>1</v>
      </c>
      <c r="N409" s="88">
        <f>A409</f>
        <v>406</v>
      </c>
      <c r="O409" s="38"/>
    </row>
    <row r="410" spans="1:15" s="9" customFormat="1" x14ac:dyDescent="0.25">
      <c r="A410" s="70">
        <f t="shared" si="48"/>
        <v>407</v>
      </c>
      <c r="C410" s="9" t="str">
        <f t="shared" ca="1" si="46"/>
        <v>Equipment and transport</v>
      </c>
      <c r="D410" s="9" t="str">
        <f t="shared" ca="1" si="47"/>
        <v>Processing of dairy products'</v>
      </c>
      <c r="E410" s="9">
        <v>26</v>
      </c>
      <c r="F410" s="9">
        <v>29</v>
      </c>
      <c r="G410" s="9">
        <v>8</v>
      </c>
      <c r="H410" s="13">
        <f>100%</f>
        <v>1</v>
      </c>
      <c r="I410" s="13">
        <f>100%</f>
        <v>1</v>
      </c>
      <c r="J410" s="13">
        <f>J408*-10%</f>
        <v>0.1</v>
      </c>
      <c r="K410" s="13">
        <v>1</v>
      </c>
      <c r="L410" s="13">
        <f>L408*-10%</f>
        <v>0.1</v>
      </c>
      <c r="M410" s="13">
        <v>1</v>
      </c>
      <c r="N410" s="88">
        <f>A408</f>
        <v>405</v>
      </c>
      <c r="O410" s="38"/>
    </row>
    <row r="411" spans="1:15" s="9" customFormat="1" x14ac:dyDescent="0.25">
      <c r="A411" s="70">
        <f t="shared" si="48"/>
        <v>408</v>
      </c>
      <c r="C411" s="9" t="str">
        <f t="shared" ca="1" si="46"/>
        <v>Public awareness campaign product (post &amp; telecoms, other business, education)</v>
      </c>
      <c r="D411" s="9" t="str">
        <f t="shared" ca="1" si="47"/>
        <v>Processing of dairy products'</v>
      </c>
      <c r="E411" s="9">
        <v>34</v>
      </c>
      <c r="F411" s="9">
        <v>29</v>
      </c>
      <c r="G411" s="9">
        <v>8</v>
      </c>
      <c r="H411" s="13">
        <f>100%</f>
        <v>1</v>
      </c>
      <c r="I411" s="13">
        <f>100%</f>
        <v>1</v>
      </c>
      <c r="J411" s="13">
        <f>J408*-2%</f>
        <v>0.02</v>
      </c>
      <c r="K411" s="13">
        <v>1</v>
      </c>
      <c r="L411" s="13">
        <f>L408*-2%</f>
        <v>0.02</v>
      </c>
      <c r="M411" s="13">
        <v>1</v>
      </c>
      <c r="N411" s="88">
        <f>A408</f>
        <v>405</v>
      </c>
      <c r="O411" s="38"/>
    </row>
    <row r="412" spans="1:15" s="9" customFormat="1" x14ac:dyDescent="0.25">
      <c r="A412" s="70">
        <f t="shared" si="48"/>
        <v>409</v>
      </c>
      <c r="C412" s="9" t="str">
        <f t="shared" ca="1" si="46"/>
        <v>All products</v>
      </c>
      <c r="D412" s="9" t="str">
        <f t="shared" ca="1" si="47"/>
        <v>Processed rice'</v>
      </c>
      <c r="E412" s="9">
        <v>1</v>
      </c>
      <c r="F412" s="9">
        <v>30</v>
      </c>
      <c r="G412" s="9">
        <v>8</v>
      </c>
      <c r="H412" s="13">
        <v>0.21599999999999997</v>
      </c>
      <c r="I412" s="13">
        <f>intermediateEstimate</f>
        <v>0.3</v>
      </c>
      <c r="J412" s="13">
        <v>-1</v>
      </c>
      <c r="K412" s="13">
        <f>advancedEstimate</f>
        <v>0.6</v>
      </c>
      <c r="L412" s="13">
        <v>-1</v>
      </c>
      <c r="M412" s="13">
        <f>extremeEstimate</f>
        <v>0.9</v>
      </c>
      <c r="N412" s="86">
        <f>A412</f>
        <v>409</v>
      </c>
      <c r="O412" s="38"/>
    </row>
    <row r="413" spans="1:15" s="9" customFormat="1" x14ac:dyDescent="0.25">
      <c r="A413" s="70">
        <f t="shared" si="48"/>
        <v>410</v>
      </c>
      <c r="C413" s="9" t="str">
        <f t="shared" ca="1" si="46"/>
        <v xml:space="preserve">Cereals </v>
      </c>
      <c r="D413" s="9" t="str">
        <f t="shared" ca="1" si="47"/>
        <v>Processed rice'</v>
      </c>
      <c r="E413" s="9">
        <v>27</v>
      </c>
      <c r="F413" s="9">
        <v>30</v>
      </c>
      <c r="G413" s="9">
        <v>8</v>
      </c>
      <c r="H413" s="13">
        <f>H412</f>
        <v>0.21599999999999997</v>
      </c>
      <c r="I413" s="13">
        <f>I412</f>
        <v>0.3</v>
      </c>
      <c r="J413" s="13">
        <f>-J412</f>
        <v>1</v>
      </c>
      <c r="K413" s="13">
        <f>K412</f>
        <v>0.6</v>
      </c>
      <c r="L413" s="13">
        <f>-L412</f>
        <v>1</v>
      </c>
      <c r="M413" s="13">
        <v>1</v>
      </c>
      <c r="N413" s="88">
        <f>A413</f>
        <v>410</v>
      </c>
      <c r="O413" s="38"/>
    </row>
    <row r="414" spans="1:15" s="9" customFormat="1" x14ac:dyDescent="0.25">
      <c r="A414" s="70">
        <f t="shared" si="48"/>
        <v>411</v>
      </c>
      <c r="C414" s="9" t="str">
        <f t="shared" ca="1" si="46"/>
        <v>Equipment and transport</v>
      </c>
      <c r="D414" s="9" t="str">
        <f t="shared" ca="1" si="47"/>
        <v>Processed rice'</v>
      </c>
      <c r="E414" s="9">
        <v>26</v>
      </c>
      <c r="F414" s="9">
        <v>30</v>
      </c>
      <c r="G414" s="9">
        <v>8</v>
      </c>
      <c r="H414" s="13">
        <f>100%</f>
        <v>1</v>
      </c>
      <c r="I414" s="13">
        <f>100%</f>
        <v>1</v>
      </c>
      <c r="J414" s="13">
        <f>J412*-10%</f>
        <v>0.1</v>
      </c>
      <c r="K414" s="13">
        <v>1</v>
      </c>
      <c r="L414" s="13">
        <f>L412*-10%</f>
        <v>0.1</v>
      </c>
      <c r="M414" s="13">
        <v>1</v>
      </c>
      <c r="N414" s="88">
        <f>A412</f>
        <v>409</v>
      </c>
      <c r="O414" s="38"/>
    </row>
    <row r="415" spans="1:15" s="9" customFormat="1" x14ac:dyDescent="0.25">
      <c r="A415" s="70">
        <f t="shared" si="48"/>
        <v>412</v>
      </c>
      <c r="C415" s="9" t="str">
        <f t="shared" ref="C415:C478" ca="1" si="49">INDIRECT(ADDRESS(E415+2,2,,,"product Table"))</f>
        <v>Public awareness campaign product (post &amp; telecoms, other business, education)</v>
      </c>
      <c r="D415" s="9" t="str">
        <f t="shared" ref="D415:D478" ca="1" si="50">INDIRECT(ADDRESS(F415+2,2,,,"industry Table"))</f>
        <v>Processed rice'</v>
      </c>
      <c r="E415" s="9">
        <v>34</v>
      </c>
      <c r="F415" s="9">
        <v>30</v>
      </c>
      <c r="G415" s="9">
        <v>8</v>
      </c>
      <c r="H415" s="13">
        <f>100%</f>
        <v>1</v>
      </c>
      <c r="I415" s="13">
        <f>100%</f>
        <v>1</v>
      </c>
      <c r="J415" s="13">
        <f>J412*-2%</f>
        <v>0.02</v>
      </c>
      <c r="K415" s="13">
        <v>1</v>
      </c>
      <c r="L415" s="13">
        <f>L412*-2%</f>
        <v>0.02</v>
      </c>
      <c r="M415" s="13">
        <v>1</v>
      </c>
      <c r="N415" s="88">
        <f>A412</f>
        <v>409</v>
      </c>
      <c r="O415" s="38"/>
    </row>
    <row r="416" spans="1:15" s="9" customFormat="1" x14ac:dyDescent="0.25">
      <c r="A416" s="70">
        <f t="shared" si="48"/>
        <v>413</v>
      </c>
      <c r="C416" s="9" t="str">
        <f t="shared" ca="1" si="49"/>
        <v>All products</v>
      </c>
      <c r="D416" s="9" t="str">
        <f t="shared" ca="1" si="50"/>
        <v>Sugar refining'</v>
      </c>
      <c r="E416" s="9">
        <v>1</v>
      </c>
      <c r="F416" s="9">
        <v>31</v>
      </c>
      <c r="G416" s="9">
        <v>8</v>
      </c>
      <c r="H416" s="13">
        <v>0.18099999999999994</v>
      </c>
      <c r="I416" s="13">
        <f>intermediateEstimate</f>
        <v>0.3</v>
      </c>
      <c r="J416" s="13">
        <v>-1</v>
      </c>
      <c r="K416" s="13">
        <f>advancedEstimate</f>
        <v>0.6</v>
      </c>
      <c r="L416" s="13">
        <v>-1</v>
      </c>
      <c r="M416" s="13">
        <f>extremeEstimate</f>
        <v>0.9</v>
      </c>
      <c r="N416" s="86">
        <f>A416</f>
        <v>413</v>
      </c>
      <c r="O416" s="38"/>
    </row>
    <row r="417" spans="1:15" s="9" customFormat="1" x14ac:dyDescent="0.25">
      <c r="A417" s="70">
        <f t="shared" si="48"/>
        <v>414</v>
      </c>
      <c r="C417" s="9" t="str">
        <f t="shared" ca="1" si="49"/>
        <v>Roots &amp; tubers</v>
      </c>
      <c r="D417" s="9" t="str">
        <f t="shared" ca="1" si="50"/>
        <v>Sugar refining'</v>
      </c>
      <c r="E417" s="9">
        <v>29</v>
      </c>
      <c r="F417" s="9">
        <v>31</v>
      </c>
      <c r="G417" s="9">
        <v>8</v>
      </c>
      <c r="H417" s="13">
        <f>H416</f>
        <v>0.18099999999999994</v>
      </c>
      <c r="I417" s="13">
        <f>I416</f>
        <v>0.3</v>
      </c>
      <c r="J417" s="13">
        <f>-J416</f>
        <v>1</v>
      </c>
      <c r="K417" s="13">
        <f>K416</f>
        <v>0.6</v>
      </c>
      <c r="L417" s="13">
        <f>-L416</f>
        <v>1</v>
      </c>
      <c r="M417" s="13">
        <v>1</v>
      </c>
      <c r="N417" s="88">
        <f>A417</f>
        <v>414</v>
      </c>
      <c r="O417" s="38"/>
    </row>
    <row r="418" spans="1:15" s="9" customFormat="1" x14ac:dyDescent="0.25">
      <c r="A418" s="70">
        <f t="shared" si="48"/>
        <v>415</v>
      </c>
      <c r="C418" s="9" t="str">
        <f t="shared" ca="1" si="49"/>
        <v>Equipment and transport</v>
      </c>
      <c r="D418" s="9" t="str">
        <f t="shared" ca="1" si="50"/>
        <v>Sugar refining'</v>
      </c>
      <c r="E418" s="9">
        <v>26</v>
      </c>
      <c r="F418" s="9">
        <v>31</v>
      </c>
      <c r="G418" s="9">
        <v>8</v>
      </c>
      <c r="H418" s="13">
        <f>100%</f>
        <v>1</v>
      </c>
      <c r="I418" s="13">
        <f>100%</f>
        <v>1</v>
      </c>
      <c r="J418" s="13">
        <f>J416*-10%</f>
        <v>0.1</v>
      </c>
      <c r="K418" s="13">
        <v>1</v>
      </c>
      <c r="L418" s="13">
        <f>L416*-10%</f>
        <v>0.1</v>
      </c>
      <c r="M418" s="13">
        <v>1</v>
      </c>
      <c r="N418" s="88">
        <f>A416</f>
        <v>413</v>
      </c>
      <c r="O418" s="38"/>
    </row>
    <row r="419" spans="1:15" s="9" customFormat="1" x14ac:dyDescent="0.25">
      <c r="A419" s="70">
        <f t="shared" si="48"/>
        <v>416</v>
      </c>
      <c r="C419" s="9" t="str">
        <f t="shared" ca="1" si="49"/>
        <v>Public awareness campaign product (post &amp; telecoms, other business, education)</v>
      </c>
      <c r="D419" s="9" t="str">
        <f t="shared" ca="1" si="50"/>
        <v>Sugar refining'</v>
      </c>
      <c r="E419" s="9">
        <v>34</v>
      </c>
      <c r="F419" s="9">
        <v>31</v>
      </c>
      <c r="G419" s="9">
        <v>8</v>
      </c>
      <c r="H419" s="13">
        <f>100%</f>
        <v>1</v>
      </c>
      <c r="I419" s="13">
        <f>100%</f>
        <v>1</v>
      </c>
      <c r="J419" s="13">
        <f>J416*-2%</f>
        <v>0.02</v>
      </c>
      <c r="K419" s="13">
        <v>1</v>
      </c>
      <c r="L419" s="13">
        <f>L416*-2%</f>
        <v>0.02</v>
      </c>
      <c r="M419" s="13">
        <v>1</v>
      </c>
      <c r="N419" s="88">
        <f>A416</f>
        <v>413</v>
      </c>
      <c r="O419" s="38"/>
    </row>
    <row r="420" spans="1:15" s="9" customFormat="1" x14ac:dyDescent="0.25">
      <c r="A420" s="70">
        <f t="shared" si="48"/>
        <v>417</v>
      </c>
      <c r="C420" s="9" t="str">
        <f t="shared" ca="1" si="49"/>
        <v>All products</v>
      </c>
      <c r="D420" s="9" t="str">
        <f t="shared" ca="1" si="50"/>
        <v>Processing of Food products nec'</v>
      </c>
      <c r="E420" s="9">
        <v>1</v>
      </c>
      <c r="F420" s="9">
        <v>32</v>
      </c>
      <c r="G420" s="9">
        <v>8</v>
      </c>
      <c r="H420" s="13">
        <v>0.14796428571428571</v>
      </c>
      <c r="I420" s="13">
        <f>intermediateEstimate</f>
        <v>0.3</v>
      </c>
      <c r="J420" s="13">
        <v>-1</v>
      </c>
      <c r="K420" s="13">
        <f>advancedEstimate</f>
        <v>0.6</v>
      </c>
      <c r="L420" s="13">
        <v>-1</v>
      </c>
      <c r="M420" s="13">
        <f>extremeEstimate</f>
        <v>0.9</v>
      </c>
      <c r="N420" s="86">
        <f>A420</f>
        <v>417</v>
      </c>
      <c r="O420" s="38"/>
    </row>
    <row r="421" spans="1:15" s="9" customFormat="1" x14ac:dyDescent="0.25">
      <c r="A421" s="70">
        <f t="shared" si="48"/>
        <v>418</v>
      </c>
      <c r="C421" s="9" t="str">
        <f t="shared" ca="1" si="49"/>
        <v>All food products</v>
      </c>
      <c r="D421" s="9" t="str">
        <f t="shared" ca="1" si="50"/>
        <v>Processing of Food products nec'</v>
      </c>
      <c r="E421" s="9">
        <v>33</v>
      </c>
      <c r="F421" s="9">
        <v>32</v>
      </c>
      <c r="G421" s="9">
        <v>8</v>
      </c>
      <c r="H421" s="13">
        <f>H420</f>
        <v>0.14796428571428571</v>
      </c>
      <c r="I421" s="13">
        <f>I420</f>
        <v>0.3</v>
      </c>
      <c r="J421" s="13">
        <f>-J420</f>
        <v>1</v>
      </c>
      <c r="K421" s="13">
        <f>K420</f>
        <v>0.6</v>
      </c>
      <c r="L421" s="13">
        <f>-L420</f>
        <v>1</v>
      </c>
      <c r="M421" s="13">
        <v>1</v>
      </c>
      <c r="N421" s="88">
        <f>A421</f>
        <v>418</v>
      </c>
      <c r="O421" s="38"/>
    </row>
    <row r="422" spans="1:15" s="9" customFormat="1" x14ac:dyDescent="0.25">
      <c r="A422" s="70">
        <f t="shared" si="48"/>
        <v>419</v>
      </c>
      <c r="C422" s="9" t="str">
        <f t="shared" ca="1" si="49"/>
        <v>Equipment and transport</v>
      </c>
      <c r="D422" s="9" t="str">
        <f t="shared" ca="1" si="50"/>
        <v>Processing of Food products nec'</v>
      </c>
      <c r="E422" s="9">
        <v>26</v>
      </c>
      <c r="F422" s="9">
        <v>32</v>
      </c>
      <c r="G422" s="9">
        <v>8</v>
      </c>
      <c r="H422" s="13">
        <f>100%</f>
        <v>1</v>
      </c>
      <c r="I422" s="13">
        <f>100%</f>
        <v>1</v>
      </c>
      <c r="J422" s="13">
        <f>J420*-10%</f>
        <v>0.1</v>
      </c>
      <c r="K422" s="13">
        <v>1</v>
      </c>
      <c r="L422" s="13">
        <f>L420*-10%</f>
        <v>0.1</v>
      </c>
      <c r="M422" s="13">
        <v>1</v>
      </c>
      <c r="N422" s="88">
        <f>A420</f>
        <v>417</v>
      </c>
      <c r="O422" s="38"/>
    </row>
    <row r="423" spans="1:15" s="9" customFormat="1" x14ac:dyDescent="0.25">
      <c r="A423" s="70">
        <f t="shared" si="48"/>
        <v>420</v>
      </c>
      <c r="C423" s="9" t="str">
        <f t="shared" ca="1" si="49"/>
        <v>Public awareness campaign product (post &amp; telecoms, other business, education)</v>
      </c>
      <c r="D423" s="9" t="str">
        <f t="shared" ca="1" si="50"/>
        <v>Processing of Food products nec'</v>
      </c>
      <c r="E423" s="9">
        <v>34</v>
      </c>
      <c r="F423" s="9">
        <v>32</v>
      </c>
      <c r="G423" s="9">
        <v>8</v>
      </c>
      <c r="H423" s="13">
        <f>100%</f>
        <v>1</v>
      </c>
      <c r="I423" s="13">
        <f>100%</f>
        <v>1</v>
      </c>
      <c r="J423" s="13">
        <f>J420*-2%</f>
        <v>0.02</v>
      </c>
      <c r="K423" s="13">
        <v>1</v>
      </c>
      <c r="L423" s="13">
        <f>L420*-2%</f>
        <v>0.02</v>
      </c>
      <c r="M423" s="13">
        <v>1</v>
      </c>
      <c r="N423" s="88">
        <f>A420</f>
        <v>417</v>
      </c>
      <c r="O423" s="38"/>
    </row>
    <row r="424" spans="1:15" s="9" customFormat="1" x14ac:dyDescent="0.25">
      <c r="A424" s="70">
        <f t="shared" si="48"/>
        <v>421</v>
      </c>
      <c r="C424" s="9" t="str">
        <f t="shared" ca="1" si="49"/>
        <v>All products</v>
      </c>
      <c r="D424" s="9" t="str">
        <f t="shared" ca="1" si="50"/>
        <v>Manufacture of beverages'</v>
      </c>
      <c r="E424" s="9">
        <v>1</v>
      </c>
      <c r="F424" s="9">
        <v>33</v>
      </c>
      <c r="G424" s="9">
        <v>8</v>
      </c>
      <c r="H424" s="13">
        <v>0.14796428571428571</v>
      </c>
      <c r="I424" s="13">
        <f>intermediateEstimate</f>
        <v>0.3</v>
      </c>
      <c r="J424" s="13">
        <v>-1</v>
      </c>
      <c r="K424" s="13">
        <f>advancedEstimate</f>
        <v>0.6</v>
      </c>
      <c r="L424" s="13">
        <v>-1</v>
      </c>
      <c r="M424" s="13">
        <f>extremeEstimate</f>
        <v>0.9</v>
      </c>
      <c r="N424" s="86">
        <f>A424</f>
        <v>421</v>
      </c>
    </row>
    <row r="425" spans="1:15" s="9" customFormat="1" x14ac:dyDescent="0.25">
      <c r="A425" s="70">
        <f t="shared" si="48"/>
        <v>422</v>
      </c>
      <c r="C425" s="9" t="str">
        <f t="shared" ca="1" si="49"/>
        <v>All food products</v>
      </c>
      <c r="D425" s="9" t="str">
        <f t="shared" ca="1" si="50"/>
        <v>Manufacture of beverages'</v>
      </c>
      <c r="E425" s="9">
        <v>33</v>
      </c>
      <c r="F425" s="9">
        <v>33</v>
      </c>
      <c r="G425" s="9">
        <v>8</v>
      </c>
      <c r="H425" s="13">
        <f>H424</f>
        <v>0.14796428571428571</v>
      </c>
      <c r="I425" s="13">
        <f>I424</f>
        <v>0.3</v>
      </c>
      <c r="J425" s="13">
        <f>-J424</f>
        <v>1</v>
      </c>
      <c r="K425" s="13">
        <f>K424</f>
        <v>0.6</v>
      </c>
      <c r="L425" s="13">
        <f>-L424</f>
        <v>1</v>
      </c>
      <c r="M425" s="13">
        <v>1</v>
      </c>
      <c r="N425" s="88">
        <f>A425</f>
        <v>422</v>
      </c>
    </row>
    <row r="426" spans="1:15" s="9" customFormat="1" x14ac:dyDescent="0.25">
      <c r="A426" s="70">
        <f t="shared" si="48"/>
        <v>423</v>
      </c>
      <c r="C426" s="9" t="str">
        <f t="shared" ca="1" si="49"/>
        <v>Equipment and transport</v>
      </c>
      <c r="D426" s="9" t="str">
        <f t="shared" ca="1" si="50"/>
        <v>Manufacture of beverages'</v>
      </c>
      <c r="E426" s="9">
        <v>26</v>
      </c>
      <c r="F426" s="9">
        <v>33</v>
      </c>
      <c r="G426" s="9">
        <v>8</v>
      </c>
      <c r="H426" s="13">
        <f>100%</f>
        <v>1</v>
      </c>
      <c r="I426" s="13">
        <f>100%</f>
        <v>1</v>
      </c>
      <c r="J426" s="13">
        <f>J424*-10%</f>
        <v>0.1</v>
      </c>
      <c r="K426" s="13">
        <v>1</v>
      </c>
      <c r="L426" s="13">
        <f>L424*-10%</f>
        <v>0.1</v>
      </c>
      <c r="M426" s="13">
        <v>1</v>
      </c>
      <c r="N426" s="88">
        <f>A424</f>
        <v>421</v>
      </c>
    </row>
    <row r="427" spans="1:15" s="9" customFormat="1" x14ac:dyDescent="0.25">
      <c r="A427" s="70">
        <f t="shared" si="48"/>
        <v>424</v>
      </c>
      <c r="C427" s="9" t="str">
        <f t="shared" ca="1" si="49"/>
        <v>Public awareness campaign product (post &amp; telecoms, other business, education)</v>
      </c>
      <c r="D427" s="9" t="str">
        <f t="shared" ca="1" si="50"/>
        <v>Manufacture of beverages'</v>
      </c>
      <c r="E427" s="9">
        <v>34</v>
      </c>
      <c r="F427" s="9">
        <v>33</v>
      </c>
      <c r="G427" s="9">
        <v>8</v>
      </c>
      <c r="H427" s="13">
        <f>100%</f>
        <v>1</v>
      </c>
      <c r="I427" s="13">
        <f>100%</f>
        <v>1</v>
      </c>
      <c r="J427" s="13">
        <f>J424*-2%</f>
        <v>0.02</v>
      </c>
      <c r="K427" s="13">
        <v>1</v>
      </c>
      <c r="L427" s="13">
        <f>L424*-2%</f>
        <v>0.02</v>
      </c>
      <c r="M427" s="13">
        <v>1</v>
      </c>
      <c r="N427" s="88">
        <f>A424</f>
        <v>421</v>
      </c>
    </row>
    <row r="428" spans="1:15" s="9" customFormat="1" x14ac:dyDescent="0.25">
      <c r="A428" s="70">
        <f t="shared" si="48"/>
        <v>425</v>
      </c>
      <c r="C428" s="9" t="str">
        <f t="shared" ca="1" si="49"/>
        <v>All products</v>
      </c>
      <c r="D428" s="9" t="str">
        <f t="shared" ca="1" si="50"/>
        <v>Manufacture of fish products'</v>
      </c>
      <c r="E428" s="9">
        <v>1</v>
      </c>
      <c r="F428" s="9">
        <v>34</v>
      </c>
      <c r="G428" s="9">
        <v>8</v>
      </c>
      <c r="H428" s="13">
        <v>0.18119999999999992</v>
      </c>
      <c r="I428" s="13">
        <f>intermediateEstimate</f>
        <v>0.3</v>
      </c>
      <c r="J428" s="13">
        <v>-1</v>
      </c>
      <c r="K428" s="13">
        <f>advancedEstimate</f>
        <v>0.6</v>
      </c>
      <c r="L428" s="13">
        <v>-1</v>
      </c>
      <c r="M428" s="13">
        <f>extremeEstimate</f>
        <v>0.9</v>
      </c>
      <c r="N428" s="86">
        <f>A428</f>
        <v>425</v>
      </c>
    </row>
    <row r="429" spans="1:15" s="9" customFormat="1" x14ac:dyDescent="0.25">
      <c r="A429" s="70">
        <f t="shared" si="48"/>
        <v>426</v>
      </c>
      <c r="C429" s="9" t="str">
        <f t="shared" ca="1" si="49"/>
        <v>Fish &amp; seafood</v>
      </c>
      <c r="D429" s="9" t="str">
        <f t="shared" ca="1" si="50"/>
        <v>Manufacture of fish products'</v>
      </c>
      <c r="E429" s="9">
        <v>32</v>
      </c>
      <c r="F429" s="9">
        <v>34</v>
      </c>
      <c r="G429" s="9">
        <v>8</v>
      </c>
      <c r="H429" s="13">
        <f>H428</f>
        <v>0.18119999999999992</v>
      </c>
      <c r="I429" s="13">
        <f>I428</f>
        <v>0.3</v>
      </c>
      <c r="J429" s="13">
        <f>-J428</f>
        <v>1</v>
      </c>
      <c r="K429" s="13">
        <f>K428</f>
        <v>0.6</v>
      </c>
      <c r="L429" s="13">
        <f>-L428</f>
        <v>1</v>
      </c>
      <c r="M429" s="13">
        <v>1</v>
      </c>
      <c r="N429" s="88">
        <f>A429</f>
        <v>426</v>
      </c>
    </row>
    <row r="430" spans="1:15" s="9" customFormat="1" x14ac:dyDescent="0.25">
      <c r="A430" s="70">
        <f t="shared" si="48"/>
        <v>427</v>
      </c>
      <c r="C430" s="9" t="str">
        <f t="shared" ca="1" si="49"/>
        <v>Equipment and transport</v>
      </c>
      <c r="D430" s="9" t="str">
        <f t="shared" ca="1" si="50"/>
        <v>Manufacture of fish products'</v>
      </c>
      <c r="E430" s="9">
        <v>26</v>
      </c>
      <c r="F430" s="9">
        <v>34</v>
      </c>
      <c r="G430" s="9">
        <v>8</v>
      </c>
      <c r="H430" s="13">
        <f>100%</f>
        <v>1</v>
      </c>
      <c r="I430" s="13">
        <f>100%</f>
        <v>1</v>
      </c>
      <c r="J430" s="13">
        <f>J428*-10%</f>
        <v>0.1</v>
      </c>
      <c r="K430" s="13">
        <v>1</v>
      </c>
      <c r="L430" s="13">
        <f>L428*-10%</f>
        <v>0.1</v>
      </c>
      <c r="M430" s="13">
        <v>1</v>
      </c>
      <c r="N430" s="88">
        <f>A428</f>
        <v>425</v>
      </c>
    </row>
    <row r="431" spans="1:15" s="9" customFormat="1" x14ac:dyDescent="0.25">
      <c r="A431" s="70">
        <f t="shared" si="48"/>
        <v>428</v>
      </c>
      <c r="C431" s="9" t="str">
        <f t="shared" ca="1" si="49"/>
        <v>Public awareness campaign product (post &amp; telecoms, other business, education)</v>
      </c>
      <c r="D431" s="9" t="str">
        <f t="shared" ca="1" si="50"/>
        <v>Manufacture of fish products'</v>
      </c>
      <c r="E431" s="9">
        <v>34</v>
      </c>
      <c r="F431" s="9">
        <v>34</v>
      </c>
      <c r="G431" s="9">
        <v>8</v>
      </c>
      <c r="H431" s="13">
        <f>100%</f>
        <v>1</v>
      </c>
      <c r="I431" s="13">
        <f>100%</f>
        <v>1</v>
      </c>
      <c r="J431" s="13">
        <f>J428*-2%</f>
        <v>0.02</v>
      </c>
      <c r="K431" s="13">
        <v>1</v>
      </c>
      <c r="L431" s="13">
        <f>L428*-2%</f>
        <v>0.02</v>
      </c>
      <c r="M431" s="13">
        <v>1</v>
      </c>
      <c r="N431" s="88">
        <f>A428</f>
        <v>425</v>
      </c>
      <c r="O431" s="38"/>
    </row>
    <row r="432" spans="1:15" s="9" customFormat="1" x14ac:dyDescent="0.25">
      <c r="A432" s="70">
        <f t="shared" si="48"/>
        <v>429</v>
      </c>
      <c r="B432" s="9" t="s">
        <v>400</v>
      </c>
      <c r="C432" s="9" t="str">
        <f t="shared" ca="1" si="49"/>
        <v>All products</v>
      </c>
      <c r="D432" s="9" t="str">
        <f t="shared" ca="1" si="50"/>
        <v>Processing of Meat</v>
      </c>
      <c r="E432" s="9">
        <v>1</v>
      </c>
      <c r="F432" s="9">
        <v>27</v>
      </c>
      <c r="G432" s="9">
        <v>9</v>
      </c>
      <c r="H432" s="13">
        <v>8.8600000000000123E-2</v>
      </c>
      <c r="I432" s="13">
        <f>intermediateEstimate</f>
        <v>0.3</v>
      </c>
      <c r="J432" s="13">
        <v>-1</v>
      </c>
      <c r="K432" s="13">
        <f>advancedEstimate</f>
        <v>0.6</v>
      </c>
      <c r="L432" s="13">
        <v>-1</v>
      </c>
      <c r="M432" s="13">
        <f>extremeEstimate</f>
        <v>0.9</v>
      </c>
      <c r="N432" s="86">
        <f>A432</f>
        <v>429</v>
      </c>
      <c r="O432" s="38"/>
    </row>
    <row r="433" spans="1:15" s="9" customFormat="1" x14ac:dyDescent="0.25">
      <c r="A433" s="70">
        <f t="shared" si="48"/>
        <v>430</v>
      </c>
      <c r="C433" s="9" t="str">
        <f t="shared" ca="1" si="49"/>
        <v>Meat</v>
      </c>
      <c r="D433" s="9" t="str">
        <f t="shared" ca="1" si="50"/>
        <v>Processing of Meat</v>
      </c>
      <c r="E433" s="9">
        <v>30</v>
      </c>
      <c r="F433" s="9">
        <v>27</v>
      </c>
      <c r="G433" s="9">
        <v>9</v>
      </c>
      <c r="H433" s="13">
        <f>H432</f>
        <v>8.8600000000000123E-2</v>
      </c>
      <c r="I433" s="13">
        <f>I432</f>
        <v>0.3</v>
      </c>
      <c r="J433" s="13">
        <f>-J432</f>
        <v>1</v>
      </c>
      <c r="K433" s="13">
        <f>K432</f>
        <v>0.6</v>
      </c>
      <c r="L433" s="13">
        <f>-L432</f>
        <v>1</v>
      </c>
      <c r="M433" s="13">
        <v>1</v>
      </c>
      <c r="N433" s="88">
        <f>A433</f>
        <v>430</v>
      </c>
      <c r="O433" s="38"/>
    </row>
    <row r="434" spans="1:15" s="9" customFormat="1" x14ac:dyDescent="0.25">
      <c r="A434" s="70">
        <f t="shared" si="48"/>
        <v>431</v>
      </c>
      <c r="C434" s="9" t="str">
        <f t="shared" ca="1" si="49"/>
        <v>Equipment and transport</v>
      </c>
      <c r="D434" s="9" t="str">
        <f t="shared" ca="1" si="50"/>
        <v>Processing of Meat</v>
      </c>
      <c r="E434" s="9">
        <v>26</v>
      </c>
      <c r="F434" s="9">
        <v>27</v>
      </c>
      <c r="G434" s="9">
        <v>9</v>
      </c>
      <c r="H434" s="13">
        <f>100%</f>
        <v>1</v>
      </c>
      <c r="I434" s="13">
        <f>100%</f>
        <v>1</v>
      </c>
      <c r="J434" s="13">
        <f>J432*-10%</f>
        <v>0.1</v>
      </c>
      <c r="K434" s="13">
        <v>1</v>
      </c>
      <c r="L434" s="13">
        <f>L432*-10%</f>
        <v>0.1</v>
      </c>
      <c r="M434" s="13">
        <v>1</v>
      </c>
      <c r="N434" s="88">
        <f>A432</f>
        <v>429</v>
      </c>
      <c r="O434" s="38"/>
    </row>
    <row r="435" spans="1:15" s="9" customFormat="1" x14ac:dyDescent="0.25">
      <c r="A435" s="70">
        <f t="shared" si="48"/>
        <v>432</v>
      </c>
      <c r="C435" s="9" t="str">
        <f t="shared" ca="1" si="49"/>
        <v>Public awareness campaign product (post &amp; telecoms, other business, education)</v>
      </c>
      <c r="D435" s="9" t="str">
        <f t="shared" ca="1" si="50"/>
        <v>Processing of Meat</v>
      </c>
      <c r="E435" s="9">
        <v>34</v>
      </c>
      <c r="F435" s="9">
        <v>27</v>
      </c>
      <c r="G435" s="9">
        <v>9</v>
      </c>
      <c r="H435" s="13">
        <f>100%</f>
        <v>1</v>
      </c>
      <c r="I435" s="13">
        <f>100%</f>
        <v>1</v>
      </c>
      <c r="J435" s="13">
        <f>J432*-2%</f>
        <v>0.02</v>
      </c>
      <c r="K435" s="13">
        <v>1</v>
      </c>
      <c r="L435" s="13">
        <f>L432*-2%</f>
        <v>0.02</v>
      </c>
      <c r="M435" s="13">
        <v>1</v>
      </c>
      <c r="N435" s="88">
        <f>A432</f>
        <v>429</v>
      </c>
      <c r="O435" s="38"/>
    </row>
    <row r="436" spans="1:15" s="9" customFormat="1" x14ac:dyDescent="0.25">
      <c r="A436" s="70">
        <f t="shared" si="48"/>
        <v>433</v>
      </c>
      <c r="C436" s="9" t="str">
        <f t="shared" ca="1" si="49"/>
        <v>All products</v>
      </c>
      <c r="D436" s="9" t="str">
        <f t="shared" ca="1" si="50"/>
        <v>Processing vegetable oils and fats'</v>
      </c>
      <c r="E436" s="9">
        <v>1</v>
      </c>
      <c r="F436" s="9">
        <v>28</v>
      </c>
      <c r="G436" s="9">
        <v>9</v>
      </c>
      <c r="H436" s="13">
        <v>2.9800000000000049E-2</v>
      </c>
      <c r="I436" s="13">
        <f>intermediateEstimate</f>
        <v>0.3</v>
      </c>
      <c r="J436" s="13">
        <v>-1</v>
      </c>
      <c r="K436" s="13">
        <f>advancedEstimate</f>
        <v>0.6</v>
      </c>
      <c r="L436" s="13">
        <v>-1</v>
      </c>
      <c r="M436" s="13">
        <f>extremeEstimate</f>
        <v>0.9</v>
      </c>
      <c r="N436" s="86">
        <f>A436</f>
        <v>433</v>
      </c>
      <c r="O436" s="38"/>
    </row>
    <row r="437" spans="1:15" s="9" customFormat="1" x14ac:dyDescent="0.25">
      <c r="A437" s="70">
        <f t="shared" si="48"/>
        <v>434</v>
      </c>
      <c r="C437" s="9" t="str">
        <f t="shared" ca="1" si="49"/>
        <v>Oilseeds and pulses</v>
      </c>
      <c r="D437" s="9" t="str">
        <f t="shared" ca="1" si="50"/>
        <v>Processing vegetable oils and fats'</v>
      </c>
      <c r="E437" s="9">
        <v>28</v>
      </c>
      <c r="F437" s="9">
        <v>28</v>
      </c>
      <c r="G437" s="9">
        <v>9</v>
      </c>
      <c r="H437" s="13">
        <f>H436</f>
        <v>2.9800000000000049E-2</v>
      </c>
      <c r="I437" s="13">
        <f>I436</f>
        <v>0.3</v>
      </c>
      <c r="J437" s="13">
        <f>-J436</f>
        <v>1</v>
      </c>
      <c r="K437" s="13">
        <f>K436</f>
        <v>0.6</v>
      </c>
      <c r="L437" s="13">
        <f>-L436</f>
        <v>1</v>
      </c>
      <c r="M437" s="13">
        <v>1</v>
      </c>
      <c r="N437" s="88">
        <f>A437</f>
        <v>434</v>
      </c>
      <c r="O437" s="38"/>
    </row>
    <row r="438" spans="1:15" s="9" customFormat="1" x14ac:dyDescent="0.25">
      <c r="A438" s="70">
        <f t="shared" si="48"/>
        <v>435</v>
      </c>
      <c r="C438" s="9" t="str">
        <f t="shared" ca="1" si="49"/>
        <v>Equipment and transport</v>
      </c>
      <c r="D438" s="9" t="str">
        <f t="shared" ca="1" si="50"/>
        <v>Processing vegetable oils and fats'</v>
      </c>
      <c r="E438" s="9">
        <v>26</v>
      </c>
      <c r="F438" s="9">
        <v>28</v>
      </c>
      <c r="G438" s="9">
        <v>9</v>
      </c>
      <c r="H438" s="13">
        <f>100%</f>
        <v>1</v>
      </c>
      <c r="I438" s="13">
        <f>100%</f>
        <v>1</v>
      </c>
      <c r="J438" s="13">
        <f>J436*-10%</f>
        <v>0.1</v>
      </c>
      <c r="K438" s="13">
        <v>1</v>
      </c>
      <c r="L438" s="13">
        <f>L436*-10%</f>
        <v>0.1</v>
      </c>
      <c r="M438" s="13">
        <v>1</v>
      </c>
      <c r="N438" s="88">
        <f>A436</f>
        <v>433</v>
      </c>
      <c r="O438" s="38"/>
    </row>
    <row r="439" spans="1:15" s="9" customFormat="1" x14ac:dyDescent="0.25">
      <c r="A439" s="70">
        <f t="shared" si="48"/>
        <v>436</v>
      </c>
      <c r="C439" s="9" t="str">
        <f t="shared" ca="1" si="49"/>
        <v>Public awareness campaign product (post &amp; telecoms, other business, education)</v>
      </c>
      <c r="D439" s="9" t="str">
        <f t="shared" ca="1" si="50"/>
        <v>Processing vegetable oils and fats'</v>
      </c>
      <c r="E439" s="9">
        <v>34</v>
      </c>
      <c r="F439" s="9">
        <v>28</v>
      </c>
      <c r="G439" s="9">
        <v>9</v>
      </c>
      <c r="H439" s="13">
        <f>100%</f>
        <v>1</v>
      </c>
      <c r="I439" s="13">
        <f>100%</f>
        <v>1</v>
      </c>
      <c r="J439" s="13">
        <f>J436*-2%</f>
        <v>0.02</v>
      </c>
      <c r="K439" s="13">
        <v>1</v>
      </c>
      <c r="L439" s="13">
        <f>L436*-2%</f>
        <v>0.02</v>
      </c>
      <c r="M439" s="13">
        <v>1</v>
      </c>
      <c r="N439" s="88">
        <f>A436</f>
        <v>433</v>
      </c>
      <c r="O439" s="38"/>
    </row>
    <row r="440" spans="1:15" s="9" customFormat="1" x14ac:dyDescent="0.25">
      <c r="A440" s="70">
        <f t="shared" si="48"/>
        <v>437</v>
      </c>
      <c r="C440" s="9" t="str">
        <f t="shared" ca="1" si="49"/>
        <v>All products</v>
      </c>
      <c r="D440" s="9" t="str">
        <f t="shared" ca="1" si="50"/>
        <v>Processing of dairy products'</v>
      </c>
      <c r="E440" s="9">
        <v>1</v>
      </c>
      <c r="F440" s="9">
        <v>29</v>
      </c>
      <c r="G440" s="9">
        <v>9</v>
      </c>
      <c r="H440" s="13">
        <v>0.10089999999999999</v>
      </c>
      <c r="I440" s="13">
        <f>intermediateEstimate</f>
        <v>0.3</v>
      </c>
      <c r="J440" s="13">
        <v>-1</v>
      </c>
      <c r="K440" s="13">
        <f>advancedEstimate</f>
        <v>0.6</v>
      </c>
      <c r="L440" s="13">
        <v>-1</v>
      </c>
      <c r="M440" s="13">
        <f>extremeEstimate</f>
        <v>0.9</v>
      </c>
      <c r="N440" s="86">
        <f>A440</f>
        <v>437</v>
      </c>
      <c r="O440" s="38"/>
    </row>
    <row r="441" spans="1:15" s="9" customFormat="1" x14ac:dyDescent="0.25">
      <c r="A441" s="70">
        <f t="shared" si="48"/>
        <v>438</v>
      </c>
      <c r="C441" s="9" t="str">
        <f t="shared" ca="1" si="49"/>
        <v>Milk</v>
      </c>
      <c r="D441" s="9" t="str">
        <f t="shared" ca="1" si="50"/>
        <v>Processing of dairy products'</v>
      </c>
      <c r="E441" s="9">
        <v>31</v>
      </c>
      <c r="F441" s="9">
        <v>29</v>
      </c>
      <c r="G441" s="9">
        <v>9</v>
      </c>
      <c r="H441" s="13">
        <f>H440</f>
        <v>0.10089999999999999</v>
      </c>
      <c r="I441" s="13">
        <f>I440</f>
        <v>0.3</v>
      </c>
      <c r="J441" s="13">
        <f>-J440</f>
        <v>1</v>
      </c>
      <c r="K441" s="13">
        <f>K440</f>
        <v>0.6</v>
      </c>
      <c r="L441" s="13">
        <f>-L440</f>
        <v>1</v>
      </c>
      <c r="M441" s="13">
        <v>1</v>
      </c>
      <c r="N441" s="88">
        <f>A441</f>
        <v>438</v>
      </c>
      <c r="O441" s="38"/>
    </row>
    <row r="442" spans="1:15" s="9" customFormat="1" x14ac:dyDescent="0.25">
      <c r="A442" s="70">
        <f t="shared" si="48"/>
        <v>439</v>
      </c>
      <c r="C442" s="9" t="str">
        <f t="shared" ca="1" si="49"/>
        <v>Equipment and transport</v>
      </c>
      <c r="D442" s="9" t="str">
        <f t="shared" ca="1" si="50"/>
        <v>Processing of dairy products'</v>
      </c>
      <c r="E442" s="9">
        <v>26</v>
      </c>
      <c r="F442" s="9">
        <v>29</v>
      </c>
      <c r="G442" s="9">
        <v>9</v>
      </c>
      <c r="H442" s="13">
        <f>100%</f>
        <v>1</v>
      </c>
      <c r="I442" s="13">
        <f>100%</f>
        <v>1</v>
      </c>
      <c r="J442" s="13">
        <f>J440*-10%</f>
        <v>0.1</v>
      </c>
      <c r="K442" s="13">
        <v>1</v>
      </c>
      <c r="L442" s="13">
        <f>L440*-10%</f>
        <v>0.1</v>
      </c>
      <c r="M442" s="13">
        <v>1</v>
      </c>
      <c r="N442" s="88">
        <f>A440</f>
        <v>437</v>
      </c>
      <c r="O442" s="38"/>
    </row>
    <row r="443" spans="1:15" s="9" customFormat="1" x14ac:dyDescent="0.25">
      <c r="A443" s="70">
        <f t="shared" si="48"/>
        <v>440</v>
      </c>
      <c r="C443" s="9" t="str">
        <f t="shared" ca="1" si="49"/>
        <v>Public awareness campaign product (post &amp; telecoms, other business, education)</v>
      </c>
      <c r="D443" s="9" t="str">
        <f t="shared" ca="1" si="50"/>
        <v>Processing of dairy products'</v>
      </c>
      <c r="E443" s="9">
        <v>34</v>
      </c>
      <c r="F443" s="9">
        <v>29</v>
      </c>
      <c r="G443" s="9">
        <v>9</v>
      </c>
      <c r="H443" s="13">
        <f>100%</f>
        <v>1</v>
      </c>
      <c r="I443" s="13">
        <f>100%</f>
        <v>1</v>
      </c>
      <c r="J443" s="13">
        <f>J440*-2%</f>
        <v>0.02</v>
      </c>
      <c r="K443" s="13">
        <v>1</v>
      </c>
      <c r="L443" s="13">
        <f>L440*-2%</f>
        <v>0.02</v>
      </c>
      <c r="M443" s="13">
        <v>1</v>
      </c>
      <c r="N443" s="88">
        <f>A440</f>
        <v>437</v>
      </c>
      <c r="O443" s="38"/>
    </row>
    <row r="444" spans="1:15" s="9" customFormat="1" x14ac:dyDescent="0.25">
      <c r="A444" s="70">
        <f t="shared" si="48"/>
        <v>441</v>
      </c>
      <c r="C444" s="9" t="str">
        <f t="shared" ca="1" si="49"/>
        <v>All products</v>
      </c>
      <c r="D444" s="9" t="str">
        <f t="shared" ca="1" si="50"/>
        <v>Processed rice'</v>
      </c>
      <c r="E444" s="9">
        <v>1</v>
      </c>
      <c r="F444" s="9">
        <v>30</v>
      </c>
      <c r="G444" s="9">
        <v>9</v>
      </c>
      <c r="H444" s="13">
        <v>2.9800000000000049E-2</v>
      </c>
      <c r="I444" s="13">
        <f>intermediateEstimate</f>
        <v>0.3</v>
      </c>
      <c r="J444" s="13">
        <v>-1</v>
      </c>
      <c r="K444" s="13">
        <f>advancedEstimate</f>
        <v>0.6</v>
      </c>
      <c r="L444" s="13">
        <v>-1</v>
      </c>
      <c r="M444" s="13">
        <f>extremeEstimate</f>
        <v>0.9</v>
      </c>
      <c r="N444" s="86">
        <f>A444</f>
        <v>441</v>
      </c>
      <c r="O444" s="38"/>
    </row>
    <row r="445" spans="1:15" s="9" customFormat="1" x14ac:dyDescent="0.25">
      <c r="A445" s="70">
        <f t="shared" si="48"/>
        <v>442</v>
      </c>
      <c r="C445" s="9" t="str">
        <f t="shared" ca="1" si="49"/>
        <v xml:space="preserve">Cereals </v>
      </c>
      <c r="D445" s="9" t="str">
        <f t="shared" ca="1" si="50"/>
        <v>Processed rice'</v>
      </c>
      <c r="E445" s="9">
        <v>27</v>
      </c>
      <c r="F445" s="9">
        <v>30</v>
      </c>
      <c r="G445" s="9">
        <v>9</v>
      </c>
      <c r="H445" s="13">
        <f>H444</f>
        <v>2.9800000000000049E-2</v>
      </c>
      <c r="I445" s="13">
        <f>I444</f>
        <v>0.3</v>
      </c>
      <c r="J445" s="13">
        <f>-J444</f>
        <v>1</v>
      </c>
      <c r="K445" s="13">
        <f>K444</f>
        <v>0.6</v>
      </c>
      <c r="L445" s="13">
        <f>-L444</f>
        <v>1</v>
      </c>
      <c r="M445" s="13">
        <v>1</v>
      </c>
      <c r="N445" s="88">
        <f>A445</f>
        <v>442</v>
      </c>
      <c r="O445" s="38"/>
    </row>
    <row r="446" spans="1:15" s="9" customFormat="1" x14ac:dyDescent="0.25">
      <c r="A446" s="70">
        <f t="shared" si="48"/>
        <v>443</v>
      </c>
      <c r="C446" s="9" t="str">
        <f t="shared" ca="1" si="49"/>
        <v>Equipment and transport</v>
      </c>
      <c r="D446" s="9" t="str">
        <f t="shared" ca="1" si="50"/>
        <v>Processed rice'</v>
      </c>
      <c r="E446" s="9">
        <v>26</v>
      </c>
      <c r="F446" s="9">
        <v>30</v>
      </c>
      <c r="G446" s="9">
        <v>9</v>
      </c>
      <c r="H446" s="13">
        <f>100%</f>
        <v>1</v>
      </c>
      <c r="I446" s="13">
        <f>100%</f>
        <v>1</v>
      </c>
      <c r="J446" s="13">
        <f>J444*-10%</f>
        <v>0.1</v>
      </c>
      <c r="K446" s="13">
        <v>1</v>
      </c>
      <c r="L446" s="13">
        <f>L444*-10%</f>
        <v>0.1</v>
      </c>
      <c r="M446" s="13">
        <v>1</v>
      </c>
      <c r="N446" s="88">
        <f>A444</f>
        <v>441</v>
      </c>
      <c r="O446" s="38"/>
    </row>
    <row r="447" spans="1:15" s="9" customFormat="1" x14ac:dyDescent="0.25">
      <c r="A447" s="70">
        <f t="shared" si="48"/>
        <v>444</v>
      </c>
      <c r="C447" s="9" t="str">
        <f t="shared" ca="1" si="49"/>
        <v>Public awareness campaign product (post &amp; telecoms, other business, education)</v>
      </c>
      <c r="D447" s="9" t="str">
        <f t="shared" ca="1" si="50"/>
        <v>Processed rice'</v>
      </c>
      <c r="E447" s="9">
        <v>34</v>
      </c>
      <c r="F447" s="9">
        <v>30</v>
      </c>
      <c r="G447" s="9">
        <v>9</v>
      </c>
      <c r="H447" s="13">
        <f>100%</f>
        <v>1</v>
      </c>
      <c r="I447" s="13">
        <f>100%</f>
        <v>1</v>
      </c>
      <c r="J447" s="13">
        <f>J444*-2%</f>
        <v>0.02</v>
      </c>
      <c r="K447" s="13">
        <v>1</v>
      </c>
      <c r="L447" s="13">
        <f>L444*-2%</f>
        <v>0.02</v>
      </c>
      <c r="M447" s="13">
        <v>1</v>
      </c>
      <c r="N447" s="88">
        <f>A444</f>
        <v>441</v>
      </c>
      <c r="O447" s="38"/>
    </row>
    <row r="448" spans="1:15" s="9" customFormat="1" x14ac:dyDescent="0.25">
      <c r="A448" s="70">
        <f t="shared" si="48"/>
        <v>445</v>
      </c>
      <c r="C448" s="9" t="str">
        <f t="shared" ca="1" si="49"/>
        <v>All products</v>
      </c>
      <c r="D448" s="9" t="str">
        <f t="shared" ca="1" si="50"/>
        <v>Sugar refining'</v>
      </c>
      <c r="E448" s="9">
        <v>1</v>
      </c>
      <c r="F448" s="9">
        <v>31</v>
      </c>
      <c r="G448" s="9">
        <v>9</v>
      </c>
      <c r="H448" s="13">
        <v>6.9000000000000061E-2</v>
      </c>
      <c r="I448" s="13">
        <f>intermediateEstimate</f>
        <v>0.3</v>
      </c>
      <c r="J448" s="13">
        <v>-1</v>
      </c>
      <c r="K448" s="13">
        <f>advancedEstimate</f>
        <v>0.6</v>
      </c>
      <c r="L448" s="13">
        <v>-1</v>
      </c>
      <c r="M448" s="13">
        <f>extremeEstimate</f>
        <v>0.9</v>
      </c>
      <c r="N448" s="86">
        <f>A448</f>
        <v>445</v>
      </c>
      <c r="O448" s="38"/>
    </row>
    <row r="449" spans="1:15" s="9" customFormat="1" x14ac:dyDescent="0.25">
      <c r="A449" s="70">
        <f t="shared" si="48"/>
        <v>446</v>
      </c>
      <c r="C449" s="9" t="str">
        <f t="shared" ca="1" si="49"/>
        <v>Roots &amp; tubers</v>
      </c>
      <c r="D449" s="9" t="str">
        <f t="shared" ca="1" si="50"/>
        <v>Sugar refining'</v>
      </c>
      <c r="E449" s="9">
        <v>29</v>
      </c>
      <c r="F449" s="9">
        <v>31</v>
      </c>
      <c r="G449" s="9">
        <v>9</v>
      </c>
      <c r="H449" s="13">
        <f>H448</f>
        <v>6.9000000000000061E-2</v>
      </c>
      <c r="I449" s="13">
        <f>I448</f>
        <v>0.3</v>
      </c>
      <c r="J449" s="13">
        <f>-J448</f>
        <v>1</v>
      </c>
      <c r="K449" s="13">
        <f>K448</f>
        <v>0.6</v>
      </c>
      <c r="L449" s="13">
        <f>-L448</f>
        <v>1</v>
      </c>
      <c r="M449" s="13">
        <v>1</v>
      </c>
      <c r="N449" s="88">
        <f>A449</f>
        <v>446</v>
      </c>
      <c r="O449" s="38"/>
    </row>
    <row r="450" spans="1:15" s="9" customFormat="1" x14ac:dyDescent="0.25">
      <c r="A450" s="70">
        <f t="shared" si="48"/>
        <v>447</v>
      </c>
      <c r="C450" s="9" t="str">
        <f t="shared" ca="1" si="49"/>
        <v>Equipment and transport</v>
      </c>
      <c r="D450" s="9" t="str">
        <f t="shared" ca="1" si="50"/>
        <v>Sugar refining'</v>
      </c>
      <c r="E450" s="9">
        <v>26</v>
      </c>
      <c r="F450" s="9">
        <v>31</v>
      </c>
      <c r="G450" s="9">
        <v>9</v>
      </c>
      <c r="H450" s="13">
        <f>100%</f>
        <v>1</v>
      </c>
      <c r="I450" s="13">
        <f>100%</f>
        <v>1</v>
      </c>
      <c r="J450" s="13">
        <f>J448*-10%</f>
        <v>0.1</v>
      </c>
      <c r="K450" s="13">
        <v>1</v>
      </c>
      <c r="L450" s="13">
        <f>L448*-10%</f>
        <v>0.1</v>
      </c>
      <c r="M450" s="13">
        <v>1</v>
      </c>
      <c r="N450" s="88">
        <f>A448</f>
        <v>445</v>
      </c>
      <c r="O450" s="38"/>
    </row>
    <row r="451" spans="1:15" s="9" customFormat="1" x14ac:dyDescent="0.25">
      <c r="A451" s="70">
        <f t="shared" si="48"/>
        <v>448</v>
      </c>
      <c r="C451" s="9" t="str">
        <f t="shared" ca="1" si="49"/>
        <v>Public awareness campaign product (post &amp; telecoms, other business, education)</v>
      </c>
      <c r="D451" s="9" t="str">
        <f t="shared" ca="1" si="50"/>
        <v>Sugar refining'</v>
      </c>
      <c r="E451" s="9">
        <v>34</v>
      </c>
      <c r="F451" s="9">
        <v>31</v>
      </c>
      <c r="G451" s="9">
        <v>9</v>
      </c>
      <c r="H451" s="13">
        <f>100%</f>
        <v>1</v>
      </c>
      <c r="I451" s="13">
        <f>100%</f>
        <v>1</v>
      </c>
      <c r="J451" s="13">
        <f>J448*-2%</f>
        <v>0.02</v>
      </c>
      <c r="K451" s="13">
        <v>1</v>
      </c>
      <c r="L451" s="13">
        <f>L448*-2%</f>
        <v>0.02</v>
      </c>
      <c r="M451" s="13">
        <v>1</v>
      </c>
      <c r="N451" s="88">
        <f>A448</f>
        <v>445</v>
      </c>
      <c r="O451" s="38"/>
    </row>
    <row r="452" spans="1:15" s="9" customFormat="1" x14ac:dyDescent="0.25">
      <c r="A452" s="70">
        <f t="shared" si="48"/>
        <v>449</v>
      </c>
      <c r="C452" s="9" t="str">
        <f t="shared" ca="1" si="49"/>
        <v>All products</v>
      </c>
      <c r="D452" s="9" t="str">
        <f t="shared" ca="1" si="50"/>
        <v>Processing of Food products nec'</v>
      </c>
      <c r="E452" s="9">
        <v>1</v>
      </c>
      <c r="F452" s="9">
        <v>32</v>
      </c>
      <c r="G452" s="9">
        <v>9</v>
      </c>
      <c r="H452" s="13">
        <v>9.9514285714285763E-2</v>
      </c>
      <c r="I452" s="13">
        <f>intermediateEstimate</f>
        <v>0.3</v>
      </c>
      <c r="J452" s="13">
        <v>-1</v>
      </c>
      <c r="K452" s="13">
        <f>advancedEstimate</f>
        <v>0.6</v>
      </c>
      <c r="L452" s="13">
        <v>-1</v>
      </c>
      <c r="M452" s="13">
        <f>extremeEstimate</f>
        <v>0.9</v>
      </c>
      <c r="N452" s="86">
        <f>A452</f>
        <v>449</v>
      </c>
      <c r="O452" s="38"/>
    </row>
    <row r="453" spans="1:15" s="9" customFormat="1" x14ac:dyDescent="0.25">
      <c r="A453" s="70">
        <f t="shared" si="48"/>
        <v>450</v>
      </c>
      <c r="C453" s="9" t="str">
        <f t="shared" ca="1" si="49"/>
        <v>All food products</v>
      </c>
      <c r="D453" s="9" t="str">
        <f t="shared" ca="1" si="50"/>
        <v>Processing of Food products nec'</v>
      </c>
      <c r="E453" s="9">
        <v>33</v>
      </c>
      <c r="F453" s="9">
        <v>32</v>
      </c>
      <c r="G453" s="9">
        <v>9</v>
      </c>
      <c r="H453" s="13">
        <f>H452</f>
        <v>9.9514285714285763E-2</v>
      </c>
      <c r="I453" s="13">
        <f>I452</f>
        <v>0.3</v>
      </c>
      <c r="J453" s="13">
        <f>-J452</f>
        <v>1</v>
      </c>
      <c r="K453" s="13">
        <f>K452</f>
        <v>0.6</v>
      </c>
      <c r="L453" s="13">
        <f>-L452</f>
        <v>1</v>
      </c>
      <c r="M453" s="13">
        <v>1</v>
      </c>
      <c r="N453" s="88">
        <f>A453</f>
        <v>450</v>
      </c>
      <c r="O453" s="38"/>
    </row>
    <row r="454" spans="1:15" s="9" customFormat="1" x14ac:dyDescent="0.25">
      <c r="A454" s="70">
        <f t="shared" si="48"/>
        <v>451</v>
      </c>
      <c r="C454" s="9" t="str">
        <f t="shared" ca="1" si="49"/>
        <v>Equipment and transport</v>
      </c>
      <c r="D454" s="9" t="str">
        <f t="shared" ca="1" si="50"/>
        <v>Processing of Food products nec'</v>
      </c>
      <c r="E454" s="9">
        <v>26</v>
      </c>
      <c r="F454" s="9">
        <v>32</v>
      </c>
      <c r="G454" s="9">
        <v>9</v>
      </c>
      <c r="H454" s="13">
        <f>100%</f>
        <v>1</v>
      </c>
      <c r="I454" s="13">
        <f>100%</f>
        <v>1</v>
      </c>
      <c r="J454" s="13">
        <f>J452*-10%</f>
        <v>0.1</v>
      </c>
      <c r="K454" s="13">
        <v>1</v>
      </c>
      <c r="L454" s="13">
        <f>L452*-10%</f>
        <v>0.1</v>
      </c>
      <c r="M454" s="13">
        <v>1</v>
      </c>
      <c r="N454" s="88">
        <f>A452</f>
        <v>449</v>
      </c>
      <c r="O454" s="38"/>
    </row>
    <row r="455" spans="1:15" s="9" customFormat="1" x14ac:dyDescent="0.25">
      <c r="A455" s="70">
        <f t="shared" si="48"/>
        <v>452</v>
      </c>
      <c r="C455" s="9" t="str">
        <f t="shared" ca="1" si="49"/>
        <v>Public awareness campaign product (post &amp; telecoms, other business, education)</v>
      </c>
      <c r="D455" s="9" t="str">
        <f t="shared" ca="1" si="50"/>
        <v>Processing of Food products nec'</v>
      </c>
      <c r="E455" s="9">
        <v>34</v>
      </c>
      <c r="F455" s="9">
        <v>32</v>
      </c>
      <c r="G455" s="9">
        <v>9</v>
      </c>
      <c r="H455" s="13">
        <f>100%</f>
        <v>1</v>
      </c>
      <c r="I455" s="13">
        <f>100%</f>
        <v>1</v>
      </c>
      <c r="J455" s="13">
        <f>J452*-2%</f>
        <v>0.02</v>
      </c>
      <c r="K455" s="13">
        <v>1</v>
      </c>
      <c r="L455" s="13">
        <f>L452*-2%</f>
        <v>0.02</v>
      </c>
      <c r="M455" s="13">
        <v>1</v>
      </c>
      <c r="N455" s="88">
        <f>A452</f>
        <v>449</v>
      </c>
      <c r="O455" s="38"/>
    </row>
    <row r="456" spans="1:15" s="9" customFormat="1" x14ac:dyDescent="0.25">
      <c r="A456" s="70">
        <f t="shared" si="48"/>
        <v>453</v>
      </c>
      <c r="C456" s="9" t="str">
        <f t="shared" ca="1" si="49"/>
        <v>All products</v>
      </c>
      <c r="D456" s="9" t="str">
        <f t="shared" ca="1" si="50"/>
        <v>Manufacture of beverages'</v>
      </c>
      <c r="E456" s="9">
        <v>1</v>
      </c>
      <c r="F456" s="9">
        <v>33</v>
      </c>
      <c r="G456" s="9">
        <v>9</v>
      </c>
      <c r="H456" s="13">
        <v>9.9514285714285763E-2</v>
      </c>
      <c r="I456" s="13">
        <f>intermediateEstimate</f>
        <v>0.3</v>
      </c>
      <c r="J456" s="13">
        <v>-1</v>
      </c>
      <c r="K456" s="13">
        <f>advancedEstimate</f>
        <v>0.6</v>
      </c>
      <c r="L456" s="13">
        <v>-1</v>
      </c>
      <c r="M456" s="13">
        <f>extremeEstimate</f>
        <v>0.9</v>
      </c>
      <c r="N456" s="86">
        <f>A456</f>
        <v>453</v>
      </c>
    </row>
    <row r="457" spans="1:15" s="9" customFormat="1" x14ac:dyDescent="0.25">
      <c r="A457" s="70">
        <f t="shared" si="48"/>
        <v>454</v>
      </c>
      <c r="C457" s="9" t="str">
        <f t="shared" ca="1" si="49"/>
        <v>All food products</v>
      </c>
      <c r="D457" s="9" t="str">
        <f t="shared" ca="1" si="50"/>
        <v>Manufacture of beverages'</v>
      </c>
      <c r="E457" s="9">
        <v>33</v>
      </c>
      <c r="F457" s="9">
        <v>33</v>
      </c>
      <c r="G457" s="9">
        <v>9</v>
      </c>
      <c r="H457" s="13">
        <f>H456</f>
        <v>9.9514285714285763E-2</v>
      </c>
      <c r="I457" s="13">
        <f>I456</f>
        <v>0.3</v>
      </c>
      <c r="J457" s="13">
        <f>-J456</f>
        <v>1</v>
      </c>
      <c r="K457" s="13">
        <f>K456</f>
        <v>0.6</v>
      </c>
      <c r="L457" s="13">
        <f>-L456</f>
        <v>1</v>
      </c>
      <c r="M457" s="13">
        <v>1</v>
      </c>
      <c r="N457" s="88">
        <f>A457</f>
        <v>454</v>
      </c>
    </row>
    <row r="458" spans="1:15" s="9" customFormat="1" x14ac:dyDescent="0.25">
      <c r="A458" s="70">
        <f t="shared" si="48"/>
        <v>455</v>
      </c>
      <c r="C458" s="9" t="str">
        <f t="shared" ca="1" si="49"/>
        <v>Equipment and transport</v>
      </c>
      <c r="D458" s="9" t="str">
        <f t="shared" ca="1" si="50"/>
        <v>Manufacture of beverages'</v>
      </c>
      <c r="E458" s="9">
        <v>26</v>
      </c>
      <c r="F458" s="9">
        <v>33</v>
      </c>
      <c r="G458" s="9">
        <v>9</v>
      </c>
      <c r="H458" s="13">
        <f>100%</f>
        <v>1</v>
      </c>
      <c r="I458" s="13">
        <f>100%</f>
        <v>1</v>
      </c>
      <c r="J458" s="13">
        <f>J456*-10%</f>
        <v>0.1</v>
      </c>
      <c r="K458" s="13">
        <v>1</v>
      </c>
      <c r="L458" s="13">
        <f>L456*-10%</f>
        <v>0.1</v>
      </c>
      <c r="M458" s="13">
        <v>1</v>
      </c>
      <c r="N458" s="88">
        <f>A456</f>
        <v>453</v>
      </c>
    </row>
    <row r="459" spans="1:15" s="9" customFormat="1" x14ac:dyDescent="0.25">
      <c r="A459" s="70">
        <f t="shared" si="48"/>
        <v>456</v>
      </c>
      <c r="C459" s="9" t="str">
        <f t="shared" ca="1" si="49"/>
        <v>Public awareness campaign product (post &amp; telecoms, other business, education)</v>
      </c>
      <c r="D459" s="9" t="str">
        <f t="shared" ca="1" si="50"/>
        <v>Manufacture of beverages'</v>
      </c>
      <c r="E459" s="9">
        <v>34</v>
      </c>
      <c r="F459" s="9">
        <v>33</v>
      </c>
      <c r="G459" s="9">
        <v>9</v>
      </c>
      <c r="H459" s="13">
        <f>100%</f>
        <v>1</v>
      </c>
      <c r="I459" s="13">
        <f>100%</f>
        <v>1</v>
      </c>
      <c r="J459" s="13">
        <f>J456*-2%</f>
        <v>0.02</v>
      </c>
      <c r="K459" s="13">
        <v>1</v>
      </c>
      <c r="L459" s="13">
        <f>L456*-2%</f>
        <v>0.02</v>
      </c>
      <c r="M459" s="13">
        <v>1</v>
      </c>
      <c r="N459" s="88">
        <f>A456</f>
        <v>453</v>
      </c>
    </row>
    <row r="460" spans="1:15" s="9" customFormat="1" x14ac:dyDescent="0.25">
      <c r="A460" s="70">
        <f t="shared" si="48"/>
        <v>457</v>
      </c>
      <c r="C460" s="9" t="str">
        <f t="shared" ca="1" si="49"/>
        <v>All products</v>
      </c>
      <c r="D460" s="9" t="str">
        <f t="shared" ca="1" si="50"/>
        <v>Manufacture of fish products'</v>
      </c>
      <c r="E460" s="9">
        <v>1</v>
      </c>
      <c r="F460" s="9">
        <v>34</v>
      </c>
      <c r="G460" s="9">
        <v>9</v>
      </c>
      <c r="H460" s="13">
        <v>0.16700000000000004</v>
      </c>
      <c r="I460" s="13">
        <f>intermediateEstimate</f>
        <v>0.3</v>
      </c>
      <c r="J460" s="13">
        <v>-1</v>
      </c>
      <c r="K460" s="13">
        <f>advancedEstimate</f>
        <v>0.6</v>
      </c>
      <c r="L460" s="13">
        <v>-1</v>
      </c>
      <c r="M460" s="13">
        <f>extremeEstimate</f>
        <v>0.9</v>
      </c>
      <c r="N460" s="86">
        <f>A460</f>
        <v>457</v>
      </c>
    </row>
    <row r="461" spans="1:15" s="9" customFormat="1" x14ac:dyDescent="0.25">
      <c r="A461" s="70">
        <f t="shared" si="48"/>
        <v>458</v>
      </c>
      <c r="C461" s="9" t="str">
        <f t="shared" ca="1" si="49"/>
        <v>Fish &amp; seafood</v>
      </c>
      <c r="D461" s="9" t="str">
        <f t="shared" ca="1" si="50"/>
        <v>Manufacture of fish products'</v>
      </c>
      <c r="E461" s="9">
        <v>32</v>
      </c>
      <c r="F461" s="9">
        <v>34</v>
      </c>
      <c r="G461" s="9">
        <v>9</v>
      </c>
      <c r="H461" s="13">
        <f>H460</f>
        <v>0.16700000000000004</v>
      </c>
      <c r="I461" s="13">
        <f>I460</f>
        <v>0.3</v>
      </c>
      <c r="J461" s="13">
        <f>-J460</f>
        <v>1</v>
      </c>
      <c r="K461" s="13">
        <f>K460</f>
        <v>0.6</v>
      </c>
      <c r="L461" s="13">
        <f>-L460</f>
        <v>1</v>
      </c>
      <c r="M461" s="13">
        <v>1</v>
      </c>
      <c r="N461" s="88">
        <f>A461</f>
        <v>458</v>
      </c>
    </row>
    <row r="462" spans="1:15" s="9" customFormat="1" x14ac:dyDescent="0.25">
      <c r="A462" s="70">
        <f t="shared" si="48"/>
        <v>459</v>
      </c>
      <c r="C462" s="9" t="str">
        <f t="shared" ca="1" si="49"/>
        <v>Equipment and transport</v>
      </c>
      <c r="D462" s="9" t="str">
        <f t="shared" ca="1" si="50"/>
        <v>Manufacture of fish products'</v>
      </c>
      <c r="E462" s="9">
        <v>26</v>
      </c>
      <c r="F462" s="9">
        <v>34</v>
      </c>
      <c r="G462" s="9">
        <v>9</v>
      </c>
      <c r="H462" s="13">
        <f>100%</f>
        <v>1</v>
      </c>
      <c r="I462" s="13">
        <f>100%</f>
        <v>1</v>
      </c>
      <c r="J462" s="13">
        <f>J460*-10%</f>
        <v>0.1</v>
      </c>
      <c r="K462" s="13">
        <v>1</v>
      </c>
      <c r="L462" s="13">
        <f>L460*-10%</f>
        <v>0.1</v>
      </c>
      <c r="M462" s="13">
        <v>1</v>
      </c>
      <c r="N462" s="88">
        <f>A460</f>
        <v>457</v>
      </c>
    </row>
    <row r="463" spans="1:15" s="9" customFormat="1" x14ac:dyDescent="0.25">
      <c r="A463" s="70">
        <f t="shared" si="48"/>
        <v>460</v>
      </c>
      <c r="C463" s="9" t="str">
        <f t="shared" ca="1" si="49"/>
        <v>Public awareness campaign product (post &amp; telecoms, other business, education)</v>
      </c>
      <c r="D463" s="9" t="str">
        <f t="shared" ca="1" si="50"/>
        <v>Manufacture of fish products'</v>
      </c>
      <c r="E463" s="9">
        <v>34</v>
      </c>
      <c r="F463" s="9">
        <v>34</v>
      </c>
      <c r="G463" s="9">
        <v>9</v>
      </c>
      <c r="H463" s="13">
        <f>100%</f>
        <v>1</v>
      </c>
      <c r="I463" s="13">
        <f>100%</f>
        <v>1</v>
      </c>
      <c r="J463" s="13">
        <f>J460*-2%</f>
        <v>0.02</v>
      </c>
      <c r="K463" s="13">
        <v>1</v>
      </c>
      <c r="L463" s="13">
        <f>L460*-2%</f>
        <v>0.02</v>
      </c>
      <c r="M463" s="13">
        <v>1</v>
      </c>
      <c r="N463" s="88">
        <f>A460</f>
        <v>457</v>
      </c>
    </row>
    <row r="464" spans="1:15" s="9" customFormat="1" x14ac:dyDescent="0.25">
      <c r="A464" s="70">
        <f t="shared" si="48"/>
        <v>461</v>
      </c>
      <c r="B464" s="9" t="s">
        <v>401</v>
      </c>
      <c r="C464" s="9" t="str">
        <f t="shared" ca="1" si="49"/>
        <v>All products</v>
      </c>
      <c r="D464" s="9" t="str">
        <f t="shared" ca="1" si="50"/>
        <v>Processing of Meat</v>
      </c>
      <c r="E464" s="9">
        <v>1</v>
      </c>
      <c r="F464" s="9">
        <v>27</v>
      </c>
      <c r="G464" s="9">
        <v>10</v>
      </c>
      <c r="H464" s="13">
        <v>0.126</v>
      </c>
      <c r="I464" s="13">
        <f>intermediateEstimate</f>
        <v>0.3</v>
      </c>
      <c r="J464" s="13">
        <v>-1</v>
      </c>
      <c r="K464" s="13">
        <f>advancedEstimate</f>
        <v>0.6</v>
      </c>
      <c r="L464" s="13">
        <v>-1</v>
      </c>
      <c r="M464" s="13">
        <f>extremeEstimate</f>
        <v>0.9</v>
      </c>
      <c r="N464" s="86">
        <f>A464</f>
        <v>461</v>
      </c>
    </row>
    <row r="465" spans="1:15" s="9" customFormat="1" x14ac:dyDescent="0.25">
      <c r="A465" s="70">
        <f t="shared" si="48"/>
        <v>462</v>
      </c>
      <c r="C465" s="9" t="str">
        <f t="shared" ca="1" si="49"/>
        <v>Meat</v>
      </c>
      <c r="D465" s="9" t="str">
        <f t="shared" ca="1" si="50"/>
        <v>Processing of Meat</v>
      </c>
      <c r="E465" s="9">
        <v>30</v>
      </c>
      <c r="F465" s="9">
        <v>27</v>
      </c>
      <c r="G465" s="9">
        <v>10</v>
      </c>
      <c r="H465" s="13">
        <f>H464</f>
        <v>0.126</v>
      </c>
      <c r="I465" s="13">
        <f>I464</f>
        <v>0.3</v>
      </c>
      <c r="J465" s="13">
        <f>-J464</f>
        <v>1</v>
      </c>
      <c r="K465" s="13">
        <f>K464</f>
        <v>0.6</v>
      </c>
      <c r="L465" s="13">
        <f>-L464</f>
        <v>1</v>
      </c>
      <c r="M465" s="13">
        <v>1</v>
      </c>
      <c r="N465" s="88">
        <f>A465</f>
        <v>462</v>
      </c>
    </row>
    <row r="466" spans="1:15" s="9" customFormat="1" x14ac:dyDescent="0.25">
      <c r="A466" s="70">
        <f t="shared" si="48"/>
        <v>463</v>
      </c>
      <c r="C466" s="9" t="str">
        <f t="shared" ca="1" si="49"/>
        <v>Equipment and transport</v>
      </c>
      <c r="D466" s="9" t="str">
        <f t="shared" ca="1" si="50"/>
        <v>Processing of Meat</v>
      </c>
      <c r="E466" s="9">
        <v>26</v>
      </c>
      <c r="F466" s="9">
        <v>27</v>
      </c>
      <c r="G466" s="9">
        <v>10</v>
      </c>
      <c r="H466" s="13">
        <f>100%</f>
        <v>1</v>
      </c>
      <c r="I466" s="13">
        <f>100%</f>
        <v>1</v>
      </c>
      <c r="J466" s="13">
        <f>J464*-10%</f>
        <v>0.1</v>
      </c>
      <c r="K466" s="13">
        <v>1</v>
      </c>
      <c r="L466" s="13">
        <f>L464*-10%</f>
        <v>0.1</v>
      </c>
      <c r="M466" s="13">
        <v>1</v>
      </c>
      <c r="N466" s="88">
        <f>A464</f>
        <v>461</v>
      </c>
    </row>
    <row r="467" spans="1:15" s="9" customFormat="1" x14ac:dyDescent="0.25">
      <c r="A467" s="70">
        <f t="shared" si="48"/>
        <v>464</v>
      </c>
      <c r="C467" s="9" t="str">
        <f t="shared" ca="1" si="49"/>
        <v>Public awareness campaign product (post &amp; telecoms, other business, education)</v>
      </c>
      <c r="D467" s="9" t="str">
        <f t="shared" ca="1" si="50"/>
        <v>Processing of Meat</v>
      </c>
      <c r="E467" s="9">
        <v>34</v>
      </c>
      <c r="F467" s="9">
        <v>27</v>
      </c>
      <c r="G467" s="9">
        <v>10</v>
      </c>
      <c r="H467" s="13">
        <f>100%</f>
        <v>1</v>
      </c>
      <c r="I467" s="13">
        <f>100%</f>
        <v>1</v>
      </c>
      <c r="J467" s="13">
        <f>J464*-2%</f>
        <v>0.02</v>
      </c>
      <c r="K467" s="13">
        <v>1</v>
      </c>
      <c r="L467" s="13">
        <f>L464*-2%</f>
        <v>0.02</v>
      </c>
      <c r="M467" s="13">
        <v>1</v>
      </c>
      <c r="N467" s="88">
        <f>A464</f>
        <v>461</v>
      </c>
    </row>
    <row r="468" spans="1:15" s="9" customFormat="1" x14ac:dyDescent="0.25">
      <c r="A468" s="70">
        <f t="shared" si="48"/>
        <v>465</v>
      </c>
      <c r="C468" s="9" t="str">
        <f t="shared" ca="1" si="49"/>
        <v>All products</v>
      </c>
      <c r="D468" s="9" t="str">
        <f t="shared" ca="1" si="50"/>
        <v>Processing vegetable oils and fats'</v>
      </c>
      <c r="E468" s="9">
        <v>1</v>
      </c>
      <c r="F468" s="9">
        <v>28</v>
      </c>
      <c r="G468" s="9">
        <v>10</v>
      </c>
      <c r="H468" s="13">
        <v>3.960000000000008E-2</v>
      </c>
      <c r="I468" s="13">
        <f>intermediateEstimate</f>
        <v>0.3</v>
      </c>
      <c r="J468" s="13">
        <v>-1</v>
      </c>
      <c r="K468" s="13">
        <f>advancedEstimate</f>
        <v>0.6</v>
      </c>
      <c r="L468" s="13">
        <v>-1</v>
      </c>
      <c r="M468" s="13">
        <f>extremeEstimate</f>
        <v>0.9</v>
      </c>
      <c r="N468" s="86">
        <f>A468</f>
        <v>465</v>
      </c>
    </row>
    <row r="469" spans="1:15" s="9" customFormat="1" x14ac:dyDescent="0.25">
      <c r="A469" s="70">
        <f t="shared" si="48"/>
        <v>466</v>
      </c>
      <c r="C469" s="9" t="str">
        <f t="shared" ca="1" si="49"/>
        <v>Oilseeds and pulses</v>
      </c>
      <c r="D469" s="9" t="str">
        <f t="shared" ca="1" si="50"/>
        <v>Processing vegetable oils and fats'</v>
      </c>
      <c r="E469" s="9">
        <v>28</v>
      </c>
      <c r="F469" s="9">
        <v>28</v>
      </c>
      <c r="G469" s="9">
        <v>10</v>
      </c>
      <c r="H469" s="13">
        <f>H468</f>
        <v>3.960000000000008E-2</v>
      </c>
      <c r="I469" s="13">
        <f>I468</f>
        <v>0.3</v>
      </c>
      <c r="J469" s="13">
        <f>-J468</f>
        <v>1</v>
      </c>
      <c r="K469" s="13">
        <f>K468</f>
        <v>0.6</v>
      </c>
      <c r="L469" s="13">
        <f>-L468</f>
        <v>1</v>
      </c>
      <c r="M469" s="13">
        <v>1</v>
      </c>
      <c r="N469" s="88">
        <f>A469</f>
        <v>466</v>
      </c>
    </row>
    <row r="470" spans="1:15" s="9" customFormat="1" x14ac:dyDescent="0.25">
      <c r="A470" s="70">
        <f t="shared" si="48"/>
        <v>467</v>
      </c>
      <c r="C470" s="9" t="str">
        <f t="shared" ca="1" si="49"/>
        <v>Equipment and transport</v>
      </c>
      <c r="D470" s="9" t="str">
        <f t="shared" ca="1" si="50"/>
        <v>Processing vegetable oils and fats'</v>
      </c>
      <c r="E470" s="9">
        <v>26</v>
      </c>
      <c r="F470" s="9">
        <v>28</v>
      </c>
      <c r="G470" s="9">
        <v>10</v>
      </c>
      <c r="H470" s="13">
        <f>100%</f>
        <v>1</v>
      </c>
      <c r="I470" s="13">
        <f>100%</f>
        <v>1</v>
      </c>
      <c r="J470" s="13">
        <f>J468*-10%</f>
        <v>0.1</v>
      </c>
      <c r="K470" s="13">
        <v>1</v>
      </c>
      <c r="L470" s="13">
        <f>L468*-10%</f>
        <v>0.1</v>
      </c>
      <c r="M470" s="13">
        <v>1</v>
      </c>
      <c r="N470" s="88">
        <f>A468</f>
        <v>465</v>
      </c>
    </row>
    <row r="471" spans="1:15" s="9" customFormat="1" x14ac:dyDescent="0.25">
      <c r="A471" s="70">
        <f t="shared" si="48"/>
        <v>468</v>
      </c>
      <c r="C471" s="9" t="str">
        <f t="shared" ca="1" si="49"/>
        <v>Public awareness campaign product (post &amp; telecoms, other business, education)</v>
      </c>
      <c r="D471" s="9" t="str">
        <f t="shared" ca="1" si="50"/>
        <v>Processing vegetable oils and fats'</v>
      </c>
      <c r="E471" s="9">
        <v>34</v>
      </c>
      <c r="F471" s="9">
        <v>28</v>
      </c>
      <c r="G471" s="9">
        <v>10</v>
      </c>
      <c r="H471" s="13">
        <f>100%</f>
        <v>1</v>
      </c>
      <c r="I471" s="13">
        <f>100%</f>
        <v>1</v>
      </c>
      <c r="J471" s="13">
        <f>J468*-2%</f>
        <v>0.02</v>
      </c>
      <c r="K471" s="13">
        <v>1</v>
      </c>
      <c r="L471" s="13">
        <f>L468*-2%</f>
        <v>0.02</v>
      </c>
      <c r="M471" s="13">
        <v>1</v>
      </c>
      <c r="N471" s="88">
        <f>A468</f>
        <v>465</v>
      </c>
      <c r="O471" s="38"/>
    </row>
    <row r="472" spans="1:15" s="9" customFormat="1" x14ac:dyDescent="0.25">
      <c r="A472" s="70">
        <f t="shared" si="48"/>
        <v>469</v>
      </c>
      <c r="C472" s="9" t="str">
        <f t="shared" ca="1" si="49"/>
        <v>All products</v>
      </c>
      <c r="D472" s="9" t="str">
        <f t="shared" ca="1" si="50"/>
        <v>Processing of dairy products'</v>
      </c>
      <c r="E472" s="9">
        <v>1</v>
      </c>
      <c r="F472" s="9">
        <v>29</v>
      </c>
      <c r="G472" s="9">
        <v>10</v>
      </c>
      <c r="H472" s="13">
        <v>9.8399999999999932E-2</v>
      </c>
      <c r="I472" s="13">
        <f>intermediateEstimate</f>
        <v>0.3</v>
      </c>
      <c r="J472" s="13">
        <v>-1</v>
      </c>
      <c r="K472" s="13">
        <f>advancedEstimate</f>
        <v>0.6</v>
      </c>
      <c r="L472" s="13">
        <v>-1</v>
      </c>
      <c r="M472" s="13">
        <f>extremeEstimate</f>
        <v>0.9</v>
      </c>
      <c r="N472" s="86">
        <f>A472</f>
        <v>469</v>
      </c>
      <c r="O472" s="38"/>
    </row>
    <row r="473" spans="1:15" s="9" customFormat="1" x14ac:dyDescent="0.25">
      <c r="A473" s="70">
        <f t="shared" si="48"/>
        <v>470</v>
      </c>
      <c r="C473" s="9" t="str">
        <f t="shared" ca="1" si="49"/>
        <v>Milk</v>
      </c>
      <c r="D473" s="9" t="str">
        <f t="shared" ca="1" si="50"/>
        <v>Processing of dairy products'</v>
      </c>
      <c r="E473" s="9">
        <v>31</v>
      </c>
      <c r="F473" s="9">
        <v>29</v>
      </c>
      <c r="G473" s="9">
        <v>10</v>
      </c>
      <c r="H473" s="13">
        <f>H472</f>
        <v>9.8399999999999932E-2</v>
      </c>
      <c r="I473" s="13">
        <f>I472</f>
        <v>0.3</v>
      </c>
      <c r="J473" s="13">
        <f>-J472</f>
        <v>1</v>
      </c>
      <c r="K473" s="13">
        <f>K472</f>
        <v>0.6</v>
      </c>
      <c r="L473" s="13">
        <f>-L472</f>
        <v>1</v>
      </c>
      <c r="M473" s="13">
        <v>1</v>
      </c>
      <c r="N473" s="88">
        <f>A473</f>
        <v>470</v>
      </c>
      <c r="O473" s="38"/>
    </row>
    <row r="474" spans="1:15" s="9" customFormat="1" x14ac:dyDescent="0.25">
      <c r="A474" s="70">
        <f t="shared" si="48"/>
        <v>471</v>
      </c>
      <c r="C474" s="9" t="str">
        <f t="shared" ca="1" si="49"/>
        <v>Equipment and transport</v>
      </c>
      <c r="D474" s="9" t="str">
        <f t="shared" ca="1" si="50"/>
        <v>Processing of dairy products'</v>
      </c>
      <c r="E474" s="9">
        <v>26</v>
      </c>
      <c r="F474" s="9">
        <v>29</v>
      </c>
      <c r="G474" s="9">
        <v>10</v>
      </c>
      <c r="H474" s="13">
        <f>100%</f>
        <v>1</v>
      </c>
      <c r="I474" s="13">
        <f>100%</f>
        <v>1</v>
      </c>
      <c r="J474" s="13">
        <f>J472*-10%</f>
        <v>0.1</v>
      </c>
      <c r="K474" s="13">
        <v>1</v>
      </c>
      <c r="L474" s="13">
        <f>L472*-10%</f>
        <v>0.1</v>
      </c>
      <c r="M474" s="13">
        <v>1</v>
      </c>
      <c r="N474" s="88">
        <f>A472</f>
        <v>469</v>
      </c>
      <c r="O474" s="38"/>
    </row>
    <row r="475" spans="1:15" s="9" customFormat="1" x14ac:dyDescent="0.25">
      <c r="A475" s="70">
        <f t="shared" si="48"/>
        <v>472</v>
      </c>
      <c r="C475" s="9" t="str">
        <f t="shared" ca="1" si="49"/>
        <v>Public awareness campaign product (post &amp; telecoms, other business, education)</v>
      </c>
      <c r="D475" s="9" t="str">
        <f t="shared" ca="1" si="50"/>
        <v>Processing of dairy products'</v>
      </c>
      <c r="E475" s="9">
        <v>34</v>
      </c>
      <c r="F475" s="9">
        <v>29</v>
      </c>
      <c r="G475" s="9">
        <v>10</v>
      </c>
      <c r="H475" s="13">
        <f>100%</f>
        <v>1</v>
      </c>
      <c r="I475" s="13">
        <f>100%</f>
        <v>1</v>
      </c>
      <c r="J475" s="13">
        <f>J472*-2%</f>
        <v>0.02</v>
      </c>
      <c r="K475" s="13">
        <v>1</v>
      </c>
      <c r="L475" s="13">
        <f>L472*-2%</f>
        <v>0.02</v>
      </c>
      <c r="M475" s="13">
        <v>1</v>
      </c>
      <c r="N475" s="88">
        <f>A472</f>
        <v>469</v>
      </c>
      <c r="O475" s="38"/>
    </row>
    <row r="476" spans="1:15" s="9" customFormat="1" x14ac:dyDescent="0.25">
      <c r="A476" s="70">
        <f t="shared" si="48"/>
        <v>473</v>
      </c>
      <c r="C476" s="9" t="str">
        <f t="shared" ca="1" si="49"/>
        <v>All products</v>
      </c>
      <c r="D476" s="9" t="str">
        <f t="shared" ca="1" si="50"/>
        <v>Processed rice'</v>
      </c>
      <c r="E476" s="9">
        <v>1</v>
      </c>
      <c r="F476" s="9">
        <v>30</v>
      </c>
      <c r="G476" s="9">
        <v>10</v>
      </c>
      <c r="H476" s="13">
        <v>0.1552</v>
      </c>
      <c r="I476" s="13">
        <f>intermediateEstimate</f>
        <v>0.3</v>
      </c>
      <c r="J476" s="13">
        <v>-1</v>
      </c>
      <c r="K476" s="13">
        <f>advancedEstimate</f>
        <v>0.6</v>
      </c>
      <c r="L476" s="13">
        <v>-1</v>
      </c>
      <c r="M476" s="13">
        <f>extremeEstimate</f>
        <v>0.9</v>
      </c>
      <c r="N476" s="86">
        <f>A476</f>
        <v>473</v>
      </c>
      <c r="O476" s="38"/>
    </row>
    <row r="477" spans="1:15" s="9" customFormat="1" x14ac:dyDescent="0.25">
      <c r="A477" s="70">
        <f t="shared" si="48"/>
        <v>474</v>
      </c>
      <c r="C477" s="9" t="str">
        <f t="shared" ca="1" si="49"/>
        <v xml:space="preserve">Cereals </v>
      </c>
      <c r="D477" s="9" t="str">
        <f t="shared" ca="1" si="50"/>
        <v>Processed rice'</v>
      </c>
      <c r="E477" s="9">
        <v>27</v>
      </c>
      <c r="F477" s="9">
        <v>30</v>
      </c>
      <c r="G477" s="9">
        <v>10</v>
      </c>
      <c r="H477" s="13">
        <f>H476</f>
        <v>0.1552</v>
      </c>
      <c r="I477" s="13">
        <f>I476</f>
        <v>0.3</v>
      </c>
      <c r="J477" s="13">
        <f>-J476</f>
        <v>1</v>
      </c>
      <c r="K477" s="13">
        <f>K476</f>
        <v>0.6</v>
      </c>
      <c r="L477" s="13">
        <f>-L476</f>
        <v>1</v>
      </c>
      <c r="M477" s="13">
        <v>1</v>
      </c>
      <c r="N477" s="88">
        <f>A477</f>
        <v>474</v>
      </c>
      <c r="O477" s="38"/>
    </row>
    <row r="478" spans="1:15" s="9" customFormat="1" x14ac:dyDescent="0.25">
      <c r="A478" s="70">
        <f t="shared" si="48"/>
        <v>475</v>
      </c>
      <c r="C478" s="9" t="str">
        <f t="shared" ca="1" si="49"/>
        <v>Equipment and transport</v>
      </c>
      <c r="D478" s="9" t="str">
        <f t="shared" ca="1" si="50"/>
        <v>Processed rice'</v>
      </c>
      <c r="E478" s="9">
        <v>26</v>
      </c>
      <c r="F478" s="9">
        <v>30</v>
      </c>
      <c r="G478" s="9">
        <v>10</v>
      </c>
      <c r="H478" s="13">
        <f>100%</f>
        <v>1</v>
      </c>
      <c r="I478" s="13">
        <f>100%</f>
        <v>1</v>
      </c>
      <c r="J478" s="13">
        <f>J476*-10%</f>
        <v>0.1</v>
      </c>
      <c r="K478" s="13">
        <v>1</v>
      </c>
      <c r="L478" s="13">
        <f>L476*-10%</f>
        <v>0.1</v>
      </c>
      <c r="M478" s="13">
        <v>1</v>
      </c>
      <c r="N478" s="88">
        <f>A476</f>
        <v>473</v>
      </c>
      <c r="O478" s="38"/>
    </row>
    <row r="479" spans="1:15" s="9" customFormat="1" x14ac:dyDescent="0.25">
      <c r="A479" s="70">
        <f t="shared" si="48"/>
        <v>476</v>
      </c>
      <c r="C479" s="9" t="str">
        <f t="shared" ref="C479:C542" ca="1" si="51">INDIRECT(ADDRESS(E479+2,2,,,"product Table"))</f>
        <v>Public awareness campaign product (post &amp; telecoms, other business, education)</v>
      </c>
      <c r="D479" s="9" t="str">
        <f t="shared" ref="D479:D542" ca="1" si="52">INDIRECT(ADDRESS(F479+2,2,,,"industry Table"))</f>
        <v>Processed rice'</v>
      </c>
      <c r="E479" s="9">
        <v>34</v>
      </c>
      <c r="F479" s="9">
        <v>30</v>
      </c>
      <c r="G479" s="9">
        <v>10</v>
      </c>
      <c r="H479" s="13">
        <f>100%</f>
        <v>1</v>
      </c>
      <c r="I479" s="13">
        <f>100%</f>
        <v>1</v>
      </c>
      <c r="J479" s="13">
        <f>J476*-2%</f>
        <v>0.02</v>
      </c>
      <c r="K479" s="13">
        <v>1</v>
      </c>
      <c r="L479" s="13">
        <f>L476*-2%</f>
        <v>0.02</v>
      </c>
      <c r="M479" s="13">
        <v>1</v>
      </c>
      <c r="N479" s="88">
        <f>A476</f>
        <v>473</v>
      </c>
      <c r="O479" s="38"/>
    </row>
    <row r="480" spans="1:15" s="9" customFormat="1" x14ac:dyDescent="0.25">
      <c r="A480" s="70">
        <f t="shared" si="48"/>
        <v>477</v>
      </c>
      <c r="C480" s="9" t="str">
        <f t="shared" ca="1" si="51"/>
        <v>All products</v>
      </c>
      <c r="D480" s="9" t="str">
        <f t="shared" ca="1" si="52"/>
        <v>Sugar refining'</v>
      </c>
      <c r="E480" s="9">
        <v>1</v>
      </c>
      <c r="F480" s="9">
        <v>31</v>
      </c>
      <c r="G480" s="9">
        <v>10</v>
      </c>
      <c r="H480" s="13">
        <v>9.7600000000000131E-2</v>
      </c>
      <c r="I480" s="13">
        <f>intermediateEstimate</f>
        <v>0.3</v>
      </c>
      <c r="J480" s="13">
        <v>-1</v>
      </c>
      <c r="K480" s="13">
        <f>advancedEstimate</f>
        <v>0.6</v>
      </c>
      <c r="L480" s="13">
        <v>-1</v>
      </c>
      <c r="M480" s="13">
        <f>extremeEstimate</f>
        <v>0.9</v>
      </c>
      <c r="N480" s="86">
        <f>A480</f>
        <v>477</v>
      </c>
      <c r="O480" s="38"/>
    </row>
    <row r="481" spans="1:15" s="9" customFormat="1" x14ac:dyDescent="0.25">
      <c r="A481" s="70">
        <f t="shared" si="48"/>
        <v>478</v>
      </c>
      <c r="C481" s="9" t="str">
        <f t="shared" ca="1" si="51"/>
        <v>Roots &amp; tubers</v>
      </c>
      <c r="D481" s="9" t="str">
        <f t="shared" ca="1" si="52"/>
        <v>Sugar refining'</v>
      </c>
      <c r="E481" s="9">
        <v>29</v>
      </c>
      <c r="F481" s="9">
        <v>31</v>
      </c>
      <c r="G481" s="9">
        <v>10</v>
      </c>
      <c r="H481" s="13">
        <f>H480</f>
        <v>9.7600000000000131E-2</v>
      </c>
      <c r="I481" s="13">
        <f>I480</f>
        <v>0.3</v>
      </c>
      <c r="J481" s="13">
        <f>-J480</f>
        <v>1</v>
      </c>
      <c r="K481" s="13">
        <f>K480</f>
        <v>0.6</v>
      </c>
      <c r="L481" s="13">
        <f>-L480</f>
        <v>1</v>
      </c>
      <c r="M481" s="13">
        <v>1</v>
      </c>
      <c r="N481" s="88">
        <f>A481</f>
        <v>478</v>
      </c>
      <c r="O481" s="38"/>
    </row>
    <row r="482" spans="1:15" s="9" customFormat="1" x14ac:dyDescent="0.25">
      <c r="A482" s="70">
        <f t="shared" si="48"/>
        <v>479</v>
      </c>
      <c r="C482" s="9" t="str">
        <f t="shared" ca="1" si="51"/>
        <v>Equipment and transport</v>
      </c>
      <c r="D482" s="9" t="str">
        <f t="shared" ca="1" si="52"/>
        <v>Sugar refining'</v>
      </c>
      <c r="E482" s="9">
        <v>26</v>
      </c>
      <c r="F482" s="9">
        <v>31</v>
      </c>
      <c r="G482" s="9">
        <v>10</v>
      </c>
      <c r="H482" s="13">
        <f>100%</f>
        <v>1</v>
      </c>
      <c r="I482" s="13">
        <f>100%</f>
        <v>1</v>
      </c>
      <c r="J482" s="13">
        <f>J480*-10%</f>
        <v>0.1</v>
      </c>
      <c r="K482" s="13">
        <v>1</v>
      </c>
      <c r="L482" s="13">
        <f>L480*-10%</f>
        <v>0.1</v>
      </c>
      <c r="M482" s="13">
        <v>1</v>
      </c>
      <c r="N482" s="88">
        <f>A480</f>
        <v>477</v>
      </c>
      <c r="O482" s="38"/>
    </row>
    <row r="483" spans="1:15" s="9" customFormat="1" x14ac:dyDescent="0.25">
      <c r="A483" s="70">
        <f t="shared" si="48"/>
        <v>480</v>
      </c>
      <c r="C483" s="9" t="str">
        <f t="shared" ca="1" si="51"/>
        <v>Public awareness campaign product (post &amp; telecoms, other business, education)</v>
      </c>
      <c r="D483" s="9" t="str">
        <f t="shared" ca="1" si="52"/>
        <v>Sugar refining'</v>
      </c>
      <c r="E483" s="9">
        <v>34</v>
      </c>
      <c r="F483" s="9">
        <v>31</v>
      </c>
      <c r="G483" s="9">
        <v>10</v>
      </c>
      <c r="H483" s="13">
        <f>100%</f>
        <v>1</v>
      </c>
      <c r="I483" s="13">
        <f>100%</f>
        <v>1</v>
      </c>
      <c r="J483" s="13">
        <f>J480*-2%</f>
        <v>0.02</v>
      </c>
      <c r="K483" s="13">
        <v>1</v>
      </c>
      <c r="L483" s="13">
        <f>L480*-2%</f>
        <v>0.02</v>
      </c>
      <c r="M483" s="13">
        <v>1</v>
      </c>
      <c r="N483" s="88">
        <f>A480</f>
        <v>477</v>
      </c>
      <c r="O483" s="38"/>
    </row>
    <row r="484" spans="1:15" s="9" customFormat="1" x14ac:dyDescent="0.25">
      <c r="A484" s="70">
        <f t="shared" si="48"/>
        <v>481</v>
      </c>
      <c r="C484" s="9" t="str">
        <f t="shared" ca="1" si="51"/>
        <v>All products</v>
      </c>
      <c r="D484" s="9" t="str">
        <f t="shared" ca="1" si="52"/>
        <v>Processing of Food products nec'</v>
      </c>
      <c r="E484" s="9">
        <v>1</v>
      </c>
      <c r="F484" s="9">
        <v>32</v>
      </c>
      <c r="G484" s="9">
        <v>10</v>
      </c>
      <c r="H484" s="13">
        <v>0.12925714285714288</v>
      </c>
      <c r="I484" s="13">
        <f>intermediateEstimate</f>
        <v>0.3</v>
      </c>
      <c r="J484" s="13">
        <v>-1</v>
      </c>
      <c r="K484" s="13">
        <f>advancedEstimate</f>
        <v>0.6</v>
      </c>
      <c r="L484" s="13">
        <v>-1</v>
      </c>
      <c r="M484" s="13">
        <f>extremeEstimate</f>
        <v>0.9</v>
      </c>
      <c r="N484" s="86">
        <f>A484</f>
        <v>481</v>
      </c>
      <c r="O484" s="38"/>
    </row>
    <row r="485" spans="1:15" s="9" customFormat="1" x14ac:dyDescent="0.25">
      <c r="A485" s="70">
        <f t="shared" si="48"/>
        <v>482</v>
      </c>
      <c r="C485" s="9" t="str">
        <f t="shared" ca="1" si="51"/>
        <v>All food products</v>
      </c>
      <c r="D485" s="9" t="str">
        <f t="shared" ca="1" si="52"/>
        <v>Processing of Food products nec'</v>
      </c>
      <c r="E485" s="9">
        <v>33</v>
      </c>
      <c r="F485" s="9">
        <v>32</v>
      </c>
      <c r="G485" s="9">
        <v>10</v>
      </c>
      <c r="H485" s="13">
        <f>H484</f>
        <v>0.12925714285714288</v>
      </c>
      <c r="I485" s="13">
        <f>I484</f>
        <v>0.3</v>
      </c>
      <c r="J485" s="13">
        <f>-J484</f>
        <v>1</v>
      </c>
      <c r="K485" s="13">
        <f>K484</f>
        <v>0.6</v>
      </c>
      <c r="L485" s="13">
        <f>-L484</f>
        <v>1</v>
      </c>
      <c r="M485" s="13">
        <v>1</v>
      </c>
      <c r="N485" s="88">
        <f>A485</f>
        <v>482</v>
      </c>
      <c r="O485" s="38"/>
    </row>
    <row r="486" spans="1:15" s="9" customFormat="1" x14ac:dyDescent="0.25">
      <c r="A486" s="70">
        <f t="shared" si="48"/>
        <v>483</v>
      </c>
      <c r="C486" s="9" t="str">
        <f t="shared" ca="1" si="51"/>
        <v>Equipment and transport</v>
      </c>
      <c r="D486" s="9" t="str">
        <f t="shared" ca="1" si="52"/>
        <v>Processing of Food products nec'</v>
      </c>
      <c r="E486" s="9">
        <v>26</v>
      </c>
      <c r="F486" s="9">
        <v>32</v>
      </c>
      <c r="G486" s="9">
        <v>10</v>
      </c>
      <c r="H486" s="13">
        <f>100%</f>
        <v>1</v>
      </c>
      <c r="I486" s="13">
        <f>100%</f>
        <v>1</v>
      </c>
      <c r="J486" s="13">
        <f>J484*-10%</f>
        <v>0.1</v>
      </c>
      <c r="K486" s="13">
        <v>1</v>
      </c>
      <c r="L486" s="13">
        <f>L484*-10%</f>
        <v>0.1</v>
      </c>
      <c r="M486" s="13">
        <v>1</v>
      </c>
      <c r="N486" s="88">
        <f>A484</f>
        <v>481</v>
      </c>
      <c r="O486" s="38"/>
    </row>
    <row r="487" spans="1:15" s="9" customFormat="1" x14ac:dyDescent="0.25">
      <c r="A487" s="70">
        <f t="shared" si="48"/>
        <v>484</v>
      </c>
      <c r="C487" s="9" t="str">
        <f t="shared" ca="1" si="51"/>
        <v>Public awareness campaign product (post &amp; telecoms, other business, education)</v>
      </c>
      <c r="D487" s="9" t="str">
        <f t="shared" ca="1" si="52"/>
        <v>Processing of Food products nec'</v>
      </c>
      <c r="E487" s="9">
        <v>34</v>
      </c>
      <c r="F487" s="9">
        <v>32</v>
      </c>
      <c r="G487" s="9">
        <v>10</v>
      </c>
      <c r="H487" s="13">
        <f>100%</f>
        <v>1</v>
      </c>
      <c r="I487" s="13">
        <f>100%</f>
        <v>1</v>
      </c>
      <c r="J487" s="13">
        <f>J484*-2%</f>
        <v>0.02</v>
      </c>
      <c r="K487" s="13">
        <v>1</v>
      </c>
      <c r="L487" s="13">
        <f>L484*-2%</f>
        <v>0.02</v>
      </c>
      <c r="M487" s="13">
        <v>1</v>
      </c>
      <c r="N487" s="88">
        <f>A484</f>
        <v>481</v>
      </c>
      <c r="O487" s="38"/>
    </row>
    <row r="488" spans="1:15" s="9" customFormat="1" x14ac:dyDescent="0.25">
      <c r="A488" s="70">
        <f t="shared" si="48"/>
        <v>485</v>
      </c>
      <c r="C488" s="9" t="str">
        <f t="shared" ca="1" si="51"/>
        <v>All products</v>
      </c>
      <c r="D488" s="9" t="str">
        <f t="shared" ca="1" si="52"/>
        <v>Manufacture of beverages'</v>
      </c>
      <c r="E488" s="9">
        <v>1</v>
      </c>
      <c r="F488" s="9">
        <v>33</v>
      </c>
      <c r="G488" s="9">
        <v>10</v>
      </c>
      <c r="H488" s="13">
        <v>0.12925714285714288</v>
      </c>
      <c r="I488" s="13">
        <f>intermediateEstimate</f>
        <v>0.3</v>
      </c>
      <c r="J488" s="13">
        <v>-1</v>
      </c>
      <c r="K488" s="13">
        <f>advancedEstimate</f>
        <v>0.6</v>
      </c>
      <c r="L488" s="13">
        <v>-1</v>
      </c>
      <c r="M488" s="13">
        <f>extremeEstimate</f>
        <v>0.9</v>
      </c>
      <c r="N488" s="86">
        <f>A488</f>
        <v>485</v>
      </c>
    </row>
    <row r="489" spans="1:15" s="9" customFormat="1" x14ac:dyDescent="0.25">
      <c r="A489" s="70">
        <f t="shared" si="48"/>
        <v>486</v>
      </c>
      <c r="C489" s="9" t="str">
        <f t="shared" ca="1" si="51"/>
        <v>All food products</v>
      </c>
      <c r="D489" s="9" t="str">
        <f t="shared" ca="1" si="52"/>
        <v>Manufacture of beverages'</v>
      </c>
      <c r="E489" s="9">
        <v>33</v>
      </c>
      <c r="F489" s="9">
        <v>33</v>
      </c>
      <c r="G489" s="9">
        <v>10</v>
      </c>
      <c r="H489" s="13">
        <f>H488</f>
        <v>0.12925714285714288</v>
      </c>
      <c r="I489" s="13">
        <f>I488</f>
        <v>0.3</v>
      </c>
      <c r="J489" s="13">
        <f>-J488</f>
        <v>1</v>
      </c>
      <c r="K489" s="13">
        <f>K488</f>
        <v>0.6</v>
      </c>
      <c r="L489" s="13">
        <f>-L488</f>
        <v>1</v>
      </c>
      <c r="M489" s="13">
        <v>1</v>
      </c>
      <c r="N489" s="88">
        <f>A489</f>
        <v>486</v>
      </c>
    </row>
    <row r="490" spans="1:15" s="9" customFormat="1" x14ac:dyDescent="0.25">
      <c r="A490" s="70">
        <f t="shared" si="48"/>
        <v>487</v>
      </c>
      <c r="C490" s="9" t="str">
        <f t="shared" ca="1" si="51"/>
        <v>Equipment and transport</v>
      </c>
      <c r="D490" s="9" t="str">
        <f t="shared" ca="1" si="52"/>
        <v>Manufacture of beverages'</v>
      </c>
      <c r="E490" s="9">
        <v>26</v>
      </c>
      <c r="F490" s="9">
        <v>33</v>
      </c>
      <c r="G490" s="9">
        <v>10</v>
      </c>
      <c r="H490" s="13">
        <f>100%</f>
        <v>1</v>
      </c>
      <c r="I490" s="13">
        <f>100%</f>
        <v>1</v>
      </c>
      <c r="J490" s="13">
        <f>J488*-10%</f>
        <v>0.1</v>
      </c>
      <c r="K490" s="13">
        <v>1</v>
      </c>
      <c r="L490" s="13">
        <f>L488*-10%</f>
        <v>0.1</v>
      </c>
      <c r="M490" s="13">
        <v>1</v>
      </c>
      <c r="N490" s="88">
        <f>A488</f>
        <v>485</v>
      </c>
    </row>
    <row r="491" spans="1:15" s="9" customFormat="1" x14ac:dyDescent="0.25">
      <c r="A491" s="70">
        <f t="shared" si="48"/>
        <v>488</v>
      </c>
      <c r="C491" s="9" t="str">
        <f t="shared" ca="1" si="51"/>
        <v>Public awareness campaign product (post &amp; telecoms, other business, education)</v>
      </c>
      <c r="D491" s="9" t="str">
        <f t="shared" ca="1" si="52"/>
        <v>Manufacture of beverages'</v>
      </c>
      <c r="E491" s="9">
        <v>34</v>
      </c>
      <c r="F491" s="9">
        <v>33</v>
      </c>
      <c r="G491" s="9">
        <v>10</v>
      </c>
      <c r="H491" s="13">
        <f>100%</f>
        <v>1</v>
      </c>
      <c r="I491" s="13">
        <f>100%</f>
        <v>1</v>
      </c>
      <c r="J491" s="13">
        <f>J488*-2%</f>
        <v>0.02</v>
      </c>
      <c r="K491" s="13">
        <v>1</v>
      </c>
      <c r="L491" s="13">
        <f>L488*-2%</f>
        <v>0.02</v>
      </c>
      <c r="M491" s="13">
        <v>1</v>
      </c>
      <c r="N491" s="88">
        <f>A488</f>
        <v>485</v>
      </c>
    </row>
    <row r="492" spans="1:15" s="9" customFormat="1" x14ac:dyDescent="0.25">
      <c r="A492" s="70">
        <f t="shared" si="48"/>
        <v>489</v>
      </c>
      <c r="C492" s="9" t="str">
        <f t="shared" ca="1" si="51"/>
        <v>All products</v>
      </c>
      <c r="D492" s="9" t="str">
        <f t="shared" ca="1" si="52"/>
        <v>Manufacture of fish products'</v>
      </c>
      <c r="E492" s="9">
        <v>1</v>
      </c>
      <c r="F492" s="9">
        <v>34</v>
      </c>
      <c r="G492" s="9">
        <v>10</v>
      </c>
      <c r="H492" s="13">
        <v>0.13600000000000001</v>
      </c>
      <c r="I492" s="13">
        <f>intermediateEstimate</f>
        <v>0.3</v>
      </c>
      <c r="J492" s="13">
        <v>-1</v>
      </c>
      <c r="K492" s="13">
        <f>advancedEstimate</f>
        <v>0.6</v>
      </c>
      <c r="L492" s="13">
        <v>-1</v>
      </c>
      <c r="M492" s="13">
        <f>extremeEstimate</f>
        <v>0.9</v>
      </c>
      <c r="N492" s="86">
        <f>A492</f>
        <v>489</v>
      </c>
    </row>
    <row r="493" spans="1:15" s="9" customFormat="1" x14ac:dyDescent="0.25">
      <c r="A493" s="70">
        <f t="shared" si="48"/>
        <v>490</v>
      </c>
      <c r="C493" s="9" t="str">
        <f t="shared" ca="1" si="51"/>
        <v>Fish &amp; seafood</v>
      </c>
      <c r="D493" s="9" t="str">
        <f t="shared" ca="1" si="52"/>
        <v>Manufacture of fish products'</v>
      </c>
      <c r="E493" s="9">
        <v>32</v>
      </c>
      <c r="F493" s="9">
        <v>34</v>
      </c>
      <c r="G493" s="9">
        <v>10</v>
      </c>
      <c r="H493" s="13">
        <f>H492</f>
        <v>0.13600000000000001</v>
      </c>
      <c r="I493" s="13">
        <f>I492</f>
        <v>0.3</v>
      </c>
      <c r="J493" s="13">
        <f>-J492</f>
        <v>1</v>
      </c>
      <c r="K493" s="13">
        <f>K492</f>
        <v>0.6</v>
      </c>
      <c r="L493" s="13">
        <f>-L492</f>
        <v>1</v>
      </c>
      <c r="M493" s="13">
        <v>1</v>
      </c>
      <c r="N493" s="88">
        <f>A493</f>
        <v>490</v>
      </c>
    </row>
    <row r="494" spans="1:15" s="9" customFormat="1" x14ac:dyDescent="0.25">
      <c r="A494" s="70">
        <f t="shared" si="48"/>
        <v>491</v>
      </c>
      <c r="C494" s="9" t="str">
        <f t="shared" ca="1" si="51"/>
        <v>Equipment and transport</v>
      </c>
      <c r="D494" s="9" t="str">
        <f t="shared" ca="1" si="52"/>
        <v>Manufacture of fish products'</v>
      </c>
      <c r="E494" s="9">
        <v>26</v>
      </c>
      <c r="F494" s="9">
        <v>34</v>
      </c>
      <c r="G494" s="9">
        <v>10</v>
      </c>
      <c r="H494" s="13">
        <f>100%</f>
        <v>1</v>
      </c>
      <c r="I494" s="13">
        <f>100%</f>
        <v>1</v>
      </c>
      <c r="J494" s="13">
        <f>J492*-10%</f>
        <v>0.1</v>
      </c>
      <c r="K494" s="13">
        <v>1</v>
      </c>
      <c r="L494" s="13">
        <f>L492*-10%</f>
        <v>0.1</v>
      </c>
      <c r="M494" s="13">
        <v>1</v>
      </c>
      <c r="N494" s="88">
        <f>A492</f>
        <v>489</v>
      </c>
    </row>
    <row r="495" spans="1:15" s="9" customFormat="1" x14ac:dyDescent="0.25">
      <c r="A495" s="70">
        <f t="shared" si="48"/>
        <v>492</v>
      </c>
      <c r="C495" s="9" t="str">
        <f t="shared" ca="1" si="51"/>
        <v>Public awareness campaign product (post &amp; telecoms, other business, education)</v>
      </c>
      <c r="D495" s="9" t="str">
        <f t="shared" ca="1" si="52"/>
        <v>Manufacture of fish products'</v>
      </c>
      <c r="E495" s="9">
        <v>34</v>
      </c>
      <c r="F495" s="9">
        <v>34</v>
      </c>
      <c r="G495" s="9">
        <v>10</v>
      </c>
      <c r="H495" s="13">
        <f>100%</f>
        <v>1</v>
      </c>
      <c r="I495" s="13">
        <f>100%</f>
        <v>1</v>
      </c>
      <c r="J495" s="13">
        <f>J492*-2%</f>
        <v>0.02</v>
      </c>
      <c r="K495" s="13">
        <v>1</v>
      </c>
      <c r="L495" s="13">
        <f>L492*-2%</f>
        <v>0.02</v>
      </c>
      <c r="M495" s="13">
        <v>1</v>
      </c>
      <c r="N495" s="88">
        <f>A492</f>
        <v>489</v>
      </c>
      <c r="O495" s="38"/>
    </row>
    <row r="496" spans="1:15" s="9" customFormat="1" x14ac:dyDescent="0.25">
      <c r="A496" s="70">
        <f t="shared" si="48"/>
        <v>493</v>
      </c>
      <c r="B496" s="9" t="s">
        <v>402</v>
      </c>
      <c r="C496" s="9" t="str">
        <f t="shared" ca="1" si="51"/>
        <v>All products</v>
      </c>
      <c r="D496" s="9" t="str">
        <f t="shared" ca="1" si="52"/>
        <v>Processing of Meat</v>
      </c>
      <c r="E496" s="9">
        <v>1</v>
      </c>
      <c r="F496" s="9">
        <v>27</v>
      </c>
      <c r="G496" s="9">
        <v>11</v>
      </c>
      <c r="H496" s="13">
        <v>0.10720000000000007</v>
      </c>
      <c r="I496" s="13">
        <f>intermediateEstimate</f>
        <v>0.3</v>
      </c>
      <c r="J496" s="13">
        <v>-1</v>
      </c>
      <c r="K496" s="13">
        <f>advancedEstimate</f>
        <v>0.6</v>
      </c>
      <c r="L496" s="13">
        <v>-1</v>
      </c>
      <c r="M496" s="13">
        <f>extremeEstimate</f>
        <v>0.9</v>
      </c>
      <c r="N496" s="86">
        <f>A496</f>
        <v>493</v>
      </c>
      <c r="O496" s="38"/>
    </row>
    <row r="497" spans="1:15" s="9" customFormat="1" x14ac:dyDescent="0.25">
      <c r="A497" s="70">
        <f t="shared" si="48"/>
        <v>494</v>
      </c>
      <c r="C497" s="9" t="str">
        <f t="shared" ca="1" si="51"/>
        <v>Meat</v>
      </c>
      <c r="D497" s="9" t="str">
        <f t="shared" ca="1" si="52"/>
        <v>Processing of Meat</v>
      </c>
      <c r="E497" s="9">
        <v>30</v>
      </c>
      <c r="F497" s="9">
        <v>27</v>
      </c>
      <c r="G497" s="9">
        <v>11</v>
      </c>
      <c r="H497" s="13">
        <f>H496</f>
        <v>0.10720000000000007</v>
      </c>
      <c r="I497" s="13">
        <f>I496</f>
        <v>0.3</v>
      </c>
      <c r="J497" s="13">
        <f>-J496</f>
        <v>1</v>
      </c>
      <c r="K497" s="13">
        <f>K496</f>
        <v>0.6</v>
      </c>
      <c r="L497" s="13">
        <f>-L496</f>
        <v>1</v>
      </c>
      <c r="M497" s="13">
        <v>1</v>
      </c>
      <c r="N497" s="88">
        <f>A497</f>
        <v>494</v>
      </c>
      <c r="O497" s="38"/>
    </row>
    <row r="498" spans="1:15" s="9" customFormat="1" x14ac:dyDescent="0.25">
      <c r="A498" s="70">
        <f t="shared" si="48"/>
        <v>495</v>
      </c>
      <c r="C498" s="9" t="str">
        <f t="shared" ca="1" si="51"/>
        <v>Equipment and transport</v>
      </c>
      <c r="D498" s="9" t="str">
        <f t="shared" ca="1" si="52"/>
        <v>Processing of Meat</v>
      </c>
      <c r="E498" s="9">
        <v>26</v>
      </c>
      <c r="F498" s="9">
        <v>27</v>
      </c>
      <c r="G498" s="9">
        <v>11</v>
      </c>
      <c r="H498" s="13">
        <f>100%</f>
        <v>1</v>
      </c>
      <c r="I498" s="13">
        <f>100%</f>
        <v>1</v>
      </c>
      <c r="J498" s="13">
        <f>J496*-10%</f>
        <v>0.1</v>
      </c>
      <c r="K498" s="13">
        <v>1</v>
      </c>
      <c r="L498" s="13">
        <f>L496*-10%</f>
        <v>0.1</v>
      </c>
      <c r="M498" s="13">
        <v>1</v>
      </c>
      <c r="N498" s="88">
        <f>A496</f>
        <v>493</v>
      </c>
      <c r="O498" s="38"/>
    </row>
    <row r="499" spans="1:15" s="9" customFormat="1" x14ac:dyDescent="0.25">
      <c r="A499" s="70">
        <f t="shared" si="48"/>
        <v>496</v>
      </c>
      <c r="C499" s="9" t="str">
        <f t="shared" ca="1" si="51"/>
        <v>Public awareness campaign product (post &amp; telecoms, other business, education)</v>
      </c>
      <c r="D499" s="9" t="str">
        <f t="shared" ca="1" si="52"/>
        <v>Processing of Meat</v>
      </c>
      <c r="E499" s="9">
        <v>34</v>
      </c>
      <c r="F499" s="9">
        <v>27</v>
      </c>
      <c r="G499" s="9">
        <v>11</v>
      </c>
      <c r="H499" s="13">
        <f>100%</f>
        <v>1</v>
      </c>
      <c r="I499" s="13">
        <f>100%</f>
        <v>1</v>
      </c>
      <c r="J499" s="13">
        <f>J496*-2%</f>
        <v>0.02</v>
      </c>
      <c r="K499" s="13">
        <v>1</v>
      </c>
      <c r="L499" s="13">
        <f>L496*-2%</f>
        <v>0.02</v>
      </c>
      <c r="M499" s="13">
        <v>1</v>
      </c>
      <c r="N499" s="88">
        <f>A496</f>
        <v>493</v>
      </c>
      <c r="O499" s="38"/>
    </row>
    <row r="500" spans="1:15" s="9" customFormat="1" x14ac:dyDescent="0.25">
      <c r="A500" s="70">
        <f t="shared" si="48"/>
        <v>497</v>
      </c>
      <c r="C500" s="9" t="str">
        <f t="shared" ca="1" si="51"/>
        <v>All products</v>
      </c>
      <c r="D500" s="9" t="str">
        <f t="shared" ca="1" si="52"/>
        <v>Processing vegetable oils and fats'</v>
      </c>
      <c r="E500" s="9">
        <v>1</v>
      </c>
      <c r="F500" s="9">
        <v>28</v>
      </c>
      <c r="G500" s="9">
        <v>11</v>
      </c>
      <c r="H500" s="13">
        <v>2.9800000000000049E-2</v>
      </c>
      <c r="I500" s="13">
        <f>intermediateEstimate</f>
        <v>0.3</v>
      </c>
      <c r="J500" s="13">
        <v>-1</v>
      </c>
      <c r="K500" s="13">
        <f>advancedEstimate</f>
        <v>0.6</v>
      </c>
      <c r="L500" s="13">
        <v>-1</v>
      </c>
      <c r="M500" s="13">
        <f>extremeEstimate</f>
        <v>0.9</v>
      </c>
      <c r="N500" s="86">
        <f>A500</f>
        <v>497</v>
      </c>
      <c r="O500" s="38"/>
    </row>
    <row r="501" spans="1:15" s="9" customFormat="1" x14ac:dyDescent="0.25">
      <c r="A501" s="70">
        <f t="shared" si="48"/>
        <v>498</v>
      </c>
      <c r="C501" s="9" t="str">
        <f t="shared" ca="1" si="51"/>
        <v>Oilseeds and pulses</v>
      </c>
      <c r="D501" s="9" t="str">
        <f t="shared" ca="1" si="52"/>
        <v>Processing vegetable oils and fats'</v>
      </c>
      <c r="E501" s="9">
        <v>28</v>
      </c>
      <c r="F501" s="9">
        <v>28</v>
      </c>
      <c r="G501" s="9">
        <v>11</v>
      </c>
      <c r="H501" s="13">
        <f>H500</f>
        <v>2.9800000000000049E-2</v>
      </c>
      <c r="I501" s="13">
        <f>I500</f>
        <v>0.3</v>
      </c>
      <c r="J501" s="13">
        <f>-J500</f>
        <v>1</v>
      </c>
      <c r="K501" s="13">
        <f>K500</f>
        <v>0.6</v>
      </c>
      <c r="L501" s="13">
        <f>-L500</f>
        <v>1</v>
      </c>
      <c r="M501" s="13">
        <v>1</v>
      </c>
      <c r="N501" s="88">
        <f>A501</f>
        <v>498</v>
      </c>
      <c r="O501" s="38"/>
    </row>
    <row r="502" spans="1:15" s="9" customFormat="1" x14ac:dyDescent="0.25">
      <c r="A502" s="70">
        <f t="shared" si="48"/>
        <v>499</v>
      </c>
      <c r="C502" s="9" t="str">
        <f t="shared" ca="1" si="51"/>
        <v>Equipment and transport</v>
      </c>
      <c r="D502" s="9" t="str">
        <f t="shared" ca="1" si="52"/>
        <v>Processing vegetable oils and fats'</v>
      </c>
      <c r="E502" s="9">
        <v>26</v>
      </c>
      <c r="F502" s="9">
        <v>28</v>
      </c>
      <c r="G502" s="9">
        <v>11</v>
      </c>
      <c r="H502" s="13">
        <f>100%</f>
        <v>1</v>
      </c>
      <c r="I502" s="13">
        <f>100%</f>
        <v>1</v>
      </c>
      <c r="J502" s="13">
        <f>J500*-10%</f>
        <v>0.1</v>
      </c>
      <c r="K502" s="13">
        <v>1</v>
      </c>
      <c r="L502" s="13">
        <f>L500*-10%</f>
        <v>0.1</v>
      </c>
      <c r="M502" s="13">
        <v>1</v>
      </c>
      <c r="N502" s="88">
        <f>A500</f>
        <v>497</v>
      </c>
      <c r="O502" s="38"/>
    </row>
    <row r="503" spans="1:15" s="9" customFormat="1" x14ac:dyDescent="0.25">
      <c r="A503" s="70">
        <f t="shared" si="48"/>
        <v>500</v>
      </c>
      <c r="C503" s="9" t="str">
        <f t="shared" ca="1" si="51"/>
        <v>Public awareness campaign product (post &amp; telecoms, other business, education)</v>
      </c>
      <c r="D503" s="9" t="str">
        <f t="shared" ca="1" si="52"/>
        <v>Processing vegetable oils and fats'</v>
      </c>
      <c r="E503" s="9">
        <v>34</v>
      </c>
      <c r="F503" s="9">
        <v>28</v>
      </c>
      <c r="G503" s="9">
        <v>11</v>
      </c>
      <c r="H503" s="13">
        <f>100%</f>
        <v>1</v>
      </c>
      <c r="I503" s="13">
        <f>100%</f>
        <v>1</v>
      </c>
      <c r="J503" s="13">
        <f>J500*-2%</f>
        <v>0.02</v>
      </c>
      <c r="K503" s="13">
        <v>1</v>
      </c>
      <c r="L503" s="13">
        <f>L500*-2%</f>
        <v>0.02</v>
      </c>
      <c r="M503" s="13">
        <v>1</v>
      </c>
      <c r="N503" s="88">
        <f>A500</f>
        <v>497</v>
      </c>
      <c r="O503" s="38"/>
    </row>
    <row r="504" spans="1:15" s="9" customFormat="1" x14ac:dyDescent="0.25">
      <c r="A504" s="70">
        <f t="shared" si="48"/>
        <v>501</v>
      </c>
      <c r="C504" s="9" t="str">
        <f t="shared" ca="1" si="51"/>
        <v>All products</v>
      </c>
      <c r="D504" s="9" t="str">
        <f t="shared" ca="1" si="52"/>
        <v>Processing of dairy products'</v>
      </c>
      <c r="E504" s="9">
        <v>1</v>
      </c>
      <c r="F504" s="9">
        <v>29</v>
      </c>
      <c r="G504" s="9">
        <v>11</v>
      </c>
      <c r="H504" s="13">
        <v>0.10899999999999999</v>
      </c>
      <c r="I504" s="13">
        <f>intermediateEstimate</f>
        <v>0.3</v>
      </c>
      <c r="J504" s="13">
        <v>-1</v>
      </c>
      <c r="K504" s="13">
        <f>advancedEstimate</f>
        <v>0.6</v>
      </c>
      <c r="L504" s="13">
        <v>-1</v>
      </c>
      <c r="M504" s="13">
        <f>extremeEstimate</f>
        <v>0.9</v>
      </c>
      <c r="N504" s="86">
        <f>A504</f>
        <v>501</v>
      </c>
      <c r="O504" s="38"/>
    </row>
    <row r="505" spans="1:15" s="9" customFormat="1" x14ac:dyDescent="0.25">
      <c r="A505" s="70">
        <f t="shared" si="48"/>
        <v>502</v>
      </c>
      <c r="C505" s="9" t="str">
        <f t="shared" ca="1" si="51"/>
        <v>Milk</v>
      </c>
      <c r="D505" s="9" t="str">
        <f t="shared" ca="1" si="52"/>
        <v>Processing of dairy products'</v>
      </c>
      <c r="E505" s="9">
        <v>31</v>
      </c>
      <c r="F505" s="9">
        <v>29</v>
      </c>
      <c r="G505" s="9">
        <v>11</v>
      </c>
      <c r="H505" s="13">
        <f>H504</f>
        <v>0.10899999999999999</v>
      </c>
      <c r="I505" s="13">
        <f>I504</f>
        <v>0.3</v>
      </c>
      <c r="J505" s="13">
        <f>-J504</f>
        <v>1</v>
      </c>
      <c r="K505" s="13">
        <f>K504</f>
        <v>0.6</v>
      </c>
      <c r="L505" s="13">
        <f>-L504</f>
        <v>1</v>
      </c>
      <c r="M505" s="13">
        <v>1</v>
      </c>
      <c r="N505" s="88">
        <f>A505</f>
        <v>502</v>
      </c>
      <c r="O505" s="38"/>
    </row>
    <row r="506" spans="1:15" s="9" customFormat="1" x14ac:dyDescent="0.25">
      <c r="A506" s="70">
        <f t="shared" si="48"/>
        <v>503</v>
      </c>
      <c r="C506" s="9" t="str">
        <f t="shared" ca="1" si="51"/>
        <v>Equipment and transport</v>
      </c>
      <c r="D506" s="9" t="str">
        <f t="shared" ca="1" si="52"/>
        <v>Processing of dairy products'</v>
      </c>
      <c r="E506" s="9">
        <v>26</v>
      </c>
      <c r="F506" s="9">
        <v>29</v>
      </c>
      <c r="G506" s="9">
        <v>11</v>
      </c>
      <c r="H506" s="13">
        <f>100%</f>
        <v>1</v>
      </c>
      <c r="I506" s="13">
        <f>100%</f>
        <v>1</v>
      </c>
      <c r="J506" s="13">
        <f>J504*-10%</f>
        <v>0.1</v>
      </c>
      <c r="K506" s="13">
        <v>1</v>
      </c>
      <c r="L506" s="13">
        <f>L504*-10%</f>
        <v>0.1</v>
      </c>
      <c r="M506" s="13">
        <v>1</v>
      </c>
      <c r="N506" s="88">
        <f>A504</f>
        <v>501</v>
      </c>
      <c r="O506" s="38"/>
    </row>
    <row r="507" spans="1:15" s="9" customFormat="1" x14ac:dyDescent="0.25">
      <c r="A507" s="70">
        <f t="shared" si="48"/>
        <v>504</v>
      </c>
      <c r="C507" s="9" t="str">
        <f t="shared" ca="1" si="51"/>
        <v>Public awareness campaign product (post &amp; telecoms, other business, education)</v>
      </c>
      <c r="D507" s="9" t="str">
        <f t="shared" ca="1" si="52"/>
        <v>Processing of dairy products'</v>
      </c>
      <c r="E507" s="9">
        <v>34</v>
      </c>
      <c r="F507" s="9">
        <v>29</v>
      </c>
      <c r="G507" s="9">
        <v>11</v>
      </c>
      <c r="H507" s="13">
        <f>100%</f>
        <v>1</v>
      </c>
      <c r="I507" s="13">
        <f>100%</f>
        <v>1</v>
      </c>
      <c r="J507" s="13">
        <f>J504*-2%</f>
        <v>0.02</v>
      </c>
      <c r="K507" s="13">
        <v>1</v>
      </c>
      <c r="L507" s="13">
        <f>L504*-2%</f>
        <v>0.02</v>
      </c>
      <c r="M507" s="13">
        <v>1</v>
      </c>
      <c r="N507" s="88">
        <f>A504</f>
        <v>501</v>
      </c>
      <c r="O507" s="38"/>
    </row>
    <row r="508" spans="1:15" s="9" customFormat="1" x14ac:dyDescent="0.25">
      <c r="A508" s="70">
        <f t="shared" si="48"/>
        <v>505</v>
      </c>
      <c r="C508" s="9" t="str">
        <f t="shared" ca="1" si="51"/>
        <v>All products</v>
      </c>
      <c r="D508" s="9" t="str">
        <f t="shared" ca="1" si="52"/>
        <v>Processed rice'</v>
      </c>
      <c r="E508" s="9">
        <v>1</v>
      </c>
      <c r="F508" s="9">
        <v>30</v>
      </c>
      <c r="G508" s="9">
        <v>11</v>
      </c>
      <c r="H508" s="13">
        <v>4.9399999999999999E-2</v>
      </c>
      <c r="I508" s="13">
        <f>intermediateEstimate</f>
        <v>0.3</v>
      </c>
      <c r="J508" s="13">
        <v>-1</v>
      </c>
      <c r="K508" s="13">
        <f>advancedEstimate</f>
        <v>0.6</v>
      </c>
      <c r="L508" s="13">
        <v>-1</v>
      </c>
      <c r="M508" s="13">
        <f>extremeEstimate</f>
        <v>0.9</v>
      </c>
      <c r="N508" s="86">
        <f>A508</f>
        <v>505</v>
      </c>
      <c r="O508" s="38"/>
    </row>
    <row r="509" spans="1:15" s="9" customFormat="1" x14ac:dyDescent="0.25">
      <c r="A509" s="70">
        <f t="shared" si="48"/>
        <v>506</v>
      </c>
      <c r="C509" s="9" t="str">
        <f t="shared" ca="1" si="51"/>
        <v xml:space="preserve">Cereals </v>
      </c>
      <c r="D509" s="9" t="str">
        <f t="shared" ca="1" si="52"/>
        <v>Processed rice'</v>
      </c>
      <c r="E509" s="9">
        <v>27</v>
      </c>
      <c r="F509" s="9">
        <v>30</v>
      </c>
      <c r="G509" s="9">
        <v>11</v>
      </c>
      <c r="H509" s="13">
        <f>H508</f>
        <v>4.9399999999999999E-2</v>
      </c>
      <c r="I509" s="13">
        <f>I508</f>
        <v>0.3</v>
      </c>
      <c r="J509" s="13">
        <f>-J508</f>
        <v>1</v>
      </c>
      <c r="K509" s="13">
        <f>K508</f>
        <v>0.6</v>
      </c>
      <c r="L509" s="13">
        <f>-L508</f>
        <v>1</v>
      </c>
      <c r="M509" s="13">
        <v>1</v>
      </c>
      <c r="N509" s="88">
        <f>A509</f>
        <v>506</v>
      </c>
      <c r="O509" s="38"/>
    </row>
    <row r="510" spans="1:15" s="9" customFormat="1" x14ac:dyDescent="0.25">
      <c r="A510" s="70">
        <f t="shared" si="48"/>
        <v>507</v>
      </c>
      <c r="C510" s="9" t="str">
        <f t="shared" ca="1" si="51"/>
        <v>Equipment and transport</v>
      </c>
      <c r="D510" s="9" t="str">
        <f t="shared" ca="1" si="52"/>
        <v>Processed rice'</v>
      </c>
      <c r="E510" s="9">
        <v>26</v>
      </c>
      <c r="F510" s="9">
        <v>30</v>
      </c>
      <c r="G510" s="9">
        <v>11</v>
      </c>
      <c r="H510" s="13">
        <f>100%</f>
        <v>1</v>
      </c>
      <c r="I510" s="13">
        <f>100%</f>
        <v>1</v>
      </c>
      <c r="J510" s="13">
        <f>J508*-10%</f>
        <v>0.1</v>
      </c>
      <c r="K510" s="13">
        <v>1</v>
      </c>
      <c r="L510" s="13">
        <f>L508*-10%</f>
        <v>0.1</v>
      </c>
      <c r="M510" s="13">
        <v>1</v>
      </c>
      <c r="N510" s="88">
        <f>A508</f>
        <v>505</v>
      </c>
      <c r="O510" s="38"/>
    </row>
    <row r="511" spans="1:15" s="9" customFormat="1" x14ac:dyDescent="0.25">
      <c r="A511" s="70">
        <f t="shared" si="48"/>
        <v>508</v>
      </c>
      <c r="C511" s="9" t="str">
        <f t="shared" ca="1" si="51"/>
        <v>Public awareness campaign product (post &amp; telecoms, other business, education)</v>
      </c>
      <c r="D511" s="9" t="str">
        <f t="shared" ca="1" si="52"/>
        <v>Processed rice'</v>
      </c>
      <c r="E511" s="9">
        <v>34</v>
      </c>
      <c r="F511" s="9">
        <v>30</v>
      </c>
      <c r="G511" s="9">
        <v>11</v>
      </c>
      <c r="H511" s="13">
        <f>100%</f>
        <v>1</v>
      </c>
      <c r="I511" s="13">
        <f>100%</f>
        <v>1</v>
      </c>
      <c r="J511" s="13">
        <f>J508*-2%</f>
        <v>0.02</v>
      </c>
      <c r="K511" s="13">
        <v>1</v>
      </c>
      <c r="L511" s="13">
        <f>L508*-2%</f>
        <v>0.02</v>
      </c>
      <c r="M511" s="13">
        <v>1</v>
      </c>
      <c r="N511" s="88">
        <f>A508</f>
        <v>505</v>
      </c>
      <c r="O511" s="38"/>
    </row>
    <row r="512" spans="1:15" s="9" customFormat="1" x14ac:dyDescent="0.25">
      <c r="A512" s="70">
        <f t="shared" si="48"/>
        <v>509</v>
      </c>
      <c r="C512" s="9" t="str">
        <f t="shared" ca="1" si="51"/>
        <v>All products</v>
      </c>
      <c r="D512" s="9" t="str">
        <f t="shared" ca="1" si="52"/>
        <v>Sugar refining'</v>
      </c>
      <c r="E512" s="9">
        <v>1</v>
      </c>
      <c r="F512" s="9">
        <v>31</v>
      </c>
      <c r="G512" s="9">
        <v>11</v>
      </c>
      <c r="H512" s="13">
        <v>0.13670000000000004</v>
      </c>
      <c r="I512" s="13">
        <f>intermediateEstimate</f>
        <v>0.3</v>
      </c>
      <c r="J512" s="13">
        <v>-1</v>
      </c>
      <c r="K512" s="13">
        <f>advancedEstimate</f>
        <v>0.6</v>
      </c>
      <c r="L512" s="13">
        <v>-1</v>
      </c>
      <c r="M512" s="13">
        <f>extremeEstimate</f>
        <v>0.9</v>
      </c>
      <c r="N512" s="86">
        <f>A512</f>
        <v>509</v>
      </c>
      <c r="O512" s="38"/>
    </row>
    <row r="513" spans="1:15" s="9" customFormat="1" x14ac:dyDescent="0.25">
      <c r="A513" s="70">
        <f t="shared" si="48"/>
        <v>510</v>
      </c>
      <c r="C513" s="9" t="str">
        <f t="shared" ca="1" si="51"/>
        <v>Roots &amp; tubers</v>
      </c>
      <c r="D513" s="9" t="str">
        <f t="shared" ca="1" si="52"/>
        <v>Sugar refining'</v>
      </c>
      <c r="E513" s="9">
        <v>29</v>
      </c>
      <c r="F513" s="9">
        <v>31</v>
      </c>
      <c r="G513" s="9">
        <v>11</v>
      </c>
      <c r="H513" s="13">
        <f>H512</f>
        <v>0.13670000000000004</v>
      </c>
      <c r="I513" s="13">
        <f>I512</f>
        <v>0.3</v>
      </c>
      <c r="J513" s="13">
        <f>-J512</f>
        <v>1</v>
      </c>
      <c r="K513" s="13">
        <f>K512</f>
        <v>0.6</v>
      </c>
      <c r="L513" s="13">
        <f>-L512</f>
        <v>1</v>
      </c>
      <c r="M513" s="13">
        <v>1</v>
      </c>
      <c r="N513" s="88">
        <f>A513</f>
        <v>510</v>
      </c>
      <c r="O513" s="38"/>
    </row>
    <row r="514" spans="1:15" s="9" customFormat="1" x14ac:dyDescent="0.25">
      <c r="A514" s="70">
        <f t="shared" si="48"/>
        <v>511</v>
      </c>
      <c r="C514" s="9" t="str">
        <f t="shared" ca="1" si="51"/>
        <v>Equipment and transport</v>
      </c>
      <c r="D514" s="9" t="str">
        <f t="shared" ca="1" si="52"/>
        <v>Sugar refining'</v>
      </c>
      <c r="E514" s="9">
        <v>26</v>
      </c>
      <c r="F514" s="9">
        <v>31</v>
      </c>
      <c r="G514" s="9">
        <v>11</v>
      </c>
      <c r="H514" s="13">
        <f>100%</f>
        <v>1</v>
      </c>
      <c r="I514" s="13">
        <f>100%</f>
        <v>1</v>
      </c>
      <c r="J514" s="13">
        <f>J512*-10%</f>
        <v>0.1</v>
      </c>
      <c r="K514" s="13">
        <v>1</v>
      </c>
      <c r="L514" s="13">
        <f>L512*-10%</f>
        <v>0.1</v>
      </c>
      <c r="M514" s="13">
        <v>1</v>
      </c>
      <c r="N514" s="88">
        <f>A512</f>
        <v>509</v>
      </c>
      <c r="O514" s="38"/>
    </row>
    <row r="515" spans="1:15" s="9" customFormat="1" x14ac:dyDescent="0.25">
      <c r="A515" s="70">
        <f t="shared" si="48"/>
        <v>512</v>
      </c>
      <c r="C515" s="9" t="str">
        <f t="shared" ca="1" si="51"/>
        <v>Public awareness campaign product (post &amp; telecoms, other business, education)</v>
      </c>
      <c r="D515" s="9" t="str">
        <f t="shared" ca="1" si="52"/>
        <v>Sugar refining'</v>
      </c>
      <c r="E515" s="9">
        <v>34</v>
      </c>
      <c r="F515" s="9">
        <v>31</v>
      </c>
      <c r="G515" s="9">
        <v>11</v>
      </c>
      <c r="H515" s="13">
        <f>100%</f>
        <v>1</v>
      </c>
      <c r="I515" s="13">
        <f>100%</f>
        <v>1</v>
      </c>
      <c r="J515" s="13">
        <f>J512*-2%</f>
        <v>0.02</v>
      </c>
      <c r="K515" s="13">
        <v>1</v>
      </c>
      <c r="L515" s="13">
        <f>L512*-2%</f>
        <v>0.02</v>
      </c>
      <c r="M515" s="13">
        <v>1</v>
      </c>
      <c r="N515" s="88">
        <f>A512</f>
        <v>509</v>
      </c>
      <c r="O515" s="38"/>
    </row>
    <row r="516" spans="1:15" s="9" customFormat="1" x14ac:dyDescent="0.25">
      <c r="A516" s="70">
        <f t="shared" si="48"/>
        <v>513</v>
      </c>
      <c r="C516" s="9" t="str">
        <f t="shared" ca="1" si="51"/>
        <v>All products</v>
      </c>
      <c r="D516" s="9" t="str">
        <f t="shared" ca="1" si="52"/>
        <v>Processing of Food products nec'</v>
      </c>
      <c r="E516" s="9">
        <v>1</v>
      </c>
      <c r="F516" s="9">
        <v>32</v>
      </c>
      <c r="G516" s="9">
        <v>11</v>
      </c>
      <c r="H516" s="13">
        <v>0.10887142857142861</v>
      </c>
      <c r="I516" s="13">
        <f>intermediateEstimate</f>
        <v>0.3</v>
      </c>
      <c r="J516" s="13">
        <v>-1</v>
      </c>
      <c r="K516" s="13">
        <f>advancedEstimate</f>
        <v>0.6</v>
      </c>
      <c r="L516" s="13">
        <v>-1</v>
      </c>
      <c r="M516" s="13">
        <f>extremeEstimate</f>
        <v>0.9</v>
      </c>
      <c r="N516" s="86">
        <f>A516</f>
        <v>513</v>
      </c>
      <c r="O516" s="38"/>
    </row>
    <row r="517" spans="1:15" s="9" customFormat="1" x14ac:dyDescent="0.25">
      <c r="A517" s="70">
        <f t="shared" si="48"/>
        <v>514</v>
      </c>
      <c r="C517" s="9" t="str">
        <f t="shared" ca="1" si="51"/>
        <v>All food products</v>
      </c>
      <c r="D517" s="9" t="str">
        <f t="shared" ca="1" si="52"/>
        <v>Processing of Food products nec'</v>
      </c>
      <c r="E517" s="9">
        <v>33</v>
      </c>
      <c r="F517" s="9">
        <v>32</v>
      </c>
      <c r="G517" s="9">
        <v>11</v>
      </c>
      <c r="H517" s="13">
        <f>H516</f>
        <v>0.10887142857142861</v>
      </c>
      <c r="I517" s="13">
        <f>I516</f>
        <v>0.3</v>
      </c>
      <c r="J517" s="13">
        <f>-J516</f>
        <v>1</v>
      </c>
      <c r="K517" s="13">
        <f>K516</f>
        <v>0.6</v>
      </c>
      <c r="L517" s="13">
        <f>-L516</f>
        <v>1</v>
      </c>
      <c r="M517" s="13">
        <v>1</v>
      </c>
      <c r="N517" s="88">
        <f>A517</f>
        <v>514</v>
      </c>
      <c r="O517" s="38"/>
    </row>
    <row r="518" spans="1:15" s="9" customFormat="1" x14ac:dyDescent="0.25">
      <c r="A518" s="70">
        <f t="shared" si="48"/>
        <v>515</v>
      </c>
      <c r="C518" s="9" t="str">
        <f t="shared" ca="1" si="51"/>
        <v>Equipment and transport</v>
      </c>
      <c r="D518" s="9" t="str">
        <f t="shared" ca="1" si="52"/>
        <v>Processing of Food products nec'</v>
      </c>
      <c r="E518" s="9">
        <v>26</v>
      </c>
      <c r="F518" s="9">
        <v>32</v>
      </c>
      <c r="G518" s="9">
        <v>11</v>
      </c>
      <c r="H518" s="13">
        <f>100%</f>
        <v>1</v>
      </c>
      <c r="I518" s="13">
        <f>100%</f>
        <v>1</v>
      </c>
      <c r="J518" s="13">
        <f>J516*-10%</f>
        <v>0.1</v>
      </c>
      <c r="K518" s="13">
        <v>1</v>
      </c>
      <c r="L518" s="13">
        <f>L516*-10%</f>
        <v>0.1</v>
      </c>
      <c r="M518" s="13">
        <v>1</v>
      </c>
      <c r="N518" s="88">
        <f>A516</f>
        <v>513</v>
      </c>
      <c r="O518" s="38"/>
    </row>
    <row r="519" spans="1:15" s="9" customFormat="1" x14ac:dyDescent="0.25">
      <c r="A519" s="70">
        <f t="shared" si="48"/>
        <v>516</v>
      </c>
      <c r="C519" s="9" t="str">
        <f t="shared" ca="1" si="51"/>
        <v>Public awareness campaign product (post &amp; telecoms, other business, education)</v>
      </c>
      <c r="D519" s="9" t="str">
        <f t="shared" ca="1" si="52"/>
        <v>Processing of Food products nec'</v>
      </c>
      <c r="E519" s="9">
        <v>34</v>
      </c>
      <c r="F519" s="9">
        <v>32</v>
      </c>
      <c r="G519" s="9">
        <v>11</v>
      </c>
      <c r="H519" s="13">
        <f>100%</f>
        <v>1</v>
      </c>
      <c r="I519" s="13">
        <f>100%</f>
        <v>1</v>
      </c>
      <c r="J519" s="13">
        <f>J516*-2%</f>
        <v>0.02</v>
      </c>
      <c r="K519" s="13">
        <v>1</v>
      </c>
      <c r="L519" s="13">
        <f>L516*-2%</f>
        <v>0.02</v>
      </c>
      <c r="M519" s="13">
        <v>1</v>
      </c>
      <c r="N519" s="88">
        <f>A516</f>
        <v>513</v>
      </c>
      <c r="O519" s="38"/>
    </row>
    <row r="520" spans="1:15" s="9" customFormat="1" x14ac:dyDescent="0.25">
      <c r="A520" s="70">
        <f t="shared" si="48"/>
        <v>517</v>
      </c>
      <c r="C520" s="9" t="str">
        <f t="shared" ca="1" si="51"/>
        <v>All products</v>
      </c>
      <c r="D520" s="9" t="str">
        <f t="shared" ca="1" si="52"/>
        <v>Manufacture of beverages'</v>
      </c>
      <c r="E520" s="9">
        <v>1</v>
      </c>
      <c r="F520" s="9">
        <v>33</v>
      </c>
      <c r="G520" s="9">
        <v>11</v>
      </c>
      <c r="H520" s="13">
        <v>0.10887142857142861</v>
      </c>
      <c r="I520" s="13">
        <f>intermediateEstimate</f>
        <v>0.3</v>
      </c>
      <c r="J520" s="13">
        <v>-1</v>
      </c>
      <c r="K520" s="13">
        <f>advancedEstimate</f>
        <v>0.6</v>
      </c>
      <c r="L520" s="13">
        <v>-1</v>
      </c>
      <c r="M520" s="13">
        <f>extremeEstimate</f>
        <v>0.9</v>
      </c>
      <c r="N520" s="86">
        <f>A520</f>
        <v>517</v>
      </c>
    </row>
    <row r="521" spans="1:15" s="9" customFormat="1" x14ac:dyDescent="0.25">
      <c r="A521" s="70">
        <f t="shared" si="48"/>
        <v>518</v>
      </c>
      <c r="C521" s="9" t="str">
        <f t="shared" ca="1" si="51"/>
        <v>All food products</v>
      </c>
      <c r="D521" s="9" t="str">
        <f t="shared" ca="1" si="52"/>
        <v>Manufacture of beverages'</v>
      </c>
      <c r="E521" s="9">
        <v>33</v>
      </c>
      <c r="F521" s="9">
        <v>33</v>
      </c>
      <c r="G521" s="9">
        <v>11</v>
      </c>
      <c r="H521" s="13">
        <f>H520</f>
        <v>0.10887142857142861</v>
      </c>
      <c r="I521" s="13">
        <f>I520</f>
        <v>0.3</v>
      </c>
      <c r="J521" s="13">
        <f>-J520</f>
        <v>1</v>
      </c>
      <c r="K521" s="13">
        <f>K520</f>
        <v>0.6</v>
      </c>
      <c r="L521" s="13">
        <f>-L520</f>
        <v>1</v>
      </c>
      <c r="M521" s="13">
        <v>1</v>
      </c>
      <c r="N521" s="88">
        <f>A521</f>
        <v>518</v>
      </c>
    </row>
    <row r="522" spans="1:15" s="9" customFormat="1" x14ac:dyDescent="0.25">
      <c r="A522" s="70">
        <f t="shared" si="48"/>
        <v>519</v>
      </c>
      <c r="C522" s="9" t="str">
        <f t="shared" ca="1" si="51"/>
        <v>Equipment and transport</v>
      </c>
      <c r="D522" s="9" t="str">
        <f t="shared" ca="1" si="52"/>
        <v>Manufacture of beverages'</v>
      </c>
      <c r="E522" s="9">
        <v>26</v>
      </c>
      <c r="F522" s="9">
        <v>33</v>
      </c>
      <c r="G522" s="9">
        <v>11</v>
      </c>
      <c r="H522" s="13">
        <f>100%</f>
        <v>1</v>
      </c>
      <c r="I522" s="13">
        <f>100%</f>
        <v>1</v>
      </c>
      <c r="J522" s="13">
        <f>J520*-10%</f>
        <v>0.1</v>
      </c>
      <c r="K522" s="13">
        <v>1</v>
      </c>
      <c r="L522" s="13">
        <f>L520*-10%</f>
        <v>0.1</v>
      </c>
      <c r="M522" s="13">
        <v>1</v>
      </c>
      <c r="N522" s="88">
        <f>A520</f>
        <v>517</v>
      </c>
    </row>
    <row r="523" spans="1:15" s="9" customFormat="1" x14ac:dyDescent="0.25">
      <c r="A523" s="70">
        <f t="shared" si="48"/>
        <v>520</v>
      </c>
      <c r="C523" s="9" t="str">
        <f t="shared" ca="1" si="51"/>
        <v>Public awareness campaign product (post &amp; telecoms, other business, education)</v>
      </c>
      <c r="D523" s="9" t="str">
        <f t="shared" ca="1" si="52"/>
        <v>Manufacture of beverages'</v>
      </c>
      <c r="E523" s="9">
        <v>34</v>
      </c>
      <c r="F523" s="9">
        <v>33</v>
      </c>
      <c r="G523" s="9">
        <v>11</v>
      </c>
      <c r="H523" s="13">
        <f>100%</f>
        <v>1</v>
      </c>
      <c r="I523" s="13">
        <f>100%</f>
        <v>1</v>
      </c>
      <c r="J523" s="13">
        <f>J520*-2%</f>
        <v>0.02</v>
      </c>
      <c r="K523" s="13">
        <v>1</v>
      </c>
      <c r="L523" s="13">
        <f>L520*-2%</f>
        <v>0.02</v>
      </c>
      <c r="M523" s="13">
        <v>1</v>
      </c>
      <c r="N523" s="88">
        <f>A520</f>
        <v>517</v>
      </c>
    </row>
    <row r="524" spans="1:15" s="9" customFormat="1" x14ac:dyDescent="0.25">
      <c r="A524" s="70">
        <f t="shared" si="48"/>
        <v>521</v>
      </c>
      <c r="C524" s="9" t="str">
        <f t="shared" ca="1" si="51"/>
        <v>All products</v>
      </c>
      <c r="D524" s="9" t="str">
        <f t="shared" ca="1" si="52"/>
        <v>Manufacture of fish products'</v>
      </c>
      <c r="E524" s="9">
        <v>1</v>
      </c>
      <c r="F524" s="9">
        <v>34</v>
      </c>
      <c r="G524" s="9">
        <v>11</v>
      </c>
      <c r="H524" s="13">
        <v>0.16700000000000004</v>
      </c>
      <c r="I524" s="13">
        <f>intermediateEstimate</f>
        <v>0.3</v>
      </c>
      <c r="J524" s="13">
        <v>-1</v>
      </c>
      <c r="K524" s="13">
        <f>advancedEstimate</f>
        <v>0.6</v>
      </c>
      <c r="L524" s="13">
        <v>-1</v>
      </c>
      <c r="M524" s="13">
        <f>extremeEstimate</f>
        <v>0.9</v>
      </c>
      <c r="N524" s="86">
        <f>A524</f>
        <v>521</v>
      </c>
    </row>
    <row r="525" spans="1:15" s="9" customFormat="1" x14ac:dyDescent="0.25">
      <c r="A525" s="70">
        <f t="shared" si="48"/>
        <v>522</v>
      </c>
      <c r="C525" s="9" t="str">
        <f t="shared" ca="1" si="51"/>
        <v>Fish &amp; seafood</v>
      </c>
      <c r="D525" s="9" t="str">
        <f t="shared" ca="1" si="52"/>
        <v>Manufacture of fish products'</v>
      </c>
      <c r="E525" s="9">
        <v>32</v>
      </c>
      <c r="F525" s="9">
        <v>34</v>
      </c>
      <c r="G525" s="9">
        <v>11</v>
      </c>
      <c r="H525" s="13">
        <f>H524</f>
        <v>0.16700000000000004</v>
      </c>
      <c r="I525" s="13">
        <f>I524</f>
        <v>0.3</v>
      </c>
      <c r="J525" s="13">
        <f>-J524</f>
        <v>1</v>
      </c>
      <c r="K525" s="13">
        <f>K524</f>
        <v>0.6</v>
      </c>
      <c r="L525" s="13">
        <f>-L524</f>
        <v>1</v>
      </c>
      <c r="M525" s="13">
        <v>1</v>
      </c>
      <c r="N525" s="88">
        <f>A525</f>
        <v>522</v>
      </c>
    </row>
    <row r="526" spans="1:15" s="9" customFormat="1" x14ac:dyDescent="0.25">
      <c r="A526" s="70">
        <f t="shared" si="48"/>
        <v>523</v>
      </c>
      <c r="C526" s="9" t="str">
        <f t="shared" ca="1" si="51"/>
        <v>Equipment and transport</v>
      </c>
      <c r="D526" s="9" t="str">
        <f t="shared" ca="1" si="52"/>
        <v>Manufacture of fish products'</v>
      </c>
      <c r="E526" s="9">
        <v>26</v>
      </c>
      <c r="F526" s="9">
        <v>34</v>
      </c>
      <c r="G526" s="9">
        <v>11</v>
      </c>
      <c r="H526" s="13">
        <f>100%</f>
        <v>1</v>
      </c>
      <c r="I526" s="13">
        <f>100%</f>
        <v>1</v>
      </c>
      <c r="J526" s="13">
        <f>J524*-10%</f>
        <v>0.1</v>
      </c>
      <c r="K526" s="13">
        <v>1</v>
      </c>
      <c r="L526" s="13">
        <f>L524*-10%</f>
        <v>0.1</v>
      </c>
      <c r="M526" s="13">
        <v>1</v>
      </c>
      <c r="N526" s="88">
        <f>A524</f>
        <v>521</v>
      </c>
    </row>
    <row r="527" spans="1:15" s="9" customFormat="1" x14ac:dyDescent="0.25">
      <c r="A527" s="70">
        <f t="shared" si="48"/>
        <v>524</v>
      </c>
      <c r="C527" s="9" t="str">
        <f t="shared" ca="1" si="51"/>
        <v>Public awareness campaign product (post &amp; telecoms, other business, education)</v>
      </c>
      <c r="D527" s="9" t="str">
        <f t="shared" ca="1" si="52"/>
        <v>Manufacture of fish products'</v>
      </c>
      <c r="E527" s="9">
        <v>34</v>
      </c>
      <c r="F527" s="9">
        <v>34</v>
      </c>
      <c r="G527" s="9">
        <v>11</v>
      </c>
      <c r="H527" s="13">
        <f>100%</f>
        <v>1</v>
      </c>
      <c r="I527" s="13">
        <f>100%</f>
        <v>1</v>
      </c>
      <c r="J527" s="13">
        <f>J524*-2%</f>
        <v>0.02</v>
      </c>
      <c r="K527" s="13">
        <v>1</v>
      </c>
      <c r="L527" s="13">
        <f>L524*-2%</f>
        <v>0.02</v>
      </c>
      <c r="M527" s="13">
        <v>1</v>
      </c>
      <c r="N527" s="88">
        <f>A524</f>
        <v>521</v>
      </c>
      <c r="O527" s="38"/>
    </row>
    <row r="528" spans="1:15" s="9" customFormat="1" x14ac:dyDescent="0.25">
      <c r="A528" s="70">
        <f t="shared" si="48"/>
        <v>525</v>
      </c>
      <c r="B528" s="9" t="s">
        <v>403</v>
      </c>
      <c r="C528" s="9" t="str">
        <f t="shared" ca="1" si="51"/>
        <v>All products</v>
      </c>
      <c r="D528" s="9" t="str">
        <f t="shared" ca="1" si="52"/>
        <v>Processing of Meat</v>
      </c>
      <c r="E528" s="9">
        <v>1</v>
      </c>
      <c r="F528" s="9">
        <v>27</v>
      </c>
      <c r="G528" s="9">
        <v>12</v>
      </c>
      <c r="H528" s="13">
        <v>0.1070000000000001</v>
      </c>
      <c r="I528" s="13">
        <f>intermediateEstimate</f>
        <v>0.3</v>
      </c>
      <c r="J528" s="13">
        <v>-1</v>
      </c>
      <c r="K528" s="13">
        <f>advancedEstimate</f>
        <v>0.6</v>
      </c>
      <c r="L528" s="13">
        <v>-1</v>
      </c>
      <c r="M528" s="13">
        <f>extremeEstimate</f>
        <v>0.9</v>
      </c>
      <c r="N528" s="86">
        <f>A528</f>
        <v>525</v>
      </c>
      <c r="O528" s="38"/>
    </row>
    <row r="529" spans="1:15" s="9" customFormat="1" x14ac:dyDescent="0.25">
      <c r="A529" s="70">
        <f t="shared" si="48"/>
        <v>526</v>
      </c>
      <c r="C529" s="9" t="str">
        <f t="shared" ca="1" si="51"/>
        <v>Meat</v>
      </c>
      <c r="D529" s="9" t="str">
        <f t="shared" ca="1" si="52"/>
        <v>Processing of Meat</v>
      </c>
      <c r="E529" s="9">
        <v>30</v>
      </c>
      <c r="F529" s="9">
        <v>27</v>
      </c>
      <c r="G529" s="9">
        <v>12</v>
      </c>
      <c r="H529" s="13">
        <f>H528</f>
        <v>0.1070000000000001</v>
      </c>
      <c r="I529" s="13">
        <f>I528</f>
        <v>0.3</v>
      </c>
      <c r="J529" s="13">
        <f>-J528</f>
        <v>1</v>
      </c>
      <c r="K529" s="13">
        <f>K528</f>
        <v>0.6</v>
      </c>
      <c r="L529" s="13">
        <f>-L528</f>
        <v>1</v>
      </c>
      <c r="M529" s="13">
        <v>1</v>
      </c>
      <c r="N529" s="88">
        <f>A529</f>
        <v>526</v>
      </c>
      <c r="O529" s="38"/>
    </row>
    <row r="530" spans="1:15" s="9" customFormat="1" x14ac:dyDescent="0.25">
      <c r="A530" s="70">
        <f t="shared" si="48"/>
        <v>527</v>
      </c>
      <c r="C530" s="9" t="str">
        <f t="shared" ca="1" si="51"/>
        <v>Equipment and transport</v>
      </c>
      <c r="D530" s="9" t="str">
        <f t="shared" ca="1" si="52"/>
        <v>Processing of Meat</v>
      </c>
      <c r="E530" s="9">
        <v>26</v>
      </c>
      <c r="F530" s="9">
        <v>27</v>
      </c>
      <c r="G530" s="9">
        <v>12</v>
      </c>
      <c r="H530" s="13">
        <f>100%</f>
        <v>1</v>
      </c>
      <c r="I530" s="13">
        <f>100%</f>
        <v>1</v>
      </c>
      <c r="J530" s="13">
        <f>J528*-10%</f>
        <v>0.1</v>
      </c>
      <c r="K530" s="13">
        <v>1</v>
      </c>
      <c r="L530" s="13">
        <f>L528*-10%</f>
        <v>0.1</v>
      </c>
      <c r="M530" s="13">
        <v>1</v>
      </c>
      <c r="N530" s="88">
        <f>A528</f>
        <v>525</v>
      </c>
      <c r="O530" s="38"/>
    </row>
    <row r="531" spans="1:15" s="9" customFormat="1" x14ac:dyDescent="0.25">
      <c r="A531" s="70">
        <f t="shared" si="48"/>
        <v>528</v>
      </c>
      <c r="C531" s="9" t="str">
        <f t="shared" ca="1" si="51"/>
        <v>Public awareness campaign product (post &amp; telecoms, other business, education)</v>
      </c>
      <c r="D531" s="9" t="str">
        <f t="shared" ca="1" si="52"/>
        <v>Processing of Meat</v>
      </c>
      <c r="E531" s="9">
        <v>34</v>
      </c>
      <c r="F531" s="9">
        <v>27</v>
      </c>
      <c r="G531" s="9">
        <v>12</v>
      </c>
      <c r="H531" s="13">
        <f>100%</f>
        <v>1</v>
      </c>
      <c r="I531" s="13">
        <f>100%</f>
        <v>1</v>
      </c>
      <c r="J531" s="13">
        <f>J528*-2%</f>
        <v>0.02</v>
      </c>
      <c r="K531" s="13">
        <v>1</v>
      </c>
      <c r="L531" s="13">
        <f>L528*-2%</f>
        <v>0.02</v>
      </c>
      <c r="M531" s="13">
        <v>1</v>
      </c>
      <c r="N531" s="88">
        <f>A528</f>
        <v>525</v>
      </c>
      <c r="O531" s="38"/>
    </row>
    <row r="532" spans="1:15" s="9" customFormat="1" x14ac:dyDescent="0.25">
      <c r="A532" s="70">
        <f t="shared" si="48"/>
        <v>529</v>
      </c>
      <c r="C532" s="9" t="str">
        <f t="shared" ca="1" si="51"/>
        <v>All products</v>
      </c>
      <c r="D532" s="9" t="str">
        <f t="shared" ca="1" si="52"/>
        <v>Processing vegetable oils and fats'</v>
      </c>
      <c r="E532" s="9">
        <v>1</v>
      </c>
      <c r="F532" s="9">
        <v>28</v>
      </c>
      <c r="G532" s="9">
        <v>12</v>
      </c>
      <c r="H532" s="13">
        <v>3.960000000000008E-2</v>
      </c>
      <c r="I532" s="13">
        <f>intermediateEstimate</f>
        <v>0.3</v>
      </c>
      <c r="J532" s="13">
        <v>-1</v>
      </c>
      <c r="K532" s="13">
        <f>advancedEstimate</f>
        <v>0.6</v>
      </c>
      <c r="L532" s="13">
        <v>-1</v>
      </c>
      <c r="M532" s="13">
        <f>extremeEstimate</f>
        <v>0.9</v>
      </c>
      <c r="N532" s="86">
        <f>A532</f>
        <v>529</v>
      </c>
      <c r="O532" s="38"/>
    </row>
    <row r="533" spans="1:15" s="9" customFormat="1" x14ac:dyDescent="0.25">
      <c r="A533" s="70">
        <f t="shared" si="48"/>
        <v>530</v>
      </c>
      <c r="C533" s="9" t="str">
        <f t="shared" ca="1" si="51"/>
        <v>Oilseeds and pulses</v>
      </c>
      <c r="D533" s="9" t="str">
        <f t="shared" ca="1" si="52"/>
        <v>Processing vegetable oils and fats'</v>
      </c>
      <c r="E533" s="9">
        <v>28</v>
      </c>
      <c r="F533" s="9">
        <v>28</v>
      </c>
      <c r="G533" s="9">
        <v>12</v>
      </c>
      <c r="H533" s="13">
        <f>H532</f>
        <v>3.960000000000008E-2</v>
      </c>
      <c r="I533" s="13">
        <f>I532</f>
        <v>0.3</v>
      </c>
      <c r="J533" s="13">
        <f>-J532</f>
        <v>1</v>
      </c>
      <c r="K533" s="13">
        <f>K532</f>
        <v>0.6</v>
      </c>
      <c r="L533" s="13">
        <f>-L532</f>
        <v>1</v>
      </c>
      <c r="M533" s="13">
        <v>1</v>
      </c>
      <c r="N533" s="88">
        <f>A533</f>
        <v>530</v>
      </c>
      <c r="O533" s="38"/>
    </row>
    <row r="534" spans="1:15" s="9" customFormat="1" x14ac:dyDescent="0.25">
      <c r="A534" s="70">
        <f t="shared" si="48"/>
        <v>531</v>
      </c>
      <c r="C534" s="9" t="str">
        <f t="shared" ca="1" si="51"/>
        <v>Equipment and transport</v>
      </c>
      <c r="D534" s="9" t="str">
        <f t="shared" ca="1" si="52"/>
        <v>Processing vegetable oils and fats'</v>
      </c>
      <c r="E534" s="9">
        <v>26</v>
      </c>
      <c r="F534" s="9">
        <v>28</v>
      </c>
      <c r="G534" s="9">
        <v>12</v>
      </c>
      <c r="H534" s="13">
        <f>100%</f>
        <v>1</v>
      </c>
      <c r="I534" s="13">
        <f>100%</f>
        <v>1</v>
      </c>
      <c r="J534" s="13">
        <f>J532*-10%</f>
        <v>0.1</v>
      </c>
      <c r="K534" s="13">
        <v>1</v>
      </c>
      <c r="L534" s="13">
        <f>L532*-10%</f>
        <v>0.1</v>
      </c>
      <c r="M534" s="13">
        <v>1</v>
      </c>
      <c r="N534" s="88">
        <f>A532</f>
        <v>529</v>
      </c>
      <c r="O534" s="38"/>
    </row>
    <row r="535" spans="1:15" s="9" customFormat="1" x14ac:dyDescent="0.25">
      <c r="A535" s="70">
        <f t="shared" si="48"/>
        <v>532</v>
      </c>
      <c r="C535" s="9" t="str">
        <f t="shared" ca="1" si="51"/>
        <v>Public awareness campaign product (post &amp; telecoms, other business, education)</v>
      </c>
      <c r="D535" s="9" t="str">
        <f t="shared" ca="1" si="52"/>
        <v>Processing vegetable oils and fats'</v>
      </c>
      <c r="E535" s="9">
        <v>34</v>
      </c>
      <c r="F535" s="9">
        <v>28</v>
      </c>
      <c r="G535" s="9">
        <v>12</v>
      </c>
      <c r="H535" s="13">
        <f>100%</f>
        <v>1</v>
      </c>
      <c r="I535" s="13">
        <f>100%</f>
        <v>1</v>
      </c>
      <c r="J535" s="13">
        <f>J532*-2%</f>
        <v>0.02</v>
      </c>
      <c r="K535" s="13">
        <v>1</v>
      </c>
      <c r="L535" s="13">
        <f>L532*-2%</f>
        <v>0.02</v>
      </c>
      <c r="M535" s="13">
        <v>1</v>
      </c>
      <c r="N535" s="88">
        <f>A532</f>
        <v>529</v>
      </c>
      <c r="O535" s="38"/>
    </row>
    <row r="536" spans="1:15" s="9" customFormat="1" x14ac:dyDescent="0.25">
      <c r="A536" s="70">
        <f t="shared" si="48"/>
        <v>533</v>
      </c>
      <c r="C536" s="9" t="str">
        <f t="shared" ca="1" si="51"/>
        <v>All products</v>
      </c>
      <c r="D536" s="9" t="str">
        <f t="shared" ca="1" si="52"/>
        <v>Processing of dairy products'</v>
      </c>
      <c r="E536" s="9">
        <v>1</v>
      </c>
      <c r="F536" s="9">
        <v>29</v>
      </c>
      <c r="G536" s="9">
        <v>12</v>
      </c>
      <c r="H536" s="13">
        <v>0.11680000000000001</v>
      </c>
      <c r="I536" s="13">
        <f>intermediateEstimate</f>
        <v>0.3</v>
      </c>
      <c r="J536" s="13">
        <v>-1</v>
      </c>
      <c r="K536" s="13">
        <f>advancedEstimate</f>
        <v>0.6</v>
      </c>
      <c r="L536" s="13">
        <v>-1</v>
      </c>
      <c r="M536" s="13">
        <f>extremeEstimate</f>
        <v>0.9</v>
      </c>
      <c r="N536" s="86">
        <f>A536</f>
        <v>533</v>
      </c>
      <c r="O536" s="38"/>
    </row>
    <row r="537" spans="1:15" s="9" customFormat="1" x14ac:dyDescent="0.25">
      <c r="A537" s="70">
        <f t="shared" si="48"/>
        <v>534</v>
      </c>
      <c r="C537" s="9" t="str">
        <f t="shared" ca="1" si="51"/>
        <v>Milk</v>
      </c>
      <c r="D537" s="9" t="str">
        <f t="shared" ca="1" si="52"/>
        <v>Processing of dairy products'</v>
      </c>
      <c r="E537" s="9">
        <v>31</v>
      </c>
      <c r="F537" s="9">
        <v>29</v>
      </c>
      <c r="G537" s="9">
        <v>12</v>
      </c>
      <c r="H537" s="13">
        <f>H536</f>
        <v>0.11680000000000001</v>
      </c>
      <c r="I537" s="13">
        <f>I536</f>
        <v>0.3</v>
      </c>
      <c r="J537" s="13">
        <f>-J536</f>
        <v>1</v>
      </c>
      <c r="K537" s="13">
        <f>K536</f>
        <v>0.6</v>
      </c>
      <c r="L537" s="13">
        <f>-L536</f>
        <v>1</v>
      </c>
      <c r="M537" s="13">
        <v>1</v>
      </c>
      <c r="N537" s="88">
        <f>A537</f>
        <v>534</v>
      </c>
      <c r="O537" s="38"/>
    </row>
    <row r="538" spans="1:15" s="9" customFormat="1" x14ac:dyDescent="0.25">
      <c r="A538" s="70">
        <f t="shared" si="48"/>
        <v>535</v>
      </c>
      <c r="C538" s="9" t="str">
        <f t="shared" ca="1" si="51"/>
        <v>Equipment and transport</v>
      </c>
      <c r="D538" s="9" t="str">
        <f t="shared" ca="1" si="52"/>
        <v>Processing of dairy products'</v>
      </c>
      <c r="E538" s="9">
        <v>26</v>
      </c>
      <c r="F538" s="9">
        <v>29</v>
      </c>
      <c r="G538" s="9">
        <v>12</v>
      </c>
      <c r="H538" s="13">
        <f>100%</f>
        <v>1</v>
      </c>
      <c r="I538" s="13">
        <f>100%</f>
        <v>1</v>
      </c>
      <c r="J538" s="13">
        <f>J536*-10%</f>
        <v>0.1</v>
      </c>
      <c r="K538" s="13">
        <v>1</v>
      </c>
      <c r="L538" s="13">
        <f>L536*-10%</f>
        <v>0.1</v>
      </c>
      <c r="M538" s="13">
        <v>1</v>
      </c>
      <c r="N538" s="88">
        <f>A536</f>
        <v>533</v>
      </c>
      <c r="O538" s="38"/>
    </row>
    <row r="539" spans="1:15" s="9" customFormat="1" x14ac:dyDescent="0.25">
      <c r="A539" s="70">
        <f t="shared" si="48"/>
        <v>536</v>
      </c>
      <c r="C539" s="9" t="str">
        <f t="shared" ca="1" si="51"/>
        <v>Public awareness campaign product (post &amp; telecoms, other business, education)</v>
      </c>
      <c r="D539" s="9" t="str">
        <f t="shared" ca="1" si="52"/>
        <v>Processing of dairy products'</v>
      </c>
      <c r="E539" s="9">
        <v>34</v>
      </c>
      <c r="F539" s="9">
        <v>29</v>
      </c>
      <c r="G539" s="9">
        <v>12</v>
      </c>
      <c r="H539" s="13">
        <f>100%</f>
        <v>1</v>
      </c>
      <c r="I539" s="13">
        <f>100%</f>
        <v>1</v>
      </c>
      <c r="J539" s="13">
        <f>J536*-2%</f>
        <v>0.02</v>
      </c>
      <c r="K539" s="13">
        <v>1</v>
      </c>
      <c r="L539" s="13">
        <f>L536*-2%</f>
        <v>0.02</v>
      </c>
      <c r="M539" s="13">
        <v>1</v>
      </c>
      <c r="N539" s="88">
        <f>A536</f>
        <v>533</v>
      </c>
      <c r="O539" s="38"/>
    </row>
    <row r="540" spans="1:15" s="9" customFormat="1" x14ac:dyDescent="0.25">
      <c r="A540" s="70">
        <f t="shared" si="48"/>
        <v>537</v>
      </c>
      <c r="C540" s="9" t="str">
        <f t="shared" ca="1" si="51"/>
        <v>All products</v>
      </c>
      <c r="D540" s="9" t="str">
        <f t="shared" ca="1" si="52"/>
        <v>Processed rice'</v>
      </c>
      <c r="E540" s="9">
        <v>1</v>
      </c>
      <c r="F540" s="9">
        <v>30</v>
      </c>
      <c r="G540" s="9">
        <v>12</v>
      </c>
      <c r="H540" s="13">
        <v>0.13600000000000001</v>
      </c>
      <c r="I540" s="13">
        <f>intermediateEstimate</f>
        <v>0.3</v>
      </c>
      <c r="J540" s="13">
        <v>-1</v>
      </c>
      <c r="K540" s="13">
        <f>advancedEstimate</f>
        <v>0.6</v>
      </c>
      <c r="L540" s="13">
        <v>-1</v>
      </c>
      <c r="M540" s="13">
        <f>extremeEstimate</f>
        <v>0.9</v>
      </c>
      <c r="N540" s="86">
        <f>A540</f>
        <v>537</v>
      </c>
      <c r="O540" s="38"/>
    </row>
    <row r="541" spans="1:15" s="9" customFormat="1" x14ac:dyDescent="0.25">
      <c r="A541" s="70">
        <f t="shared" si="48"/>
        <v>538</v>
      </c>
      <c r="C541" s="9" t="str">
        <f t="shared" ca="1" si="51"/>
        <v xml:space="preserve">Cereals </v>
      </c>
      <c r="D541" s="9" t="str">
        <f t="shared" ca="1" si="52"/>
        <v>Processed rice'</v>
      </c>
      <c r="E541" s="9">
        <v>27</v>
      </c>
      <c r="F541" s="9">
        <v>30</v>
      </c>
      <c r="G541" s="9">
        <v>12</v>
      </c>
      <c r="H541" s="13">
        <f>H540</f>
        <v>0.13600000000000001</v>
      </c>
      <c r="I541" s="13">
        <f>I540</f>
        <v>0.3</v>
      </c>
      <c r="J541" s="13">
        <f>-J540</f>
        <v>1</v>
      </c>
      <c r="K541" s="13">
        <f>K540</f>
        <v>0.6</v>
      </c>
      <c r="L541" s="13">
        <f>-L540</f>
        <v>1</v>
      </c>
      <c r="M541" s="13">
        <v>1</v>
      </c>
      <c r="N541" s="88">
        <f>A541</f>
        <v>538</v>
      </c>
      <c r="O541" s="38"/>
    </row>
    <row r="542" spans="1:15" s="9" customFormat="1" x14ac:dyDescent="0.25">
      <c r="A542" s="70">
        <f t="shared" si="48"/>
        <v>539</v>
      </c>
      <c r="C542" s="9" t="str">
        <f t="shared" ca="1" si="51"/>
        <v>Equipment and transport</v>
      </c>
      <c r="D542" s="9" t="str">
        <f t="shared" ca="1" si="52"/>
        <v>Processed rice'</v>
      </c>
      <c r="E542" s="9">
        <v>26</v>
      </c>
      <c r="F542" s="9">
        <v>30</v>
      </c>
      <c r="G542" s="9">
        <v>12</v>
      </c>
      <c r="H542" s="13">
        <f>100%</f>
        <v>1</v>
      </c>
      <c r="I542" s="13">
        <f>100%</f>
        <v>1</v>
      </c>
      <c r="J542" s="13">
        <f>J540*-10%</f>
        <v>0.1</v>
      </c>
      <c r="K542" s="13">
        <v>1</v>
      </c>
      <c r="L542" s="13">
        <f>L540*-10%</f>
        <v>0.1</v>
      </c>
      <c r="M542" s="13">
        <v>1</v>
      </c>
      <c r="N542" s="88">
        <f>A540</f>
        <v>537</v>
      </c>
      <c r="O542" s="38"/>
    </row>
    <row r="543" spans="1:15" s="9" customFormat="1" x14ac:dyDescent="0.25">
      <c r="A543" s="70">
        <f t="shared" si="48"/>
        <v>540</v>
      </c>
      <c r="C543" s="9" t="str">
        <f t="shared" ref="C543:C606" ca="1" si="53">INDIRECT(ADDRESS(E543+2,2,,,"product Table"))</f>
        <v>Public awareness campaign product (post &amp; telecoms, other business, education)</v>
      </c>
      <c r="D543" s="9" t="str">
        <f t="shared" ref="D543:D606" ca="1" si="54">INDIRECT(ADDRESS(F543+2,2,,,"industry Table"))</f>
        <v>Processed rice'</v>
      </c>
      <c r="E543" s="9">
        <v>34</v>
      </c>
      <c r="F543" s="9">
        <v>30</v>
      </c>
      <c r="G543" s="9">
        <v>12</v>
      </c>
      <c r="H543" s="13">
        <f>100%</f>
        <v>1</v>
      </c>
      <c r="I543" s="13">
        <f>100%</f>
        <v>1</v>
      </c>
      <c r="J543" s="13">
        <f>J540*-2%</f>
        <v>0.02</v>
      </c>
      <c r="K543" s="13">
        <v>1</v>
      </c>
      <c r="L543" s="13">
        <f>L540*-2%</f>
        <v>0.02</v>
      </c>
      <c r="M543" s="13">
        <v>1</v>
      </c>
      <c r="N543" s="88">
        <f>A540</f>
        <v>537</v>
      </c>
      <c r="O543" s="38"/>
    </row>
    <row r="544" spans="1:15" s="9" customFormat="1" x14ac:dyDescent="0.25">
      <c r="A544" s="70">
        <f t="shared" si="48"/>
        <v>541</v>
      </c>
      <c r="C544" s="9" t="str">
        <f t="shared" ca="1" si="53"/>
        <v>All products</v>
      </c>
      <c r="D544" s="9" t="str">
        <f t="shared" ca="1" si="54"/>
        <v>Sugar refining'</v>
      </c>
      <c r="E544" s="9">
        <v>1</v>
      </c>
      <c r="F544" s="9">
        <v>31</v>
      </c>
      <c r="G544" s="9">
        <v>12</v>
      </c>
      <c r="H544" s="13">
        <v>6.8800000000000083E-2</v>
      </c>
      <c r="I544" s="13">
        <f>intermediateEstimate</f>
        <v>0.3</v>
      </c>
      <c r="J544" s="13">
        <v>-1</v>
      </c>
      <c r="K544" s="13">
        <f>advancedEstimate</f>
        <v>0.6</v>
      </c>
      <c r="L544" s="13">
        <v>-1</v>
      </c>
      <c r="M544" s="13">
        <f>extremeEstimate</f>
        <v>0.9</v>
      </c>
      <c r="N544" s="86">
        <f>A544</f>
        <v>541</v>
      </c>
      <c r="O544" s="38"/>
    </row>
    <row r="545" spans="1:15" s="9" customFormat="1" x14ac:dyDescent="0.25">
      <c r="A545" s="70">
        <f t="shared" si="48"/>
        <v>542</v>
      </c>
      <c r="C545" s="9" t="str">
        <f t="shared" ca="1" si="53"/>
        <v>Roots &amp; tubers</v>
      </c>
      <c r="D545" s="9" t="str">
        <f t="shared" ca="1" si="54"/>
        <v>Sugar refining'</v>
      </c>
      <c r="E545" s="9">
        <v>29</v>
      </c>
      <c r="F545" s="9">
        <v>31</v>
      </c>
      <c r="G545" s="9">
        <v>12</v>
      </c>
      <c r="H545" s="13">
        <f>H544</f>
        <v>6.8800000000000083E-2</v>
      </c>
      <c r="I545" s="13">
        <f>I544</f>
        <v>0.3</v>
      </c>
      <c r="J545" s="13">
        <f>-J544</f>
        <v>1</v>
      </c>
      <c r="K545" s="13">
        <f>K544</f>
        <v>0.6</v>
      </c>
      <c r="L545" s="13">
        <f>-L544</f>
        <v>1</v>
      </c>
      <c r="M545" s="13">
        <v>1</v>
      </c>
      <c r="N545" s="88">
        <f>A545</f>
        <v>542</v>
      </c>
      <c r="O545" s="38"/>
    </row>
    <row r="546" spans="1:15" s="9" customFormat="1" x14ac:dyDescent="0.25">
      <c r="A546" s="70">
        <f t="shared" si="48"/>
        <v>543</v>
      </c>
      <c r="C546" s="9" t="str">
        <f t="shared" ca="1" si="53"/>
        <v>Equipment and transport</v>
      </c>
      <c r="D546" s="9" t="str">
        <f t="shared" ca="1" si="54"/>
        <v>Sugar refining'</v>
      </c>
      <c r="E546" s="9">
        <v>26</v>
      </c>
      <c r="F546" s="9">
        <v>31</v>
      </c>
      <c r="G546" s="9">
        <v>12</v>
      </c>
      <c r="H546" s="13">
        <f>100%</f>
        <v>1</v>
      </c>
      <c r="I546" s="13">
        <f>100%</f>
        <v>1</v>
      </c>
      <c r="J546" s="13">
        <f>J544*-10%</f>
        <v>0.1</v>
      </c>
      <c r="K546" s="13">
        <v>1</v>
      </c>
      <c r="L546" s="13">
        <f>L544*-10%</f>
        <v>0.1</v>
      </c>
      <c r="M546" s="13">
        <v>1</v>
      </c>
      <c r="N546" s="88">
        <f>A544</f>
        <v>541</v>
      </c>
      <c r="O546" s="38"/>
    </row>
    <row r="547" spans="1:15" s="9" customFormat="1" x14ac:dyDescent="0.25">
      <c r="A547" s="70">
        <f t="shared" si="48"/>
        <v>544</v>
      </c>
      <c r="C547" s="9" t="str">
        <f t="shared" ca="1" si="53"/>
        <v>Public awareness campaign product (post &amp; telecoms, other business, education)</v>
      </c>
      <c r="D547" s="9" t="str">
        <f t="shared" ca="1" si="54"/>
        <v>Sugar refining'</v>
      </c>
      <c r="E547" s="9">
        <v>34</v>
      </c>
      <c r="F547" s="9">
        <v>31</v>
      </c>
      <c r="G547" s="9">
        <v>12</v>
      </c>
      <c r="H547" s="13">
        <f>100%</f>
        <v>1</v>
      </c>
      <c r="I547" s="13">
        <f>100%</f>
        <v>1</v>
      </c>
      <c r="J547" s="13">
        <f>J544*-2%</f>
        <v>0.02</v>
      </c>
      <c r="K547" s="13">
        <v>1</v>
      </c>
      <c r="L547" s="13">
        <f>L544*-2%</f>
        <v>0.02</v>
      </c>
      <c r="M547" s="13">
        <v>1</v>
      </c>
      <c r="N547" s="88">
        <f>A544</f>
        <v>541</v>
      </c>
      <c r="O547" s="38"/>
    </row>
    <row r="548" spans="1:15" s="9" customFormat="1" x14ac:dyDescent="0.25">
      <c r="A548" s="70">
        <f t="shared" si="48"/>
        <v>545</v>
      </c>
      <c r="C548" s="9" t="str">
        <f t="shared" ca="1" si="53"/>
        <v>All products</v>
      </c>
      <c r="D548" s="9" t="str">
        <f t="shared" ca="1" si="54"/>
        <v>Processing of Food products nec'</v>
      </c>
      <c r="E548" s="9">
        <v>1</v>
      </c>
      <c r="F548" s="9">
        <v>32</v>
      </c>
      <c r="G548" s="9">
        <v>12</v>
      </c>
      <c r="H548" s="13">
        <v>0.11602857142857147</v>
      </c>
      <c r="I548" s="13">
        <f>intermediateEstimate</f>
        <v>0.3</v>
      </c>
      <c r="J548" s="13">
        <v>-1</v>
      </c>
      <c r="K548" s="13">
        <f>advancedEstimate</f>
        <v>0.6</v>
      </c>
      <c r="L548" s="13">
        <v>-1</v>
      </c>
      <c r="M548" s="13">
        <f>extremeEstimate</f>
        <v>0.9</v>
      </c>
      <c r="N548" s="86">
        <f>A548</f>
        <v>545</v>
      </c>
      <c r="O548" s="38"/>
    </row>
    <row r="549" spans="1:15" s="9" customFormat="1" x14ac:dyDescent="0.25">
      <c r="A549" s="70">
        <f t="shared" si="48"/>
        <v>546</v>
      </c>
      <c r="C549" s="9" t="str">
        <f t="shared" ca="1" si="53"/>
        <v>All food products</v>
      </c>
      <c r="D549" s="9" t="str">
        <f t="shared" ca="1" si="54"/>
        <v>Processing of Food products nec'</v>
      </c>
      <c r="E549" s="9">
        <v>33</v>
      </c>
      <c r="F549" s="9">
        <v>32</v>
      </c>
      <c r="G549" s="9">
        <v>12</v>
      </c>
      <c r="H549" s="13">
        <f>H548</f>
        <v>0.11602857142857147</v>
      </c>
      <c r="I549" s="13">
        <f>I548</f>
        <v>0.3</v>
      </c>
      <c r="J549" s="13">
        <f>-J548</f>
        <v>1</v>
      </c>
      <c r="K549" s="13">
        <f>K548</f>
        <v>0.6</v>
      </c>
      <c r="L549" s="13">
        <f>-L548</f>
        <v>1</v>
      </c>
      <c r="M549" s="13">
        <v>1</v>
      </c>
      <c r="N549" s="88">
        <f>A549</f>
        <v>546</v>
      </c>
      <c r="O549" s="38"/>
    </row>
    <row r="550" spans="1:15" s="9" customFormat="1" x14ac:dyDescent="0.25">
      <c r="A550" s="70">
        <f t="shared" si="48"/>
        <v>547</v>
      </c>
      <c r="C550" s="9" t="str">
        <f t="shared" ca="1" si="53"/>
        <v>Equipment and transport</v>
      </c>
      <c r="D550" s="9" t="str">
        <f t="shared" ca="1" si="54"/>
        <v>Processing of Food products nec'</v>
      </c>
      <c r="E550" s="9">
        <v>26</v>
      </c>
      <c r="F550" s="9">
        <v>32</v>
      </c>
      <c r="G550" s="9">
        <v>12</v>
      </c>
      <c r="H550" s="13">
        <f>100%</f>
        <v>1</v>
      </c>
      <c r="I550" s="13">
        <f>100%</f>
        <v>1</v>
      </c>
      <c r="J550" s="13">
        <f>J548*-10%</f>
        <v>0.1</v>
      </c>
      <c r="K550" s="13">
        <v>1</v>
      </c>
      <c r="L550" s="13">
        <f>L548*-10%</f>
        <v>0.1</v>
      </c>
      <c r="M550" s="13">
        <v>1</v>
      </c>
      <c r="N550" s="88">
        <f>A548</f>
        <v>545</v>
      </c>
      <c r="O550" s="38"/>
    </row>
    <row r="551" spans="1:15" s="9" customFormat="1" x14ac:dyDescent="0.25">
      <c r="A551" s="70">
        <f t="shared" si="48"/>
        <v>548</v>
      </c>
      <c r="C551" s="9" t="str">
        <f t="shared" ca="1" si="53"/>
        <v>Public awareness campaign product (post &amp; telecoms, other business, education)</v>
      </c>
      <c r="D551" s="9" t="str">
        <f t="shared" ca="1" si="54"/>
        <v>Processing of Food products nec'</v>
      </c>
      <c r="E551" s="9">
        <v>34</v>
      </c>
      <c r="F551" s="9">
        <v>32</v>
      </c>
      <c r="G551" s="9">
        <v>12</v>
      </c>
      <c r="H551" s="13">
        <f>100%</f>
        <v>1</v>
      </c>
      <c r="I551" s="13">
        <f>100%</f>
        <v>1</v>
      </c>
      <c r="J551" s="13">
        <f>J548*-2%</f>
        <v>0.02</v>
      </c>
      <c r="K551" s="13">
        <v>1</v>
      </c>
      <c r="L551" s="13">
        <f>L548*-2%</f>
        <v>0.02</v>
      </c>
      <c r="M551" s="13">
        <v>1</v>
      </c>
      <c r="N551" s="88">
        <f>A548</f>
        <v>545</v>
      </c>
      <c r="O551" s="38"/>
    </row>
    <row r="552" spans="1:15" s="9" customFormat="1" x14ac:dyDescent="0.25">
      <c r="A552" s="70">
        <f t="shared" si="48"/>
        <v>549</v>
      </c>
      <c r="C552" s="9" t="str">
        <f t="shared" ca="1" si="53"/>
        <v>All products</v>
      </c>
      <c r="D552" s="9" t="str">
        <f t="shared" ca="1" si="54"/>
        <v>Manufacture of beverages'</v>
      </c>
      <c r="E552" s="9">
        <v>1</v>
      </c>
      <c r="F552" s="9">
        <v>33</v>
      </c>
      <c r="G552" s="9">
        <v>12</v>
      </c>
      <c r="H552" s="13">
        <v>0.11602857142857147</v>
      </c>
      <c r="I552" s="13">
        <f>intermediateEstimate</f>
        <v>0.3</v>
      </c>
      <c r="J552" s="13">
        <v>-1</v>
      </c>
      <c r="K552" s="13">
        <f>advancedEstimate</f>
        <v>0.6</v>
      </c>
      <c r="L552" s="13">
        <v>-1</v>
      </c>
      <c r="M552" s="13">
        <f>extremeEstimate</f>
        <v>0.9</v>
      </c>
      <c r="N552" s="86">
        <f>A552</f>
        <v>549</v>
      </c>
    </row>
    <row r="553" spans="1:15" s="9" customFormat="1" x14ac:dyDescent="0.25">
      <c r="A553" s="70">
        <f t="shared" si="48"/>
        <v>550</v>
      </c>
      <c r="C553" s="9" t="str">
        <f t="shared" ca="1" si="53"/>
        <v>All food products</v>
      </c>
      <c r="D553" s="9" t="str">
        <f t="shared" ca="1" si="54"/>
        <v>Manufacture of beverages'</v>
      </c>
      <c r="E553" s="9">
        <v>33</v>
      </c>
      <c r="F553" s="9">
        <v>33</v>
      </c>
      <c r="G553" s="9">
        <v>12</v>
      </c>
      <c r="H553" s="13">
        <f>H552</f>
        <v>0.11602857142857147</v>
      </c>
      <c r="I553" s="13">
        <f>I552</f>
        <v>0.3</v>
      </c>
      <c r="J553" s="13">
        <f>-J552</f>
        <v>1</v>
      </c>
      <c r="K553" s="13">
        <f>K552</f>
        <v>0.6</v>
      </c>
      <c r="L553" s="13">
        <f>-L552</f>
        <v>1</v>
      </c>
      <c r="M553" s="13">
        <v>1</v>
      </c>
      <c r="N553" s="88">
        <f>A553</f>
        <v>550</v>
      </c>
    </row>
    <row r="554" spans="1:15" s="9" customFormat="1" x14ac:dyDescent="0.25">
      <c r="A554" s="70">
        <f t="shared" si="48"/>
        <v>551</v>
      </c>
      <c r="C554" s="9" t="str">
        <f t="shared" ca="1" si="53"/>
        <v>Equipment and transport</v>
      </c>
      <c r="D554" s="9" t="str">
        <f t="shared" ca="1" si="54"/>
        <v>Manufacture of beverages'</v>
      </c>
      <c r="E554" s="9">
        <v>26</v>
      </c>
      <c r="F554" s="9">
        <v>33</v>
      </c>
      <c r="G554" s="9">
        <v>12</v>
      </c>
      <c r="H554" s="13">
        <f>100%</f>
        <v>1</v>
      </c>
      <c r="I554" s="13">
        <f>100%</f>
        <v>1</v>
      </c>
      <c r="J554" s="13">
        <f>J552*-10%</f>
        <v>0.1</v>
      </c>
      <c r="K554" s="13">
        <v>1</v>
      </c>
      <c r="L554" s="13">
        <f>L552*-10%</f>
        <v>0.1</v>
      </c>
      <c r="M554" s="13">
        <v>1</v>
      </c>
      <c r="N554" s="88">
        <f>A552</f>
        <v>549</v>
      </c>
    </row>
    <row r="555" spans="1:15" s="9" customFormat="1" x14ac:dyDescent="0.25">
      <c r="A555" s="70">
        <f t="shared" si="48"/>
        <v>552</v>
      </c>
      <c r="C555" s="9" t="str">
        <f t="shared" ca="1" si="53"/>
        <v>Public awareness campaign product (post &amp; telecoms, other business, education)</v>
      </c>
      <c r="D555" s="9" t="str">
        <f t="shared" ca="1" si="54"/>
        <v>Manufacture of beverages'</v>
      </c>
      <c r="E555" s="9">
        <v>34</v>
      </c>
      <c r="F555" s="9">
        <v>33</v>
      </c>
      <c r="G555" s="9">
        <v>12</v>
      </c>
      <c r="H555" s="13">
        <f>100%</f>
        <v>1</v>
      </c>
      <c r="I555" s="13">
        <f>100%</f>
        <v>1</v>
      </c>
      <c r="J555" s="13">
        <f>J552*-2%</f>
        <v>0.02</v>
      </c>
      <c r="K555" s="13">
        <v>1</v>
      </c>
      <c r="L555" s="13">
        <f>L552*-2%</f>
        <v>0.02</v>
      </c>
      <c r="M555" s="13">
        <v>1</v>
      </c>
      <c r="N555" s="88">
        <f>A552</f>
        <v>549</v>
      </c>
    </row>
    <row r="556" spans="1:15" s="9" customFormat="1" x14ac:dyDescent="0.25">
      <c r="A556" s="70">
        <f t="shared" si="48"/>
        <v>553</v>
      </c>
      <c r="C556" s="9" t="str">
        <f t="shared" ca="1" si="53"/>
        <v>All products</v>
      </c>
      <c r="D556" s="9" t="str">
        <f t="shared" ca="1" si="54"/>
        <v>Manufacture of fish products'</v>
      </c>
      <c r="E556" s="9">
        <v>1</v>
      </c>
      <c r="F556" s="9">
        <v>34</v>
      </c>
      <c r="G556" s="9">
        <v>12</v>
      </c>
      <c r="H556" s="13">
        <v>0.13600000000000001</v>
      </c>
      <c r="I556" s="13">
        <f>intermediateEstimate</f>
        <v>0.3</v>
      </c>
      <c r="J556" s="13">
        <v>-1</v>
      </c>
      <c r="K556" s="13">
        <f>advancedEstimate</f>
        <v>0.6</v>
      </c>
      <c r="L556" s="13">
        <v>-1</v>
      </c>
      <c r="M556" s="13">
        <f>extremeEstimate</f>
        <v>0.9</v>
      </c>
      <c r="N556" s="86">
        <f>A556</f>
        <v>553</v>
      </c>
    </row>
    <row r="557" spans="1:15" s="9" customFormat="1" x14ac:dyDescent="0.25">
      <c r="A557" s="70">
        <f t="shared" si="48"/>
        <v>554</v>
      </c>
      <c r="C557" s="9" t="str">
        <f t="shared" ca="1" si="53"/>
        <v>Fish &amp; seafood</v>
      </c>
      <c r="D557" s="9" t="str">
        <f t="shared" ca="1" si="54"/>
        <v>Manufacture of fish products'</v>
      </c>
      <c r="E557" s="9">
        <v>32</v>
      </c>
      <c r="F557" s="9">
        <v>34</v>
      </c>
      <c r="G557" s="9">
        <v>12</v>
      </c>
      <c r="H557" s="13">
        <f>H556</f>
        <v>0.13600000000000001</v>
      </c>
      <c r="I557" s="13">
        <f>I556</f>
        <v>0.3</v>
      </c>
      <c r="J557" s="13">
        <f>-J556</f>
        <v>1</v>
      </c>
      <c r="K557" s="13">
        <f>K556</f>
        <v>0.6</v>
      </c>
      <c r="L557" s="13">
        <f>-L556</f>
        <v>1</v>
      </c>
      <c r="M557" s="13">
        <v>1</v>
      </c>
      <c r="N557" s="88">
        <f>A557</f>
        <v>554</v>
      </c>
    </row>
    <row r="558" spans="1:15" s="9" customFormat="1" x14ac:dyDescent="0.25">
      <c r="A558" s="70">
        <f t="shared" si="48"/>
        <v>555</v>
      </c>
      <c r="C558" s="9" t="str">
        <f t="shared" ca="1" si="53"/>
        <v>Equipment and transport</v>
      </c>
      <c r="D558" s="9" t="str">
        <f t="shared" ca="1" si="54"/>
        <v>Manufacture of fish products'</v>
      </c>
      <c r="E558" s="9">
        <v>26</v>
      </c>
      <c r="F558" s="9">
        <v>34</v>
      </c>
      <c r="G558" s="9">
        <v>12</v>
      </c>
      <c r="H558" s="13">
        <f>100%</f>
        <v>1</v>
      </c>
      <c r="I558" s="13">
        <f>100%</f>
        <v>1</v>
      </c>
      <c r="J558" s="13">
        <f>J556*-10%</f>
        <v>0.1</v>
      </c>
      <c r="K558" s="13">
        <v>1</v>
      </c>
      <c r="L558" s="13">
        <f>L556*-10%</f>
        <v>0.1</v>
      </c>
      <c r="M558" s="13">
        <v>1</v>
      </c>
      <c r="N558" s="88">
        <f>A556</f>
        <v>553</v>
      </c>
    </row>
    <row r="559" spans="1:15" s="9" customFormat="1" x14ac:dyDescent="0.25">
      <c r="A559" s="70">
        <f t="shared" si="48"/>
        <v>556</v>
      </c>
      <c r="C559" s="9" t="str">
        <f t="shared" ca="1" si="53"/>
        <v>Public awareness campaign product (post &amp; telecoms, other business, education)</v>
      </c>
      <c r="D559" s="9" t="str">
        <f t="shared" ca="1" si="54"/>
        <v>Manufacture of fish products'</v>
      </c>
      <c r="E559" s="9">
        <v>34</v>
      </c>
      <c r="F559" s="9">
        <v>34</v>
      </c>
      <c r="G559" s="9">
        <v>12</v>
      </c>
      <c r="H559" s="13">
        <f>100%</f>
        <v>1</v>
      </c>
      <c r="I559" s="13">
        <f>100%</f>
        <v>1</v>
      </c>
      <c r="J559" s="13">
        <f>J556*-2%</f>
        <v>0.02</v>
      </c>
      <c r="K559" s="13">
        <v>1</v>
      </c>
      <c r="L559" s="13">
        <f>L556*-2%</f>
        <v>0.02</v>
      </c>
      <c r="M559" s="13">
        <v>1</v>
      </c>
      <c r="N559" s="88">
        <f>A556</f>
        <v>553</v>
      </c>
      <c r="O559" s="38"/>
    </row>
    <row r="560" spans="1:15" s="9" customFormat="1" x14ac:dyDescent="0.25">
      <c r="A560" s="70">
        <f t="shared" si="48"/>
        <v>557</v>
      </c>
      <c r="B560" s="9" t="s">
        <v>439</v>
      </c>
      <c r="C560" s="9" t="str">
        <f t="shared" ca="1" si="53"/>
        <v>All products</v>
      </c>
      <c r="D560" s="9" t="str">
        <f t="shared" ca="1" si="54"/>
        <v xml:space="preserve">Cereals </v>
      </c>
      <c r="E560" s="9">
        <v>1</v>
      </c>
      <c r="F560" s="9">
        <v>20</v>
      </c>
      <c r="G560" s="9">
        <v>2</v>
      </c>
      <c r="H560" s="13">
        <v>0.15327999999999997</v>
      </c>
      <c r="I560" s="13">
        <f>intermediateEstimate</f>
        <v>0.3</v>
      </c>
      <c r="J560" s="13">
        <v>-1</v>
      </c>
      <c r="K560" s="13">
        <f>advancedEstimate</f>
        <v>0.6</v>
      </c>
      <c r="L560" s="13">
        <v>-1</v>
      </c>
      <c r="M560" s="13">
        <f>extremeEstimate</f>
        <v>0.9</v>
      </c>
      <c r="N560" s="86">
        <f>A560</f>
        <v>557</v>
      </c>
      <c r="O560" s="38"/>
    </row>
    <row r="561" spans="1:15" s="9" customFormat="1" x14ac:dyDescent="0.25">
      <c r="A561" s="70">
        <f t="shared" si="48"/>
        <v>558</v>
      </c>
      <c r="C561" s="9" t="str">
        <f t="shared" ca="1" si="53"/>
        <v>Equipment and transport</v>
      </c>
      <c r="D561" s="9" t="str">
        <f t="shared" ca="1" si="54"/>
        <v xml:space="preserve">Cereals </v>
      </c>
      <c r="E561" s="9">
        <v>26</v>
      </c>
      <c r="F561" s="9">
        <v>20</v>
      </c>
      <c r="G561" s="9">
        <v>2</v>
      </c>
      <c r="H561" s="13">
        <v>1</v>
      </c>
      <c r="I561" s="13">
        <v>1</v>
      </c>
      <c r="J561" s="13">
        <f>J560*-15%</f>
        <v>0.15</v>
      </c>
      <c r="K561" s="13">
        <v>1</v>
      </c>
      <c r="L561" s="13">
        <f>L560*-15%</f>
        <v>0.15</v>
      </c>
      <c r="M561" s="13">
        <v>1</v>
      </c>
      <c r="N561" s="86">
        <f>A560</f>
        <v>557</v>
      </c>
      <c r="O561" s="38"/>
    </row>
    <row r="562" spans="1:15" s="9" customFormat="1" x14ac:dyDescent="0.25">
      <c r="A562" s="70">
        <f t="shared" si="48"/>
        <v>559</v>
      </c>
      <c r="C562" s="9" t="str">
        <f t="shared" ca="1" si="53"/>
        <v>Land transport</v>
      </c>
      <c r="D562" s="9" t="str">
        <f t="shared" ca="1" si="54"/>
        <v xml:space="preserve">Cereals </v>
      </c>
      <c r="E562" s="9">
        <v>9</v>
      </c>
      <c r="F562" s="9">
        <v>20</v>
      </c>
      <c r="G562" s="9">
        <v>2</v>
      </c>
      <c r="H562" s="13">
        <f>100%</f>
        <v>1</v>
      </c>
      <c r="I562" s="13">
        <f>100%</f>
        <v>1</v>
      </c>
      <c r="J562" s="13">
        <f>J560*-15%</f>
        <v>0.15</v>
      </c>
      <c r="K562" s="13">
        <v>1</v>
      </c>
      <c r="L562" s="13">
        <f>L560*-15%</f>
        <v>0.15</v>
      </c>
      <c r="M562" s="13">
        <v>1</v>
      </c>
      <c r="N562" s="86">
        <f>A560</f>
        <v>557</v>
      </c>
      <c r="O562" s="38"/>
    </row>
    <row r="563" spans="1:15" s="9" customFormat="1" x14ac:dyDescent="0.25">
      <c r="A563" s="70">
        <f t="shared" si="48"/>
        <v>560</v>
      </c>
      <c r="C563" s="9" t="str">
        <f t="shared" ca="1" si="53"/>
        <v>All products</v>
      </c>
      <c r="D563" s="9" t="str">
        <f t="shared" ca="1" si="54"/>
        <v>Fruit &amp; veg</v>
      </c>
      <c r="E563" s="9">
        <v>1</v>
      </c>
      <c r="F563" s="9">
        <v>21</v>
      </c>
      <c r="G563" s="9">
        <v>2</v>
      </c>
      <c r="H563" s="13">
        <v>0.25519999999999998</v>
      </c>
      <c r="I563" s="13">
        <f>intermediateEstimate</f>
        <v>0.3</v>
      </c>
      <c r="J563" s="13">
        <v>-1</v>
      </c>
      <c r="K563" s="13">
        <f>advancedEstimate</f>
        <v>0.6</v>
      </c>
      <c r="L563" s="13">
        <v>-1</v>
      </c>
      <c r="M563" s="13">
        <f>extremeEstimate</f>
        <v>0.9</v>
      </c>
      <c r="N563" s="86">
        <f>A563</f>
        <v>560</v>
      </c>
      <c r="O563" s="38"/>
    </row>
    <row r="564" spans="1:15" s="9" customFormat="1" x14ac:dyDescent="0.25">
      <c r="A564" s="70">
        <f t="shared" si="48"/>
        <v>561</v>
      </c>
      <c r="C564" s="9" t="str">
        <f t="shared" ca="1" si="53"/>
        <v>Equipment and transport</v>
      </c>
      <c r="D564" s="9" t="str">
        <f t="shared" ca="1" si="54"/>
        <v>Fruit &amp; veg</v>
      </c>
      <c r="E564" s="9">
        <v>26</v>
      </c>
      <c r="F564" s="9">
        <v>21</v>
      </c>
      <c r="G564" s="9">
        <v>2</v>
      </c>
      <c r="H564" s="13">
        <v>1</v>
      </c>
      <c r="I564" s="13">
        <v>1</v>
      </c>
      <c r="J564" s="13">
        <f>J563*-15%</f>
        <v>0.15</v>
      </c>
      <c r="K564" s="13">
        <v>1</v>
      </c>
      <c r="L564" s="13">
        <f>L563*-15%</f>
        <v>0.15</v>
      </c>
      <c r="M564" s="13">
        <v>1</v>
      </c>
      <c r="N564" s="86">
        <f>A563</f>
        <v>560</v>
      </c>
      <c r="O564" s="38"/>
    </row>
    <row r="565" spans="1:15" s="9" customFormat="1" x14ac:dyDescent="0.25">
      <c r="A565" s="70">
        <f t="shared" si="48"/>
        <v>562</v>
      </c>
      <c r="C565" s="9" t="str">
        <f t="shared" ca="1" si="53"/>
        <v>Land transport</v>
      </c>
      <c r="D565" s="9" t="str">
        <f t="shared" ca="1" si="54"/>
        <v>Fruit &amp; veg</v>
      </c>
      <c r="E565" s="9">
        <v>9</v>
      </c>
      <c r="F565" s="9">
        <v>21</v>
      </c>
      <c r="G565" s="9">
        <v>2</v>
      </c>
      <c r="H565" s="13">
        <f>100%</f>
        <v>1</v>
      </c>
      <c r="I565" s="13">
        <f>100%</f>
        <v>1</v>
      </c>
      <c r="J565" s="13">
        <f>J563*-15%</f>
        <v>0.15</v>
      </c>
      <c r="K565" s="13">
        <v>1</v>
      </c>
      <c r="L565" s="13">
        <f>L563*-15%</f>
        <v>0.15</v>
      </c>
      <c r="M565" s="13">
        <v>1</v>
      </c>
      <c r="N565" s="86">
        <f>A563</f>
        <v>560</v>
      </c>
      <c r="O565" s="38"/>
    </row>
    <row r="566" spans="1:15" s="9" customFormat="1" x14ac:dyDescent="0.25">
      <c r="A566" s="70">
        <f t="shared" si="48"/>
        <v>563</v>
      </c>
      <c r="C566" s="9" t="str">
        <f t="shared" ca="1" si="53"/>
        <v>All products</v>
      </c>
      <c r="D566" s="9" t="str">
        <f t="shared" ca="1" si="54"/>
        <v>Oilseeds and pulses</v>
      </c>
      <c r="E566" s="9">
        <v>1</v>
      </c>
      <c r="F566" s="9">
        <v>22</v>
      </c>
      <c r="G566" s="9">
        <v>2</v>
      </c>
      <c r="H566" s="13">
        <v>0.15354999999999996</v>
      </c>
      <c r="I566" s="13">
        <f>intermediateEstimate</f>
        <v>0.3</v>
      </c>
      <c r="J566" s="13">
        <v>-1</v>
      </c>
      <c r="K566" s="13">
        <f>advancedEstimate</f>
        <v>0.6</v>
      </c>
      <c r="L566" s="13">
        <v>-1</v>
      </c>
      <c r="M566" s="13">
        <f>extremeEstimate</f>
        <v>0.9</v>
      </c>
      <c r="N566" s="86">
        <f>A566</f>
        <v>563</v>
      </c>
      <c r="O566" s="38"/>
    </row>
    <row r="567" spans="1:15" s="9" customFormat="1" x14ac:dyDescent="0.25">
      <c r="A567" s="70">
        <f t="shared" si="48"/>
        <v>564</v>
      </c>
      <c r="C567" s="9" t="str">
        <f t="shared" ca="1" si="53"/>
        <v>Equipment and transport</v>
      </c>
      <c r="D567" s="9" t="str">
        <f t="shared" ca="1" si="54"/>
        <v>Oilseeds and pulses</v>
      </c>
      <c r="E567" s="9">
        <v>26</v>
      </c>
      <c r="F567" s="9">
        <v>22</v>
      </c>
      <c r="G567" s="9">
        <v>2</v>
      </c>
      <c r="H567" s="13">
        <v>1</v>
      </c>
      <c r="I567" s="13">
        <v>1</v>
      </c>
      <c r="J567" s="13">
        <f>J566*-15%</f>
        <v>0.15</v>
      </c>
      <c r="K567" s="13">
        <v>1</v>
      </c>
      <c r="L567" s="13">
        <f>L566*-15%</f>
        <v>0.15</v>
      </c>
      <c r="M567" s="13">
        <v>1</v>
      </c>
      <c r="N567" s="86">
        <f>A566</f>
        <v>563</v>
      </c>
      <c r="O567" s="38"/>
    </row>
    <row r="568" spans="1:15" s="9" customFormat="1" x14ac:dyDescent="0.25">
      <c r="A568" s="70">
        <f t="shared" si="48"/>
        <v>565</v>
      </c>
      <c r="C568" s="9" t="str">
        <f t="shared" ca="1" si="53"/>
        <v>Land transport</v>
      </c>
      <c r="D568" s="9" t="str">
        <f t="shared" ca="1" si="54"/>
        <v>Oilseeds and pulses</v>
      </c>
      <c r="E568" s="9">
        <v>9</v>
      </c>
      <c r="F568" s="9">
        <v>22</v>
      </c>
      <c r="G568" s="9">
        <v>2</v>
      </c>
      <c r="H568" s="13">
        <f>100%</f>
        <v>1</v>
      </c>
      <c r="I568" s="13">
        <f>100%</f>
        <v>1</v>
      </c>
      <c r="J568" s="13">
        <f>J566*-15%</f>
        <v>0.15</v>
      </c>
      <c r="K568" s="13">
        <v>1</v>
      </c>
      <c r="L568" s="13">
        <f>L566*-15%</f>
        <v>0.15</v>
      </c>
      <c r="M568" s="13">
        <v>1</v>
      </c>
      <c r="N568" s="86">
        <f>A566</f>
        <v>563</v>
      </c>
      <c r="O568" s="38"/>
    </row>
    <row r="569" spans="1:15" s="9" customFormat="1" x14ac:dyDescent="0.25">
      <c r="A569" s="70">
        <f t="shared" si="48"/>
        <v>566</v>
      </c>
      <c r="C569" s="9" t="str">
        <f t="shared" ca="1" si="53"/>
        <v>All products</v>
      </c>
      <c r="D569" s="9" t="str">
        <f t="shared" ca="1" si="54"/>
        <v>Roots &amp; tubers</v>
      </c>
      <c r="E569" s="9">
        <v>1</v>
      </c>
      <c r="F569" s="9">
        <v>23</v>
      </c>
      <c r="G569" s="9">
        <v>2</v>
      </c>
      <c r="H569" s="13">
        <v>0.38119999999999998</v>
      </c>
      <c r="I569" s="13">
        <f>intermediateEstimate</f>
        <v>0.3</v>
      </c>
      <c r="J569" s="13">
        <v>-1</v>
      </c>
      <c r="K569" s="13">
        <f>advancedEstimate</f>
        <v>0.6</v>
      </c>
      <c r="L569" s="13">
        <v>-1</v>
      </c>
      <c r="M569" s="13">
        <f>extremeEstimate</f>
        <v>0.9</v>
      </c>
      <c r="N569" s="86">
        <f>A569</f>
        <v>566</v>
      </c>
      <c r="O569" s="38"/>
    </row>
    <row r="570" spans="1:15" s="9" customFormat="1" x14ac:dyDescent="0.25">
      <c r="A570" s="70">
        <f t="shared" si="48"/>
        <v>567</v>
      </c>
      <c r="C570" s="9" t="str">
        <f t="shared" ca="1" si="53"/>
        <v>Equipment and transport</v>
      </c>
      <c r="D570" s="9" t="str">
        <f t="shared" ca="1" si="54"/>
        <v>Roots &amp; tubers</v>
      </c>
      <c r="E570" s="9">
        <v>26</v>
      </c>
      <c r="F570" s="9">
        <v>23</v>
      </c>
      <c r="G570" s="9">
        <v>2</v>
      </c>
      <c r="H570" s="13">
        <v>1</v>
      </c>
      <c r="I570" s="13">
        <v>1</v>
      </c>
      <c r="J570" s="13">
        <f>J569*-15%</f>
        <v>0.15</v>
      </c>
      <c r="K570" s="13">
        <v>1</v>
      </c>
      <c r="L570" s="13">
        <f>L569*-15%</f>
        <v>0.15</v>
      </c>
      <c r="M570" s="13">
        <v>1</v>
      </c>
      <c r="N570" s="86">
        <f>A569</f>
        <v>566</v>
      </c>
      <c r="O570" s="38"/>
    </row>
    <row r="571" spans="1:15" s="9" customFormat="1" x14ac:dyDescent="0.25">
      <c r="A571" s="70">
        <f t="shared" si="48"/>
        <v>568</v>
      </c>
      <c r="C571" s="9" t="str">
        <f t="shared" ca="1" si="53"/>
        <v>Land transport</v>
      </c>
      <c r="D571" s="9" t="str">
        <f t="shared" ca="1" si="54"/>
        <v>Roots &amp; tubers</v>
      </c>
      <c r="E571" s="9">
        <v>9</v>
      </c>
      <c r="F571" s="9">
        <v>23</v>
      </c>
      <c r="G571" s="9">
        <v>2</v>
      </c>
      <c r="H571" s="13">
        <f>100%</f>
        <v>1</v>
      </c>
      <c r="I571" s="13">
        <f>100%</f>
        <v>1</v>
      </c>
      <c r="J571" s="13">
        <f>J569*-15%</f>
        <v>0.15</v>
      </c>
      <c r="K571" s="13">
        <v>1</v>
      </c>
      <c r="L571" s="13">
        <f>L569*-15%</f>
        <v>0.15</v>
      </c>
      <c r="M571" s="13">
        <v>1</v>
      </c>
      <c r="N571" s="86">
        <f>A569</f>
        <v>566</v>
      </c>
      <c r="O571" s="38"/>
    </row>
    <row r="572" spans="1:15" s="9" customFormat="1" x14ac:dyDescent="0.25">
      <c r="A572" s="70">
        <f t="shared" si="48"/>
        <v>569</v>
      </c>
      <c r="C572" s="9" t="str">
        <f t="shared" ca="1" si="53"/>
        <v>All products</v>
      </c>
      <c r="D572" s="9" t="str">
        <f t="shared" ca="1" si="54"/>
        <v>Meat</v>
      </c>
      <c r="E572" s="9">
        <v>1</v>
      </c>
      <c r="F572" s="9">
        <v>24</v>
      </c>
      <c r="G572" s="9">
        <v>2</v>
      </c>
      <c r="H572" s="13">
        <v>8.589385000000016E-2</v>
      </c>
      <c r="I572" s="13">
        <f>intermediateEstimate</f>
        <v>0.3</v>
      </c>
      <c r="J572" s="13">
        <v>-1</v>
      </c>
      <c r="K572" s="13">
        <f>advancedEstimate</f>
        <v>0.6</v>
      </c>
      <c r="L572" s="13">
        <v>-1</v>
      </c>
      <c r="M572" s="13">
        <f>extremeEstimate</f>
        <v>0.9</v>
      </c>
      <c r="N572" s="86">
        <f>A572</f>
        <v>569</v>
      </c>
      <c r="O572" s="38"/>
    </row>
    <row r="573" spans="1:15" s="9" customFormat="1" x14ac:dyDescent="0.25">
      <c r="A573" s="70">
        <f t="shared" si="48"/>
        <v>570</v>
      </c>
      <c r="C573" s="9" t="str">
        <f t="shared" ca="1" si="53"/>
        <v>Equipment and transport</v>
      </c>
      <c r="D573" s="9" t="str">
        <f t="shared" ca="1" si="54"/>
        <v>Meat</v>
      </c>
      <c r="E573" s="9">
        <v>26</v>
      </c>
      <c r="F573" s="9">
        <v>24</v>
      </c>
      <c r="G573" s="9">
        <v>2</v>
      </c>
      <c r="H573" s="13">
        <v>1</v>
      </c>
      <c r="I573" s="13">
        <v>1</v>
      </c>
      <c r="J573" s="13">
        <f>J572*-15%</f>
        <v>0.15</v>
      </c>
      <c r="K573" s="13">
        <v>1</v>
      </c>
      <c r="L573" s="13">
        <f>L572*-15%</f>
        <v>0.15</v>
      </c>
      <c r="M573" s="13">
        <v>1</v>
      </c>
      <c r="N573" s="86">
        <f>A572</f>
        <v>569</v>
      </c>
      <c r="O573" s="38"/>
    </row>
    <row r="574" spans="1:15" s="9" customFormat="1" x14ac:dyDescent="0.25">
      <c r="A574" s="70">
        <f t="shared" si="48"/>
        <v>571</v>
      </c>
      <c r="C574" s="9" t="str">
        <f t="shared" ca="1" si="53"/>
        <v>Land transport</v>
      </c>
      <c r="D574" s="9" t="str">
        <f t="shared" ca="1" si="54"/>
        <v>Meat</v>
      </c>
      <c r="E574" s="9">
        <v>9</v>
      </c>
      <c r="F574" s="9">
        <v>24</v>
      </c>
      <c r="G574" s="9">
        <v>2</v>
      </c>
      <c r="H574" s="13">
        <f>100%</f>
        <v>1</v>
      </c>
      <c r="I574" s="13">
        <f>100%</f>
        <v>1</v>
      </c>
      <c r="J574" s="13">
        <f>J572*-15%</f>
        <v>0.15</v>
      </c>
      <c r="K574" s="13">
        <v>1</v>
      </c>
      <c r="L574" s="13">
        <f>L572*-15%</f>
        <v>0.15</v>
      </c>
      <c r="M574" s="13">
        <v>1</v>
      </c>
      <c r="N574" s="86">
        <f>A572</f>
        <v>569</v>
      </c>
      <c r="O574" s="38"/>
    </row>
    <row r="575" spans="1:15" s="9" customFormat="1" x14ac:dyDescent="0.25">
      <c r="A575" s="70">
        <f t="shared" si="48"/>
        <v>572</v>
      </c>
      <c r="C575" s="9" t="str">
        <f t="shared" ca="1" si="53"/>
        <v>All products</v>
      </c>
      <c r="D575" s="9" t="str">
        <f t="shared" ca="1" si="54"/>
        <v>Milk</v>
      </c>
      <c r="E575" s="9">
        <v>1</v>
      </c>
      <c r="F575" s="9">
        <v>25</v>
      </c>
      <c r="G575" s="9">
        <v>2</v>
      </c>
      <c r="H575" s="13">
        <v>5.134710000000009E-2</v>
      </c>
      <c r="I575" s="13">
        <f>intermediateEstimate</f>
        <v>0.3</v>
      </c>
      <c r="J575" s="13">
        <v>-1</v>
      </c>
      <c r="K575" s="13">
        <f>advancedEstimate</f>
        <v>0.6</v>
      </c>
      <c r="L575" s="13">
        <v>-1</v>
      </c>
      <c r="M575" s="13">
        <f>extremeEstimate</f>
        <v>0.9</v>
      </c>
      <c r="N575" s="86">
        <f>A575</f>
        <v>572</v>
      </c>
      <c r="O575" s="38"/>
    </row>
    <row r="576" spans="1:15" s="9" customFormat="1" x14ac:dyDescent="0.25">
      <c r="A576" s="70">
        <f t="shared" si="48"/>
        <v>573</v>
      </c>
      <c r="C576" s="9" t="str">
        <f t="shared" ca="1" si="53"/>
        <v>Equipment and transport</v>
      </c>
      <c r="D576" s="9" t="str">
        <f t="shared" ca="1" si="54"/>
        <v>Milk</v>
      </c>
      <c r="E576" s="9">
        <v>26</v>
      </c>
      <c r="F576" s="9">
        <v>25</v>
      </c>
      <c r="G576" s="9">
        <v>2</v>
      </c>
      <c r="H576" s="13">
        <v>1</v>
      </c>
      <c r="I576" s="13">
        <v>1</v>
      </c>
      <c r="J576" s="13">
        <f>J575*-15%</f>
        <v>0.15</v>
      </c>
      <c r="K576" s="13">
        <v>1</v>
      </c>
      <c r="L576" s="13">
        <f>L575*-15%</f>
        <v>0.15</v>
      </c>
      <c r="M576" s="13">
        <v>1</v>
      </c>
      <c r="N576" s="86">
        <f>A575</f>
        <v>572</v>
      </c>
      <c r="O576" s="38"/>
    </row>
    <row r="577" spans="1:15" s="9" customFormat="1" x14ac:dyDescent="0.25">
      <c r="A577" s="70">
        <f t="shared" si="48"/>
        <v>574</v>
      </c>
      <c r="C577" s="9" t="str">
        <f t="shared" ca="1" si="53"/>
        <v>Land transport</v>
      </c>
      <c r="D577" s="9" t="str">
        <f t="shared" ca="1" si="54"/>
        <v>Milk</v>
      </c>
      <c r="E577" s="9">
        <v>9</v>
      </c>
      <c r="F577" s="9">
        <v>25</v>
      </c>
      <c r="G577" s="9">
        <v>2</v>
      </c>
      <c r="H577" s="13">
        <f>100%</f>
        <v>1</v>
      </c>
      <c r="I577" s="13">
        <f>100%</f>
        <v>1</v>
      </c>
      <c r="J577" s="13">
        <f>J575*-15%</f>
        <v>0.15</v>
      </c>
      <c r="K577" s="13">
        <v>1</v>
      </c>
      <c r="L577" s="13">
        <f>L575*-15%</f>
        <v>0.15</v>
      </c>
      <c r="M577" s="13">
        <v>1</v>
      </c>
      <c r="N577" s="86">
        <f>A575</f>
        <v>572</v>
      </c>
      <c r="O577" s="38"/>
    </row>
    <row r="578" spans="1:15" s="9" customFormat="1" x14ac:dyDescent="0.25">
      <c r="A578" s="70">
        <f t="shared" si="48"/>
        <v>575</v>
      </c>
      <c r="C578" s="9" t="str">
        <f t="shared" ca="1" si="53"/>
        <v>All products</v>
      </c>
      <c r="D578" s="9" t="str">
        <f t="shared" ca="1" si="54"/>
        <v>Fish &amp; seafood</v>
      </c>
      <c r="E578" s="9">
        <v>1</v>
      </c>
      <c r="F578" s="9">
        <v>26</v>
      </c>
      <c r="G578" s="9">
        <v>2</v>
      </c>
      <c r="H578" s="13">
        <v>0.15261820000000004</v>
      </c>
      <c r="I578" s="13">
        <f>intermediateEstimate</f>
        <v>0.3</v>
      </c>
      <c r="J578" s="13">
        <v>-1</v>
      </c>
      <c r="K578" s="13">
        <f>advancedEstimate</f>
        <v>0.6</v>
      </c>
      <c r="L578" s="13">
        <v>-1</v>
      </c>
      <c r="M578" s="13">
        <f>extremeEstimate</f>
        <v>0.9</v>
      </c>
      <c r="N578" s="86">
        <f>A578</f>
        <v>575</v>
      </c>
      <c r="O578" s="38"/>
    </row>
    <row r="579" spans="1:15" s="9" customFormat="1" x14ac:dyDescent="0.25">
      <c r="A579" s="70">
        <f t="shared" si="48"/>
        <v>576</v>
      </c>
      <c r="C579" s="9" t="str">
        <f t="shared" ca="1" si="53"/>
        <v>Equipment and transport</v>
      </c>
      <c r="D579" s="9" t="str">
        <f t="shared" ca="1" si="54"/>
        <v>Fish &amp; seafood</v>
      </c>
      <c r="E579" s="9">
        <v>26</v>
      </c>
      <c r="F579" s="9">
        <v>26</v>
      </c>
      <c r="G579" s="9">
        <v>2</v>
      </c>
      <c r="H579" s="13">
        <v>1</v>
      </c>
      <c r="I579" s="13">
        <v>1</v>
      </c>
      <c r="J579" s="13">
        <f>J578*-15%</f>
        <v>0.15</v>
      </c>
      <c r="K579" s="13">
        <v>1</v>
      </c>
      <c r="L579" s="13">
        <f>L578*-15%</f>
        <v>0.15</v>
      </c>
      <c r="M579" s="13">
        <v>1</v>
      </c>
      <c r="N579" s="86">
        <f>A578</f>
        <v>575</v>
      </c>
      <c r="O579" s="38"/>
    </row>
    <row r="580" spans="1:15" s="9" customFormat="1" x14ac:dyDescent="0.25">
      <c r="A580" s="70">
        <f t="shared" si="48"/>
        <v>577</v>
      </c>
      <c r="C580" s="9" t="str">
        <f t="shared" ca="1" si="53"/>
        <v>Land transport</v>
      </c>
      <c r="D580" s="9" t="str">
        <f t="shared" ca="1" si="54"/>
        <v>Fish &amp; seafood</v>
      </c>
      <c r="E580" s="9">
        <v>9</v>
      </c>
      <c r="F580" s="9">
        <v>26</v>
      </c>
      <c r="G580" s="9">
        <v>2</v>
      </c>
      <c r="H580" s="13">
        <f>100%</f>
        <v>1</v>
      </c>
      <c r="I580" s="13">
        <f>100%</f>
        <v>1</v>
      </c>
      <c r="J580" s="13">
        <f>J578*-15%</f>
        <v>0.15</v>
      </c>
      <c r="K580" s="13">
        <v>1</v>
      </c>
      <c r="L580" s="13">
        <f>L578*-15%</f>
        <v>0.15</v>
      </c>
      <c r="M580" s="13">
        <v>1</v>
      </c>
      <c r="N580" s="86">
        <f>A578</f>
        <v>575</v>
      </c>
      <c r="O580" s="38"/>
    </row>
    <row r="581" spans="1:15" s="9" customFormat="1" x14ac:dyDescent="0.25">
      <c r="A581" s="70">
        <f t="shared" si="48"/>
        <v>578</v>
      </c>
      <c r="B581" s="9" t="s">
        <v>440</v>
      </c>
      <c r="C581" s="9" t="str">
        <f t="shared" ca="1" si="53"/>
        <v>All products</v>
      </c>
      <c r="D581" s="9" t="str">
        <f t="shared" ca="1" si="54"/>
        <v>Manufacture of beverages'</v>
      </c>
      <c r="E581" s="9">
        <v>1</v>
      </c>
      <c r="F581" s="9">
        <v>33</v>
      </c>
      <c r="G581" s="9">
        <v>2</v>
      </c>
      <c r="H581" s="13">
        <v>8.1308411214953275E-2</v>
      </c>
      <c r="I581" s="13">
        <f>intermediateEstimate</f>
        <v>0.3</v>
      </c>
      <c r="J581" s="13">
        <v>-1</v>
      </c>
      <c r="K581" s="13">
        <f>advancedEstimate</f>
        <v>0.6</v>
      </c>
      <c r="L581" s="13">
        <v>-1</v>
      </c>
      <c r="M581" s="13">
        <f>extremeEstimate</f>
        <v>0.9</v>
      </c>
      <c r="N581" s="88">
        <f>A581</f>
        <v>578</v>
      </c>
      <c r="O581" s="38" t="s">
        <v>438</v>
      </c>
    </row>
    <row r="582" spans="1:15" s="9" customFormat="1" x14ac:dyDescent="0.25">
      <c r="A582" s="70">
        <f t="shared" si="48"/>
        <v>579</v>
      </c>
      <c r="C582" s="9" t="str">
        <f t="shared" ca="1" si="53"/>
        <v>Equipment and transport</v>
      </c>
      <c r="D582" s="9" t="str">
        <f t="shared" ca="1" si="54"/>
        <v>Manufacture of beverages'</v>
      </c>
      <c r="E582" s="9">
        <v>26</v>
      </c>
      <c r="F582" s="9">
        <v>33</v>
      </c>
      <c r="G582" s="9">
        <v>2</v>
      </c>
      <c r="H582" s="13">
        <v>1</v>
      </c>
      <c r="I582" s="13">
        <v>1</v>
      </c>
      <c r="J582" s="13">
        <f>J581*-15%</f>
        <v>0.15</v>
      </c>
      <c r="K582" s="13">
        <v>1</v>
      </c>
      <c r="L582" s="13">
        <f>L581*-15%</f>
        <v>0.15</v>
      </c>
      <c r="M582" s="13">
        <v>1</v>
      </c>
      <c r="N582" s="88">
        <f>A581</f>
        <v>578</v>
      </c>
      <c r="O582" s="38" t="s">
        <v>434</v>
      </c>
    </row>
    <row r="583" spans="1:15" s="9" customFormat="1" x14ac:dyDescent="0.25">
      <c r="A583" s="70">
        <f t="shared" si="48"/>
        <v>580</v>
      </c>
      <c r="C583" s="9" t="str">
        <f t="shared" ca="1" si="53"/>
        <v>Land transport</v>
      </c>
      <c r="D583" s="9" t="str">
        <f t="shared" ca="1" si="54"/>
        <v>Manufacture of beverages'</v>
      </c>
      <c r="E583" s="9">
        <v>9</v>
      </c>
      <c r="F583" s="9">
        <v>33</v>
      </c>
      <c r="G583" s="9">
        <v>2</v>
      </c>
      <c r="H583" s="13">
        <f>100%</f>
        <v>1</v>
      </c>
      <c r="I583" s="13">
        <f>100%</f>
        <v>1</v>
      </c>
      <c r="J583" s="13">
        <f>J581*-15%</f>
        <v>0.15</v>
      </c>
      <c r="K583" s="13">
        <v>1</v>
      </c>
      <c r="L583" s="13">
        <f>L581*-15%</f>
        <v>0.15</v>
      </c>
      <c r="M583" s="13">
        <v>1</v>
      </c>
      <c r="N583" s="88">
        <f>A581</f>
        <v>578</v>
      </c>
      <c r="O583" s="38" t="s">
        <v>431</v>
      </c>
    </row>
    <row r="584" spans="1:15" s="9" customFormat="1" x14ac:dyDescent="0.25">
      <c r="A584" s="70">
        <f t="shared" si="48"/>
        <v>581</v>
      </c>
      <c r="C584" s="9" t="str">
        <f t="shared" ca="1" si="53"/>
        <v>All products</v>
      </c>
      <c r="D584" s="9" t="str">
        <f t="shared" ca="1" si="54"/>
        <v>Fruit &amp; veg</v>
      </c>
      <c r="E584" s="9">
        <v>1</v>
      </c>
      <c r="F584" s="9">
        <v>21</v>
      </c>
      <c r="G584" s="9">
        <v>2</v>
      </c>
      <c r="H584" s="13">
        <v>0.19710144927536233</v>
      </c>
      <c r="I584" s="13">
        <f>intermediateEstimate</f>
        <v>0.3</v>
      </c>
      <c r="J584" s="13">
        <v>-1</v>
      </c>
      <c r="K584" s="13">
        <f>advancedEstimate</f>
        <v>0.6</v>
      </c>
      <c r="L584" s="13">
        <v>-1</v>
      </c>
      <c r="M584" s="13">
        <f>extremeEstimate</f>
        <v>0.9</v>
      </c>
      <c r="N584" s="88">
        <f>A584</f>
        <v>581</v>
      </c>
      <c r="O584" s="38" t="s">
        <v>432</v>
      </c>
    </row>
    <row r="585" spans="1:15" s="9" customFormat="1" x14ac:dyDescent="0.25">
      <c r="A585" s="70">
        <f t="shared" si="48"/>
        <v>582</v>
      </c>
      <c r="C585" s="9" t="str">
        <f t="shared" ca="1" si="53"/>
        <v>Equipment and transport</v>
      </c>
      <c r="D585" s="9" t="str">
        <f t="shared" ca="1" si="54"/>
        <v>Fruit &amp; veg</v>
      </c>
      <c r="E585" s="9">
        <v>26</v>
      </c>
      <c r="F585" s="9">
        <v>21</v>
      </c>
      <c r="G585" s="9">
        <v>2</v>
      </c>
      <c r="H585" s="13">
        <v>1</v>
      </c>
      <c r="I585" s="13">
        <v>1</v>
      </c>
      <c r="J585" s="13">
        <f>J584*-15%</f>
        <v>0.15</v>
      </c>
      <c r="K585" s="13">
        <v>1</v>
      </c>
      <c r="L585" s="13">
        <f>L584*-15%</f>
        <v>0.15</v>
      </c>
      <c r="M585" s="13">
        <v>1</v>
      </c>
      <c r="N585" s="88">
        <f>A584</f>
        <v>581</v>
      </c>
      <c r="O585" s="38" t="s">
        <v>433</v>
      </c>
    </row>
    <row r="586" spans="1:15" s="9" customFormat="1" x14ac:dyDescent="0.25">
      <c r="A586" s="70">
        <f t="shared" si="48"/>
        <v>583</v>
      </c>
      <c r="C586" s="9" t="str">
        <f t="shared" ca="1" si="53"/>
        <v>Land transport</v>
      </c>
      <c r="D586" s="9" t="str">
        <f t="shared" ca="1" si="54"/>
        <v>Fruit &amp; veg</v>
      </c>
      <c r="E586" s="9">
        <v>9</v>
      </c>
      <c r="F586" s="9">
        <v>21</v>
      </c>
      <c r="G586" s="9">
        <v>2</v>
      </c>
      <c r="H586" s="13">
        <f>100%</f>
        <v>1</v>
      </c>
      <c r="I586" s="13">
        <f>100%</f>
        <v>1</v>
      </c>
      <c r="J586" s="13">
        <f>J584*-15%</f>
        <v>0.15</v>
      </c>
      <c r="K586" s="13">
        <v>1</v>
      </c>
      <c r="L586" s="13">
        <f>L584*-15%</f>
        <v>0.15</v>
      </c>
      <c r="M586" s="13">
        <v>1</v>
      </c>
      <c r="N586" s="88">
        <f>A584</f>
        <v>581</v>
      </c>
      <c r="O586" s="38" t="s">
        <v>441</v>
      </c>
    </row>
    <row r="587" spans="1:15" s="9" customFormat="1" x14ac:dyDescent="0.25">
      <c r="A587" s="70">
        <f t="shared" si="48"/>
        <v>584</v>
      </c>
      <c r="C587" s="9" t="str">
        <f t="shared" ca="1" si="53"/>
        <v>All products</v>
      </c>
      <c r="D587" s="9" t="str">
        <f t="shared" ca="1" si="54"/>
        <v>Processing of Food products nec'</v>
      </c>
      <c r="E587" s="9">
        <v>1</v>
      </c>
      <c r="F587" s="9">
        <v>32</v>
      </c>
      <c r="G587" s="9">
        <v>2</v>
      </c>
      <c r="H587" s="13">
        <v>0.23176020408163264</v>
      </c>
      <c r="I587" s="13">
        <f>intermediateEstimate</f>
        <v>0.3</v>
      </c>
      <c r="J587" s="13">
        <v>-1</v>
      </c>
      <c r="K587" s="13">
        <f>advancedEstimate</f>
        <v>0.6</v>
      </c>
      <c r="L587" s="13">
        <v>-1</v>
      </c>
      <c r="M587" s="13">
        <f>extremeEstimate</f>
        <v>0.9</v>
      </c>
      <c r="N587" s="88">
        <f>A587</f>
        <v>584</v>
      </c>
      <c r="O587" s="38" t="s">
        <v>429</v>
      </c>
    </row>
    <row r="588" spans="1:15" s="9" customFormat="1" x14ac:dyDescent="0.25">
      <c r="A588" s="70">
        <f t="shared" si="48"/>
        <v>585</v>
      </c>
      <c r="C588" s="9" t="str">
        <f t="shared" ca="1" si="53"/>
        <v>Equipment and transport</v>
      </c>
      <c r="D588" s="9" t="str">
        <f t="shared" ca="1" si="54"/>
        <v>Processing of Food products nec'</v>
      </c>
      <c r="E588" s="9">
        <v>26</v>
      </c>
      <c r="F588" s="9">
        <v>32</v>
      </c>
      <c r="G588" s="9">
        <v>2</v>
      </c>
      <c r="H588" s="13">
        <v>1</v>
      </c>
      <c r="I588" s="13">
        <v>1</v>
      </c>
      <c r="J588" s="13">
        <f>J587*-15%</f>
        <v>0.15</v>
      </c>
      <c r="K588" s="13">
        <v>1</v>
      </c>
      <c r="L588" s="13">
        <f>L587*-15%</f>
        <v>0.15</v>
      </c>
      <c r="M588" s="13">
        <v>1</v>
      </c>
      <c r="N588" s="88">
        <f>A587</f>
        <v>584</v>
      </c>
      <c r="O588" s="38" t="s">
        <v>161</v>
      </c>
    </row>
    <row r="589" spans="1:15" s="9" customFormat="1" x14ac:dyDescent="0.25">
      <c r="A589" s="70">
        <f t="shared" si="48"/>
        <v>586</v>
      </c>
      <c r="C589" s="9" t="str">
        <f t="shared" ca="1" si="53"/>
        <v>Land transport</v>
      </c>
      <c r="D589" s="9" t="str">
        <f t="shared" ca="1" si="54"/>
        <v>Processing of Food products nec'</v>
      </c>
      <c r="E589" s="9">
        <v>9</v>
      </c>
      <c r="F589" s="9">
        <v>32</v>
      </c>
      <c r="G589" s="9">
        <v>2</v>
      </c>
      <c r="H589" s="13">
        <f>100%</f>
        <v>1</v>
      </c>
      <c r="I589" s="13">
        <f>100%</f>
        <v>1</v>
      </c>
      <c r="J589" s="13">
        <f>J587*-15%</f>
        <v>0.15</v>
      </c>
      <c r="K589" s="13">
        <v>1</v>
      </c>
      <c r="L589" s="13">
        <f>L587*-15%</f>
        <v>0.15</v>
      </c>
      <c r="M589" s="13">
        <v>1</v>
      </c>
      <c r="N589" s="88">
        <f>A587</f>
        <v>584</v>
      </c>
      <c r="O589" s="38" t="s">
        <v>478</v>
      </c>
    </row>
    <row r="590" spans="1:15" s="9" customFormat="1" x14ac:dyDescent="0.25">
      <c r="A590" s="70">
        <f t="shared" si="48"/>
        <v>587</v>
      </c>
      <c r="C590" s="9" t="str">
        <f t="shared" ca="1" si="53"/>
        <v>All products</v>
      </c>
      <c r="D590" s="9" t="str">
        <f t="shared" ca="1" si="54"/>
        <v>Processing of Meat</v>
      </c>
      <c r="E590" s="9">
        <v>1</v>
      </c>
      <c r="F590" s="9">
        <v>27</v>
      </c>
      <c r="G590" s="9">
        <v>2</v>
      </c>
      <c r="H590" s="13">
        <v>0.10740740740740741</v>
      </c>
      <c r="I590" s="13">
        <f>intermediateEstimate</f>
        <v>0.3</v>
      </c>
      <c r="J590" s="13">
        <v>-1</v>
      </c>
      <c r="K590" s="13">
        <f>advancedEstimate</f>
        <v>0.6</v>
      </c>
      <c r="L590" s="13">
        <v>-1</v>
      </c>
      <c r="M590" s="13">
        <f>extremeEstimate</f>
        <v>0.9</v>
      </c>
      <c r="N590" s="88">
        <f>A590</f>
        <v>587</v>
      </c>
      <c r="O590" s="38"/>
    </row>
    <row r="591" spans="1:15" s="9" customFormat="1" x14ac:dyDescent="0.25">
      <c r="A591" s="70">
        <f t="shared" si="48"/>
        <v>588</v>
      </c>
      <c r="C591" s="9" t="str">
        <f t="shared" ca="1" si="53"/>
        <v>Equipment and transport</v>
      </c>
      <c r="D591" s="9" t="str">
        <f t="shared" ca="1" si="54"/>
        <v>Processing of Meat</v>
      </c>
      <c r="E591" s="9">
        <v>26</v>
      </c>
      <c r="F591" s="9">
        <v>27</v>
      </c>
      <c r="G591" s="9">
        <v>2</v>
      </c>
      <c r="H591" s="13">
        <v>1</v>
      </c>
      <c r="I591" s="13">
        <v>1</v>
      </c>
      <c r="J591" s="13">
        <f>J590*-15%</f>
        <v>0.15</v>
      </c>
      <c r="K591" s="13">
        <v>1</v>
      </c>
      <c r="L591" s="13">
        <f>L590*-15%</f>
        <v>0.15</v>
      </c>
      <c r="M591" s="13">
        <v>1</v>
      </c>
      <c r="N591" s="88">
        <f>A590</f>
        <v>587</v>
      </c>
      <c r="O591" s="38"/>
    </row>
    <row r="592" spans="1:15" s="9" customFormat="1" x14ac:dyDescent="0.25">
      <c r="A592" s="70">
        <f t="shared" si="48"/>
        <v>589</v>
      </c>
      <c r="C592" s="9" t="str">
        <f t="shared" ca="1" si="53"/>
        <v>Land transport</v>
      </c>
      <c r="D592" s="9" t="str">
        <f t="shared" ca="1" si="54"/>
        <v>Processing of Meat</v>
      </c>
      <c r="E592" s="9">
        <v>9</v>
      </c>
      <c r="F592" s="9">
        <v>27</v>
      </c>
      <c r="G592" s="9">
        <v>2</v>
      </c>
      <c r="H592" s="13">
        <f>100%</f>
        <v>1</v>
      </c>
      <c r="I592" s="13">
        <f>100%</f>
        <v>1</v>
      </c>
      <c r="J592" s="13">
        <f>J590*-15%</f>
        <v>0.15</v>
      </c>
      <c r="K592" s="13">
        <v>1</v>
      </c>
      <c r="L592" s="13">
        <f>L590*-15%</f>
        <v>0.15</v>
      </c>
      <c r="M592" s="13">
        <v>1</v>
      </c>
      <c r="N592" s="88">
        <f>A590</f>
        <v>587</v>
      </c>
      <c r="O592" s="38"/>
    </row>
    <row r="593" spans="1:15" s="9" customFormat="1" x14ac:dyDescent="0.25">
      <c r="A593" s="70">
        <f t="shared" si="48"/>
        <v>590</v>
      </c>
      <c r="C593" s="9" t="str">
        <f t="shared" ca="1" si="53"/>
        <v>All products</v>
      </c>
      <c r="D593" s="9" t="str">
        <f t="shared" ca="1" si="54"/>
        <v>Processing of dairy products'</v>
      </c>
      <c r="E593" s="9">
        <v>1</v>
      </c>
      <c r="F593" s="9">
        <v>29</v>
      </c>
      <c r="G593" s="9">
        <v>2</v>
      </c>
      <c r="H593" s="13">
        <v>7.7941176470588236E-2</v>
      </c>
      <c r="I593" s="13">
        <f>intermediateEstimate</f>
        <v>0.3</v>
      </c>
      <c r="J593" s="13">
        <v>-1</v>
      </c>
      <c r="K593" s="13">
        <f>advancedEstimate</f>
        <v>0.6</v>
      </c>
      <c r="L593" s="13">
        <v>-1</v>
      </c>
      <c r="M593" s="13">
        <f>extremeEstimate</f>
        <v>0.9</v>
      </c>
      <c r="N593" s="88">
        <f>A593</f>
        <v>590</v>
      </c>
      <c r="O593" s="38"/>
    </row>
    <row r="594" spans="1:15" s="9" customFormat="1" x14ac:dyDescent="0.25">
      <c r="A594" s="70">
        <f t="shared" si="48"/>
        <v>591</v>
      </c>
      <c r="C594" s="9" t="str">
        <f t="shared" ca="1" si="53"/>
        <v>Equipment and transport</v>
      </c>
      <c r="D594" s="9" t="str">
        <f t="shared" ca="1" si="54"/>
        <v>Processing of dairy products'</v>
      </c>
      <c r="E594" s="9">
        <v>26</v>
      </c>
      <c r="F594" s="9">
        <v>29</v>
      </c>
      <c r="G594" s="9">
        <v>2</v>
      </c>
      <c r="H594" s="13">
        <v>1</v>
      </c>
      <c r="I594" s="13">
        <v>1</v>
      </c>
      <c r="J594" s="13">
        <f>J593*-15%</f>
        <v>0.15</v>
      </c>
      <c r="K594" s="13">
        <v>1</v>
      </c>
      <c r="L594" s="13">
        <f>L593*-15%</f>
        <v>0.15</v>
      </c>
      <c r="M594" s="13">
        <v>1</v>
      </c>
      <c r="N594" s="88">
        <f>A593</f>
        <v>590</v>
      </c>
      <c r="O594" s="38"/>
    </row>
    <row r="595" spans="1:15" s="9" customFormat="1" x14ac:dyDescent="0.25">
      <c r="A595" s="70">
        <f t="shared" si="48"/>
        <v>592</v>
      </c>
      <c r="C595" s="9" t="str">
        <f t="shared" ca="1" si="53"/>
        <v>Land transport</v>
      </c>
      <c r="D595" s="9" t="str">
        <f t="shared" ca="1" si="54"/>
        <v>Processing of dairy products'</v>
      </c>
      <c r="E595" s="9">
        <v>9</v>
      </c>
      <c r="F595" s="9">
        <v>29</v>
      </c>
      <c r="G595" s="9">
        <v>2</v>
      </c>
      <c r="H595" s="13">
        <f>100%</f>
        <v>1</v>
      </c>
      <c r="I595" s="13">
        <f>100%</f>
        <v>1</v>
      </c>
      <c r="J595" s="13">
        <f>J593*-15%</f>
        <v>0.15</v>
      </c>
      <c r="K595" s="13">
        <v>1</v>
      </c>
      <c r="L595" s="13">
        <f>L593*-15%</f>
        <v>0.15</v>
      </c>
      <c r="M595" s="13">
        <v>1</v>
      </c>
      <c r="N595" s="88">
        <f>A593</f>
        <v>590</v>
      </c>
      <c r="O595" s="38"/>
    </row>
    <row r="596" spans="1:15" s="9" customFormat="1" x14ac:dyDescent="0.25">
      <c r="A596" s="70">
        <f t="shared" si="48"/>
        <v>593</v>
      </c>
      <c r="C596" s="9" t="str">
        <f t="shared" ca="1" si="53"/>
        <v>All products</v>
      </c>
      <c r="D596" s="9" t="str">
        <f t="shared" ca="1" si="54"/>
        <v>Sugar refining'</v>
      </c>
      <c r="E596" s="9">
        <v>1</v>
      </c>
      <c r="F596" s="9">
        <v>31</v>
      </c>
      <c r="G596" s="9">
        <v>2</v>
      </c>
      <c r="H596" s="13">
        <v>0.23176020408163264</v>
      </c>
      <c r="I596" s="13">
        <f>intermediateEstimate</f>
        <v>0.3</v>
      </c>
      <c r="J596" s="13">
        <v>-1</v>
      </c>
      <c r="K596" s="13">
        <f>advancedEstimate</f>
        <v>0.6</v>
      </c>
      <c r="L596" s="13">
        <v>-1</v>
      </c>
      <c r="M596" s="13">
        <f>extremeEstimate</f>
        <v>0.9</v>
      </c>
      <c r="N596" s="88">
        <f>A596</f>
        <v>593</v>
      </c>
      <c r="O596" s="38"/>
    </row>
    <row r="597" spans="1:15" s="9" customFormat="1" x14ac:dyDescent="0.25">
      <c r="A597" s="70">
        <f t="shared" si="48"/>
        <v>594</v>
      </c>
      <c r="C597" s="9" t="str">
        <f t="shared" ca="1" si="53"/>
        <v>Equipment and transport</v>
      </c>
      <c r="D597" s="9" t="str">
        <f t="shared" ca="1" si="54"/>
        <v>Sugar refining'</v>
      </c>
      <c r="E597" s="9">
        <v>26</v>
      </c>
      <c r="F597" s="9">
        <v>31</v>
      </c>
      <c r="G597" s="9">
        <v>2</v>
      </c>
      <c r="H597" s="13">
        <v>1</v>
      </c>
      <c r="I597" s="13">
        <v>1</v>
      </c>
      <c r="J597" s="13">
        <f>J596*-15%</f>
        <v>0.15</v>
      </c>
      <c r="K597" s="13">
        <v>1</v>
      </c>
      <c r="L597" s="13">
        <f>L596*-15%</f>
        <v>0.15</v>
      </c>
      <c r="M597" s="13">
        <v>1</v>
      </c>
      <c r="N597" s="88">
        <f>A596</f>
        <v>593</v>
      </c>
      <c r="O597" s="38"/>
    </row>
    <row r="598" spans="1:15" s="9" customFormat="1" x14ac:dyDescent="0.25">
      <c r="A598" s="70">
        <f t="shared" si="48"/>
        <v>595</v>
      </c>
      <c r="C598" s="9" t="str">
        <f t="shared" ca="1" si="53"/>
        <v>Land transport</v>
      </c>
      <c r="D598" s="9" t="str">
        <f t="shared" ca="1" si="54"/>
        <v>Sugar refining'</v>
      </c>
      <c r="E598" s="9">
        <v>9</v>
      </c>
      <c r="F598" s="9">
        <v>31</v>
      </c>
      <c r="G598" s="9">
        <v>2</v>
      </c>
      <c r="H598" s="13">
        <f>100%</f>
        <v>1</v>
      </c>
      <c r="I598" s="13">
        <f>100%</f>
        <v>1</v>
      </c>
      <c r="J598" s="13">
        <f>J596*-15%</f>
        <v>0.15</v>
      </c>
      <c r="K598" s="13">
        <v>1</v>
      </c>
      <c r="L598" s="13">
        <f>L596*-15%</f>
        <v>0.15</v>
      </c>
      <c r="M598" s="13">
        <v>1</v>
      </c>
      <c r="N598" s="88">
        <f>A596</f>
        <v>593</v>
      </c>
      <c r="O598" s="38"/>
    </row>
    <row r="599" spans="1:15" s="9" customFormat="1" x14ac:dyDescent="0.25">
      <c r="A599" s="70">
        <f t="shared" si="48"/>
        <v>596</v>
      </c>
      <c r="C599" s="9" t="str">
        <f t="shared" ca="1" si="53"/>
        <v>All products</v>
      </c>
      <c r="D599" s="9" t="str">
        <f t="shared" ca="1" si="54"/>
        <v>Processing vegetable oils and fats'</v>
      </c>
      <c r="E599" s="9">
        <v>1</v>
      </c>
      <c r="F599" s="9">
        <v>28</v>
      </c>
      <c r="G599" s="9">
        <v>2</v>
      </c>
      <c r="H599" s="13">
        <v>3.7037037037037035E-2</v>
      </c>
      <c r="I599" s="13">
        <f>intermediateEstimate</f>
        <v>0.3</v>
      </c>
      <c r="J599" s="13">
        <v>-1</v>
      </c>
      <c r="K599" s="13">
        <f>advancedEstimate</f>
        <v>0.6</v>
      </c>
      <c r="L599" s="13">
        <v>-1</v>
      </c>
      <c r="M599" s="13">
        <f>extremeEstimate</f>
        <v>0.9</v>
      </c>
      <c r="N599" s="88">
        <f>A599</f>
        <v>596</v>
      </c>
      <c r="O599" s="38"/>
    </row>
    <row r="600" spans="1:15" s="9" customFormat="1" x14ac:dyDescent="0.25">
      <c r="A600" s="70">
        <f t="shared" si="48"/>
        <v>597</v>
      </c>
      <c r="C600" s="9" t="str">
        <f t="shared" ca="1" si="53"/>
        <v>Equipment and transport</v>
      </c>
      <c r="D600" s="9" t="str">
        <f t="shared" ca="1" si="54"/>
        <v>Processing vegetable oils and fats'</v>
      </c>
      <c r="E600" s="9">
        <v>26</v>
      </c>
      <c r="F600" s="9">
        <v>28</v>
      </c>
      <c r="G600" s="9">
        <v>2</v>
      </c>
      <c r="H600" s="13">
        <v>1</v>
      </c>
      <c r="I600" s="13">
        <v>1</v>
      </c>
      <c r="J600" s="13">
        <f>J599*-15%</f>
        <v>0.15</v>
      </c>
      <c r="K600" s="13">
        <v>1</v>
      </c>
      <c r="L600" s="13">
        <f>L599*-15%</f>
        <v>0.15</v>
      </c>
      <c r="M600" s="13">
        <v>1</v>
      </c>
      <c r="N600" s="88">
        <f>A599</f>
        <v>596</v>
      </c>
      <c r="O600" s="38"/>
    </row>
    <row r="601" spans="1:15" s="9" customFormat="1" x14ac:dyDescent="0.25">
      <c r="A601" s="70">
        <f t="shared" si="48"/>
        <v>598</v>
      </c>
      <c r="C601" s="9" t="str">
        <f t="shared" ca="1" si="53"/>
        <v>Public awareness campaign product (post &amp; telecoms, other business, education)</v>
      </c>
      <c r="D601" s="9" t="str">
        <f t="shared" ca="1" si="54"/>
        <v>Processing vegetable oils and fats'</v>
      </c>
      <c r="E601" s="9">
        <v>34</v>
      </c>
      <c r="F601" s="9">
        <v>28</v>
      </c>
      <c r="G601" s="9">
        <v>2</v>
      </c>
      <c r="H601" s="13">
        <f>100%</f>
        <v>1</v>
      </c>
      <c r="I601" s="13">
        <f>100%</f>
        <v>1</v>
      </c>
      <c r="J601" s="13">
        <f>J599*-15%</f>
        <v>0.15</v>
      </c>
      <c r="K601" s="13">
        <v>1</v>
      </c>
      <c r="L601" s="13">
        <f>L599*-15%</f>
        <v>0.15</v>
      </c>
      <c r="M601" s="13">
        <v>1</v>
      </c>
      <c r="N601" s="88">
        <f>A599</f>
        <v>596</v>
      </c>
      <c r="O601" s="38"/>
    </row>
    <row r="602" spans="1:15" s="9" customFormat="1" x14ac:dyDescent="0.25">
      <c r="A602" s="70">
        <f t="shared" si="48"/>
        <v>599</v>
      </c>
      <c r="C602" s="9" t="str">
        <f t="shared" ca="1" si="53"/>
        <v>All products</v>
      </c>
      <c r="D602" s="9" t="str">
        <f t="shared" ca="1" si="54"/>
        <v>Manufacture of fish products'</v>
      </c>
      <c r="E602" s="9">
        <v>1</v>
      </c>
      <c r="F602" s="9">
        <v>34</v>
      </c>
      <c r="G602" s="9">
        <v>2</v>
      </c>
      <c r="H602" s="13">
        <v>0.10740740740740741</v>
      </c>
      <c r="I602" s="13">
        <f>intermediateEstimate</f>
        <v>0.3</v>
      </c>
      <c r="J602" s="13">
        <v>-1</v>
      </c>
      <c r="K602" s="13">
        <f>advancedEstimate</f>
        <v>0.6</v>
      </c>
      <c r="L602" s="13">
        <v>-1</v>
      </c>
      <c r="M602" s="13">
        <f>extremeEstimate</f>
        <v>0.9</v>
      </c>
      <c r="N602" s="88">
        <f>A602</f>
        <v>599</v>
      </c>
      <c r="O602" s="38"/>
    </row>
    <row r="603" spans="1:15" s="9" customFormat="1" x14ac:dyDescent="0.25">
      <c r="A603" s="70">
        <f t="shared" si="48"/>
        <v>600</v>
      </c>
      <c r="C603" s="9" t="str">
        <f t="shared" ca="1" si="53"/>
        <v>Equipment and transport</v>
      </c>
      <c r="D603" s="9" t="str">
        <f t="shared" ca="1" si="54"/>
        <v>Manufacture of fish products'</v>
      </c>
      <c r="E603" s="9">
        <v>26</v>
      </c>
      <c r="F603" s="9">
        <v>34</v>
      </c>
      <c r="G603" s="9">
        <v>2</v>
      </c>
      <c r="H603" s="89">
        <v>1</v>
      </c>
      <c r="I603" s="89">
        <v>1</v>
      </c>
      <c r="J603" s="13">
        <f>J602*-15%</f>
        <v>0.15</v>
      </c>
      <c r="K603" s="13">
        <v>1</v>
      </c>
      <c r="L603" s="13">
        <f>L602*-15%</f>
        <v>0.15</v>
      </c>
      <c r="M603" s="13">
        <v>1</v>
      </c>
      <c r="N603" s="88">
        <f>A602</f>
        <v>599</v>
      </c>
      <c r="O603" s="38"/>
    </row>
    <row r="604" spans="1:15" s="9" customFormat="1" x14ac:dyDescent="0.25">
      <c r="A604" s="70">
        <f t="shared" si="48"/>
        <v>601</v>
      </c>
      <c r="C604" s="9" t="str">
        <f t="shared" ca="1" si="53"/>
        <v>Land transport</v>
      </c>
      <c r="D604" s="9" t="str">
        <f t="shared" ca="1" si="54"/>
        <v>Manufacture of fish products'</v>
      </c>
      <c r="E604" s="9">
        <v>9</v>
      </c>
      <c r="F604" s="9">
        <v>34</v>
      </c>
      <c r="G604" s="9">
        <v>2</v>
      </c>
      <c r="H604" s="89">
        <f>100%</f>
        <v>1</v>
      </c>
      <c r="I604" s="89">
        <f>100%</f>
        <v>1</v>
      </c>
      <c r="J604" s="13">
        <f>J602*-15%</f>
        <v>0.15</v>
      </c>
      <c r="K604" s="13">
        <v>1</v>
      </c>
      <c r="L604" s="13">
        <f>L602*-15%</f>
        <v>0.15</v>
      </c>
      <c r="M604" s="13">
        <v>1</v>
      </c>
      <c r="N604" s="88">
        <f>A602</f>
        <v>599</v>
      </c>
      <c r="O604" s="38"/>
    </row>
    <row r="605" spans="1:15" s="9" customFormat="1" x14ac:dyDescent="0.25">
      <c r="A605" s="70">
        <f t="shared" si="48"/>
        <v>602</v>
      </c>
      <c r="C605" s="9" t="str">
        <f t="shared" ca="1" si="53"/>
        <v>All products</v>
      </c>
      <c r="D605" s="9" t="str">
        <f t="shared" ca="1" si="54"/>
        <v>Meat</v>
      </c>
      <c r="E605" s="9">
        <v>1</v>
      </c>
      <c r="F605" s="9">
        <v>24</v>
      </c>
      <c r="G605" s="9">
        <v>2</v>
      </c>
      <c r="H605" s="89">
        <v>0.10740740740740741</v>
      </c>
      <c r="I605" s="13">
        <f>intermediateEstimate</f>
        <v>0.3</v>
      </c>
      <c r="J605" s="13">
        <v>-1</v>
      </c>
      <c r="K605" s="13">
        <f>advancedEstimate</f>
        <v>0.6</v>
      </c>
      <c r="L605" s="13">
        <v>-1</v>
      </c>
      <c r="M605" s="13">
        <f>extremeEstimate</f>
        <v>0.9</v>
      </c>
      <c r="N605" s="88">
        <f>A605</f>
        <v>602</v>
      </c>
      <c r="O605" s="38"/>
    </row>
    <row r="606" spans="1:15" s="9" customFormat="1" x14ac:dyDescent="0.25">
      <c r="A606" s="70">
        <f t="shared" si="48"/>
        <v>603</v>
      </c>
      <c r="C606" s="9" t="str">
        <f t="shared" ca="1" si="53"/>
        <v>Meat</v>
      </c>
      <c r="D606" s="9" t="str">
        <f t="shared" ca="1" si="54"/>
        <v>Processing of Meat</v>
      </c>
      <c r="E606" s="9">
        <v>30</v>
      </c>
      <c r="F606" s="9">
        <v>27</v>
      </c>
      <c r="G606" s="9">
        <v>2</v>
      </c>
      <c r="H606" s="89">
        <v>0.10740740740740741</v>
      </c>
      <c r="I606" s="89">
        <v>0.10740740740740741</v>
      </c>
      <c r="J606" s="13">
        <f>-J605</f>
        <v>1</v>
      </c>
      <c r="K606" s="13">
        <f>K605</f>
        <v>0.6</v>
      </c>
      <c r="L606" s="13">
        <f>-L605</f>
        <v>1</v>
      </c>
      <c r="M606" s="13">
        <v>1</v>
      </c>
      <c r="N606" s="88">
        <f>A606</f>
        <v>603</v>
      </c>
      <c r="O606" s="38"/>
    </row>
    <row r="607" spans="1:15" s="9" customFormat="1" x14ac:dyDescent="0.25">
      <c r="A607" s="70">
        <f t="shared" si="48"/>
        <v>604</v>
      </c>
      <c r="C607" s="9" t="str">
        <f t="shared" ref="C607:C616" ca="1" si="55">INDIRECT(ADDRESS(E607+2,2,,,"product Table"))</f>
        <v>Equipment and transport</v>
      </c>
      <c r="D607" s="9" t="str">
        <f t="shared" ref="D607:D616" ca="1" si="56">INDIRECT(ADDRESS(F607+2,2,,,"industry Table"))</f>
        <v>Meat</v>
      </c>
      <c r="E607" s="9">
        <v>26</v>
      </c>
      <c r="F607" s="9">
        <v>24</v>
      </c>
      <c r="G607" s="9">
        <v>2</v>
      </c>
      <c r="H607" s="89">
        <v>1</v>
      </c>
      <c r="I607" s="89">
        <v>1</v>
      </c>
      <c r="J607" s="13">
        <f>J605*-15%</f>
        <v>0.15</v>
      </c>
      <c r="K607" s="13">
        <v>1</v>
      </c>
      <c r="L607" s="13">
        <f>L605*-15%</f>
        <v>0.15</v>
      </c>
      <c r="M607" s="13">
        <v>1</v>
      </c>
      <c r="N607" s="88">
        <f>A605</f>
        <v>602</v>
      </c>
      <c r="O607" s="38"/>
    </row>
    <row r="608" spans="1:15" s="9" customFormat="1" x14ac:dyDescent="0.25">
      <c r="A608" s="70">
        <f t="shared" si="48"/>
        <v>605</v>
      </c>
      <c r="C608" s="9" t="str">
        <f t="shared" ca="1" si="55"/>
        <v>Land transport</v>
      </c>
      <c r="D608" s="9" t="str">
        <f t="shared" ca="1" si="56"/>
        <v>Meat</v>
      </c>
      <c r="E608" s="9">
        <v>9</v>
      </c>
      <c r="F608" s="9">
        <v>24</v>
      </c>
      <c r="G608" s="9">
        <v>2</v>
      </c>
      <c r="H608" s="89">
        <f>100%</f>
        <v>1</v>
      </c>
      <c r="I608" s="89">
        <f>100%</f>
        <v>1</v>
      </c>
      <c r="J608" s="13">
        <f>J605*-15%</f>
        <v>0.15</v>
      </c>
      <c r="K608" s="13">
        <v>1</v>
      </c>
      <c r="L608" s="13">
        <f>L605*-15%</f>
        <v>0.15</v>
      </c>
      <c r="M608" s="13">
        <v>1</v>
      </c>
      <c r="N608" s="75">
        <f>A605</f>
        <v>602</v>
      </c>
      <c r="O608" s="38"/>
    </row>
    <row r="609" spans="1:15" s="9" customFormat="1" x14ac:dyDescent="0.25">
      <c r="A609" s="70">
        <f t="shared" si="48"/>
        <v>606</v>
      </c>
      <c r="C609" s="9" t="str">
        <f t="shared" ca="1" si="55"/>
        <v>All products</v>
      </c>
      <c r="D609" s="9" t="str">
        <f t="shared" ca="1" si="56"/>
        <v>Milk</v>
      </c>
      <c r="E609" s="9">
        <v>1</v>
      </c>
      <c r="F609" s="9">
        <v>25</v>
      </c>
      <c r="G609" s="9">
        <v>2</v>
      </c>
      <c r="H609" s="89">
        <v>7.7941176470588236E-2</v>
      </c>
      <c r="I609" s="13">
        <f>intermediateEstimate</f>
        <v>0.3</v>
      </c>
      <c r="J609" s="13">
        <v>-1</v>
      </c>
      <c r="K609" s="13">
        <f>advancedEstimate</f>
        <v>0.6</v>
      </c>
      <c r="L609" s="13">
        <v>-1</v>
      </c>
      <c r="M609" s="13">
        <f>extremeEstimate</f>
        <v>0.9</v>
      </c>
      <c r="N609" s="88">
        <f>A609</f>
        <v>606</v>
      </c>
      <c r="O609" s="38"/>
    </row>
    <row r="610" spans="1:15" s="9" customFormat="1" x14ac:dyDescent="0.25">
      <c r="A610" s="70">
        <f t="shared" si="48"/>
        <v>607</v>
      </c>
      <c r="C610" s="9" t="str">
        <f t="shared" ca="1" si="55"/>
        <v>Milk</v>
      </c>
      <c r="D610" s="9" t="str">
        <f t="shared" ca="1" si="56"/>
        <v>Processing of dairy products'</v>
      </c>
      <c r="E610" s="9">
        <v>31</v>
      </c>
      <c r="F610" s="9">
        <v>29</v>
      </c>
      <c r="G610" s="9">
        <v>2</v>
      </c>
      <c r="H610" s="89">
        <v>7.7941176470588236E-2</v>
      </c>
      <c r="I610" s="89">
        <v>7.7941176470588236E-2</v>
      </c>
      <c r="J610" s="13">
        <f>-J609</f>
        <v>1</v>
      </c>
      <c r="K610" s="13">
        <f>K609</f>
        <v>0.6</v>
      </c>
      <c r="L610" s="13">
        <f>-L609</f>
        <v>1</v>
      </c>
      <c r="M610" s="13">
        <v>1</v>
      </c>
      <c r="N610" s="88">
        <f>A610</f>
        <v>607</v>
      </c>
      <c r="O610" s="38"/>
    </row>
    <row r="611" spans="1:15" s="9" customFormat="1" x14ac:dyDescent="0.25">
      <c r="A611" s="70">
        <f t="shared" si="48"/>
        <v>608</v>
      </c>
      <c r="C611" s="9" t="str">
        <f t="shared" ca="1" si="55"/>
        <v>Equipment and transport</v>
      </c>
      <c r="D611" s="9" t="str">
        <f t="shared" ca="1" si="56"/>
        <v>Milk</v>
      </c>
      <c r="E611" s="9">
        <v>26</v>
      </c>
      <c r="F611" s="9">
        <v>25</v>
      </c>
      <c r="G611" s="9">
        <v>2</v>
      </c>
      <c r="H611" s="89">
        <v>1</v>
      </c>
      <c r="I611" s="89">
        <v>1</v>
      </c>
      <c r="J611" s="13">
        <f>J609*-15%</f>
        <v>0.15</v>
      </c>
      <c r="K611" s="13">
        <v>1</v>
      </c>
      <c r="L611" s="13">
        <f>L609*-15%</f>
        <v>0.15</v>
      </c>
      <c r="M611" s="13">
        <v>1</v>
      </c>
      <c r="N611" s="88">
        <f>A609</f>
        <v>606</v>
      </c>
      <c r="O611" s="38"/>
    </row>
    <row r="612" spans="1:15" s="9" customFormat="1" x14ac:dyDescent="0.25">
      <c r="A612" s="70">
        <f t="shared" si="48"/>
        <v>609</v>
      </c>
      <c r="C612" s="9" t="str">
        <f t="shared" ca="1" si="55"/>
        <v>Land transport</v>
      </c>
      <c r="D612" s="9" t="str">
        <f t="shared" ca="1" si="56"/>
        <v>Milk</v>
      </c>
      <c r="E612" s="9">
        <v>9</v>
      </c>
      <c r="F612" s="9">
        <v>25</v>
      </c>
      <c r="G612" s="9">
        <v>2</v>
      </c>
      <c r="H612" s="89">
        <f>100%</f>
        <v>1</v>
      </c>
      <c r="I612" s="89">
        <f>100%</f>
        <v>1</v>
      </c>
      <c r="J612" s="13">
        <f>J609*-15%</f>
        <v>0.15</v>
      </c>
      <c r="K612" s="13">
        <v>1</v>
      </c>
      <c r="L612" s="13">
        <f>L609*-15%</f>
        <v>0.15</v>
      </c>
      <c r="M612" s="13">
        <v>1</v>
      </c>
      <c r="N612" s="75">
        <f>A609</f>
        <v>606</v>
      </c>
      <c r="O612" s="38"/>
    </row>
    <row r="613" spans="1:15" s="9" customFormat="1" x14ac:dyDescent="0.25">
      <c r="A613" s="70">
        <f t="shared" ref="A613:A616" si="57">1+A612</f>
        <v>610</v>
      </c>
      <c r="C613" s="9" t="str">
        <f t="shared" ca="1" si="55"/>
        <v>All products</v>
      </c>
      <c r="D613" s="9" t="str">
        <f t="shared" ca="1" si="56"/>
        <v xml:space="preserve">Cereals </v>
      </c>
      <c r="E613" s="9">
        <v>1</v>
      </c>
      <c r="F613" s="9">
        <v>20</v>
      </c>
      <c r="G613" s="9">
        <v>2</v>
      </c>
      <c r="H613" s="90">
        <v>0.15693430656934307</v>
      </c>
      <c r="I613" s="13">
        <f>intermediateEstimate</f>
        <v>0.3</v>
      </c>
      <c r="J613" s="13">
        <v>-1</v>
      </c>
      <c r="K613" s="13">
        <f>advancedEstimate</f>
        <v>0.6</v>
      </c>
      <c r="L613" s="13">
        <v>-1</v>
      </c>
      <c r="M613" s="13">
        <f>extremeEstimate</f>
        <v>0.9</v>
      </c>
      <c r="N613" s="88">
        <f>A613</f>
        <v>610</v>
      </c>
      <c r="O613" s="38"/>
    </row>
    <row r="614" spans="1:15" s="9" customFormat="1" x14ac:dyDescent="0.25">
      <c r="A614" s="70">
        <f t="shared" si="57"/>
        <v>611</v>
      </c>
      <c r="C614" s="9" t="str">
        <f t="shared" ca="1" si="55"/>
        <v>All food products</v>
      </c>
      <c r="D614" s="9" t="str">
        <f t="shared" ca="1" si="56"/>
        <v>Processing of Food products nec'</v>
      </c>
      <c r="E614" s="9">
        <v>33</v>
      </c>
      <c r="F614" s="9">
        <v>32</v>
      </c>
      <c r="G614" s="9">
        <v>2</v>
      </c>
      <c r="H614" s="90">
        <v>0.15693430656934307</v>
      </c>
      <c r="I614" s="90">
        <v>0.15693430656934307</v>
      </c>
      <c r="J614" s="13">
        <f>-J613</f>
        <v>1</v>
      </c>
      <c r="K614" s="13">
        <f>K613</f>
        <v>0.6</v>
      </c>
      <c r="L614" s="13">
        <f>-L613</f>
        <v>1</v>
      </c>
      <c r="M614" s="13">
        <v>1</v>
      </c>
      <c r="N614" s="88">
        <f>A614</f>
        <v>611</v>
      </c>
      <c r="O614" s="38"/>
    </row>
    <row r="615" spans="1:15" s="9" customFormat="1" x14ac:dyDescent="0.25">
      <c r="A615" s="70">
        <f t="shared" si="57"/>
        <v>612</v>
      </c>
      <c r="C615" s="9" t="str">
        <f t="shared" ca="1" si="55"/>
        <v>Equipment and transport</v>
      </c>
      <c r="D615" s="9" t="str">
        <f t="shared" ca="1" si="56"/>
        <v xml:space="preserve">Cereals </v>
      </c>
      <c r="E615" s="9">
        <v>26</v>
      </c>
      <c r="F615" s="9">
        <v>20</v>
      </c>
      <c r="G615" s="9">
        <v>2</v>
      </c>
      <c r="H615" s="89">
        <v>1</v>
      </c>
      <c r="I615" s="89">
        <v>1</v>
      </c>
      <c r="J615" s="13">
        <f>J613*-15%</f>
        <v>0.15</v>
      </c>
      <c r="K615" s="13">
        <v>1</v>
      </c>
      <c r="L615" s="13">
        <f>L613*-15%</f>
        <v>0.15</v>
      </c>
      <c r="M615" s="13">
        <v>1</v>
      </c>
      <c r="N615" s="88">
        <f>A613</f>
        <v>610</v>
      </c>
      <c r="O615" s="38"/>
    </row>
    <row r="616" spans="1:15" s="9" customFormat="1" x14ac:dyDescent="0.25">
      <c r="A616" s="70">
        <f t="shared" si="57"/>
        <v>613</v>
      </c>
      <c r="C616" s="9" t="str">
        <f t="shared" ca="1" si="55"/>
        <v>Land transport</v>
      </c>
      <c r="D616" s="9" t="str">
        <f t="shared" ca="1" si="56"/>
        <v xml:space="preserve">Cereals </v>
      </c>
      <c r="E616" s="9">
        <v>9</v>
      </c>
      <c r="F616" s="9">
        <v>20</v>
      </c>
      <c r="G616" s="9">
        <v>2</v>
      </c>
      <c r="H616" s="89">
        <f>100%</f>
        <v>1</v>
      </c>
      <c r="I616" s="89">
        <f>100%</f>
        <v>1</v>
      </c>
      <c r="J616" s="13">
        <f>J613*-15%</f>
        <v>0.15</v>
      </c>
      <c r="K616" s="13">
        <v>1</v>
      </c>
      <c r="L616" s="13">
        <f>L613*-15%</f>
        <v>0.15</v>
      </c>
      <c r="M616" s="13">
        <v>1</v>
      </c>
      <c r="N616" s="75">
        <f>A613</f>
        <v>610</v>
      </c>
      <c r="O616" s="38"/>
    </row>
    <row r="617" spans="1:15" x14ac:dyDescent="0.25">
      <c r="A617" s="15"/>
      <c r="B617" s="15"/>
      <c r="C617" s="15"/>
      <c r="D617" s="15"/>
      <c r="E617" s="31"/>
      <c r="F617" s="31"/>
      <c r="G617" s="15"/>
      <c r="H617" s="2"/>
      <c r="I617" s="2"/>
      <c r="J617" s="13"/>
      <c r="K617" s="13"/>
      <c r="L617" s="13"/>
      <c r="M617" s="13"/>
      <c r="N617" s="32"/>
    </row>
    <row r="618" spans="1:15" x14ac:dyDescent="0.25">
      <c r="A618" s="15"/>
      <c r="B618" s="15"/>
      <c r="C618" s="15"/>
      <c r="D618" s="15"/>
      <c r="E618" s="31"/>
      <c r="F618" s="31"/>
      <c r="G618" s="15"/>
      <c r="H618" s="2"/>
      <c r="I618" s="2"/>
      <c r="J618" s="13"/>
      <c r="K618" s="13"/>
      <c r="L618" s="13"/>
      <c r="M618" s="13"/>
      <c r="N618" s="33"/>
    </row>
    <row r="619" spans="1:15" x14ac:dyDescent="0.25">
      <c r="A619" s="15"/>
      <c r="B619" s="15"/>
      <c r="C619" s="15"/>
      <c r="D619" s="15"/>
      <c r="E619" s="31"/>
      <c r="F619" s="31"/>
      <c r="G619" s="15"/>
      <c r="H619" s="2"/>
      <c r="I619" s="2"/>
      <c r="J619" s="13"/>
      <c r="K619" s="13"/>
      <c r="L619" s="13"/>
      <c r="M619" s="13"/>
      <c r="N619" s="33"/>
    </row>
    <row r="620" spans="1:15" x14ac:dyDescent="0.25">
      <c r="A620" s="15"/>
      <c r="B620" s="15"/>
      <c r="C620" s="15"/>
      <c r="D620" s="15"/>
      <c r="E620" s="31"/>
      <c r="F620" s="31"/>
      <c r="G620" s="15"/>
      <c r="H620" s="2"/>
      <c r="I620" s="2"/>
      <c r="J620" s="13"/>
      <c r="K620" s="13"/>
      <c r="L620" s="13"/>
      <c r="M620" s="13"/>
      <c r="N620" s="33"/>
    </row>
    <row r="621" spans="1:15" x14ac:dyDescent="0.25">
      <c r="A621" s="15"/>
      <c r="B621" s="15"/>
      <c r="C621" s="15"/>
      <c r="D621" s="15"/>
      <c r="E621" s="31"/>
      <c r="F621" s="31"/>
      <c r="G621" s="15"/>
      <c r="H621" s="2"/>
      <c r="I621" s="2"/>
      <c r="J621" s="13"/>
      <c r="K621" s="13"/>
      <c r="L621" s="13"/>
      <c r="M621" s="13"/>
      <c r="N621" s="33"/>
    </row>
    <row r="622" spans="1:15" x14ac:dyDescent="0.25">
      <c r="A622" s="15"/>
      <c r="B622" s="15"/>
      <c r="C622" s="15"/>
      <c r="D622" s="15"/>
      <c r="E622" s="31"/>
      <c r="F622" s="31"/>
      <c r="G622" s="15"/>
      <c r="H622" s="2"/>
      <c r="I622" s="2"/>
      <c r="J622" s="13"/>
      <c r="K622" s="13"/>
      <c r="L622" s="13"/>
      <c r="M622" s="13"/>
      <c r="N622" s="33"/>
    </row>
    <row r="623" spans="1:15" x14ac:dyDescent="0.25">
      <c r="A623" s="15"/>
      <c r="B623" s="15"/>
      <c r="C623" s="15"/>
      <c r="D623" s="15"/>
      <c r="E623" s="31"/>
      <c r="F623" s="31"/>
      <c r="G623" s="15"/>
      <c r="H623" s="2"/>
      <c r="I623" s="2"/>
      <c r="J623" s="13"/>
      <c r="K623" s="13"/>
      <c r="L623" s="13"/>
      <c r="M623" s="13"/>
      <c r="N623" s="33"/>
    </row>
    <row r="624" spans="1:15" x14ac:dyDescent="0.25">
      <c r="A624" s="15"/>
      <c r="B624" s="15"/>
      <c r="C624" s="15"/>
      <c r="D624" s="15"/>
      <c r="E624" s="31"/>
      <c r="F624" s="31"/>
      <c r="G624" s="15"/>
      <c r="H624" s="2"/>
      <c r="I624" s="2"/>
      <c r="J624" s="13"/>
      <c r="K624" s="13"/>
      <c r="L624" s="13"/>
      <c r="M624" s="13"/>
      <c r="N624" s="33"/>
    </row>
    <row r="625" spans="1:14" x14ac:dyDescent="0.25">
      <c r="A625" s="15"/>
      <c r="B625" s="15"/>
      <c r="C625" s="15"/>
      <c r="D625" s="15"/>
      <c r="E625" s="31"/>
      <c r="F625" s="31"/>
      <c r="G625" s="15"/>
      <c r="H625" s="2"/>
      <c r="I625" s="2"/>
      <c r="J625" s="13"/>
      <c r="K625" s="13"/>
      <c r="L625" s="13"/>
      <c r="M625" s="13"/>
      <c r="N625" s="33"/>
    </row>
    <row r="626" spans="1:14" x14ac:dyDescent="0.25">
      <c r="A626" s="15"/>
      <c r="B626" s="15"/>
      <c r="N626" s="33"/>
    </row>
    <row r="627" spans="1:14" x14ac:dyDescent="0.25">
      <c r="A627" s="15"/>
      <c r="B627" s="15"/>
    </row>
    <row r="628" spans="1:14" x14ac:dyDescent="0.25">
      <c r="A628" s="15"/>
      <c r="B628" s="15"/>
    </row>
    <row r="629" spans="1:14" x14ac:dyDescent="0.25">
      <c r="A629" s="15"/>
      <c r="B629" s="15"/>
    </row>
    <row r="630" spans="1:14" x14ac:dyDescent="0.25">
      <c r="A630" s="15"/>
      <c r="B630" s="15"/>
    </row>
    <row r="631" spans="1:14" x14ac:dyDescent="0.25">
      <c r="A631" s="15"/>
      <c r="B631" s="15"/>
    </row>
    <row r="632" spans="1:14" x14ac:dyDescent="0.25">
      <c r="B632" s="15"/>
    </row>
    <row r="633" spans="1:14" x14ac:dyDescent="0.25">
      <c r="B633" s="15"/>
    </row>
    <row r="634" spans="1:14" x14ac:dyDescent="0.25">
      <c r="B634" s="15"/>
    </row>
    <row r="635" spans="1:14" x14ac:dyDescent="0.25">
      <c r="B635" s="15"/>
    </row>
    <row r="636" spans="1:14" x14ac:dyDescent="0.25">
      <c r="B636" s="15"/>
    </row>
    <row r="637" spans="1:14" x14ac:dyDescent="0.25">
      <c r="B637" s="15"/>
    </row>
    <row r="638" spans="1:14" x14ac:dyDescent="0.25">
      <c r="B638" s="15"/>
    </row>
    <row r="639" spans="1:14" x14ac:dyDescent="0.25">
      <c r="B639" s="15"/>
    </row>
    <row r="640" spans="1:14" x14ac:dyDescent="0.25">
      <c r="B640" s="15"/>
    </row>
    <row r="641" spans="2:14" x14ac:dyDescent="0.25">
      <c r="B641" s="15"/>
      <c r="C641" s="15"/>
      <c r="D641" s="15"/>
      <c r="E641" s="31"/>
      <c r="F641" s="31"/>
      <c r="G641" s="15"/>
      <c r="H641" s="2"/>
      <c r="I641" s="2"/>
      <c r="J641" s="13"/>
      <c r="K641" s="13"/>
      <c r="L641" s="13"/>
      <c r="M641" s="13"/>
      <c r="N641" s="32"/>
    </row>
    <row r="642" spans="2:14" x14ac:dyDescent="0.25">
      <c r="B642" s="15"/>
    </row>
    <row r="643" spans="2:14" x14ac:dyDescent="0.25">
      <c r="B643" s="15"/>
    </row>
    <row r="644" spans="2:14" x14ac:dyDescent="0.25">
      <c r="B644" s="15"/>
      <c r="C644" s="15"/>
      <c r="D644" s="15"/>
      <c r="E644" s="31"/>
      <c r="F644" s="31"/>
      <c r="G644" s="15"/>
      <c r="H644" s="2"/>
      <c r="I644" s="2"/>
      <c r="J644" s="13"/>
      <c r="K644" s="13"/>
      <c r="L644" s="13"/>
      <c r="M644" s="13"/>
      <c r="N644" s="33"/>
    </row>
    <row r="645" spans="2:14" x14ac:dyDescent="0.25">
      <c r="B645" s="15"/>
      <c r="C645" s="15"/>
      <c r="D645" s="15"/>
      <c r="E645" s="31"/>
      <c r="F645" s="31"/>
      <c r="G645" s="15"/>
      <c r="H645" s="2"/>
      <c r="I645" s="2"/>
      <c r="J645" s="13"/>
      <c r="K645" s="13"/>
      <c r="L645" s="13"/>
      <c r="M645" s="13"/>
      <c r="N645" s="32"/>
    </row>
    <row r="646" spans="2:14" x14ac:dyDescent="0.25">
      <c r="B646" s="15"/>
    </row>
    <row r="647" spans="2:14" x14ac:dyDescent="0.25">
      <c r="B647" s="15"/>
      <c r="C647" s="15"/>
      <c r="D647" s="15"/>
      <c r="E647" s="31"/>
      <c r="F647" s="31"/>
      <c r="G647" s="15"/>
      <c r="H647" s="2"/>
      <c r="I647" s="2"/>
      <c r="J647" s="13"/>
      <c r="K647" s="13"/>
      <c r="L647" s="13"/>
      <c r="M647" s="13"/>
      <c r="N647" s="33"/>
    </row>
    <row r="648" spans="2:14" x14ac:dyDescent="0.25">
      <c r="B648" s="15"/>
      <c r="C648" s="15"/>
      <c r="D648" s="15"/>
      <c r="E648" s="31"/>
      <c r="F648" s="31"/>
      <c r="G648" s="15"/>
      <c r="H648" s="2"/>
      <c r="I648" s="2"/>
      <c r="J648" s="13"/>
      <c r="K648" s="13"/>
      <c r="L648" s="13"/>
      <c r="M648" s="13"/>
      <c r="N648" s="33"/>
    </row>
  </sheetData>
  <sortState ref="P5:P574">
    <sortCondition ref="P4"/>
  </sortState>
  <conditionalFormatting sqref="H138:I141 I113:I115 H101:I105 I117 I106 H83:I92 H50:I52 H107:I107 I93:I94 H109:I110 I108 H95:I99 I119:I121 H75:I80 H193:I194 H192 H196:I197 H195 H199:I200 H198 H202:I203 H201 H205:I206 H204 H208:I209 H207 H211:I212 H210 H214:I215 H213 H217:I218 H216 H220:I221 H219 H223:I224 H222 H226:I227 H225 H229:I230 H228 H232:I233 H231 H235:I236 H234 H238:I239 H237 H241:I242 H240 H244:I245 H243 H247:I248 H246 H250:I251 H249 H253:I254 H252 H256:I257 H255 H259:I260 H258 H262:I263 H261 H265:I266 H264 H268:I269 H267 H271:I272 H270 H274:I275 H273 H277:I278 H276 H280:I281 H279 H283:I284 H282 H286:I287 H285 H289:I290 H288 H292:I293 H291 H295:I296 H294 H298:I299 H297 H301:I302 H300 H304:I305 H303 H307:I308 H306 H310:I311 H309 H313:I314 H312 H316:I317 H315 H319:I320 H318 H322:I323 H321 H325:I326 H324 H328:I329 H327 H331:I332 H330 H333 H334:I335 H337:I339 H336 H341:I343 H340 H345:I347 H344 H349:I351 H348 H353:I355 H352 H357:I359 H356 H361:I363 H360 H365:I367 H364 H369:I371 H368 H373:I375 H372 H377:I379 H376 H381:I383 H380 H385:I387 H384 H389:I391 H388 H393:I395 H392 H397:I399 H396 H401:I403 H400 H405:I407 H404 H409:I411 H408 H413:I415 H412 H417:I419 H416 H421:I423 H420 H425:I427 H424 H429:I431 H428 H433:I435 H432 H437:I439 H436 H441:I443 H440 H445:I447 H444 H449:I451 H448 H453:I455 H452 H457:I459 H456 H461:I463 H460 H465:I467 H464 H469:I471 H468 H473:I475 H472 H477:I479 H476 H481:I483 H480 H485:I487 H484 H489:I491 H488 H493:I495 H492 H497:I499 H496 H501:I503 H500 H505:I507 H504 H509:I511 H508 H513:I515 H512 H517:I519 H516 H521:I523 H520 H525:I527 H524 H529:I531 H528 H533:I535 H532 H537:I539 H536 H541:I543 H540 H545:I547 H544 H549:I551 H548 H553:I555 H552 H557:I559 H556 H561:I562 H560 H564:I565 H563 H567:I568 H566 H570:I571 H569 H573:I574 H572 H576:I577 H575 H579:I580 H578 H582:I583 H581 H585:I586 H584 H588:I589 H587 H591:I592 H590 H594:I595 H593 H597:I598 H596 H600:I601 H599 H603:I604 H602 H606:I608 H605 H610:I612 H609 H614:I616 H613 H4:I47 H55:I57 H122:I136 H143:I191 H60:I67">
    <cfRule type="cellIs" dxfId="624" priority="862" operator="equal">
      <formula>1</formula>
    </cfRule>
  </conditionalFormatting>
  <conditionalFormatting sqref="K342:K343 K346:K347 K350:K351 K354:K355 K358:K359 K362:K363 K366:K367 K370:K371 K374:K375 K378:K379 K382:K383 K386:K387 K390:K391 K394:K395 K398:K399 K402:K403 K406:K407 K410:K411 K414:K415 K418:K419 K422:K423 K426:K427 K430:K431 K434:K435 K438:K439 K442:K443 K446:K447 K450:K451 K454:K455 K458:K459 K462:K463 K466:K467 K470:K471 K474:K475 K478:K479 K482:K483 K486:K487 K490:K491 K494:K495 K498:K499 K502:K503 K506:K507 K510:K511 K514:K515 K518:K519 K522:K523 K526:K527 K530:K531 K534:K535 K538:K539 K542:K543 K546:K547 K550:K551 K554:K555 K558:K559 K607:K608 K138:K141 K113:K115 K117 K50:K52 K101:K110 K83:K99 K75:K80 K193:K194 K196:K197 K199:K200 K202:K203 K205:K206 K208:K209 K211:K212 K214:K215 K217:K218 K220:K221 K223:K224 K226:K227 K229:K230 K232:K233 K235:K236 K238:K239 K241:K242 K244:K245 K247:K248 K250:K251 K253:K254 K256:K257 K259:K260 K262:K263 K265:K266 K268:K269 K271:K272 K274:K275 K277:K278 K280:K281 K283:K284 K286:K287 K289:K290 K292:K293 K295:K296 K298:K299 K301:K302 K304:K305 K307:K308 K310:K311 K313:K314 K316:K317 K319:K320 K322:K323 K325:K326 K328:K329 K331:K332 K334:K335 K337:K339 K561:K562 K564:K565 K567:K568 K570:K571 K573:K574 K576:K577 K579:K580 K582:K583 K585:K586 K588:K589 K591:K592 K594:K595 K597:K598 K600:K601 K603:K604 K60:K63 K55:K56 M153:M154 M123:M124 K45:K47 K119:K136 K143:K191 K66:K67">
    <cfRule type="cellIs" dxfId="623" priority="861" operator="equal">
      <formula>1</formula>
    </cfRule>
  </conditionalFormatting>
  <conditionalFormatting sqref="H68:I70">
    <cfRule type="cellIs" dxfId="622" priority="860" operator="equal">
      <formula>1</formula>
    </cfRule>
  </conditionalFormatting>
  <conditionalFormatting sqref="K68:K70">
    <cfRule type="cellIs" dxfId="621" priority="859" operator="equal">
      <formula>1</formula>
    </cfRule>
  </conditionalFormatting>
  <conditionalFormatting sqref="H137:I137">
    <cfRule type="cellIs" dxfId="620" priority="847" operator="equal">
      <formula>1</formula>
    </cfRule>
  </conditionalFormatting>
  <conditionalFormatting sqref="K137">
    <cfRule type="cellIs" dxfId="619" priority="846" operator="equal">
      <formula>1</formula>
    </cfRule>
  </conditionalFormatting>
  <conditionalFormatting sqref="H142:I142">
    <cfRule type="cellIs" dxfId="618" priority="844" operator="equal">
      <formula>1</formula>
    </cfRule>
  </conditionalFormatting>
  <conditionalFormatting sqref="K142">
    <cfRule type="cellIs" dxfId="617" priority="843" operator="equal">
      <formula>1</formula>
    </cfRule>
  </conditionalFormatting>
  <conditionalFormatting sqref="K341">
    <cfRule type="cellIs" dxfId="616" priority="841" operator="equal">
      <formula>1</formula>
    </cfRule>
  </conditionalFormatting>
  <conditionalFormatting sqref="K345">
    <cfRule type="cellIs" dxfId="615" priority="839" operator="equal">
      <formula>1</formula>
    </cfRule>
  </conditionalFormatting>
  <conditionalFormatting sqref="K349">
    <cfRule type="cellIs" dxfId="614" priority="837" operator="equal">
      <formula>1</formula>
    </cfRule>
  </conditionalFormatting>
  <conditionalFormatting sqref="K353">
    <cfRule type="cellIs" dxfId="613" priority="835" operator="equal">
      <formula>1</formula>
    </cfRule>
  </conditionalFormatting>
  <conditionalFormatting sqref="K357">
    <cfRule type="cellIs" dxfId="612" priority="833" operator="equal">
      <formula>1</formula>
    </cfRule>
  </conditionalFormatting>
  <conditionalFormatting sqref="K361">
    <cfRule type="cellIs" dxfId="611" priority="831" operator="equal">
      <formula>1</formula>
    </cfRule>
  </conditionalFormatting>
  <conditionalFormatting sqref="K365">
    <cfRule type="cellIs" dxfId="610" priority="829" operator="equal">
      <formula>1</formula>
    </cfRule>
  </conditionalFormatting>
  <conditionalFormatting sqref="K369">
    <cfRule type="cellIs" dxfId="609" priority="827" operator="equal">
      <formula>1</formula>
    </cfRule>
  </conditionalFormatting>
  <conditionalFormatting sqref="K373">
    <cfRule type="cellIs" dxfId="608" priority="825" operator="equal">
      <formula>1</formula>
    </cfRule>
  </conditionalFormatting>
  <conditionalFormatting sqref="K377">
    <cfRule type="cellIs" dxfId="607" priority="823" operator="equal">
      <formula>1</formula>
    </cfRule>
  </conditionalFormatting>
  <conditionalFormatting sqref="K381">
    <cfRule type="cellIs" dxfId="606" priority="821" operator="equal">
      <formula>1</formula>
    </cfRule>
  </conditionalFormatting>
  <conditionalFormatting sqref="K385">
    <cfRule type="cellIs" dxfId="605" priority="819" operator="equal">
      <formula>1</formula>
    </cfRule>
  </conditionalFormatting>
  <conditionalFormatting sqref="K389">
    <cfRule type="cellIs" dxfId="604" priority="817" operator="equal">
      <formula>1</formula>
    </cfRule>
  </conditionalFormatting>
  <conditionalFormatting sqref="K393">
    <cfRule type="cellIs" dxfId="603" priority="815" operator="equal">
      <formula>1</formula>
    </cfRule>
  </conditionalFormatting>
  <conditionalFormatting sqref="K397">
    <cfRule type="cellIs" dxfId="602" priority="813" operator="equal">
      <formula>1</formula>
    </cfRule>
  </conditionalFormatting>
  <conditionalFormatting sqref="K401">
    <cfRule type="cellIs" dxfId="601" priority="811" operator="equal">
      <formula>1</formula>
    </cfRule>
  </conditionalFormatting>
  <conditionalFormatting sqref="K405">
    <cfRule type="cellIs" dxfId="600" priority="809" operator="equal">
      <formula>1</formula>
    </cfRule>
  </conditionalFormatting>
  <conditionalFormatting sqref="K409">
    <cfRule type="cellIs" dxfId="599" priority="807" operator="equal">
      <formula>1</formula>
    </cfRule>
  </conditionalFormatting>
  <conditionalFormatting sqref="K413">
    <cfRule type="cellIs" dxfId="598" priority="805" operator="equal">
      <formula>1</formula>
    </cfRule>
  </conditionalFormatting>
  <conditionalFormatting sqref="K417">
    <cfRule type="cellIs" dxfId="597" priority="803" operator="equal">
      <formula>1</formula>
    </cfRule>
  </conditionalFormatting>
  <conditionalFormatting sqref="K421">
    <cfRule type="cellIs" dxfId="596" priority="801" operator="equal">
      <formula>1</formula>
    </cfRule>
  </conditionalFormatting>
  <conditionalFormatting sqref="K425">
    <cfRule type="cellIs" dxfId="595" priority="799" operator="equal">
      <formula>1</formula>
    </cfRule>
  </conditionalFormatting>
  <conditionalFormatting sqref="K429">
    <cfRule type="cellIs" dxfId="594" priority="797" operator="equal">
      <formula>1</formula>
    </cfRule>
  </conditionalFormatting>
  <conditionalFormatting sqref="K433">
    <cfRule type="cellIs" dxfId="593" priority="795" operator="equal">
      <formula>1</formula>
    </cfRule>
  </conditionalFormatting>
  <conditionalFormatting sqref="K437">
    <cfRule type="cellIs" dxfId="592" priority="793" operator="equal">
      <formula>1</formula>
    </cfRule>
  </conditionalFormatting>
  <conditionalFormatting sqref="K441">
    <cfRule type="cellIs" dxfId="591" priority="791" operator="equal">
      <formula>1</formula>
    </cfRule>
  </conditionalFormatting>
  <conditionalFormatting sqref="K445">
    <cfRule type="cellIs" dxfId="590" priority="789" operator="equal">
      <formula>1</formula>
    </cfRule>
  </conditionalFormatting>
  <conditionalFormatting sqref="K449">
    <cfRule type="cellIs" dxfId="589" priority="787" operator="equal">
      <formula>1</formula>
    </cfRule>
  </conditionalFormatting>
  <conditionalFormatting sqref="K453">
    <cfRule type="cellIs" dxfId="588" priority="785" operator="equal">
      <formula>1</formula>
    </cfRule>
  </conditionalFormatting>
  <conditionalFormatting sqref="K457">
    <cfRule type="cellIs" dxfId="587" priority="783" operator="equal">
      <formula>1</formula>
    </cfRule>
  </conditionalFormatting>
  <conditionalFormatting sqref="K461">
    <cfRule type="cellIs" dxfId="586" priority="781" operator="equal">
      <formula>1</formula>
    </cfRule>
  </conditionalFormatting>
  <conditionalFormatting sqref="K465">
    <cfRule type="cellIs" dxfId="585" priority="779" operator="equal">
      <formula>1</formula>
    </cfRule>
  </conditionalFormatting>
  <conditionalFormatting sqref="K469">
    <cfRule type="cellIs" dxfId="584" priority="777" operator="equal">
      <formula>1</formula>
    </cfRule>
  </conditionalFormatting>
  <conditionalFormatting sqref="K473">
    <cfRule type="cellIs" dxfId="583" priority="775" operator="equal">
      <formula>1</formula>
    </cfRule>
  </conditionalFormatting>
  <conditionalFormatting sqref="K477">
    <cfRule type="cellIs" dxfId="582" priority="773" operator="equal">
      <formula>1</formula>
    </cfRule>
  </conditionalFormatting>
  <conditionalFormatting sqref="K481">
    <cfRule type="cellIs" dxfId="581" priority="771" operator="equal">
      <formula>1</formula>
    </cfRule>
  </conditionalFormatting>
  <conditionalFormatting sqref="K485">
    <cfRule type="cellIs" dxfId="580" priority="769" operator="equal">
      <formula>1</formula>
    </cfRule>
  </conditionalFormatting>
  <conditionalFormatting sqref="K489">
    <cfRule type="cellIs" dxfId="579" priority="767" operator="equal">
      <formula>1</formula>
    </cfRule>
  </conditionalFormatting>
  <conditionalFormatting sqref="K493">
    <cfRule type="cellIs" dxfId="578" priority="765" operator="equal">
      <formula>1</formula>
    </cfRule>
  </conditionalFormatting>
  <conditionalFormatting sqref="K497">
    <cfRule type="cellIs" dxfId="577" priority="763" operator="equal">
      <formula>1</formula>
    </cfRule>
  </conditionalFormatting>
  <conditionalFormatting sqref="K501">
    <cfRule type="cellIs" dxfId="576" priority="761" operator="equal">
      <formula>1</formula>
    </cfRule>
  </conditionalFormatting>
  <conditionalFormatting sqref="K505">
    <cfRule type="cellIs" dxfId="575" priority="759" operator="equal">
      <formula>1</formula>
    </cfRule>
  </conditionalFormatting>
  <conditionalFormatting sqref="K509">
    <cfRule type="cellIs" dxfId="574" priority="757" operator="equal">
      <formula>1</formula>
    </cfRule>
  </conditionalFormatting>
  <conditionalFormatting sqref="K513">
    <cfRule type="cellIs" dxfId="573" priority="755" operator="equal">
      <formula>1</formula>
    </cfRule>
  </conditionalFormatting>
  <conditionalFormatting sqref="K517">
    <cfRule type="cellIs" dxfId="572" priority="753" operator="equal">
      <formula>1</formula>
    </cfRule>
  </conditionalFormatting>
  <conditionalFormatting sqref="K521">
    <cfRule type="cellIs" dxfId="571" priority="751" operator="equal">
      <formula>1</formula>
    </cfRule>
  </conditionalFormatting>
  <conditionalFormatting sqref="K525">
    <cfRule type="cellIs" dxfId="570" priority="749" operator="equal">
      <formula>1</formula>
    </cfRule>
  </conditionalFormatting>
  <conditionalFormatting sqref="K529">
    <cfRule type="cellIs" dxfId="569" priority="747" operator="equal">
      <formula>1</formula>
    </cfRule>
  </conditionalFormatting>
  <conditionalFormatting sqref="K533">
    <cfRule type="cellIs" dxfId="568" priority="745" operator="equal">
      <formula>1</formula>
    </cfRule>
  </conditionalFormatting>
  <conditionalFormatting sqref="K537">
    <cfRule type="cellIs" dxfId="567" priority="743" operator="equal">
      <formula>1</formula>
    </cfRule>
  </conditionalFormatting>
  <conditionalFormatting sqref="K541">
    <cfRule type="cellIs" dxfId="566" priority="741" operator="equal">
      <formula>1</formula>
    </cfRule>
  </conditionalFormatting>
  <conditionalFormatting sqref="K545">
    <cfRule type="cellIs" dxfId="565" priority="739" operator="equal">
      <formula>1</formula>
    </cfRule>
  </conditionalFormatting>
  <conditionalFormatting sqref="K549">
    <cfRule type="cellIs" dxfId="564" priority="737" operator="equal">
      <formula>1</formula>
    </cfRule>
  </conditionalFormatting>
  <conditionalFormatting sqref="K553">
    <cfRule type="cellIs" dxfId="563" priority="735" operator="equal">
      <formula>1</formula>
    </cfRule>
  </conditionalFormatting>
  <conditionalFormatting sqref="K557">
    <cfRule type="cellIs" dxfId="562" priority="733" operator="equal">
      <formula>1</formula>
    </cfRule>
  </conditionalFormatting>
  <conditionalFormatting sqref="K606">
    <cfRule type="cellIs" dxfId="561" priority="731" operator="equal">
      <formula>1</formula>
    </cfRule>
  </conditionalFormatting>
  <conditionalFormatting sqref="K610">
    <cfRule type="cellIs" dxfId="560" priority="729" operator="equal">
      <formula>1</formula>
    </cfRule>
  </conditionalFormatting>
  <conditionalFormatting sqref="K614">
    <cfRule type="cellIs" dxfId="559" priority="727" operator="equal">
      <formula>1</formula>
    </cfRule>
  </conditionalFormatting>
  <conditionalFormatting sqref="K611:K612">
    <cfRule type="cellIs" dxfId="558" priority="725" operator="equal">
      <formula>1</formula>
    </cfRule>
  </conditionalFormatting>
  <conditionalFormatting sqref="K615:K616">
    <cfRule type="cellIs" dxfId="557" priority="723" operator="equal">
      <formula>1</formula>
    </cfRule>
  </conditionalFormatting>
  <conditionalFormatting sqref="K111">
    <cfRule type="cellIs" dxfId="556" priority="707" operator="equal">
      <formula>1</formula>
    </cfRule>
  </conditionalFormatting>
  <conditionalFormatting sqref="H111:I111">
    <cfRule type="cellIs" dxfId="555" priority="708" operator="equal">
      <formula>1</formula>
    </cfRule>
  </conditionalFormatting>
  <conditionalFormatting sqref="H71:I71">
    <cfRule type="cellIs" dxfId="554" priority="705" operator="equal">
      <formula>1</formula>
    </cfRule>
  </conditionalFormatting>
  <conditionalFormatting sqref="K71">
    <cfRule type="cellIs" dxfId="553" priority="704" operator="equal">
      <formula>1</formula>
    </cfRule>
  </conditionalFormatting>
  <conditionalFormatting sqref="H72:I74">
    <cfRule type="cellIs" dxfId="552" priority="703" operator="equal">
      <formula>1</formula>
    </cfRule>
  </conditionalFormatting>
  <conditionalFormatting sqref="K72:K74">
    <cfRule type="cellIs" dxfId="551" priority="702" operator="equal">
      <formula>1</formula>
    </cfRule>
  </conditionalFormatting>
  <conditionalFormatting sqref="H116:I116">
    <cfRule type="cellIs" dxfId="550" priority="699" operator="equal">
      <formula>1</formula>
    </cfRule>
  </conditionalFormatting>
  <conditionalFormatting sqref="K116">
    <cfRule type="cellIs" dxfId="549" priority="698" operator="equal">
      <formula>1</formula>
    </cfRule>
  </conditionalFormatting>
  <conditionalFormatting sqref="H100:I100">
    <cfRule type="cellIs" dxfId="548" priority="696" operator="equal">
      <formula>1</formula>
    </cfRule>
  </conditionalFormatting>
  <conditionalFormatting sqref="K100">
    <cfRule type="cellIs" dxfId="547" priority="695" operator="equal">
      <formula>1</formula>
    </cfRule>
  </conditionalFormatting>
  <conditionalFormatting sqref="H112:I112">
    <cfRule type="cellIs" dxfId="546" priority="693" operator="equal">
      <formula>1</formula>
    </cfRule>
  </conditionalFormatting>
  <conditionalFormatting sqref="K112">
    <cfRule type="cellIs" dxfId="545" priority="692" operator="equal">
      <formula>1</formula>
    </cfRule>
  </conditionalFormatting>
  <conditionalFormatting sqref="H106">
    <cfRule type="cellIs" dxfId="544" priority="691" operator="equal">
      <formula>1</formula>
    </cfRule>
  </conditionalFormatting>
  <conditionalFormatting sqref="I118">
    <cfRule type="cellIs" dxfId="543" priority="689" operator="equal">
      <formula>1</formula>
    </cfRule>
  </conditionalFormatting>
  <conditionalFormatting sqref="K118">
    <cfRule type="cellIs" dxfId="542" priority="688" operator="equal">
      <formula>1</formula>
    </cfRule>
  </conditionalFormatting>
  <conditionalFormatting sqref="H93:H94">
    <cfRule type="cellIs" dxfId="541" priority="681" operator="equal">
      <formula>1</formula>
    </cfRule>
  </conditionalFormatting>
  <conditionalFormatting sqref="H81:I82">
    <cfRule type="cellIs" dxfId="540" priority="678" operator="equal">
      <formula>1</formula>
    </cfRule>
  </conditionalFormatting>
  <conditionalFormatting sqref="K81:K82">
    <cfRule type="cellIs" dxfId="539" priority="677" operator="equal">
      <formula>1</formula>
    </cfRule>
  </conditionalFormatting>
  <conditionalFormatting sqref="K58">
    <cfRule type="cellIs" dxfId="538" priority="668" operator="equal">
      <formula>1</formula>
    </cfRule>
  </conditionalFormatting>
  <conditionalFormatting sqref="H53:I54">
    <cfRule type="cellIs" dxfId="537" priority="675" operator="equal">
      <formula>1</formula>
    </cfRule>
  </conditionalFormatting>
  <conditionalFormatting sqref="K53:K54">
    <cfRule type="cellIs" dxfId="536" priority="674" operator="equal">
      <formula>1</formula>
    </cfRule>
  </conditionalFormatting>
  <conditionalFormatting sqref="H48:I49">
    <cfRule type="cellIs" dxfId="535" priority="672" operator="equal">
      <formula>1</formula>
    </cfRule>
  </conditionalFormatting>
  <conditionalFormatting sqref="K48:K49">
    <cfRule type="cellIs" dxfId="534" priority="671" operator="equal">
      <formula>1</formula>
    </cfRule>
  </conditionalFormatting>
  <conditionalFormatting sqref="H58:I59">
    <cfRule type="cellIs" dxfId="533" priority="669" operator="equal">
      <formula>1</formula>
    </cfRule>
  </conditionalFormatting>
  <conditionalFormatting sqref="H108">
    <cfRule type="cellIs" dxfId="532" priority="667" operator="equal">
      <formula>1</formula>
    </cfRule>
  </conditionalFormatting>
  <conditionalFormatting sqref="M68:M70">
    <cfRule type="cellIs" dxfId="531" priority="666" operator="equal">
      <formula>1</formula>
    </cfRule>
  </conditionalFormatting>
  <conditionalFormatting sqref="M142">
    <cfRule type="cellIs" dxfId="530" priority="665" operator="equal">
      <formula>1</formula>
    </cfRule>
  </conditionalFormatting>
  <conditionalFormatting sqref="M137">
    <cfRule type="cellIs" dxfId="529" priority="664" operator="equal">
      <formula>1</formula>
    </cfRule>
  </conditionalFormatting>
  <conditionalFormatting sqref="M131">
    <cfRule type="cellIs" dxfId="528" priority="663" operator="equal">
      <formula>1</formula>
    </cfRule>
  </conditionalFormatting>
  <conditionalFormatting sqref="M132">
    <cfRule type="cellIs" dxfId="527" priority="662" operator="equal">
      <formula>1</formula>
    </cfRule>
  </conditionalFormatting>
  <conditionalFormatting sqref="M184:M185">
    <cfRule type="cellIs" dxfId="526" priority="660" operator="equal">
      <formula>1</formula>
    </cfRule>
  </conditionalFormatting>
  <conditionalFormatting sqref="I192">
    <cfRule type="cellIs" dxfId="525" priority="658" operator="equal">
      <formula>1</formula>
    </cfRule>
  </conditionalFormatting>
  <conditionalFormatting sqref="K192">
    <cfRule type="cellIs" dxfId="524" priority="657" operator="equal">
      <formula>1</formula>
    </cfRule>
  </conditionalFormatting>
  <conditionalFormatting sqref="I195">
    <cfRule type="cellIs" dxfId="523" priority="655" operator="equal">
      <formula>1</formula>
    </cfRule>
  </conditionalFormatting>
  <conditionalFormatting sqref="K195">
    <cfRule type="cellIs" dxfId="522" priority="654" operator="equal">
      <formula>1</formula>
    </cfRule>
  </conditionalFormatting>
  <conditionalFormatting sqref="I198">
    <cfRule type="cellIs" dxfId="521" priority="652" operator="equal">
      <formula>1</formula>
    </cfRule>
  </conditionalFormatting>
  <conditionalFormatting sqref="K198">
    <cfRule type="cellIs" dxfId="520" priority="651" operator="equal">
      <formula>1</formula>
    </cfRule>
  </conditionalFormatting>
  <conditionalFormatting sqref="I201">
    <cfRule type="cellIs" dxfId="519" priority="649" operator="equal">
      <formula>1</formula>
    </cfRule>
  </conditionalFormatting>
  <conditionalFormatting sqref="K201">
    <cfRule type="cellIs" dxfId="518" priority="648" operator="equal">
      <formula>1</formula>
    </cfRule>
  </conditionalFormatting>
  <conditionalFormatting sqref="I204">
    <cfRule type="cellIs" dxfId="517" priority="646" operator="equal">
      <formula>1</formula>
    </cfRule>
  </conditionalFormatting>
  <conditionalFormatting sqref="K204">
    <cfRule type="cellIs" dxfId="516" priority="645" operator="equal">
      <formula>1</formula>
    </cfRule>
  </conditionalFormatting>
  <conditionalFormatting sqref="I207">
    <cfRule type="cellIs" dxfId="515" priority="643" operator="equal">
      <formula>1</formula>
    </cfRule>
  </conditionalFormatting>
  <conditionalFormatting sqref="K207">
    <cfRule type="cellIs" dxfId="514" priority="642" operator="equal">
      <formula>1</formula>
    </cfRule>
  </conditionalFormatting>
  <conditionalFormatting sqref="K613">
    <cfRule type="cellIs" dxfId="513" priority="294" operator="equal">
      <formula>1</formula>
    </cfRule>
  </conditionalFormatting>
  <conditionalFormatting sqref="I210">
    <cfRule type="cellIs" dxfId="512" priority="640" operator="equal">
      <formula>1</formula>
    </cfRule>
  </conditionalFormatting>
  <conditionalFormatting sqref="K210">
    <cfRule type="cellIs" dxfId="511" priority="639" operator="equal">
      <formula>1</formula>
    </cfRule>
  </conditionalFormatting>
  <conditionalFormatting sqref="I213">
    <cfRule type="cellIs" dxfId="510" priority="637" operator="equal">
      <formula>1</formula>
    </cfRule>
  </conditionalFormatting>
  <conditionalFormatting sqref="K213">
    <cfRule type="cellIs" dxfId="509" priority="636" operator="equal">
      <formula>1</formula>
    </cfRule>
  </conditionalFormatting>
  <conditionalFormatting sqref="I216">
    <cfRule type="cellIs" dxfId="508" priority="634" operator="equal">
      <formula>1</formula>
    </cfRule>
  </conditionalFormatting>
  <conditionalFormatting sqref="K216">
    <cfRule type="cellIs" dxfId="507" priority="633" operator="equal">
      <formula>1</formula>
    </cfRule>
  </conditionalFormatting>
  <conditionalFormatting sqref="I219">
    <cfRule type="cellIs" dxfId="506" priority="631" operator="equal">
      <formula>1</formula>
    </cfRule>
  </conditionalFormatting>
  <conditionalFormatting sqref="K219">
    <cfRule type="cellIs" dxfId="505" priority="630" operator="equal">
      <formula>1</formula>
    </cfRule>
  </conditionalFormatting>
  <conditionalFormatting sqref="I222">
    <cfRule type="cellIs" dxfId="504" priority="628" operator="equal">
      <formula>1</formula>
    </cfRule>
  </conditionalFormatting>
  <conditionalFormatting sqref="K222">
    <cfRule type="cellIs" dxfId="503" priority="627" operator="equal">
      <formula>1</formula>
    </cfRule>
  </conditionalFormatting>
  <conditionalFormatting sqref="I225">
    <cfRule type="cellIs" dxfId="502" priority="625" operator="equal">
      <formula>1</formula>
    </cfRule>
  </conditionalFormatting>
  <conditionalFormatting sqref="K225">
    <cfRule type="cellIs" dxfId="501" priority="624" operator="equal">
      <formula>1</formula>
    </cfRule>
  </conditionalFormatting>
  <conditionalFormatting sqref="I228">
    <cfRule type="cellIs" dxfId="500" priority="622" operator="equal">
      <formula>1</formula>
    </cfRule>
  </conditionalFormatting>
  <conditionalFormatting sqref="K228">
    <cfRule type="cellIs" dxfId="499" priority="621" operator="equal">
      <formula>1</formula>
    </cfRule>
  </conditionalFormatting>
  <conditionalFormatting sqref="I231">
    <cfRule type="cellIs" dxfId="498" priority="619" operator="equal">
      <formula>1</formula>
    </cfRule>
  </conditionalFormatting>
  <conditionalFormatting sqref="K231">
    <cfRule type="cellIs" dxfId="497" priority="618" operator="equal">
      <formula>1</formula>
    </cfRule>
  </conditionalFormatting>
  <conditionalFormatting sqref="I234">
    <cfRule type="cellIs" dxfId="496" priority="616" operator="equal">
      <formula>1</formula>
    </cfRule>
  </conditionalFormatting>
  <conditionalFormatting sqref="K234">
    <cfRule type="cellIs" dxfId="495" priority="615" operator="equal">
      <formula>1</formula>
    </cfRule>
  </conditionalFormatting>
  <conditionalFormatting sqref="I237">
    <cfRule type="cellIs" dxfId="494" priority="613" operator="equal">
      <formula>1</formula>
    </cfRule>
  </conditionalFormatting>
  <conditionalFormatting sqref="K237">
    <cfRule type="cellIs" dxfId="493" priority="612" operator="equal">
      <formula>1</formula>
    </cfRule>
  </conditionalFormatting>
  <conditionalFormatting sqref="I240">
    <cfRule type="cellIs" dxfId="492" priority="610" operator="equal">
      <formula>1</formula>
    </cfRule>
  </conditionalFormatting>
  <conditionalFormatting sqref="K240">
    <cfRule type="cellIs" dxfId="491" priority="609" operator="equal">
      <formula>1</formula>
    </cfRule>
  </conditionalFormatting>
  <conditionalFormatting sqref="I243">
    <cfRule type="cellIs" dxfId="490" priority="607" operator="equal">
      <formula>1</formula>
    </cfRule>
  </conditionalFormatting>
  <conditionalFormatting sqref="K243">
    <cfRule type="cellIs" dxfId="489" priority="606" operator="equal">
      <formula>1</formula>
    </cfRule>
  </conditionalFormatting>
  <conditionalFormatting sqref="I246">
    <cfRule type="cellIs" dxfId="488" priority="604" operator="equal">
      <formula>1</formula>
    </cfRule>
  </conditionalFormatting>
  <conditionalFormatting sqref="K246">
    <cfRule type="cellIs" dxfId="487" priority="603" operator="equal">
      <formula>1</formula>
    </cfRule>
  </conditionalFormatting>
  <conditionalFormatting sqref="I249">
    <cfRule type="cellIs" dxfId="486" priority="601" operator="equal">
      <formula>1</formula>
    </cfRule>
  </conditionalFormatting>
  <conditionalFormatting sqref="K249">
    <cfRule type="cellIs" dxfId="485" priority="600" operator="equal">
      <formula>1</formula>
    </cfRule>
  </conditionalFormatting>
  <conditionalFormatting sqref="I252">
    <cfRule type="cellIs" dxfId="484" priority="598" operator="equal">
      <formula>1</formula>
    </cfRule>
  </conditionalFormatting>
  <conditionalFormatting sqref="K252">
    <cfRule type="cellIs" dxfId="483" priority="597" operator="equal">
      <formula>1</formula>
    </cfRule>
  </conditionalFormatting>
  <conditionalFormatting sqref="I255">
    <cfRule type="cellIs" dxfId="482" priority="595" operator="equal">
      <formula>1</formula>
    </cfRule>
  </conditionalFormatting>
  <conditionalFormatting sqref="K255">
    <cfRule type="cellIs" dxfId="481" priority="594" operator="equal">
      <formula>1</formula>
    </cfRule>
  </conditionalFormatting>
  <conditionalFormatting sqref="I258">
    <cfRule type="cellIs" dxfId="480" priority="592" operator="equal">
      <formula>1</formula>
    </cfRule>
  </conditionalFormatting>
  <conditionalFormatting sqref="K258">
    <cfRule type="cellIs" dxfId="479" priority="591" operator="equal">
      <formula>1</formula>
    </cfRule>
  </conditionalFormatting>
  <conditionalFormatting sqref="I261">
    <cfRule type="cellIs" dxfId="478" priority="589" operator="equal">
      <formula>1</formula>
    </cfRule>
  </conditionalFormatting>
  <conditionalFormatting sqref="K261">
    <cfRule type="cellIs" dxfId="477" priority="588" operator="equal">
      <formula>1</formula>
    </cfRule>
  </conditionalFormatting>
  <conditionalFormatting sqref="I264">
    <cfRule type="cellIs" dxfId="476" priority="586" operator="equal">
      <formula>1</formula>
    </cfRule>
  </conditionalFormatting>
  <conditionalFormatting sqref="K264">
    <cfRule type="cellIs" dxfId="475" priority="585" operator="equal">
      <formula>1</formula>
    </cfRule>
  </conditionalFormatting>
  <conditionalFormatting sqref="I267">
    <cfRule type="cellIs" dxfId="474" priority="583" operator="equal">
      <formula>1</formula>
    </cfRule>
  </conditionalFormatting>
  <conditionalFormatting sqref="K267">
    <cfRule type="cellIs" dxfId="473" priority="582" operator="equal">
      <formula>1</formula>
    </cfRule>
  </conditionalFormatting>
  <conditionalFormatting sqref="I270">
    <cfRule type="cellIs" dxfId="472" priority="580" operator="equal">
      <formula>1</formula>
    </cfRule>
  </conditionalFormatting>
  <conditionalFormatting sqref="K270">
    <cfRule type="cellIs" dxfId="471" priority="579" operator="equal">
      <formula>1</formula>
    </cfRule>
  </conditionalFormatting>
  <conditionalFormatting sqref="I273">
    <cfRule type="cellIs" dxfId="470" priority="577" operator="equal">
      <formula>1</formula>
    </cfRule>
  </conditionalFormatting>
  <conditionalFormatting sqref="K273">
    <cfRule type="cellIs" dxfId="469" priority="576" operator="equal">
      <formula>1</formula>
    </cfRule>
  </conditionalFormatting>
  <conditionalFormatting sqref="I276">
    <cfRule type="cellIs" dxfId="468" priority="574" operator="equal">
      <formula>1</formula>
    </cfRule>
  </conditionalFormatting>
  <conditionalFormatting sqref="K276">
    <cfRule type="cellIs" dxfId="467" priority="573" operator="equal">
      <formula>1</formula>
    </cfRule>
  </conditionalFormatting>
  <conditionalFormatting sqref="I279">
    <cfRule type="cellIs" dxfId="466" priority="571" operator="equal">
      <formula>1</formula>
    </cfRule>
  </conditionalFormatting>
  <conditionalFormatting sqref="K279">
    <cfRule type="cellIs" dxfId="465" priority="570" operator="equal">
      <formula>1</formula>
    </cfRule>
  </conditionalFormatting>
  <conditionalFormatting sqref="I282">
    <cfRule type="cellIs" dxfId="464" priority="568" operator="equal">
      <formula>1</formula>
    </cfRule>
  </conditionalFormatting>
  <conditionalFormatting sqref="K282">
    <cfRule type="cellIs" dxfId="463" priority="567" operator="equal">
      <formula>1</formula>
    </cfRule>
  </conditionalFormatting>
  <conditionalFormatting sqref="I285">
    <cfRule type="cellIs" dxfId="462" priority="565" operator="equal">
      <formula>1</formula>
    </cfRule>
  </conditionalFormatting>
  <conditionalFormatting sqref="K285">
    <cfRule type="cellIs" dxfId="461" priority="564" operator="equal">
      <formula>1</formula>
    </cfRule>
  </conditionalFormatting>
  <conditionalFormatting sqref="I288">
    <cfRule type="cellIs" dxfId="460" priority="562" operator="equal">
      <formula>1</formula>
    </cfRule>
  </conditionalFormatting>
  <conditionalFormatting sqref="K288">
    <cfRule type="cellIs" dxfId="459" priority="561" operator="equal">
      <formula>1</formula>
    </cfRule>
  </conditionalFormatting>
  <conditionalFormatting sqref="I291">
    <cfRule type="cellIs" dxfId="458" priority="559" operator="equal">
      <formula>1</formula>
    </cfRule>
  </conditionalFormatting>
  <conditionalFormatting sqref="K291">
    <cfRule type="cellIs" dxfId="457" priority="558" operator="equal">
      <formula>1</formula>
    </cfRule>
  </conditionalFormatting>
  <conditionalFormatting sqref="I294">
    <cfRule type="cellIs" dxfId="456" priority="556" operator="equal">
      <formula>1</formula>
    </cfRule>
  </conditionalFormatting>
  <conditionalFormatting sqref="K294">
    <cfRule type="cellIs" dxfId="455" priority="555" operator="equal">
      <formula>1</formula>
    </cfRule>
  </conditionalFormatting>
  <conditionalFormatting sqref="I297">
    <cfRule type="cellIs" dxfId="454" priority="553" operator="equal">
      <formula>1</formula>
    </cfRule>
  </conditionalFormatting>
  <conditionalFormatting sqref="K297">
    <cfRule type="cellIs" dxfId="453" priority="552" operator="equal">
      <formula>1</formula>
    </cfRule>
  </conditionalFormatting>
  <conditionalFormatting sqref="I300">
    <cfRule type="cellIs" dxfId="452" priority="550" operator="equal">
      <formula>1</formula>
    </cfRule>
  </conditionalFormatting>
  <conditionalFormatting sqref="K300">
    <cfRule type="cellIs" dxfId="451" priority="549" operator="equal">
      <formula>1</formula>
    </cfRule>
  </conditionalFormatting>
  <conditionalFormatting sqref="I303">
    <cfRule type="cellIs" dxfId="450" priority="547" operator="equal">
      <formula>1</formula>
    </cfRule>
  </conditionalFormatting>
  <conditionalFormatting sqref="K303">
    <cfRule type="cellIs" dxfId="449" priority="546" operator="equal">
      <formula>1</formula>
    </cfRule>
  </conditionalFormatting>
  <conditionalFormatting sqref="I306">
    <cfRule type="cellIs" dxfId="448" priority="544" operator="equal">
      <formula>1</formula>
    </cfRule>
  </conditionalFormatting>
  <conditionalFormatting sqref="K306">
    <cfRule type="cellIs" dxfId="447" priority="543" operator="equal">
      <formula>1</formula>
    </cfRule>
  </conditionalFormatting>
  <conditionalFormatting sqref="I309">
    <cfRule type="cellIs" dxfId="446" priority="541" operator="equal">
      <formula>1</formula>
    </cfRule>
  </conditionalFormatting>
  <conditionalFormatting sqref="K309">
    <cfRule type="cellIs" dxfId="445" priority="540" operator="equal">
      <formula>1</formula>
    </cfRule>
  </conditionalFormatting>
  <conditionalFormatting sqref="I312">
    <cfRule type="cellIs" dxfId="444" priority="538" operator="equal">
      <formula>1</formula>
    </cfRule>
  </conditionalFormatting>
  <conditionalFormatting sqref="K312">
    <cfRule type="cellIs" dxfId="443" priority="537" operator="equal">
      <formula>1</formula>
    </cfRule>
  </conditionalFormatting>
  <conditionalFormatting sqref="I315">
    <cfRule type="cellIs" dxfId="442" priority="535" operator="equal">
      <formula>1</formula>
    </cfRule>
  </conditionalFormatting>
  <conditionalFormatting sqref="K315">
    <cfRule type="cellIs" dxfId="441" priority="534" operator="equal">
      <formula>1</formula>
    </cfRule>
  </conditionalFormatting>
  <conditionalFormatting sqref="I318">
    <cfRule type="cellIs" dxfId="440" priority="532" operator="equal">
      <formula>1</formula>
    </cfRule>
  </conditionalFormatting>
  <conditionalFormatting sqref="K318">
    <cfRule type="cellIs" dxfId="439" priority="531" operator="equal">
      <formula>1</formula>
    </cfRule>
  </conditionalFormatting>
  <conditionalFormatting sqref="I321">
    <cfRule type="cellIs" dxfId="438" priority="529" operator="equal">
      <formula>1</formula>
    </cfRule>
  </conditionalFormatting>
  <conditionalFormatting sqref="K321">
    <cfRule type="cellIs" dxfId="437" priority="528" operator="equal">
      <formula>1</formula>
    </cfRule>
  </conditionalFormatting>
  <conditionalFormatting sqref="I324">
    <cfRule type="cellIs" dxfId="436" priority="526" operator="equal">
      <formula>1</formula>
    </cfRule>
  </conditionalFormatting>
  <conditionalFormatting sqref="K324">
    <cfRule type="cellIs" dxfId="435" priority="525" operator="equal">
      <formula>1</formula>
    </cfRule>
  </conditionalFormatting>
  <conditionalFormatting sqref="I327">
    <cfRule type="cellIs" dxfId="434" priority="523" operator="equal">
      <formula>1</formula>
    </cfRule>
  </conditionalFormatting>
  <conditionalFormatting sqref="K327">
    <cfRule type="cellIs" dxfId="433" priority="522" operator="equal">
      <formula>1</formula>
    </cfRule>
  </conditionalFormatting>
  <conditionalFormatting sqref="I330">
    <cfRule type="cellIs" dxfId="432" priority="520" operator="equal">
      <formula>1</formula>
    </cfRule>
  </conditionalFormatting>
  <conditionalFormatting sqref="K330">
    <cfRule type="cellIs" dxfId="431" priority="519" operator="equal">
      <formula>1</formula>
    </cfRule>
  </conditionalFormatting>
  <conditionalFormatting sqref="I333">
    <cfRule type="cellIs" dxfId="430" priority="517" operator="equal">
      <formula>1</formula>
    </cfRule>
  </conditionalFormatting>
  <conditionalFormatting sqref="K333">
    <cfRule type="cellIs" dxfId="429" priority="516" operator="equal">
      <formula>1</formula>
    </cfRule>
  </conditionalFormatting>
  <conditionalFormatting sqref="I336">
    <cfRule type="cellIs" dxfId="428" priority="514" operator="equal">
      <formula>1</formula>
    </cfRule>
  </conditionalFormatting>
  <conditionalFormatting sqref="K336">
    <cfRule type="cellIs" dxfId="427" priority="513" operator="equal">
      <formula>1</formula>
    </cfRule>
  </conditionalFormatting>
  <conditionalFormatting sqref="I340">
    <cfRule type="cellIs" dxfId="426" priority="511" operator="equal">
      <formula>1</formula>
    </cfRule>
  </conditionalFormatting>
  <conditionalFormatting sqref="K340">
    <cfRule type="cellIs" dxfId="425" priority="510" operator="equal">
      <formula>1</formula>
    </cfRule>
  </conditionalFormatting>
  <conditionalFormatting sqref="I344">
    <cfRule type="cellIs" dxfId="424" priority="508" operator="equal">
      <formula>1</formula>
    </cfRule>
  </conditionalFormatting>
  <conditionalFormatting sqref="K344">
    <cfRule type="cellIs" dxfId="423" priority="507" operator="equal">
      <formula>1</formula>
    </cfRule>
  </conditionalFormatting>
  <conditionalFormatting sqref="I348">
    <cfRule type="cellIs" dxfId="422" priority="505" operator="equal">
      <formula>1</formula>
    </cfRule>
  </conditionalFormatting>
  <conditionalFormatting sqref="K348">
    <cfRule type="cellIs" dxfId="421" priority="504" operator="equal">
      <formula>1</formula>
    </cfRule>
  </conditionalFormatting>
  <conditionalFormatting sqref="I352">
    <cfRule type="cellIs" dxfId="420" priority="502" operator="equal">
      <formula>1</formula>
    </cfRule>
  </conditionalFormatting>
  <conditionalFormatting sqref="K352">
    <cfRule type="cellIs" dxfId="419" priority="501" operator="equal">
      <formula>1</formula>
    </cfRule>
  </conditionalFormatting>
  <conditionalFormatting sqref="I356">
    <cfRule type="cellIs" dxfId="418" priority="499" operator="equal">
      <formula>1</formula>
    </cfRule>
  </conditionalFormatting>
  <conditionalFormatting sqref="K356">
    <cfRule type="cellIs" dxfId="417" priority="498" operator="equal">
      <formula>1</formula>
    </cfRule>
  </conditionalFormatting>
  <conditionalFormatting sqref="I360">
    <cfRule type="cellIs" dxfId="416" priority="496" operator="equal">
      <formula>1</formula>
    </cfRule>
  </conditionalFormatting>
  <conditionalFormatting sqref="K360">
    <cfRule type="cellIs" dxfId="415" priority="495" operator="equal">
      <formula>1</formula>
    </cfRule>
  </conditionalFormatting>
  <conditionalFormatting sqref="I364">
    <cfRule type="cellIs" dxfId="414" priority="493" operator="equal">
      <formula>1</formula>
    </cfRule>
  </conditionalFormatting>
  <conditionalFormatting sqref="K364">
    <cfRule type="cellIs" dxfId="413" priority="492" operator="equal">
      <formula>1</formula>
    </cfRule>
  </conditionalFormatting>
  <conditionalFormatting sqref="I368">
    <cfRule type="cellIs" dxfId="412" priority="490" operator="equal">
      <formula>1</formula>
    </cfRule>
  </conditionalFormatting>
  <conditionalFormatting sqref="K368">
    <cfRule type="cellIs" dxfId="411" priority="489" operator="equal">
      <formula>1</formula>
    </cfRule>
  </conditionalFormatting>
  <conditionalFormatting sqref="I372">
    <cfRule type="cellIs" dxfId="410" priority="487" operator="equal">
      <formula>1</formula>
    </cfRule>
  </conditionalFormatting>
  <conditionalFormatting sqref="K372">
    <cfRule type="cellIs" dxfId="409" priority="486" operator="equal">
      <formula>1</formula>
    </cfRule>
  </conditionalFormatting>
  <conditionalFormatting sqref="I376">
    <cfRule type="cellIs" dxfId="408" priority="484" operator="equal">
      <formula>1</formula>
    </cfRule>
  </conditionalFormatting>
  <conditionalFormatting sqref="K376">
    <cfRule type="cellIs" dxfId="407" priority="483" operator="equal">
      <formula>1</formula>
    </cfRule>
  </conditionalFormatting>
  <conditionalFormatting sqref="I380">
    <cfRule type="cellIs" dxfId="406" priority="481" operator="equal">
      <formula>1</formula>
    </cfRule>
  </conditionalFormatting>
  <conditionalFormatting sqref="K380">
    <cfRule type="cellIs" dxfId="405" priority="480" operator="equal">
      <formula>1</formula>
    </cfRule>
  </conditionalFormatting>
  <conditionalFormatting sqref="I384">
    <cfRule type="cellIs" dxfId="404" priority="478" operator="equal">
      <formula>1</formula>
    </cfRule>
  </conditionalFormatting>
  <conditionalFormatting sqref="K384">
    <cfRule type="cellIs" dxfId="403" priority="477" operator="equal">
      <formula>1</formula>
    </cfRule>
  </conditionalFormatting>
  <conditionalFormatting sqref="I388">
    <cfRule type="cellIs" dxfId="402" priority="475" operator="equal">
      <formula>1</formula>
    </cfRule>
  </conditionalFormatting>
  <conditionalFormatting sqref="K388">
    <cfRule type="cellIs" dxfId="401" priority="474" operator="equal">
      <formula>1</formula>
    </cfRule>
  </conditionalFormatting>
  <conditionalFormatting sqref="I392">
    <cfRule type="cellIs" dxfId="400" priority="472" operator="equal">
      <formula>1</formula>
    </cfRule>
  </conditionalFormatting>
  <conditionalFormatting sqref="K392">
    <cfRule type="cellIs" dxfId="399" priority="471" operator="equal">
      <formula>1</formula>
    </cfRule>
  </conditionalFormatting>
  <conditionalFormatting sqref="I396">
    <cfRule type="cellIs" dxfId="398" priority="469" operator="equal">
      <formula>1</formula>
    </cfRule>
  </conditionalFormatting>
  <conditionalFormatting sqref="K396">
    <cfRule type="cellIs" dxfId="397" priority="468" operator="equal">
      <formula>1</formula>
    </cfRule>
  </conditionalFormatting>
  <conditionalFormatting sqref="I400">
    <cfRule type="cellIs" dxfId="396" priority="466" operator="equal">
      <formula>1</formula>
    </cfRule>
  </conditionalFormatting>
  <conditionalFormatting sqref="K400">
    <cfRule type="cellIs" dxfId="395" priority="465" operator="equal">
      <formula>1</formula>
    </cfRule>
  </conditionalFormatting>
  <conditionalFormatting sqref="I404">
    <cfRule type="cellIs" dxfId="394" priority="463" operator="equal">
      <formula>1</formula>
    </cfRule>
  </conditionalFormatting>
  <conditionalFormatting sqref="K404">
    <cfRule type="cellIs" dxfId="393" priority="462" operator="equal">
      <formula>1</formula>
    </cfRule>
  </conditionalFormatting>
  <conditionalFormatting sqref="I408">
    <cfRule type="cellIs" dxfId="392" priority="460" operator="equal">
      <formula>1</formula>
    </cfRule>
  </conditionalFormatting>
  <conditionalFormatting sqref="K408">
    <cfRule type="cellIs" dxfId="391" priority="459" operator="equal">
      <formula>1</formula>
    </cfRule>
  </conditionalFormatting>
  <conditionalFormatting sqref="I412">
    <cfRule type="cellIs" dxfId="390" priority="457" operator="equal">
      <formula>1</formula>
    </cfRule>
  </conditionalFormatting>
  <conditionalFormatting sqref="K412">
    <cfRule type="cellIs" dxfId="389" priority="456" operator="equal">
      <formula>1</formula>
    </cfRule>
  </conditionalFormatting>
  <conditionalFormatting sqref="I416">
    <cfRule type="cellIs" dxfId="388" priority="454" operator="equal">
      <formula>1</formula>
    </cfRule>
  </conditionalFormatting>
  <conditionalFormatting sqref="K416">
    <cfRule type="cellIs" dxfId="387" priority="453" operator="equal">
      <formula>1</formula>
    </cfRule>
  </conditionalFormatting>
  <conditionalFormatting sqref="I420">
    <cfRule type="cellIs" dxfId="386" priority="451" operator="equal">
      <formula>1</formula>
    </cfRule>
  </conditionalFormatting>
  <conditionalFormatting sqref="K420">
    <cfRule type="cellIs" dxfId="385" priority="450" operator="equal">
      <formula>1</formula>
    </cfRule>
  </conditionalFormatting>
  <conditionalFormatting sqref="I424">
    <cfRule type="cellIs" dxfId="384" priority="448" operator="equal">
      <formula>1</formula>
    </cfRule>
  </conditionalFormatting>
  <conditionalFormatting sqref="K424">
    <cfRule type="cellIs" dxfId="383" priority="447" operator="equal">
      <formula>1</formula>
    </cfRule>
  </conditionalFormatting>
  <conditionalFormatting sqref="I428">
    <cfRule type="cellIs" dxfId="382" priority="445" operator="equal">
      <formula>1</formula>
    </cfRule>
  </conditionalFormatting>
  <conditionalFormatting sqref="K428">
    <cfRule type="cellIs" dxfId="381" priority="444" operator="equal">
      <formula>1</formula>
    </cfRule>
  </conditionalFormatting>
  <conditionalFormatting sqref="I432">
    <cfRule type="cellIs" dxfId="380" priority="442" operator="equal">
      <formula>1</formula>
    </cfRule>
  </conditionalFormatting>
  <conditionalFormatting sqref="K432">
    <cfRule type="cellIs" dxfId="379" priority="441" operator="equal">
      <formula>1</formula>
    </cfRule>
  </conditionalFormatting>
  <conditionalFormatting sqref="I436">
    <cfRule type="cellIs" dxfId="378" priority="439" operator="equal">
      <formula>1</formula>
    </cfRule>
  </conditionalFormatting>
  <conditionalFormatting sqref="K436">
    <cfRule type="cellIs" dxfId="377" priority="438" operator="equal">
      <formula>1</formula>
    </cfRule>
  </conditionalFormatting>
  <conditionalFormatting sqref="I440">
    <cfRule type="cellIs" dxfId="376" priority="436" operator="equal">
      <formula>1</formula>
    </cfRule>
  </conditionalFormatting>
  <conditionalFormatting sqref="K440">
    <cfRule type="cellIs" dxfId="375" priority="435" operator="equal">
      <formula>1</formula>
    </cfRule>
  </conditionalFormatting>
  <conditionalFormatting sqref="I444">
    <cfRule type="cellIs" dxfId="374" priority="433" operator="equal">
      <formula>1</formula>
    </cfRule>
  </conditionalFormatting>
  <conditionalFormatting sqref="K444">
    <cfRule type="cellIs" dxfId="373" priority="432" operator="equal">
      <formula>1</formula>
    </cfRule>
  </conditionalFormatting>
  <conditionalFormatting sqref="I448">
    <cfRule type="cellIs" dxfId="372" priority="430" operator="equal">
      <formula>1</formula>
    </cfRule>
  </conditionalFormatting>
  <conditionalFormatting sqref="K448">
    <cfRule type="cellIs" dxfId="371" priority="429" operator="equal">
      <formula>1</formula>
    </cfRule>
  </conditionalFormatting>
  <conditionalFormatting sqref="I452">
    <cfRule type="cellIs" dxfId="370" priority="427" operator="equal">
      <formula>1</formula>
    </cfRule>
  </conditionalFormatting>
  <conditionalFormatting sqref="K452">
    <cfRule type="cellIs" dxfId="369" priority="426" operator="equal">
      <formula>1</formula>
    </cfRule>
  </conditionalFormatting>
  <conditionalFormatting sqref="I456">
    <cfRule type="cellIs" dxfId="368" priority="424" operator="equal">
      <formula>1</formula>
    </cfRule>
  </conditionalFormatting>
  <conditionalFormatting sqref="K456">
    <cfRule type="cellIs" dxfId="367" priority="423" operator="equal">
      <formula>1</formula>
    </cfRule>
  </conditionalFormatting>
  <conditionalFormatting sqref="I460">
    <cfRule type="cellIs" dxfId="366" priority="421" operator="equal">
      <formula>1</formula>
    </cfRule>
  </conditionalFormatting>
  <conditionalFormatting sqref="K460">
    <cfRule type="cellIs" dxfId="365" priority="420" operator="equal">
      <formula>1</formula>
    </cfRule>
  </conditionalFormatting>
  <conditionalFormatting sqref="I464">
    <cfRule type="cellIs" dxfId="364" priority="418" operator="equal">
      <formula>1</formula>
    </cfRule>
  </conditionalFormatting>
  <conditionalFormatting sqref="K464">
    <cfRule type="cellIs" dxfId="363" priority="417" operator="equal">
      <formula>1</formula>
    </cfRule>
  </conditionalFormatting>
  <conditionalFormatting sqref="I468">
    <cfRule type="cellIs" dxfId="362" priority="415" operator="equal">
      <formula>1</formula>
    </cfRule>
  </conditionalFormatting>
  <conditionalFormatting sqref="K468">
    <cfRule type="cellIs" dxfId="361" priority="414" operator="equal">
      <formula>1</formula>
    </cfRule>
  </conditionalFormatting>
  <conditionalFormatting sqref="I472">
    <cfRule type="cellIs" dxfId="360" priority="412" operator="equal">
      <formula>1</formula>
    </cfRule>
  </conditionalFormatting>
  <conditionalFormatting sqref="K472">
    <cfRule type="cellIs" dxfId="359" priority="411" operator="equal">
      <formula>1</formula>
    </cfRule>
  </conditionalFormatting>
  <conditionalFormatting sqref="I476">
    <cfRule type="cellIs" dxfId="358" priority="409" operator="equal">
      <formula>1</formula>
    </cfRule>
  </conditionalFormatting>
  <conditionalFormatting sqref="K476">
    <cfRule type="cellIs" dxfId="357" priority="408" operator="equal">
      <formula>1</formula>
    </cfRule>
  </conditionalFormatting>
  <conditionalFormatting sqref="I480">
    <cfRule type="cellIs" dxfId="356" priority="406" operator="equal">
      <formula>1</formula>
    </cfRule>
  </conditionalFormatting>
  <conditionalFormatting sqref="K480">
    <cfRule type="cellIs" dxfId="355" priority="405" operator="equal">
      <formula>1</formula>
    </cfRule>
  </conditionalFormatting>
  <conditionalFormatting sqref="I484">
    <cfRule type="cellIs" dxfId="354" priority="403" operator="equal">
      <formula>1</formula>
    </cfRule>
  </conditionalFormatting>
  <conditionalFormatting sqref="K484">
    <cfRule type="cellIs" dxfId="353" priority="402" operator="equal">
      <formula>1</formula>
    </cfRule>
  </conditionalFormatting>
  <conditionalFormatting sqref="I488">
    <cfRule type="cellIs" dxfId="352" priority="400" operator="equal">
      <formula>1</formula>
    </cfRule>
  </conditionalFormatting>
  <conditionalFormatting sqref="K488">
    <cfRule type="cellIs" dxfId="351" priority="399" operator="equal">
      <formula>1</formula>
    </cfRule>
  </conditionalFormatting>
  <conditionalFormatting sqref="I492">
    <cfRule type="cellIs" dxfId="350" priority="397" operator="equal">
      <formula>1</formula>
    </cfRule>
  </conditionalFormatting>
  <conditionalFormatting sqref="K492">
    <cfRule type="cellIs" dxfId="349" priority="396" operator="equal">
      <formula>1</formula>
    </cfRule>
  </conditionalFormatting>
  <conditionalFormatting sqref="I496">
    <cfRule type="cellIs" dxfId="348" priority="394" operator="equal">
      <formula>1</formula>
    </cfRule>
  </conditionalFormatting>
  <conditionalFormatting sqref="K496">
    <cfRule type="cellIs" dxfId="347" priority="393" operator="equal">
      <formula>1</formula>
    </cfRule>
  </conditionalFormatting>
  <conditionalFormatting sqref="I500">
    <cfRule type="cellIs" dxfId="346" priority="391" operator="equal">
      <formula>1</formula>
    </cfRule>
  </conditionalFormatting>
  <conditionalFormatting sqref="K500">
    <cfRule type="cellIs" dxfId="345" priority="390" operator="equal">
      <formula>1</formula>
    </cfRule>
  </conditionalFormatting>
  <conditionalFormatting sqref="I504">
    <cfRule type="cellIs" dxfId="344" priority="388" operator="equal">
      <formula>1</formula>
    </cfRule>
  </conditionalFormatting>
  <conditionalFormatting sqref="K504">
    <cfRule type="cellIs" dxfId="343" priority="387" operator="equal">
      <formula>1</formula>
    </cfRule>
  </conditionalFormatting>
  <conditionalFormatting sqref="I508">
    <cfRule type="cellIs" dxfId="342" priority="385" operator="equal">
      <formula>1</formula>
    </cfRule>
  </conditionalFormatting>
  <conditionalFormatting sqref="K508">
    <cfRule type="cellIs" dxfId="341" priority="384" operator="equal">
      <formula>1</formula>
    </cfRule>
  </conditionalFormatting>
  <conditionalFormatting sqref="I512">
    <cfRule type="cellIs" dxfId="340" priority="382" operator="equal">
      <formula>1</formula>
    </cfRule>
  </conditionalFormatting>
  <conditionalFormatting sqref="K512">
    <cfRule type="cellIs" dxfId="339" priority="381" operator="equal">
      <formula>1</formula>
    </cfRule>
  </conditionalFormatting>
  <conditionalFormatting sqref="I516">
    <cfRule type="cellIs" dxfId="338" priority="379" operator="equal">
      <formula>1</formula>
    </cfRule>
  </conditionalFormatting>
  <conditionalFormatting sqref="K516">
    <cfRule type="cellIs" dxfId="337" priority="378" operator="equal">
      <formula>1</formula>
    </cfRule>
  </conditionalFormatting>
  <conditionalFormatting sqref="I520">
    <cfRule type="cellIs" dxfId="336" priority="376" operator="equal">
      <formula>1</formula>
    </cfRule>
  </conditionalFormatting>
  <conditionalFormatting sqref="K520">
    <cfRule type="cellIs" dxfId="335" priority="375" operator="equal">
      <formula>1</formula>
    </cfRule>
  </conditionalFormatting>
  <conditionalFormatting sqref="I524">
    <cfRule type="cellIs" dxfId="334" priority="373" operator="equal">
      <formula>1</formula>
    </cfRule>
  </conditionalFormatting>
  <conditionalFormatting sqref="K524">
    <cfRule type="cellIs" dxfId="333" priority="372" operator="equal">
      <formula>1</formula>
    </cfRule>
  </conditionalFormatting>
  <conditionalFormatting sqref="I528">
    <cfRule type="cellIs" dxfId="332" priority="370" operator="equal">
      <formula>1</formula>
    </cfRule>
  </conditionalFormatting>
  <conditionalFormatting sqref="K528">
    <cfRule type="cellIs" dxfId="331" priority="369" operator="equal">
      <formula>1</formula>
    </cfRule>
  </conditionalFormatting>
  <conditionalFormatting sqref="I532">
    <cfRule type="cellIs" dxfId="330" priority="367" operator="equal">
      <formula>1</formula>
    </cfRule>
  </conditionalFormatting>
  <conditionalFormatting sqref="K532">
    <cfRule type="cellIs" dxfId="329" priority="366" operator="equal">
      <formula>1</formula>
    </cfRule>
  </conditionalFormatting>
  <conditionalFormatting sqref="I536">
    <cfRule type="cellIs" dxfId="328" priority="364" operator="equal">
      <formula>1</formula>
    </cfRule>
  </conditionalFormatting>
  <conditionalFormatting sqref="K536">
    <cfRule type="cellIs" dxfId="327" priority="363" operator="equal">
      <formula>1</formula>
    </cfRule>
  </conditionalFormatting>
  <conditionalFormatting sqref="I540">
    <cfRule type="cellIs" dxfId="326" priority="361" operator="equal">
      <formula>1</formula>
    </cfRule>
  </conditionalFormatting>
  <conditionalFormatting sqref="K540">
    <cfRule type="cellIs" dxfId="325" priority="360" operator="equal">
      <formula>1</formula>
    </cfRule>
  </conditionalFormatting>
  <conditionalFormatting sqref="I544">
    <cfRule type="cellIs" dxfId="324" priority="358" operator="equal">
      <formula>1</formula>
    </cfRule>
  </conditionalFormatting>
  <conditionalFormatting sqref="K544">
    <cfRule type="cellIs" dxfId="323" priority="357" operator="equal">
      <formula>1</formula>
    </cfRule>
  </conditionalFormatting>
  <conditionalFormatting sqref="I548">
    <cfRule type="cellIs" dxfId="322" priority="355" operator="equal">
      <formula>1</formula>
    </cfRule>
  </conditionalFormatting>
  <conditionalFormatting sqref="K548">
    <cfRule type="cellIs" dxfId="321" priority="354" operator="equal">
      <formula>1</formula>
    </cfRule>
  </conditionalFormatting>
  <conditionalFormatting sqref="I552">
    <cfRule type="cellIs" dxfId="320" priority="352" operator="equal">
      <formula>1</formula>
    </cfRule>
  </conditionalFormatting>
  <conditionalFormatting sqref="K552">
    <cfRule type="cellIs" dxfId="319" priority="351" operator="equal">
      <formula>1</formula>
    </cfRule>
  </conditionalFormatting>
  <conditionalFormatting sqref="I556">
    <cfRule type="cellIs" dxfId="318" priority="349" operator="equal">
      <formula>1</formula>
    </cfRule>
  </conditionalFormatting>
  <conditionalFormatting sqref="K556">
    <cfRule type="cellIs" dxfId="317" priority="348" operator="equal">
      <formula>1</formula>
    </cfRule>
  </conditionalFormatting>
  <conditionalFormatting sqref="I560">
    <cfRule type="cellIs" dxfId="316" priority="346" operator="equal">
      <formula>1</formula>
    </cfRule>
  </conditionalFormatting>
  <conditionalFormatting sqref="K560">
    <cfRule type="cellIs" dxfId="315" priority="345" operator="equal">
      <formula>1</formula>
    </cfRule>
  </conditionalFormatting>
  <conditionalFormatting sqref="I563">
    <cfRule type="cellIs" dxfId="314" priority="343" operator="equal">
      <formula>1</formula>
    </cfRule>
  </conditionalFormatting>
  <conditionalFormatting sqref="K563">
    <cfRule type="cellIs" dxfId="313" priority="342" operator="equal">
      <formula>1</formula>
    </cfRule>
  </conditionalFormatting>
  <conditionalFormatting sqref="I566">
    <cfRule type="cellIs" dxfId="312" priority="340" operator="equal">
      <formula>1</formula>
    </cfRule>
  </conditionalFormatting>
  <conditionalFormatting sqref="K566">
    <cfRule type="cellIs" dxfId="311" priority="339" operator="equal">
      <formula>1</formula>
    </cfRule>
  </conditionalFormatting>
  <conditionalFormatting sqref="I569">
    <cfRule type="cellIs" dxfId="310" priority="337" operator="equal">
      <formula>1</formula>
    </cfRule>
  </conditionalFormatting>
  <conditionalFormatting sqref="K569">
    <cfRule type="cellIs" dxfId="309" priority="336" operator="equal">
      <formula>1</formula>
    </cfRule>
  </conditionalFormatting>
  <conditionalFormatting sqref="I572">
    <cfRule type="cellIs" dxfId="308" priority="334" operator="equal">
      <formula>1</formula>
    </cfRule>
  </conditionalFormatting>
  <conditionalFormatting sqref="K572">
    <cfRule type="cellIs" dxfId="307" priority="333" operator="equal">
      <formula>1</formula>
    </cfRule>
  </conditionalFormatting>
  <conditionalFormatting sqref="I575">
    <cfRule type="cellIs" dxfId="306" priority="331" operator="equal">
      <formula>1</formula>
    </cfRule>
  </conditionalFormatting>
  <conditionalFormatting sqref="K575">
    <cfRule type="cellIs" dxfId="305" priority="330" operator="equal">
      <formula>1</formula>
    </cfRule>
  </conditionalFormatting>
  <conditionalFormatting sqref="I578">
    <cfRule type="cellIs" dxfId="304" priority="328" operator="equal">
      <formula>1</formula>
    </cfRule>
  </conditionalFormatting>
  <conditionalFormatting sqref="K578">
    <cfRule type="cellIs" dxfId="303" priority="327" operator="equal">
      <formula>1</formula>
    </cfRule>
  </conditionalFormatting>
  <conditionalFormatting sqref="I581">
    <cfRule type="cellIs" dxfId="302" priority="325" operator="equal">
      <formula>1</formula>
    </cfRule>
  </conditionalFormatting>
  <conditionalFormatting sqref="K581">
    <cfRule type="cellIs" dxfId="301" priority="324" operator="equal">
      <formula>1</formula>
    </cfRule>
  </conditionalFormatting>
  <conditionalFormatting sqref="I584">
    <cfRule type="cellIs" dxfId="300" priority="322" operator="equal">
      <formula>1</formula>
    </cfRule>
  </conditionalFormatting>
  <conditionalFormatting sqref="K584">
    <cfRule type="cellIs" dxfId="299" priority="321" operator="equal">
      <formula>1</formula>
    </cfRule>
  </conditionalFormatting>
  <conditionalFormatting sqref="I587">
    <cfRule type="cellIs" dxfId="298" priority="319" operator="equal">
      <formula>1</formula>
    </cfRule>
  </conditionalFormatting>
  <conditionalFormatting sqref="K587">
    <cfRule type="cellIs" dxfId="297" priority="318" operator="equal">
      <formula>1</formula>
    </cfRule>
  </conditionalFormatting>
  <conditionalFormatting sqref="I590">
    <cfRule type="cellIs" dxfId="296" priority="316" operator="equal">
      <formula>1</formula>
    </cfRule>
  </conditionalFormatting>
  <conditionalFormatting sqref="K590">
    <cfRule type="cellIs" dxfId="295" priority="315" operator="equal">
      <formula>1</formula>
    </cfRule>
  </conditionalFormatting>
  <conditionalFormatting sqref="I593">
    <cfRule type="cellIs" dxfId="294" priority="313" operator="equal">
      <formula>1</formula>
    </cfRule>
  </conditionalFormatting>
  <conditionalFormatting sqref="K593">
    <cfRule type="cellIs" dxfId="293" priority="312" operator="equal">
      <formula>1</formula>
    </cfRule>
  </conditionalFormatting>
  <conditionalFormatting sqref="I596">
    <cfRule type="cellIs" dxfId="292" priority="310" operator="equal">
      <formula>1</formula>
    </cfRule>
  </conditionalFormatting>
  <conditionalFormatting sqref="K596">
    <cfRule type="cellIs" dxfId="291" priority="309" operator="equal">
      <formula>1</formula>
    </cfRule>
  </conditionalFormatting>
  <conditionalFormatting sqref="I599">
    <cfRule type="cellIs" dxfId="290" priority="307" operator="equal">
      <formula>1</formula>
    </cfRule>
  </conditionalFormatting>
  <conditionalFormatting sqref="K599">
    <cfRule type="cellIs" dxfId="289" priority="306" operator="equal">
      <formula>1</formula>
    </cfRule>
  </conditionalFormatting>
  <conditionalFormatting sqref="I602">
    <cfRule type="cellIs" dxfId="288" priority="304" operator="equal">
      <formula>1</formula>
    </cfRule>
  </conditionalFormatting>
  <conditionalFormatting sqref="K602">
    <cfRule type="cellIs" dxfId="287" priority="303" operator="equal">
      <formula>1</formula>
    </cfRule>
  </conditionalFormatting>
  <conditionalFormatting sqref="I605">
    <cfRule type="cellIs" dxfId="286" priority="301" operator="equal">
      <formula>1</formula>
    </cfRule>
  </conditionalFormatting>
  <conditionalFormatting sqref="K605">
    <cfRule type="cellIs" dxfId="285" priority="300" operator="equal">
      <formula>1</formula>
    </cfRule>
  </conditionalFormatting>
  <conditionalFormatting sqref="I609">
    <cfRule type="cellIs" dxfId="284" priority="298" operator="equal">
      <formula>1</formula>
    </cfRule>
  </conditionalFormatting>
  <conditionalFormatting sqref="K609">
    <cfRule type="cellIs" dxfId="283" priority="297" operator="equal">
      <formula>1</formula>
    </cfRule>
  </conditionalFormatting>
  <conditionalFormatting sqref="I613">
    <cfRule type="cellIs" dxfId="282" priority="295" operator="equal">
      <formula>1</formula>
    </cfRule>
  </conditionalFormatting>
  <conditionalFormatting sqref="K64:K65">
    <cfRule type="cellIs" dxfId="281" priority="292" operator="equal">
      <formula>1</formula>
    </cfRule>
  </conditionalFormatting>
  <conditionalFormatting sqref="M611">
    <cfRule type="cellIs" dxfId="280" priority="5" operator="equal">
      <formula>1</formula>
    </cfRule>
  </conditionalFormatting>
  <conditionalFormatting sqref="M4:M22 M27:M44">
    <cfRule type="cellIs" dxfId="279" priority="289" operator="equal">
      <formula>1</formula>
    </cfRule>
  </conditionalFormatting>
  <conditionalFormatting sqref="M612">
    <cfRule type="cellIs" dxfId="278" priority="4" operator="equal">
      <formula>1</formula>
    </cfRule>
  </conditionalFormatting>
  <conditionalFormatting sqref="M23:M24">
    <cfRule type="cellIs" dxfId="277" priority="288" operator="equal">
      <formula>1</formula>
    </cfRule>
  </conditionalFormatting>
  <conditionalFormatting sqref="M25:M26">
    <cfRule type="cellIs" dxfId="276" priority="287" operator="equal">
      <formula>1</formula>
    </cfRule>
  </conditionalFormatting>
  <conditionalFormatting sqref="K4:K44">
    <cfRule type="cellIs" dxfId="275" priority="286" operator="equal">
      <formula>1</formula>
    </cfRule>
  </conditionalFormatting>
  <conditionalFormatting sqref="M63 M56">
    <cfRule type="cellIs" dxfId="274" priority="285" operator="equal">
      <formula>1</formula>
    </cfRule>
  </conditionalFormatting>
  <conditionalFormatting sqref="M58">
    <cfRule type="cellIs" dxfId="273" priority="284" operator="equal">
      <formula>1</formula>
    </cfRule>
  </conditionalFormatting>
  <conditionalFormatting sqref="M65">
    <cfRule type="cellIs" dxfId="272" priority="283" operator="equal">
      <formula>1</formula>
    </cfRule>
  </conditionalFormatting>
  <conditionalFormatting sqref="M47">
    <cfRule type="cellIs" dxfId="271" priority="282" operator="equal">
      <formula>1</formula>
    </cfRule>
  </conditionalFormatting>
  <conditionalFormatting sqref="M49">
    <cfRule type="cellIs" dxfId="270" priority="281" operator="equal">
      <formula>1</formula>
    </cfRule>
  </conditionalFormatting>
  <conditionalFormatting sqref="M51">
    <cfRule type="cellIs" dxfId="269" priority="280" operator="equal">
      <formula>1</formula>
    </cfRule>
  </conditionalFormatting>
  <conditionalFormatting sqref="M52">
    <cfRule type="cellIs" dxfId="268" priority="279" operator="equal">
      <formula>1</formula>
    </cfRule>
  </conditionalFormatting>
  <conditionalFormatting sqref="M53">
    <cfRule type="cellIs" dxfId="267" priority="278" operator="equal">
      <formula>1</formula>
    </cfRule>
  </conditionalFormatting>
  <conditionalFormatting sqref="M54">
    <cfRule type="cellIs" dxfId="266" priority="277" operator="equal">
      <formula>1</formula>
    </cfRule>
  </conditionalFormatting>
  <conditionalFormatting sqref="M72">
    <cfRule type="cellIs" dxfId="265" priority="273" operator="equal">
      <formula>1</formula>
    </cfRule>
  </conditionalFormatting>
  <conditionalFormatting sqref="M73">
    <cfRule type="cellIs" dxfId="264" priority="272" operator="equal">
      <formula>1</formula>
    </cfRule>
  </conditionalFormatting>
  <conditionalFormatting sqref="M74">
    <cfRule type="cellIs" dxfId="263" priority="271" operator="equal">
      <formula>1</formula>
    </cfRule>
  </conditionalFormatting>
  <conditionalFormatting sqref="M79">
    <cfRule type="cellIs" dxfId="262" priority="270" operator="equal">
      <formula>1</formula>
    </cfRule>
  </conditionalFormatting>
  <conditionalFormatting sqref="M81">
    <cfRule type="cellIs" dxfId="261" priority="268" operator="equal">
      <formula>1</formula>
    </cfRule>
  </conditionalFormatting>
  <conditionalFormatting sqref="M84">
    <cfRule type="cellIs" dxfId="260" priority="265" operator="equal">
      <formula>1</formula>
    </cfRule>
  </conditionalFormatting>
  <conditionalFormatting sqref="M86">
    <cfRule type="cellIs" dxfId="259" priority="263" operator="equal">
      <formula>1</formula>
    </cfRule>
  </conditionalFormatting>
  <conditionalFormatting sqref="M87">
    <cfRule type="cellIs" dxfId="258" priority="262" operator="equal">
      <formula>1</formula>
    </cfRule>
  </conditionalFormatting>
  <conditionalFormatting sqref="M92">
    <cfRule type="cellIs" dxfId="257" priority="261" operator="equal">
      <formula>1</formula>
    </cfRule>
  </conditionalFormatting>
  <conditionalFormatting sqref="M98:M99">
    <cfRule type="cellIs" dxfId="256" priority="260" operator="equal">
      <formula>1</formula>
    </cfRule>
  </conditionalFormatting>
  <conditionalFormatting sqref="M111">
    <cfRule type="cellIs" dxfId="255" priority="259" operator="equal">
      <formula>1</formula>
    </cfRule>
  </conditionalFormatting>
  <conditionalFormatting sqref="M126">
    <cfRule type="cellIs" dxfId="254" priority="258" operator="equal">
      <formula>1</formula>
    </cfRule>
  </conditionalFormatting>
  <conditionalFormatting sqref="M128">
    <cfRule type="cellIs" dxfId="253" priority="257" operator="equal">
      <formula>1</formula>
    </cfRule>
  </conditionalFormatting>
  <conditionalFormatting sqref="M147">
    <cfRule type="cellIs" dxfId="252" priority="256" operator="equal">
      <formula>1</formula>
    </cfRule>
  </conditionalFormatting>
  <conditionalFormatting sqref="M156">
    <cfRule type="cellIs" dxfId="251" priority="255" operator="equal">
      <formula>1</formula>
    </cfRule>
  </conditionalFormatting>
  <conditionalFormatting sqref="M157">
    <cfRule type="cellIs" dxfId="250" priority="254" operator="equal">
      <formula>1</formula>
    </cfRule>
  </conditionalFormatting>
  <conditionalFormatting sqref="M159">
    <cfRule type="cellIs" dxfId="249" priority="253" operator="equal">
      <formula>1</formula>
    </cfRule>
  </conditionalFormatting>
  <conditionalFormatting sqref="M160">
    <cfRule type="cellIs" dxfId="248" priority="252" operator="equal">
      <formula>1</formula>
    </cfRule>
  </conditionalFormatting>
  <conditionalFormatting sqref="M162">
    <cfRule type="cellIs" dxfId="247" priority="251" operator="equal">
      <formula>1</formula>
    </cfRule>
  </conditionalFormatting>
  <conditionalFormatting sqref="M161">
    <cfRule type="cellIs" dxfId="246" priority="250" operator="equal">
      <formula>1</formula>
    </cfRule>
  </conditionalFormatting>
  <conditionalFormatting sqref="M165">
    <cfRule type="cellIs" dxfId="245" priority="249" operator="equal">
      <formula>1</formula>
    </cfRule>
  </conditionalFormatting>
  <conditionalFormatting sqref="M166">
    <cfRule type="cellIs" dxfId="244" priority="248" operator="equal">
      <formula>1</formula>
    </cfRule>
  </conditionalFormatting>
  <conditionalFormatting sqref="M167">
    <cfRule type="cellIs" dxfId="243" priority="247" operator="equal">
      <formula>1</formula>
    </cfRule>
  </conditionalFormatting>
  <conditionalFormatting sqref="M168">
    <cfRule type="cellIs" dxfId="242" priority="246" operator="equal">
      <formula>1</formula>
    </cfRule>
  </conditionalFormatting>
  <conditionalFormatting sqref="M171">
    <cfRule type="cellIs" dxfId="241" priority="245" operator="equal">
      <formula>1</formula>
    </cfRule>
  </conditionalFormatting>
  <conditionalFormatting sqref="M172">
    <cfRule type="cellIs" dxfId="240" priority="244" operator="equal">
      <formula>1</formula>
    </cfRule>
  </conditionalFormatting>
  <conditionalFormatting sqref="M173">
    <cfRule type="cellIs" dxfId="239" priority="243" operator="equal">
      <formula>1</formula>
    </cfRule>
  </conditionalFormatting>
  <conditionalFormatting sqref="M174">
    <cfRule type="cellIs" dxfId="238" priority="242" operator="equal">
      <formula>1</formula>
    </cfRule>
  </conditionalFormatting>
  <conditionalFormatting sqref="M177">
    <cfRule type="cellIs" dxfId="237" priority="241" operator="equal">
      <formula>1</formula>
    </cfRule>
  </conditionalFormatting>
  <conditionalFormatting sqref="M178">
    <cfRule type="cellIs" dxfId="236" priority="240" operator="equal">
      <formula>1</formula>
    </cfRule>
  </conditionalFormatting>
  <conditionalFormatting sqref="M179">
    <cfRule type="cellIs" dxfId="235" priority="239" operator="equal">
      <formula>1</formula>
    </cfRule>
  </conditionalFormatting>
  <conditionalFormatting sqref="M180">
    <cfRule type="cellIs" dxfId="234" priority="238" operator="equal">
      <formula>1</formula>
    </cfRule>
  </conditionalFormatting>
  <conditionalFormatting sqref="M187">
    <cfRule type="cellIs" dxfId="233" priority="237" operator="equal">
      <formula>1</formula>
    </cfRule>
  </conditionalFormatting>
  <conditionalFormatting sqref="M188">
    <cfRule type="cellIs" dxfId="232" priority="236" operator="equal">
      <formula>1</formula>
    </cfRule>
  </conditionalFormatting>
  <conditionalFormatting sqref="M190">
    <cfRule type="cellIs" dxfId="231" priority="235" operator="equal">
      <formula>1</formula>
    </cfRule>
  </conditionalFormatting>
  <conditionalFormatting sqref="M191">
    <cfRule type="cellIs" dxfId="230" priority="234" operator="equal">
      <formula>1</formula>
    </cfRule>
  </conditionalFormatting>
  <conditionalFormatting sqref="M193">
    <cfRule type="cellIs" dxfId="229" priority="233" operator="equal">
      <formula>1</formula>
    </cfRule>
  </conditionalFormatting>
  <conditionalFormatting sqref="M194">
    <cfRule type="cellIs" dxfId="228" priority="232" operator="equal">
      <formula>1</formula>
    </cfRule>
  </conditionalFormatting>
  <conditionalFormatting sqref="M196">
    <cfRule type="cellIs" dxfId="227" priority="231" operator="equal">
      <formula>1</formula>
    </cfRule>
  </conditionalFormatting>
  <conditionalFormatting sqref="M197">
    <cfRule type="cellIs" dxfId="226" priority="230" operator="equal">
      <formula>1</formula>
    </cfRule>
  </conditionalFormatting>
  <conditionalFormatting sqref="M199">
    <cfRule type="cellIs" dxfId="225" priority="229" operator="equal">
      <formula>1</formula>
    </cfRule>
  </conditionalFormatting>
  <conditionalFormatting sqref="M616">
    <cfRule type="cellIs" dxfId="224" priority="1" operator="equal">
      <formula>1</formula>
    </cfRule>
  </conditionalFormatting>
  <conditionalFormatting sqref="M200">
    <cfRule type="cellIs" dxfId="223" priority="228" operator="equal">
      <formula>1</formula>
    </cfRule>
  </conditionalFormatting>
  <conditionalFormatting sqref="M202">
    <cfRule type="cellIs" dxfId="222" priority="227" operator="equal">
      <formula>1</formula>
    </cfRule>
  </conditionalFormatting>
  <conditionalFormatting sqref="M203">
    <cfRule type="cellIs" dxfId="221" priority="226" operator="equal">
      <formula>1</formula>
    </cfRule>
  </conditionalFormatting>
  <conditionalFormatting sqref="M205">
    <cfRule type="cellIs" dxfId="220" priority="225" operator="equal">
      <formula>1</formula>
    </cfRule>
  </conditionalFormatting>
  <conditionalFormatting sqref="M206">
    <cfRule type="cellIs" dxfId="219" priority="224" operator="equal">
      <formula>1</formula>
    </cfRule>
  </conditionalFormatting>
  <conditionalFormatting sqref="M208">
    <cfRule type="cellIs" dxfId="218" priority="223" operator="equal">
      <formula>1</formula>
    </cfRule>
  </conditionalFormatting>
  <conditionalFormatting sqref="M209">
    <cfRule type="cellIs" dxfId="217" priority="222" operator="equal">
      <formula>1</formula>
    </cfRule>
  </conditionalFormatting>
  <conditionalFormatting sqref="M211">
    <cfRule type="cellIs" dxfId="216" priority="221" operator="equal">
      <formula>1</formula>
    </cfRule>
  </conditionalFormatting>
  <conditionalFormatting sqref="M212">
    <cfRule type="cellIs" dxfId="215" priority="220" operator="equal">
      <formula>1</formula>
    </cfRule>
  </conditionalFormatting>
  <conditionalFormatting sqref="M214">
    <cfRule type="cellIs" dxfId="214" priority="219" operator="equal">
      <formula>1</formula>
    </cfRule>
  </conditionalFormatting>
  <conditionalFormatting sqref="M215">
    <cfRule type="cellIs" dxfId="213" priority="218" operator="equal">
      <formula>1</formula>
    </cfRule>
  </conditionalFormatting>
  <conditionalFormatting sqref="M217">
    <cfRule type="cellIs" dxfId="212" priority="217" operator="equal">
      <formula>1</formula>
    </cfRule>
  </conditionalFormatting>
  <conditionalFormatting sqref="M218">
    <cfRule type="cellIs" dxfId="211" priority="216" operator="equal">
      <formula>1</formula>
    </cfRule>
  </conditionalFormatting>
  <conditionalFormatting sqref="M220">
    <cfRule type="cellIs" dxfId="210" priority="215" operator="equal">
      <formula>1</formula>
    </cfRule>
  </conditionalFormatting>
  <conditionalFormatting sqref="M221">
    <cfRule type="cellIs" dxfId="209" priority="214" operator="equal">
      <formula>1</formula>
    </cfRule>
  </conditionalFormatting>
  <conditionalFormatting sqref="M223">
    <cfRule type="cellIs" dxfId="208" priority="213" operator="equal">
      <formula>1</formula>
    </cfRule>
  </conditionalFormatting>
  <conditionalFormatting sqref="M224">
    <cfRule type="cellIs" dxfId="207" priority="212" operator="equal">
      <formula>1</formula>
    </cfRule>
  </conditionalFormatting>
  <conditionalFormatting sqref="M226">
    <cfRule type="cellIs" dxfId="206" priority="211" operator="equal">
      <formula>1</formula>
    </cfRule>
  </conditionalFormatting>
  <conditionalFormatting sqref="M227">
    <cfRule type="cellIs" dxfId="205" priority="210" operator="equal">
      <formula>1</formula>
    </cfRule>
  </conditionalFormatting>
  <conditionalFormatting sqref="M229">
    <cfRule type="cellIs" dxfId="204" priority="209" operator="equal">
      <formula>1</formula>
    </cfRule>
  </conditionalFormatting>
  <conditionalFormatting sqref="M230">
    <cfRule type="cellIs" dxfId="203" priority="208" operator="equal">
      <formula>1</formula>
    </cfRule>
  </conditionalFormatting>
  <conditionalFormatting sqref="M232">
    <cfRule type="cellIs" dxfId="202" priority="207" operator="equal">
      <formula>1</formula>
    </cfRule>
  </conditionalFormatting>
  <conditionalFormatting sqref="M233">
    <cfRule type="cellIs" dxfId="201" priority="206" operator="equal">
      <formula>1</formula>
    </cfRule>
  </conditionalFormatting>
  <conditionalFormatting sqref="M235">
    <cfRule type="cellIs" dxfId="200" priority="205" operator="equal">
      <formula>1</formula>
    </cfRule>
  </conditionalFormatting>
  <conditionalFormatting sqref="M236">
    <cfRule type="cellIs" dxfId="199" priority="204" operator="equal">
      <formula>1</formula>
    </cfRule>
  </conditionalFormatting>
  <conditionalFormatting sqref="M238">
    <cfRule type="cellIs" dxfId="198" priority="203" operator="equal">
      <formula>1</formula>
    </cfRule>
  </conditionalFormatting>
  <conditionalFormatting sqref="M239">
    <cfRule type="cellIs" dxfId="197" priority="202" operator="equal">
      <formula>1</formula>
    </cfRule>
  </conditionalFormatting>
  <conditionalFormatting sqref="M241">
    <cfRule type="cellIs" dxfId="196" priority="201" operator="equal">
      <formula>1</formula>
    </cfRule>
  </conditionalFormatting>
  <conditionalFormatting sqref="M242">
    <cfRule type="cellIs" dxfId="195" priority="200" operator="equal">
      <formula>1</formula>
    </cfRule>
  </conditionalFormatting>
  <conditionalFormatting sqref="M244">
    <cfRule type="cellIs" dxfId="194" priority="199" operator="equal">
      <formula>1</formula>
    </cfRule>
  </conditionalFormatting>
  <conditionalFormatting sqref="M245">
    <cfRule type="cellIs" dxfId="193" priority="198" operator="equal">
      <formula>1</formula>
    </cfRule>
  </conditionalFormatting>
  <conditionalFormatting sqref="M247">
    <cfRule type="cellIs" dxfId="192" priority="197" operator="equal">
      <formula>1</formula>
    </cfRule>
  </conditionalFormatting>
  <conditionalFormatting sqref="M248">
    <cfRule type="cellIs" dxfId="191" priority="196" operator="equal">
      <formula>1</formula>
    </cfRule>
  </conditionalFormatting>
  <conditionalFormatting sqref="M250">
    <cfRule type="cellIs" dxfId="190" priority="195" operator="equal">
      <formula>1</formula>
    </cfRule>
  </conditionalFormatting>
  <conditionalFormatting sqref="M251">
    <cfRule type="cellIs" dxfId="189" priority="194" operator="equal">
      <formula>1</formula>
    </cfRule>
  </conditionalFormatting>
  <conditionalFormatting sqref="M253">
    <cfRule type="cellIs" dxfId="188" priority="193" operator="equal">
      <formula>1</formula>
    </cfRule>
  </conditionalFormatting>
  <conditionalFormatting sqref="M254">
    <cfRule type="cellIs" dxfId="187" priority="192" operator="equal">
      <formula>1</formula>
    </cfRule>
  </conditionalFormatting>
  <conditionalFormatting sqref="M256">
    <cfRule type="cellIs" dxfId="186" priority="191" operator="equal">
      <formula>1</formula>
    </cfRule>
  </conditionalFormatting>
  <conditionalFormatting sqref="M257">
    <cfRule type="cellIs" dxfId="185" priority="190" operator="equal">
      <formula>1</formula>
    </cfRule>
  </conditionalFormatting>
  <conditionalFormatting sqref="M259">
    <cfRule type="cellIs" dxfId="184" priority="189" operator="equal">
      <formula>1</formula>
    </cfRule>
  </conditionalFormatting>
  <conditionalFormatting sqref="M260">
    <cfRule type="cellIs" dxfId="183" priority="188" operator="equal">
      <formula>1</formula>
    </cfRule>
  </conditionalFormatting>
  <conditionalFormatting sqref="M262">
    <cfRule type="cellIs" dxfId="182" priority="187" operator="equal">
      <formula>1</formula>
    </cfRule>
  </conditionalFormatting>
  <conditionalFormatting sqref="M263">
    <cfRule type="cellIs" dxfId="181" priority="186" operator="equal">
      <formula>1</formula>
    </cfRule>
  </conditionalFormatting>
  <conditionalFormatting sqref="M265">
    <cfRule type="cellIs" dxfId="180" priority="185" operator="equal">
      <formula>1</formula>
    </cfRule>
  </conditionalFormatting>
  <conditionalFormatting sqref="M266">
    <cfRule type="cellIs" dxfId="179" priority="184" operator="equal">
      <formula>1</formula>
    </cfRule>
  </conditionalFormatting>
  <conditionalFormatting sqref="M268">
    <cfRule type="cellIs" dxfId="178" priority="183" operator="equal">
      <formula>1</formula>
    </cfRule>
  </conditionalFormatting>
  <conditionalFormatting sqref="M269">
    <cfRule type="cellIs" dxfId="177" priority="182" operator="equal">
      <formula>1</formula>
    </cfRule>
  </conditionalFormatting>
  <conditionalFormatting sqref="M271">
    <cfRule type="cellIs" dxfId="176" priority="181" operator="equal">
      <formula>1</formula>
    </cfRule>
  </conditionalFormatting>
  <conditionalFormatting sqref="M272">
    <cfRule type="cellIs" dxfId="175" priority="180" operator="equal">
      <formula>1</formula>
    </cfRule>
  </conditionalFormatting>
  <conditionalFormatting sqref="M274">
    <cfRule type="cellIs" dxfId="174" priority="179" operator="equal">
      <formula>1</formula>
    </cfRule>
  </conditionalFormatting>
  <conditionalFormatting sqref="M275">
    <cfRule type="cellIs" dxfId="173" priority="178" operator="equal">
      <formula>1</formula>
    </cfRule>
  </conditionalFormatting>
  <conditionalFormatting sqref="M277">
    <cfRule type="cellIs" dxfId="172" priority="177" operator="equal">
      <formula>1</formula>
    </cfRule>
  </conditionalFormatting>
  <conditionalFormatting sqref="M278">
    <cfRule type="cellIs" dxfId="171" priority="176" operator="equal">
      <formula>1</formula>
    </cfRule>
  </conditionalFormatting>
  <conditionalFormatting sqref="M280">
    <cfRule type="cellIs" dxfId="170" priority="175" operator="equal">
      <formula>1</formula>
    </cfRule>
  </conditionalFormatting>
  <conditionalFormatting sqref="M281">
    <cfRule type="cellIs" dxfId="169" priority="174" operator="equal">
      <formula>1</formula>
    </cfRule>
  </conditionalFormatting>
  <conditionalFormatting sqref="M283">
    <cfRule type="cellIs" dxfId="168" priority="173" operator="equal">
      <formula>1</formula>
    </cfRule>
  </conditionalFormatting>
  <conditionalFormatting sqref="M284">
    <cfRule type="cellIs" dxfId="167" priority="172" operator="equal">
      <formula>1</formula>
    </cfRule>
  </conditionalFormatting>
  <conditionalFormatting sqref="M286">
    <cfRule type="cellIs" dxfId="166" priority="171" operator="equal">
      <formula>1</formula>
    </cfRule>
  </conditionalFormatting>
  <conditionalFormatting sqref="M287">
    <cfRule type="cellIs" dxfId="165" priority="170" operator="equal">
      <formula>1</formula>
    </cfRule>
  </conditionalFormatting>
  <conditionalFormatting sqref="M289">
    <cfRule type="cellIs" dxfId="164" priority="169" operator="equal">
      <formula>1</formula>
    </cfRule>
  </conditionalFormatting>
  <conditionalFormatting sqref="M290">
    <cfRule type="cellIs" dxfId="163" priority="168" operator="equal">
      <formula>1</formula>
    </cfRule>
  </conditionalFormatting>
  <conditionalFormatting sqref="M292">
    <cfRule type="cellIs" dxfId="162" priority="167" operator="equal">
      <formula>1</formula>
    </cfRule>
  </conditionalFormatting>
  <conditionalFormatting sqref="M293">
    <cfRule type="cellIs" dxfId="161" priority="166" operator="equal">
      <formula>1</formula>
    </cfRule>
  </conditionalFormatting>
  <conditionalFormatting sqref="M295">
    <cfRule type="cellIs" dxfId="160" priority="165" operator="equal">
      <formula>1</formula>
    </cfRule>
  </conditionalFormatting>
  <conditionalFormatting sqref="M296">
    <cfRule type="cellIs" dxfId="159" priority="164" operator="equal">
      <formula>1</formula>
    </cfRule>
  </conditionalFormatting>
  <conditionalFormatting sqref="M298">
    <cfRule type="cellIs" dxfId="158" priority="163" operator="equal">
      <formula>1</formula>
    </cfRule>
  </conditionalFormatting>
  <conditionalFormatting sqref="M299">
    <cfRule type="cellIs" dxfId="157" priority="162" operator="equal">
      <formula>1</formula>
    </cfRule>
  </conditionalFormatting>
  <conditionalFormatting sqref="M615">
    <cfRule type="cellIs" dxfId="156" priority="2" operator="equal">
      <formula>1</formula>
    </cfRule>
  </conditionalFormatting>
  <conditionalFormatting sqref="M301">
    <cfRule type="cellIs" dxfId="155" priority="159" operator="equal">
      <formula>1</formula>
    </cfRule>
  </conditionalFormatting>
  <conditionalFormatting sqref="M302">
    <cfRule type="cellIs" dxfId="154" priority="158" operator="equal">
      <formula>1</formula>
    </cfRule>
  </conditionalFormatting>
  <conditionalFormatting sqref="M304">
    <cfRule type="cellIs" dxfId="153" priority="157" operator="equal">
      <formula>1</formula>
    </cfRule>
  </conditionalFormatting>
  <conditionalFormatting sqref="M305">
    <cfRule type="cellIs" dxfId="152" priority="156" operator="equal">
      <formula>1</formula>
    </cfRule>
  </conditionalFormatting>
  <conditionalFormatting sqref="M307">
    <cfRule type="cellIs" dxfId="151" priority="155" operator="equal">
      <formula>1</formula>
    </cfRule>
  </conditionalFormatting>
  <conditionalFormatting sqref="M308">
    <cfRule type="cellIs" dxfId="150" priority="154" operator="equal">
      <formula>1</formula>
    </cfRule>
  </conditionalFormatting>
  <conditionalFormatting sqref="M310">
    <cfRule type="cellIs" dxfId="149" priority="153" operator="equal">
      <formula>1</formula>
    </cfRule>
  </conditionalFormatting>
  <conditionalFormatting sqref="M311">
    <cfRule type="cellIs" dxfId="148" priority="152" operator="equal">
      <formula>1</formula>
    </cfRule>
  </conditionalFormatting>
  <conditionalFormatting sqref="M313">
    <cfRule type="cellIs" dxfId="147" priority="151" operator="equal">
      <formula>1</formula>
    </cfRule>
  </conditionalFormatting>
  <conditionalFormatting sqref="M314">
    <cfRule type="cellIs" dxfId="146" priority="150" operator="equal">
      <formula>1</formula>
    </cfRule>
  </conditionalFormatting>
  <conditionalFormatting sqref="M316">
    <cfRule type="cellIs" dxfId="145" priority="149" operator="equal">
      <formula>1</formula>
    </cfRule>
  </conditionalFormatting>
  <conditionalFormatting sqref="M317">
    <cfRule type="cellIs" dxfId="144" priority="148" operator="equal">
      <formula>1</formula>
    </cfRule>
  </conditionalFormatting>
  <conditionalFormatting sqref="M319">
    <cfRule type="cellIs" dxfId="143" priority="147" operator="equal">
      <formula>1</formula>
    </cfRule>
  </conditionalFormatting>
  <conditionalFormatting sqref="M320">
    <cfRule type="cellIs" dxfId="142" priority="146" operator="equal">
      <formula>1</formula>
    </cfRule>
  </conditionalFormatting>
  <conditionalFormatting sqref="M322">
    <cfRule type="cellIs" dxfId="141" priority="145" operator="equal">
      <formula>1</formula>
    </cfRule>
  </conditionalFormatting>
  <conditionalFormatting sqref="M323">
    <cfRule type="cellIs" dxfId="140" priority="144" operator="equal">
      <formula>1</formula>
    </cfRule>
  </conditionalFormatting>
  <conditionalFormatting sqref="M325">
    <cfRule type="cellIs" dxfId="139" priority="143" operator="equal">
      <formula>1</formula>
    </cfRule>
  </conditionalFormatting>
  <conditionalFormatting sqref="M326">
    <cfRule type="cellIs" dxfId="138" priority="142" operator="equal">
      <formula>1</formula>
    </cfRule>
  </conditionalFormatting>
  <conditionalFormatting sqref="M328">
    <cfRule type="cellIs" dxfId="137" priority="141" operator="equal">
      <formula>1</formula>
    </cfRule>
  </conditionalFormatting>
  <conditionalFormatting sqref="M329">
    <cfRule type="cellIs" dxfId="136" priority="140" operator="equal">
      <formula>1</formula>
    </cfRule>
  </conditionalFormatting>
  <conditionalFormatting sqref="M331">
    <cfRule type="cellIs" dxfId="135" priority="139" operator="equal">
      <formula>1</formula>
    </cfRule>
  </conditionalFormatting>
  <conditionalFormatting sqref="M332">
    <cfRule type="cellIs" dxfId="134" priority="138" operator="equal">
      <formula>1</formula>
    </cfRule>
  </conditionalFormatting>
  <conditionalFormatting sqref="M334">
    <cfRule type="cellIs" dxfId="133" priority="137" operator="equal">
      <formula>1</formula>
    </cfRule>
  </conditionalFormatting>
  <conditionalFormatting sqref="M335">
    <cfRule type="cellIs" dxfId="132" priority="136" operator="equal">
      <formula>1</formula>
    </cfRule>
  </conditionalFormatting>
  <conditionalFormatting sqref="M337">
    <cfRule type="cellIs" dxfId="131" priority="135" operator="equal">
      <formula>1</formula>
    </cfRule>
  </conditionalFormatting>
  <conditionalFormatting sqref="M338:M339">
    <cfRule type="cellIs" dxfId="130" priority="134" operator="equal">
      <formula>1</formula>
    </cfRule>
  </conditionalFormatting>
  <conditionalFormatting sqref="M341">
    <cfRule type="cellIs" dxfId="129" priority="133" operator="equal">
      <formula>1</formula>
    </cfRule>
  </conditionalFormatting>
  <conditionalFormatting sqref="M342:M343">
    <cfRule type="cellIs" dxfId="128" priority="132" operator="equal">
      <formula>1</formula>
    </cfRule>
  </conditionalFormatting>
  <conditionalFormatting sqref="M345">
    <cfRule type="cellIs" dxfId="127" priority="131" operator="equal">
      <formula>1</formula>
    </cfRule>
  </conditionalFormatting>
  <conditionalFormatting sqref="M346:M347">
    <cfRule type="cellIs" dxfId="126" priority="130" operator="equal">
      <formula>1</formula>
    </cfRule>
  </conditionalFormatting>
  <conditionalFormatting sqref="M349">
    <cfRule type="cellIs" dxfId="125" priority="129" operator="equal">
      <formula>1</formula>
    </cfRule>
  </conditionalFormatting>
  <conditionalFormatting sqref="M350:M351">
    <cfRule type="cellIs" dxfId="124" priority="128" operator="equal">
      <formula>1</formula>
    </cfRule>
  </conditionalFormatting>
  <conditionalFormatting sqref="M353">
    <cfRule type="cellIs" dxfId="123" priority="127" operator="equal">
      <formula>1</formula>
    </cfRule>
  </conditionalFormatting>
  <conditionalFormatting sqref="M354:M355">
    <cfRule type="cellIs" dxfId="122" priority="126" operator="equal">
      <formula>1</formula>
    </cfRule>
  </conditionalFormatting>
  <conditionalFormatting sqref="M357">
    <cfRule type="cellIs" dxfId="121" priority="125" operator="equal">
      <formula>1</formula>
    </cfRule>
  </conditionalFormatting>
  <conditionalFormatting sqref="M358:M359">
    <cfRule type="cellIs" dxfId="120" priority="124" operator="equal">
      <formula>1</formula>
    </cfRule>
  </conditionalFormatting>
  <conditionalFormatting sqref="M361">
    <cfRule type="cellIs" dxfId="119" priority="123" operator="equal">
      <formula>1</formula>
    </cfRule>
  </conditionalFormatting>
  <conditionalFormatting sqref="M362:M363">
    <cfRule type="cellIs" dxfId="118" priority="122" operator="equal">
      <formula>1</formula>
    </cfRule>
  </conditionalFormatting>
  <conditionalFormatting sqref="M365">
    <cfRule type="cellIs" dxfId="117" priority="121" operator="equal">
      <formula>1</formula>
    </cfRule>
  </conditionalFormatting>
  <conditionalFormatting sqref="M366:M367">
    <cfRule type="cellIs" dxfId="116" priority="120" operator="equal">
      <formula>1</formula>
    </cfRule>
  </conditionalFormatting>
  <conditionalFormatting sqref="M369">
    <cfRule type="cellIs" dxfId="115" priority="119" operator="equal">
      <formula>1</formula>
    </cfRule>
  </conditionalFormatting>
  <conditionalFormatting sqref="M370:M371">
    <cfRule type="cellIs" dxfId="114" priority="118" operator="equal">
      <formula>1</formula>
    </cfRule>
  </conditionalFormatting>
  <conditionalFormatting sqref="M373">
    <cfRule type="cellIs" dxfId="113" priority="117" operator="equal">
      <formula>1</formula>
    </cfRule>
  </conditionalFormatting>
  <conditionalFormatting sqref="M374:M375">
    <cfRule type="cellIs" dxfId="112" priority="116" operator="equal">
      <formula>1</formula>
    </cfRule>
  </conditionalFormatting>
  <conditionalFormatting sqref="M377">
    <cfRule type="cellIs" dxfId="111" priority="115" operator="equal">
      <formula>1</formula>
    </cfRule>
  </conditionalFormatting>
  <conditionalFormatting sqref="M378:M379">
    <cfRule type="cellIs" dxfId="110" priority="114" operator="equal">
      <formula>1</formula>
    </cfRule>
  </conditionalFormatting>
  <conditionalFormatting sqref="M381">
    <cfRule type="cellIs" dxfId="109" priority="113" operator="equal">
      <formula>1</formula>
    </cfRule>
  </conditionalFormatting>
  <conditionalFormatting sqref="M382:M383">
    <cfRule type="cellIs" dxfId="108" priority="112" operator="equal">
      <formula>1</formula>
    </cfRule>
  </conditionalFormatting>
  <conditionalFormatting sqref="M385">
    <cfRule type="cellIs" dxfId="107" priority="111" operator="equal">
      <formula>1</formula>
    </cfRule>
  </conditionalFormatting>
  <conditionalFormatting sqref="M386:M387">
    <cfRule type="cellIs" dxfId="106" priority="110" operator="equal">
      <formula>1</formula>
    </cfRule>
  </conditionalFormatting>
  <conditionalFormatting sqref="M421">
    <cfRule type="cellIs" dxfId="105" priority="109" operator="equal">
      <formula>1</formula>
    </cfRule>
  </conditionalFormatting>
  <conditionalFormatting sqref="M422:M423">
    <cfRule type="cellIs" dxfId="104" priority="108" operator="equal">
      <formula>1</formula>
    </cfRule>
  </conditionalFormatting>
  <conditionalFormatting sqref="M417">
    <cfRule type="cellIs" dxfId="103" priority="107" operator="equal">
      <formula>1</formula>
    </cfRule>
  </conditionalFormatting>
  <conditionalFormatting sqref="M418:M419">
    <cfRule type="cellIs" dxfId="102" priority="106" operator="equal">
      <formula>1</formula>
    </cfRule>
  </conditionalFormatting>
  <conditionalFormatting sqref="M413">
    <cfRule type="cellIs" dxfId="101" priority="105" operator="equal">
      <formula>1</formula>
    </cfRule>
  </conditionalFormatting>
  <conditionalFormatting sqref="M414:M415">
    <cfRule type="cellIs" dxfId="100" priority="104" operator="equal">
      <formula>1</formula>
    </cfRule>
  </conditionalFormatting>
  <conditionalFormatting sqref="M409">
    <cfRule type="cellIs" dxfId="99" priority="103" operator="equal">
      <formula>1</formula>
    </cfRule>
  </conditionalFormatting>
  <conditionalFormatting sqref="M410:M411">
    <cfRule type="cellIs" dxfId="98" priority="102" operator="equal">
      <formula>1</formula>
    </cfRule>
  </conditionalFormatting>
  <conditionalFormatting sqref="M405">
    <cfRule type="cellIs" dxfId="97" priority="101" operator="equal">
      <formula>1</formula>
    </cfRule>
  </conditionalFormatting>
  <conditionalFormatting sqref="M406:M407">
    <cfRule type="cellIs" dxfId="96" priority="100" operator="equal">
      <formula>1</formula>
    </cfRule>
  </conditionalFormatting>
  <conditionalFormatting sqref="M401">
    <cfRule type="cellIs" dxfId="95" priority="99" operator="equal">
      <formula>1</formula>
    </cfRule>
  </conditionalFormatting>
  <conditionalFormatting sqref="M402:M403">
    <cfRule type="cellIs" dxfId="94" priority="98" operator="equal">
      <formula>1</formula>
    </cfRule>
  </conditionalFormatting>
  <conditionalFormatting sqref="M397">
    <cfRule type="cellIs" dxfId="93" priority="97" operator="equal">
      <formula>1</formula>
    </cfRule>
  </conditionalFormatting>
  <conditionalFormatting sqref="M398:M399">
    <cfRule type="cellIs" dxfId="92" priority="96" operator="equal">
      <formula>1</formula>
    </cfRule>
  </conditionalFormatting>
  <conditionalFormatting sqref="M393">
    <cfRule type="cellIs" dxfId="91" priority="95" operator="equal">
      <formula>1</formula>
    </cfRule>
  </conditionalFormatting>
  <conditionalFormatting sqref="M394:M395">
    <cfRule type="cellIs" dxfId="90" priority="94" operator="equal">
      <formula>1</formula>
    </cfRule>
  </conditionalFormatting>
  <conditionalFormatting sqref="M389">
    <cfRule type="cellIs" dxfId="89" priority="93" operator="equal">
      <formula>1</formula>
    </cfRule>
  </conditionalFormatting>
  <conditionalFormatting sqref="M390:M391">
    <cfRule type="cellIs" dxfId="88" priority="92" operator="equal">
      <formula>1</formula>
    </cfRule>
  </conditionalFormatting>
  <conditionalFormatting sqref="M457">
    <cfRule type="cellIs" dxfId="87" priority="91" operator="equal">
      <formula>1</formula>
    </cfRule>
  </conditionalFormatting>
  <conditionalFormatting sqref="M458:M459">
    <cfRule type="cellIs" dxfId="86" priority="90" operator="equal">
      <formula>1</formula>
    </cfRule>
  </conditionalFormatting>
  <conditionalFormatting sqref="M453">
    <cfRule type="cellIs" dxfId="85" priority="89" operator="equal">
      <formula>1</formula>
    </cfRule>
  </conditionalFormatting>
  <conditionalFormatting sqref="M454:M455">
    <cfRule type="cellIs" dxfId="84" priority="88" operator="equal">
      <formula>1</formula>
    </cfRule>
  </conditionalFormatting>
  <conditionalFormatting sqref="M449">
    <cfRule type="cellIs" dxfId="83" priority="87" operator="equal">
      <formula>1</formula>
    </cfRule>
  </conditionalFormatting>
  <conditionalFormatting sqref="M450:M451">
    <cfRule type="cellIs" dxfId="82" priority="86" operator="equal">
      <formula>1</formula>
    </cfRule>
  </conditionalFormatting>
  <conditionalFormatting sqref="M445">
    <cfRule type="cellIs" dxfId="81" priority="85" operator="equal">
      <formula>1</formula>
    </cfRule>
  </conditionalFormatting>
  <conditionalFormatting sqref="M446:M447">
    <cfRule type="cellIs" dxfId="80" priority="84" operator="equal">
      <formula>1</formula>
    </cfRule>
  </conditionalFormatting>
  <conditionalFormatting sqref="M441">
    <cfRule type="cellIs" dxfId="79" priority="83" operator="equal">
      <formula>1</formula>
    </cfRule>
  </conditionalFormatting>
  <conditionalFormatting sqref="M442:M443">
    <cfRule type="cellIs" dxfId="78" priority="82" operator="equal">
      <formula>1</formula>
    </cfRule>
  </conditionalFormatting>
  <conditionalFormatting sqref="M437">
    <cfRule type="cellIs" dxfId="77" priority="81" operator="equal">
      <formula>1</formula>
    </cfRule>
  </conditionalFormatting>
  <conditionalFormatting sqref="M438:M439">
    <cfRule type="cellIs" dxfId="76" priority="80" operator="equal">
      <formula>1</formula>
    </cfRule>
  </conditionalFormatting>
  <conditionalFormatting sqref="M433">
    <cfRule type="cellIs" dxfId="75" priority="79" operator="equal">
      <formula>1</formula>
    </cfRule>
  </conditionalFormatting>
  <conditionalFormatting sqref="M434:M435">
    <cfRule type="cellIs" dxfId="74" priority="78" operator="equal">
      <formula>1</formula>
    </cfRule>
  </conditionalFormatting>
  <conditionalFormatting sqref="M429">
    <cfRule type="cellIs" dxfId="73" priority="77" operator="equal">
      <formula>1</formula>
    </cfRule>
  </conditionalFormatting>
  <conditionalFormatting sqref="M430:M431">
    <cfRule type="cellIs" dxfId="72" priority="76" operator="equal">
      <formula>1</formula>
    </cfRule>
  </conditionalFormatting>
  <conditionalFormatting sqref="M425">
    <cfRule type="cellIs" dxfId="71" priority="75" operator="equal">
      <formula>1</formula>
    </cfRule>
  </conditionalFormatting>
  <conditionalFormatting sqref="M426:M427">
    <cfRule type="cellIs" dxfId="70" priority="74" operator="equal">
      <formula>1</formula>
    </cfRule>
  </conditionalFormatting>
  <conditionalFormatting sqref="M493">
    <cfRule type="cellIs" dxfId="69" priority="73" operator="equal">
      <formula>1</formula>
    </cfRule>
  </conditionalFormatting>
  <conditionalFormatting sqref="M494:M495">
    <cfRule type="cellIs" dxfId="68" priority="72" operator="equal">
      <formula>1</formula>
    </cfRule>
  </conditionalFormatting>
  <conditionalFormatting sqref="M489">
    <cfRule type="cellIs" dxfId="67" priority="71" operator="equal">
      <formula>1</formula>
    </cfRule>
  </conditionalFormatting>
  <conditionalFormatting sqref="M490:M491">
    <cfRule type="cellIs" dxfId="66" priority="70" operator="equal">
      <formula>1</formula>
    </cfRule>
  </conditionalFormatting>
  <conditionalFormatting sqref="M485">
    <cfRule type="cellIs" dxfId="65" priority="69" operator="equal">
      <formula>1</formula>
    </cfRule>
  </conditionalFormatting>
  <conditionalFormatting sqref="M486:M487">
    <cfRule type="cellIs" dxfId="64" priority="68" operator="equal">
      <formula>1</formula>
    </cfRule>
  </conditionalFormatting>
  <conditionalFormatting sqref="M481">
    <cfRule type="cellIs" dxfId="63" priority="67" operator="equal">
      <formula>1</formula>
    </cfRule>
  </conditionalFormatting>
  <conditionalFormatting sqref="M482:M483">
    <cfRule type="cellIs" dxfId="62" priority="66" operator="equal">
      <formula>1</formula>
    </cfRule>
  </conditionalFormatting>
  <conditionalFormatting sqref="M477">
    <cfRule type="cellIs" dxfId="61" priority="65" operator="equal">
      <formula>1</formula>
    </cfRule>
  </conditionalFormatting>
  <conditionalFormatting sqref="M478:M479">
    <cfRule type="cellIs" dxfId="60" priority="64" operator="equal">
      <formula>1</formula>
    </cfRule>
  </conditionalFormatting>
  <conditionalFormatting sqref="M473">
    <cfRule type="cellIs" dxfId="59" priority="63" operator="equal">
      <formula>1</formula>
    </cfRule>
  </conditionalFormatting>
  <conditionalFormatting sqref="M474:M475">
    <cfRule type="cellIs" dxfId="58" priority="62" operator="equal">
      <formula>1</formula>
    </cfRule>
  </conditionalFormatting>
  <conditionalFormatting sqref="M469">
    <cfRule type="cellIs" dxfId="57" priority="61" operator="equal">
      <formula>1</formula>
    </cfRule>
  </conditionalFormatting>
  <conditionalFormatting sqref="M470:M471">
    <cfRule type="cellIs" dxfId="56" priority="60" operator="equal">
      <formula>1</formula>
    </cfRule>
  </conditionalFormatting>
  <conditionalFormatting sqref="M465">
    <cfRule type="cellIs" dxfId="55" priority="59" operator="equal">
      <formula>1</formula>
    </cfRule>
  </conditionalFormatting>
  <conditionalFormatting sqref="M466:M467">
    <cfRule type="cellIs" dxfId="54" priority="58" operator="equal">
      <formula>1</formula>
    </cfRule>
  </conditionalFormatting>
  <conditionalFormatting sqref="M461">
    <cfRule type="cellIs" dxfId="53" priority="57" operator="equal">
      <formula>1</formula>
    </cfRule>
  </conditionalFormatting>
  <conditionalFormatting sqref="M462:M463">
    <cfRule type="cellIs" dxfId="52" priority="56" operator="equal">
      <formula>1</formula>
    </cfRule>
  </conditionalFormatting>
  <conditionalFormatting sqref="M529">
    <cfRule type="cellIs" dxfId="51" priority="55" operator="equal">
      <formula>1</formula>
    </cfRule>
  </conditionalFormatting>
  <conditionalFormatting sqref="M530:M531">
    <cfRule type="cellIs" dxfId="50" priority="54" operator="equal">
      <formula>1</formula>
    </cfRule>
  </conditionalFormatting>
  <conditionalFormatting sqref="M525">
    <cfRule type="cellIs" dxfId="49" priority="53" operator="equal">
      <formula>1</formula>
    </cfRule>
  </conditionalFormatting>
  <conditionalFormatting sqref="M526:M527">
    <cfRule type="cellIs" dxfId="48" priority="52" operator="equal">
      <formula>1</formula>
    </cfRule>
  </conditionalFormatting>
  <conditionalFormatting sqref="M521">
    <cfRule type="cellIs" dxfId="47" priority="51" operator="equal">
      <formula>1</formula>
    </cfRule>
  </conditionalFormatting>
  <conditionalFormatting sqref="M522:M523">
    <cfRule type="cellIs" dxfId="46" priority="50" operator="equal">
      <formula>1</formula>
    </cfRule>
  </conditionalFormatting>
  <conditionalFormatting sqref="M517">
    <cfRule type="cellIs" dxfId="45" priority="49" operator="equal">
      <formula>1</formula>
    </cfRule>
  </conditionalFormatting>
  <conditionalFormatting sqref="M518:M519">
    <cfRule type="cellIs" dxfId="44" priority="48" operator="equal">
      <formula>1</formula>
    </cfRule>
  </conditionalFormatting>
  <conditionalFormatting sqref="M513">
    <cfRule type="cellIs" dxfId="43" priority="47" operator="equal">
      <formula>1</formula>
    </cfRule>
  </conditionalFormatting>
  <conditionalFormatting sqref="M514:M515">
    <cfRule type="cellIs" dxfId="42" priority="46" operator="equal">
      <formula>1</formula>
    </cfRule>
  </conditionalFormatting>
  <conditionalFormatting sqref="M509">
    <cfRule type="cellIs" dxfId="41" priority="45" operator="equal">
      <formula>1</formula>
    </cfRule>
  </conditionalFormatting>
  <conditionalFormatting sqref="M510:M511">
    <cfRule type="cellIs" dxfId="40" priority="44" operator="equal">
      <formula>1</formula>
    </cfRule>
  </conditionalFormatting>
  <conditionalFormatting sqref="M505">
    <cfRule type="cellIs" dxfId="39" priority="43" operator="equal">
      <formula>1</formula>
    </cfRule>
  </conditionalFormatting>
  <conditionalFormatting sqref="M506:M507">
    <cfRule type="cellIs" dxfId="38" priority="42" operator="equal">
      <formula>1</formula>
    </cfRule>
  </conditionalFormatting>
  <conditionalFormatting sqref="M501">
    <cfRule type="cellIs" dxfId="37" priority="41" operator="equal">
      <formula>1</formula>
    </cfRule>
  </conditionalFormatting>
  <conditionalFormatting sqref="M502:M503">
    <cfRule type="cellIs" dxfId="36" priority="40" operator="equal">
      <formula>1</formula>
    </cfRule>
  </conditionalFormatting>
  <conditionalFormatting sqref="M497">
    <cfRule type="cellIs" dxfId="35" priority="39" operator="equal">
      <formula>1</formula>
    </cfRule>
  </conditionalFormatting>
  <conditionalFormatting sqref="M498:M499">
    <cfRule type="cellIs" dxfId="34" priority="38" operator="equal">
      <formula>1</formula>
    </cfRule>
  </conditionalFormatting>
  <conditionalFormatting sqref="M557">
    <cfRule type="cellIs" dxfId="33" priority="37" operator="equal">
      <formula>1</formula>
    </cfRule>
  </conditionalFormatting>
  <conditionalFormatting sqref="M558:M559">
    <cfRule type="cellIs" dxfId="32" priority="36" operator="equal">
      <formula>1</formula>
    </cfRule>
  </conditionalFormatting>
  <conditionalFormatting sqref="M553">
    <cfRule type="cellIs" dxfId="31" priority="35" operator="equal">
      <formula>1</formula>
    </cfRule>
  </conditionalFormatting>
  <conditionalFormatting sqref="M554:M555">
    <cfRule type="cellIs" dxfId="30" priority="34" operator="equal">
      <formula>1</formula>
    </cfRule>
  </conditionalFormatting>
  <conditionalFormatting sqref="M549">
    <cfRule type="cellIs" dxfId="29" priority="33" operator="equal">
      <formula>1</formula>
    </cfRule>
  </conditionalFormatting>
  <conditionalFormatting sqref="M550:M551">
    <cfRule type="cellIs" dxfId="28" priority="32" operator="equal">
      <formula>1</formula>
    </cfRule>
  </conditionalFormatting>
  <conditionalFormatting sqref="M545">
    <cfRule type="cellIs" dxfId="27" priority="31" operator="equal">
      <formula>1</formula>
    </cfRule>
  </conditionalFormatting>
  <conditionalFormatting sqref="M546:M547">
    <cfRule type="cellIs" dxfId="26" priority="30" operator="equal">
      <formula>1</formula>
    </cfRule>
  </conditionalFormatting>
  <conditionalFormatting sqref="M541">
    <cfRule type="cellIs" dxfId="25" priority="29" operator="equal">
      <formula>1</formula>
    </cfRule>
  </conditionalFormatting>
  <conditionalFormatting sqref="M542:M543">
    <cfRule type="cellIs" dxfId="24" priority="28" operator="equal">
      <formula>1</formula>
    </cfRule>
  </conditionalFormatting>
  <conditionalFormatting sqref="M537">
    <cfRule type="cellIs" dxfId="23" priority="27" operator="equal">
      <formula>1</formula>
    </cfRule>
  </conditionalFormatting>
  <conditionalFormatting sqref="M538:M539">
    <cfRule type="cellIs" dxfId="22" priority="26" operator="equal">
      <formula>1</formula>
    </cfRule>
  </conditionalFormatting>
  <conditionalFormatting sqref="M533">
    <cfRule type="cellIs" dxfId="21" priority="25" operator="equal">
      <formula>1</formula>
    </cfRule>
  </conditionalFormatting>
  <conditionalFormatting sqref="M534:M535">
    <cfRule type="cellIs" dxfId="20" priority="24" operator="equal">
      <formula>1</formula>
    </cfRule>
  </conditionalFormatting>
  <conditionalFormatting sqref="M561:M562">
    <cfRule type="cellIs" dxfId="19" priority="23" operator="equal">
      <formula>1</formula>
    </cfRule>
  </conditionalFormatting>
  <conditionalFormatting sqref="M564:M565">
    <cfRule type="cellIs" dxfId="18" priority="22" operator="equal">
      <formula>1</formula>
    </cfRule>
  </conditionalFormatting>
  <conditionalFormatting sqref="M567:M568">
    <cfRule type="cellIs" dxfId="17" priority="21" operator="equal">
      <formula>1</formula>
    </cfRule>
  </conditionalFormatting>
  <conditionalFormatting sqref="M570:M571">
    <cfRule type="cellIs" dxfId="16" priority="20" operator="equal">
      <formula>1</formula>
    </cfRule>
  </conditionalFormatting>
  <conditionalFormatting sqref="M573:M574">
    <cfRule type="cellIs" dxfId="15" priority="19" operator="equal">
      <formula>1</formula>
    </cfRule>
  </conditionalFormatting>
  <conditionalFormatting sqref="M576:M577">
    <cfRule type="cellIs" dxfId="14" priority="18" operator="equal">
      <formula>1</formula>
    </cfRule>
  </conditionalFormatting>
  <conditionalFormatting sqref="M579:M580">
    <cfRule type="cellIs" dxfId="13" priority="17" operator="equal">
      <formula>1</formula>
    </cfRule>
  </conditionalFormatting>
  <conditionalFormatting sqref="M582:M583">
    <cfRule type="cellIs" dxfId="12" priority="16" operator="equal">
      <formula>1</formula>
    </cfRule>
  </conditionalFormatting>
  <conditionalFormatting sqref="M585:M586">
    <cfRule type="cellIs" dxfId="11" priority="15" operator="equal">
      <formula>1</formula>
    </cfRule>
  </conditionalFormatting>
  <conditionalFormatting sqref="M588:M589">
    <cfRule type="cellIs" dxfId="10" priority="14" operator="equal">
      <formula>1</formula>
    </cfRule>
  </conditionalFormatting>
  <conditionalFormatting sqref="M591:M592">
    <cfRule type="cellIs" dxfId="9" priority="13" operator="equal">
      <formula>1</formula>
    </cfRule>
  </conditionalFormatting>
  <conditionalFormatting sqref="M594:M595">
    <cfRule type="cellIs" dxfId="8" priority="12" operator="equal">
      <formula>1</formula>
    </cfRule>
  </conditionalFormatting>
  <conditionalFormatting sqref="M597:M598">
    <cfRule type="cellIs" dxfId="7" priority="11" operator="equal">
      <formula>1</formula>
    </cfRule>
  </conditionalFormatting>
  <conditionalFormatting sqref="M600:M601">
    <cfRule type="cellIs" dxfId="6" priority="10" operator="equal">
      <formula>1</formula>
    </cfRule>
  </conditionalFormatting>
  <conditionalFormatting sqref="M603:M604">
    <cfRule type="cellIs" dxfId="5" priority="9" operator="equal">
      <formula>1</formula>
    </cfRule>
  </conditionalFormatting>
  <conditionalFormatting sqref="M606:M607">
    <cfRule type="cellIs" dxfId="4" priority="8" operator="equal">
      <formula>1</formula>
    </cfRule>
  </conditionalFormatting>
  <conditionalFormatting sqref="M608">
    <cfRule type="cellIs" dxfId="3" priority="7" operator="equal">
      <formula>1</formula>
    </cfRule>
  </conditionalFormatting>
  <conditionalFormatting sqref="M610">
    <cfRule type="cellIs" dxfId="2" priority="6" operator="equal">
      <formula>1</formula>
    </cfRule>
  </conditionalFormatting>
  <conditionalFormatting sqref="M614">
    <cfRule type="cellIs" dxfId="1" priority="3" operator="equal">
      <formula>1</formula>
    </cfRule>
  </conditionalFormatting>
  <hyperlinks>
    <hyperlink ref="C3" location="'Product Table'!A1" display="Product group"/>
    <hyperlink ref="E3" location="'Product Table'!A1" display="Product group"/>
    <hyperlink ref="D3" location="'Industry Table'!A1" display="Industry group"/>
    <hyperlink ref="F3" location="'Industry Table'!A1" display="Industry group"/>
    <hyperlink ref="G3" location="'Region Table'!A1" display="Region group (for industries)"/>
    <hyperlink ref="O3" location="'Additional detail'!A1" display="Notes"/>
  </hyperlinks>
  <pageMargins left="0.7" right="0.7" top="0.75" bottom="0.75" header="0.3" footer="0.3"/>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T674"/>
  <sheetViews>
    <sheetView workbookViewId="0">
      <selection activeCell="A13" sqref="A13"/>
    </sheetView>
  </sheetViews>
  <sheetFormatPr defaultRowHeight="15" x14ac:dyDescent="0.25"/>
  <cols>
    <col min="2" max="2" width="23.140625" customWidth="1"/>
  </cols>
  <sheetData>
    <row r="1" spans="1:618" ht="18.75" x14ac:dyDescent="0.3">
      <c r="B1" s="97" t="s">
        <v>747</v>
      </c>
    </row>
    <row r="2" spans="1:618" x14ac:dyDescent="0.25">
      <c r="B2" t="s">
        <v>746</v>
      </c>
    </row>
    <row r="3" spans="1:618" s="15" customFormat="1" x14ac:dyDescent="0.25">
      <c r="A3" s="96">
        <v>1</v>
      </c>
      <c r="B3" s="15" t="s">
        <v>631</v>
      </c>
      <c r="C3" s="16">
        <v>1</v>
      </c>
      <c r="D3" s="122">
        <v>2</v>
      </c>
      <c r="E3" s="122">
        <v>3</v>
      </c>
      <c r="F3" s="122">
        <v>4</v>
      </c>
      <c r="G3" s="122">
        <v>5</v>
      </c>
      <c r="H3" s="122">
        <v>6</v>
      </c>
      <c r="I3" s="122">
        <v>7</v>
      </c>
      <c r="J3" s="122">
        <v>8</v>
      </c>
      <c r="K3" s="122">
        <v>9</v>
      </c>
      <c r="L3" s="122">
        <v>10</v>
      </c>
      <c r="M3" s="122">
        <v>11</v>
      </c>
      <c r="N3" s="122">
        <v>12</v>
      </c>
      <c r="O3" s="122">
        <v>13</v>
      </c>
      <c r="P3" s="122">
        <v>14</v>
      </c>
      <c r="Q3" s="122">
        <v>15</v>
      </c>
      <c r="R3" s="122">
        <v>16</v>
      </c>
      <c r="S3" s="122">
        <v>17</v>
      </c>
      <c r="T3" s="122">
        <v>18</v>
      </c>
      <c r="U3" s="122">
        <v>19</v>
      </c>
      <c r="V3" s="122">
        <v>20</v>
      </c>
      <c r="W3" s="122">
        <v>21</v>
      </c>
      <c r="X3" s="122">
        <v>22</v>
      </c>
      <c r="Y3" s="122">
        <v>23</v>
      </c>
      <c r="Z3" s="122">
        <v>24</v>
      </c>
      <c r="AA3" s="122">
        <v>25</v>
      </c>
      <c r="AB3" s="122">
        <v>26</v>
      </c>
      <c r="AC3" s="122">
        <v>27</v>
      </c>
      <c r="AD3" s="122">
        <v>28</v>
      </c>
      <c r="AE3" s="122">
        <v>29</v>
      </c>
      <c r="AF3" s="122">
        <v>30</v>
      </c>
      <c r="AG3" s="122">
        <v>31</v>
      </c>
      <c r="AH3" s="122">
        <v>32</v>
      </c>
      <c r="AI3" s="122">
        <v>33</v>
      </c>
      <c r="AJ3" s="122">
        <v>34</v>
      </c>
      <c r="AK3" s="122">
        <v>35</v>
      </c>
      <c r="AL3" s="122">
        <v>36</v>
      </c>
      <c r="AM3" s="122">
        <v>37</v>
      </c>
      <c r="AN3" s="122">
        <v>38</v>
      </c>
      <c r="AO3" s="122">
        <v>39</v>
      </c>
      <c r="AP3" s="122">
        <v>40</v>
      </c>
      <c r="AQ3" s="122">
        <v>41</v>
      </c>
      <c r="AR3" s="122">
        <v>42</v>
      </c>
      <c r="AS3" s="122">
        <v>43</v>
      </c>
      <c r="AT3" s="122">
        <v>44</v>
      </c>
      <c r="AU3" s="122">
        <v>45</v>
      </c>
      <c r="AV3" s="122">
        <v>46</v>
      </c>
      <c r="AW3" s="122">
        <v>47</v>
      </c>
      <c r="AX3" s="122">
        <v>48</v>
      </c>
      <c r="AY3" s="122">
        <v>49</v>
      </c>
      <c r="AZ3" s="122">
        <v>50</v>
      </c>
      <c r="BA3" s="122">
        <v>51</v>
      </c>
      <c r="BB3" s="122">
        <v>52</v>
      </c>
      <c r="BC3" s="122">
        <v>53</v>
      </c>
      <c r="BD3" s="122">
        <v>54</v>
      </c>
      <c r="BE3" s="122">
        <v>55</v>
      </c>
      <c r="BF3" s="122">
        <v>56</v>
      </c>
      <c r="BG3" s="122">
        <v>57</v>
      </c>
      <c r="BH3" s="122">
        <v>58</v>
      </c>
      <c r="BI3" s="122">
        <v>59</v>
      </c>
      <c r="BJ3" s="122">
        <v>60</v>
      </c>
      <c r="BK3" s="122">
        <v>61</v>
      </c>
      <c r="BL3" s="122">
        <v>62</v>
      </c>
      <c r="BM3" s="122">
        <v>63</v>
      </c>
      <c r="BN3" s="122">
        <v>64</v>
      </c>
      <c r="BO3" s="122">
        <v>65</v>
      </c>
      <c r="BP3" s="122">
        <v>66</v>
      </c>
      <c r="BQ3" s="122">
        <v>67</v>
      </c>
      <c r="BR3" s="122">
        <v>68</v>
      </c>
      <c r="BS3" s="122">
        <v>69</v>
      </c>
      <c r="BT3" s="122">
        <v>70</v>
      </c>
      <c r="BU3" s="122">
        <v>71</v>
      </c>
      <c r="BV3" s="122">
        <v>72</v>
      </c>
      <c r="BW3" s="122">
        <v>73</v>
      </c>
      <c r="BX3" s="122">
        <v>74</v>
      </c>
      <c r="BY3" s="122">
        <v>75</v>
      </c>
      <c r="BZ3" s="122">
        <v>76</v>
      </c>
      <c r="CA3" s="122">
        <v>77</v>
      </c>
      <c r="CB3" s="122">
        <v>78</v>
      </c>
      <c r="CC3" s="122">
        <v>79</v>
      </c>
      <c r="CD3" s="122">
        <v>80</v>
      </c>
      <c r="CE3" s="122">
        <v>81</v>
      </c>
      <c r="CF3" s="122">
        <v>82</v>
      </c>
      <c r="CG3" s="122">
        <v>83</v>
      </c>
      <c r="CH3" s="122">
        <v>84</v>
      </c>
      <c r="CI3" s="122">
        <v>85</v>
      </c>
      <c r="CJ3" s="122">
        <v>86</v>
      </c>
      <c r="CK3" s="122">
        <v>87</v>
      </c>
      <c r="CL3" s="122">
        <v>88</v>
      </c>
      <c r="CM3" s="122">
        <v>89</v>
      </c>
      <c r="CN3" s="122">
        <v>90</v>
      </c>
      <c r="CO3" s="122">
        <v>91</v>
      </c>
      <c r="CP3" s="122">
        <v>92</v>
      </c>
      <c r="CQ3" s="122">
        <v>93</v>
      </c>
      <c r="CR3" s="122">
        <v>94</v>
      </c>
      <c r="CS3" s="122">
        <v>95</v>
      </c>
      <c r="CT3" s="122">
        <v>96</v>
      </c>
      <c r="CU3" s="122">
        <v>97</v>
      </c>
      <c r="CV3" s="122">
        <v>98</v>
      </c>
      <c r="CW3" s="122">
        <v>99</v>
      </c>
      <c r="CX3" s="122">
        <v>100</v>
      </c>
      <c r="CY3" s="122">
        <v>101</v>
      </c>
      <c r="CZ3" s="122">
        <v>102</v>
      </c>
      <c r="DA3" s="122">
        <v>103</v>
      </c>
      <c r="DB3" s="122">
        <v>104</v>
      </c>
      <c r="DC3" s="122">
        <v>105</v>
      </c>
      <c r="DD3" s="122">
        <v>106</v>
      </c>
      <c r="DE3" s="122">
        <v>107</v>
      </c>
      <c r="DF3" s="122">
        <v>108</v>
      </c>
      <c r="DG3" s="122">
        <v>109</v>
      </c>
      <c r="DH3" s="122">
        <v>110</v>
      </c>
      <c r="DI3" s="122">
        <v>111</v>
      </c>
      <c r="DJ3" s="122">
        <v>112</v>
      </c>
      <c r="DK3" s="122">
        <v>113</v>
      </c>
      <c r="DL3" s="122">
        <v>114</v>
      </c>
      <c r="DM3" s="122">
        <v>115</v>
      </c>
      <c r="DN3" s="122">
        <v>116</v>
      </c>
      <c r="DO3" s="122">
        <v>117</v>
      </c>
      <c r="DP3" s="122">
        <v>118</v>
      </c>
      <c r="DQ3" s="122">
        <v>119</v>
      </c>
      <c r="DR3" s="122">
        <v>120</v>
      </c>
      <c r="DS3" s="122">
        <v>121</v>
      </c>
      <c r="DT3" s="122">
        <v>122</v>
      </c>
      <c r="DU3" s="122">
        <v>123</v>
      </c>
      <c r="DV3" s="122">
        <v>124</v>
      </c>
      <c r="DW3" s="122">
        <v>125</v>
      </c>
      <c r="DX3" s="122">
        <v>126</v>
      </c>
      <c r="DY3" s="122">
        <v>127</v>
      </c>
      <c r="DZ3" s="122">
        <v>128</v>
      </c>
      <c r="EA3" s="122">
        <v>129</v>
      </c>
      <c r="EB3" s="122">
        <v>130</v>
      </c>
      <c r="EC3" s="122">
        <v>131</v>
      </c>
      <c r="ED3" s="122">
        <v>132</v>
      </c>
      <c r="EE3" s="122">
        <v>133</v>
      </c>
      <c r="EF3" s="122">
        <v>134</v>
      </c>
      <c r="EG3" s="122">
        <v>135</v>
      </c>
      <c r="EH3" s="122">
        <v>136</v>
      </c>
      <c r="EI3" s="122">
        <v>137</v>
      </c>
      <c r="EJ3" s="122">
        <v>138</v>
      </c>
      <c r="EK3" s="122">
        <v>139</v>
      </c>
      <c r="EL3" s="122">
        <v>140</v>
      </c>
      <c r="EM3" s="122">
        <v>141</v>
      </c>
      <c r="EN3" s="122">
        <v>142</v>
      </c>
      <c r="EO3" s="122">
        <v>143</v>
      </c>
      <c r="EP3" s="122">
        <v>144</v>
      </c>
      <c r="EQ3" s="122">
        <v>145</v>
      </c>
      <c r="ER3" s="122">
        <v>146</v>
      </c>
      <c r="ES3" s="122">
        <v>147</v>
      </c>
      <c r="ET3" s="122">
        <v>148</v>
      </c>
      <c r="EU3" s="122">
        <v>149</v>
      </c>
      <c r="EV3" s="122">
        <v>150</v>
      </c>
      <c r="EW3" s="122">
        <v>151</v>
      </c>
      <c r="EX3" s="122">
        <v>152</v>
      </c>
      <c r="EY3" s="122">
        <v>153</v>
      </c>
      <c r="EZ3" s="122">
        <v>154</v>
      </c>
      <c r="FA3" s="122">
        <v>155</v>
      </c>
      <c r="FB3" s="122">
        <v>156</v>
      </c>
      <c r="FC3" s="122">
        <v>157</v>
      </c>
      <c r="FD3" s="122">
        <v>158</v>
      </c>
      <c r="FE3" s="122">
        <v>159</v>
      </c>
      <c r="FF3" s="122">
        <v>160</v>
      </c>
      <c r="FG3" s="122">
        <v>161</v>
      </c>
      <c r="FH3" s="122">
        <v>162</v>
      </c>
      <c r="FI3" s="122">
        <v>163</v>
      </c>
      <c r="FJ3" s="122">
        <v>164</v>
      </c>
      <c r="FK3" s="122">
        <v>165</v>
      </c>
      <c r="FL3" s="122">
        <v>166</v>
      </c>
      <c r="FM3" s="122">
        <v>167</v>
      </c>
      <c r="FN3" s="122">
        <v>168</v>
      </c>
      <c r="FO3" s="122">
        <v>169</v>
      </c>
      <c r="FP3" s="122">
        <v>170</v>
      </c>
      <c r="FQ3" s="122">
        <v>171</v>
      </c>
      <c r="FR3" s="122">
        <v>172</v>
      </c>
      <c r="FS3" s="122">
        <v>173</v>
      </c>
      <c r="FT3" s="122">
        <v>174</v>
      </c>
      <c r="FU3" s="122">
        <v>175</v>
      </c>
      <c r="FV3" s="122">
        <v>176</v>
      </c>
      <c r="FW3" s="122">
        <v>177</v>
      </c>
      <c r="FX3" s="122">
        <v>178</v>
      </c>
      <c r="FY3" s="122">
        <v>179</v>
      </c>
      <c r="FZ3" s="122">
        <v>180</v>
      </c>
      <c r="GA3" s="122">
        <v>181</v>
      </c>
      <c r="GB3" s="122">
        <v>182</v>
      </c>
      <c r="GC3" s="122">
        <v>183</v>
      </c>
      <c r="GD3" s="122">
        <v>184</v>
      </c>
      <c r="GE3" s="122">
        <v>185</v>
      </c>
      <c r="GF3" s="122">
        <v>186</v>
      </c>
      <c r="GG3" s="122">
        <v>187</v>
      </c>
      <c r="GH3" s="122">
        <v>188</v>
      </c>
      <c r="GI3" s="122">
        <v>189</v>
      </c>
      <c r="GJ3" s="122">
        <v>190</v>
      </c>
      <c r="GK3" s="122">
        <v>191</v>
      </c>
      <c r="GL3" s="122">
        <v>192</v>
      </c>
      <c r="GM3" s="122">
        <v>193</v>
      </c>
      <c r="GN3" s="122">
        <v>194</v>
      </c>
      <c r="GO3" s="122">
        <v>195</v>
      </c>
      <c r="GP3" s="122">
        <v>196</v>
      </c>
      <c r="GQ3" s="122">
        <v>197</v>
      </c>
      <c r="GR3" s="122">
        <v>198</v>
      </c>
      <c r="GS3" s="122">
        <v>199</v>
      </c>
      <c r="GT3" s="122">
        <v>200</v>
      </c>
      <c r="GU3" s="122">
        <v>201</v>
      </c>
      <c r="GV3" s="122">
        <v>202</v>
      </c>
      <c r="GW3" s="122">
        <v>203</v>
      </c>
      <c r="GX3" s="122">
        <v>204</v>
      </c>
      <c r="GY3" s="122">
        <v>205</v>
      </c>
      <c r="GZ3" s="122">
        <v>206</v>
      </c>
      <c r="HA3" s="122">
        <v>207</v>
      </c>
      <c r="HB3" s="122">
        <v>208</v>
      </c>
      <c r="HC3" s="122">
        <v>209</v>
      </c>
      <c r="HD3" s="122">
        <v>210</v>
      </c>
      <c r="HE3" s="122">
        <v>211</v>
      </c>
      <c r="HF3" s="122">
        <v>212</v>
      </c>
      <c r="HG3" s="122">
        <v>213</v>
      </c>
      <c r="HH3" s="122">
        <v>214</v>
      </c>
      <c r="HI3" s="122">
        <v>215</v>
      </c>
      <c r="HJ3" s="122">
        <v>216</v>
      </c>
      <c r="HK3" s="122">
        <v>217</v>
      </c>
      <c r="HL3" s="122">
        <v>218</v>
      </c>
      <c r="HM3" s="122">
        <v>219</v>
      </c>
      <c r="HN3" s="122">
        <v>220</v>
      </c>
      <c r="HO3" s="122">
        <v>221</v>
      </c>
      <c r="HP3" s="122">
        <v>222</v>
      </c>
      <c r="HQ3" s="122">
        <v>223</v>
      </c>
      <c r="HR3" s="122">
        <v>224</v>
      </c>
      <c r="HS3" s="122">
        <v>225</v>
      </c>
      <c r="HT3" s="122">
        <v>226</v>
      </c>
      <c r="HU3" s="122">
        <v>227</v>
      </c>
      <c r="HV3" s="122">
        <v>228</v>
      </c>
      <c r="HW3" s="122">
        <v>229</v>
      </c>
      <c r="HX3" s="122">
        <v>230</v>
      </c>
      <c r="HY3" s="122">
        <v>231</v>
      </c>
      <c r="HZ3" s="122">
        <v>232</v>
      </c>
      <c r="IA3" s="122">
        <v>233</v>
      </c>
      <c r="IB3" s="122">
        <v>234</v>
      </c>
      <c r="IC3" s="122">
        <v>235</v>
      </c>
      <c r="ID3" s="122">
        <v>236</v>
      </c>
      <c r="IE3" s="122">
        <v>237</v>
      </c>
      <c r="IF3" s="122">
        <v>238</v>
      </c>
      <c r="IG3" s="122">
        <v>239</v>
      </c>
      <c r="IH3" s="122">
        <v>240</v>
      </c>
      <c r="II3" s="122">
        <v>241</v>
      </c>
      <c r="IJ3" s="122">
        <v>242</v>
      </c>
      <c r="IK3" s="122">
        <v>243</v>
      </c>
      <c r="IL3" s="122">
        <v>244</v>
      </c>
      <c r="IM3" s="122">
        <v>245</v>
      </c>
      <c r="IN3" s="122">
        <v>246</v>
      </c>
      <c r="IO3" s="122">
        <v>247</v>
      </c>
      <c r="IP3" s="122">
        <v>248</v>
      </c>
      <c r="IQ3" s="122">
        <v>249</v>
      </c>
      <c r="IR3" s="122">
        <v>250</v>
      </c>
      <c r="IS3" s="122">
        <v>251</v>
      </c>
      <c r="IT3" s="122">
        <v>252</v>
      </c>
      <c r="IU3" s="122">
        <v>253</v>
      </c>
      <c r="IV3" s="122">
        <v>254</v>
      </c>
      <c r="IW3" s="122">
        <v>255</v>
      </c>
      <c r="IX3" s="122">
        <v>256</v>
      </c>
      <c r="IY3" s="122">
        <v>257</v>
      </c>
      <c r="IZ3" s="122">
        <v>258</v>
      </c>
      <c r="JA3" s="122">
        <v>259</v>
      </c>
      <c r="JB3" s="122">
        <v>260</v>
      </c>
      <c r="JC3" s="122">
        <v>261</v>
      </c>
      <c r="JD3" s="122">
        <v>262</v>
      </c>
      <c r="JE3" s="122">
        <v>263</v>
      </c>
      <c r="JF3" s="122">
        <v>264</v>
      </c>
      <c r="JG3" s="122">
        <v>265</v>
      </c>
      <c r="JH3" s="122">
        <v>266</v>
      </c>
      <c r="JI3" s="122">
        <v>267</v>
      </c>
      <c r="JJ3" s="122">
        <v>268</v>
      </c>
      <c r="JK3" s="122">
        <v>269</v>
      </c>
      <c r="JL3" s="122">
        <v>270</v>
      </c>
      <c r="JM3" s="122">
        <v>271</v>
      </c>
      <c r="JN3" s="122">
        <v>272</v>
      </c>
      <c r="JO3" s="122">
        <v>273</v>
      </c>
      <c r="JP3" s="122">
        <v>274</v>
      </c>
      <c r="JQ3" s="122">
        <v>275</v>
      </c>
      <c r="JR3" s="122">
        <v>276</v>
      </c>
      <c r="JS3" s="122">
        <v>277</v>
      </c>
      <c r="JT3" s="122">
        <v>278</v>
      </c>
      <c r="JU3" s="122">
        <v>279</v>
      </c>
      <c r="JV3" s="122">
        <v>280</v>
      </c>
      <c r="JW3" s="122">
        <v>281</v>
      </c>
      <c r="JX3" s="122">
        <v>282</v>
      </c>
      <c r="JY3" s="122">
        <v>283</v>
      </c>
      <c r="JZ3" s="122">
        <v>284</v>
      </c>
      <c r="KA3" s="122">
        <v>285</v>
      </c>
      <c r="KB3" s="122">
        <v>286</v>
      </c>
      <c r="KC3" s="122">
        <v>287</v>
      </c>
      <c r="KD3" s="122">
        <v>288</v>
      </c>
      <c r="KE3" s="122">
        <v>289</v>
      </c>
      <c r="KF3" s="122">
        <v>290</v>
      </c>
      <c r="KG3" s="122">
        <v>291</v>
      </c>
      <c r="KH3" s="122">
        <v>292</v>
      </c>
      <c r="KI3" s="122">
        <v>293</v>
      </c>
      <c r="KJ3" s="122">
        <v>294</v>
      </c>
      <c r="KK3" s="122">
        <v>295</v>
      </c>
      <c r="KL3" s="122">
        <v>296</v>
      </c>
      <c r="KM3" s="122">
        <v>297</v>
      </c>
      <c r="KN3" s="122">
        <v>298</v>
      </c>
      <c r="KO3" s="122">
        <v>299</v>
      </c>
      <c r="KP3" s="122">
        <v>300</v>
      </c>
      <c r="KQ3" s="122">
        <v>301</v>
      </c>
      <c r="KR3" s="122">
        <v>302</v>
      </c>
      <c r="KS3" s="122">
        <v>303</v>
      </c>
      <c r="KT3" s="122">
        <v>304</v>
      </c>
      <c r="KU3" s="122">
        <v>305</v>
      </c>
      <c r="KV3" s="122">
        <v>306</v>
      </c>
      <c r="KW3" s="122">
        <v>307</v>
      </c>
      <c r="KX3" s="122">
        <v>308</v>
      </c>
      <c r="KY3" s="122">
        <v>309</v>
      </c>
      <c r="KZ3" s="122">
        <v>310</v>
      </c>
      <c r="LA3" s="122">
        <v>311</v>
      </c>
      <c r="LB3" s="122">
        <v>312</v>
      </c>
      <c r="LC3" s="122">
        <v>313</v>
      </c>
      <c r="LD3" s="122">
        <v>314</v>
      </c>
      <c r="LE3" s="122">
        <v>315</v>
      </c>
      <c r="LF3" s="122">
        <v>316</v>
      </c>
      <c r="LG3" s="122">
        <v>317</v>
      </c>
      <c r="LH3" s="122">
        <v>318</v>
      </c>
      <c r="LI3" s="122">
        <v>319</v>
      </c>
      <c r="LJ3" s="122">
        <v>320</v>
      </c>
      <c r="LK3" s="122">
        <v>321</v>
      </c>
      <c r="LL3" s="122">
        <v>322</v>
      </c>
      <c r="LM3" s="122">
        <v>323</v>
      </c>
      <c r="LN3" s="122">
        <v>324</v>
      </c>
      <c r="LO3" s="122">
        <v>325</v>
      </c>
      <c r="LP3" s="122">
        <v>326</v>
      </c>
      <c r="LQ3" s="122">
        <v>327</v>
      </c>
      <c r="LR3" s="122">
        <v>328</v>
      </c>
      <c r="LS3" s="122">
        <v>329</v>
      </c>
      <c r="LT3" s="122">
        <v>330</v>
      </c>
      <c r="LU3" s="122">
        <v>331</v>
      </c>
      <c r="LV3" s="122">
        <v>332</v>
      </c>
      <c r="LW3" s="122">
        <v>333</v>
      </c>
      <c r="LX3" s="122">
        <v>334</v>
      </c>
      <c r="LY3" s="122">
        <v>335</v>
      </c>
      <c r="LZ3" s="122">
        <v>336</v>
      </c>
      <c r="MA3" s="122">
        <v>337</v>
      </c>
      <c r="MB3" s="122">
        <v>338</v>
      </c>
      <c r="MC3" s="122">
        <v>339</v>
      </c>
      <c r="MD3" s="122">
        <v>340</v>
      </c>
      <c r="ME3" s="122">
        <v>341</v>
      </c>
      <c r="MF3" s="122">
        <v>342</v>
      </c>
      <c r="MG3" s="122">
        <v>343</v>
      </c>
      <c r="MH3" s="122">
        <v>344</v>
      </c>
      <c r="MI3" s="122">
        <v>345</v>
      </c>
      <c r="MJ3" s="122">
        <v>346</v>
      </c>
      <c r="MK3" s="122">
        <v>347</v>
      </c>
      <c r="ML3" s="122">
        <v>348</v>
      </c>
      <c r="MM3" s="122">
        <v>349</v>
      </c>
      <c r="MN3" s="122">
        <v>350</v>
      </c>
      <c r="MO3" s="122">
        <v>351</v>
      </c>
      <c r="MP3" s="122">
        <v>352</v>
      </c>
      <c r="MQ3" s="122">
        <v>353</v>
      </c>
      <c r="MR3" s="122">
        <v>354</v>
      </c>
      <c r="MS3" s="122">
        <v>355</v>
      </c>
      <c r="MT3" s="122">
        <v>356</v>
      </c>
      <c r="MU3" s="122">
        <v>357</v>
      </c>
      <c r="MV3" s="122">
        <v>358</v>
      </c>
      <c r="MW3" s="122">
        <v>359</v>
      </c>
      <c r="MX3" s="122">
        <v>360</v>
      </c>
      <c r="MY3" s="122">
        <v>361</v>
      </c>
      <c r="MZ3" s="122">
        <v>362</v>
      </c>
      <c r="NA3" s="122">
        <v>363</v>
      </c>
      <c r="NB3" s="122">
        <v>364</v>
      </c>
      <c r="NC3" s="122">
        <v>365</v>
      </c>
      <c r="ND3" s="122">
        <v>366</v>
      </c>
      <c r="NE3" s="122">
        <v>367</v>
      </c>
      <c r="NF3" s="122">
        <v>368</v>
      </c>
      <c r="NG3" s="122">
        <v>369</v>
      </c>
      <c r="NH3" s="122">
        <v>370</v>
      </c>
      <c r="NI3" s="122">
        <v>371</v>
      </c>
      <c r="NJ3" s="122">
        <v>372</v>
      </c>
      <c r="NK3" s="122">
        <v>373</v>
      </c>
      <c r="NL3" s="122">
        <v>374</v>
      </c>
      <c r="NM3" s="122">
        <v>375</v>
      </c>
      <c r="NN3" s="122">
        <v>376</v>
      </c>
      <c r="NO3" s="122">
        <v>377</v>
      </c>
      <c r="NP3" s="122">
        <v>378</v>
      </c>
      <c r="NQ3" s="122">
        <v>379</v>
      </c>
      <c r="NR3" s="122">
        <v>380</v>
      </c>
      <c r="NS3" s="122">
        <v>381</v>
      </c>
      <c r="NT3" s="122">
        <v>382</v>
      </c>
      <c r="NU3" s="122">
        <v>383</v>
      </c>
      <c r="NV3" s="122">
        <v>384</v>
      </c>
      <c r="NW3" s="122">
        <v>385</v>
      </c>
      <c r="NX3" s="122">
        <v>386</v>
      </c>
      <c r="NY3" s="122">
        <v>387</v>
      </c>
      <c r="NZ3" s="122">
        <v>388</v>
      </c>
      <c r="OA3" s="122">
        <v>389</v>
      </c>
      <c r="OB3" s="122">
        <v>390</v>
      </c>
      <c r="OC3" s="122">
        <v>391</v>
      </c>
      <c r="OD3" s="122">
        <v>392</v>
      </c>
      <c r="OE3" s="122">
        <v>393</v>
      </c>
      <c r="OF3" s="122">
        <v>394</v>
      </c>
      <c r="OG3" s="122">
        <v>395</v>
      </c>
      <c r="OH3" s="122">
        <v>396</v>
      </c>
      <c r="OI3" s="122">
        <v>397</v>
      </c>
      <c r="OJ3" s="122">
        <v>398</v>
      </c>
      <c r="OK3" s="122">
        <v>399</v>
      </c>
      <c r="OL3" s="122">
        <v>400</v>
      </c>
      <c r="OM3" s="122">
        <v>401</v>
      </c>
      <c r="ON3" s="122">
        <v>402</v>
      </c>
      <c r="OO3" s="122">
        <v>403</v>
      </c>
      <c r="OP3" s="122">
        <v>404</v>
      </c>
      <c r="OQ3" s="122">
        <v>405</v>
      </c>
      <c r="OR3" s="122">
        <v>406</v>
      </c>
      <c r="OS3" s="122">
        <v>407</v>
      </c>
      <c r="OT3" s="122">
        <v>408</v>
      </c>
      <c r="OU3" s="122">
        <v>409</v>
      </c>
      <c r="OV3" s="122">
        <v>410</v>
      </c>
      <c r="OW3" s="122">
        <v>411</v>
      </c>
      <c r="OX3" s="122">
        <v>412</v>
      </c>
      <c r="OY3" s="122">
        <v>413</v>
      </c>
      <c r="OZ3" s="122">
        <v>414</v>
      </c>
      <c r="PA3" s="122">
        <v>415</v>
      </c>
      <c r="PB3" s="122">
        <v>416</v>
      </c>
      <c r="PC3" s="122">
        <v>417</v>
      </c>
      <c r="PD3" s="122">
        <v>418</v>
      </c>
      <c r="PE3" s="122">
        <v>419</v>
      </c>
      <c r="PF3" s="122">
        <v>420</v>
      </c>
      <c r="PG3" s="122">
        <v>421</v>
      </c>
      <c r="PH3" s="122">
        <v>422</v>
      </c>
      <c r="PI3" s="122">
        <v>423</v>
      </c>
      <c r="PJ3" s="122">
        <v>424</v>
      </c>
      <c r="PK3" s="122">
        <v>425</v>
      </c>
      <c r="PL3" s="122">
        <v>426</v>
      </c>
      <c r="PM3" s="122">
        <v>427</v>
      </c>
      <c r="PN3" s="122">
        <v>428</v>
      </c>
      <c r="PO3" s="122">
        <v>429</v>
      </c>
      <c r="PP3" s="122">
        <v>430</v>
      </c>
      <c r="PQ3" s="122">
        <v>431</v>
      </c>
      <c r="PR3" s="122">
        <v>432</v>
      </c>
      <c r="PS3" s="122">
        <v>433</v>
      </c>
      <c r="PT3" s="122">
        <v>434</v>
      </c>
      <c r="PU3" s="122">
        <v>435</v>
      </c>
      <c r="PV3" s="122">
        <v>436</v>
      </c>
      <c r="PW3" s="122">
        <v>437</v>
      </c>
      <c r="PX3" s="122">
        <v>438</v>
      </c>
      <c r="PY3" s="122">
        <v>439</v>
      </c>
      <c r="PZ3" s="122">
        <v>440</v>
      </c>
      <c r="QA3" s="122">
        <v>441</v>
      </c>
      <c r="QB3" s="122">
        <v>442</v>
      </c>
      <c r="QC3" s="122">
        <v>443</v>
      </c>
      <c r="QD3" s="122">
        <v>444</v>
      </c>
      <c r="QE3" s="122">
        <v>445</v>
      </c>
      <c r="QF3" s="122">
        <v>446</v>
      </c>
      <c r="QG3" s="122">
        <v>447</v>
      </c>
      <c r="QH3" s="122">
        <v>448</v>
      </c>
      <c r="QI3" s="122">
        <v>449</v>
      </c>
      <c r="QJ3" s="122">
        <v>450</v>
      </c>
      <c r="QK3" s="122">
        <v>451</v>
      </c>
      <c r="QL3" s="122">
        <v>452</v>
      </c>
      <c r="QM3" s="122">
        <v>453</v>
      </c>
      <c r="QN3" s="122">
        <v>454</v>
      </c>
      <c r="QO3" s="122">
        <v>455</v>
      </c>
      <c r="QP3" s="122">
        <v>456</v>
      </c>
      <c r="QQ3" s="122">
        <v>457</v>
      </c>
      <c r="QR3" s="122">
        <v>458</v>
      </c>
      <c r="QS3" s="122">
        <v>459</v>
      </c>
      <c r="QT3" s="122">
        <v>460</v>
      </c>
      <c r="QU3" s="122">
        <v>461</v>
      </c>
      <c r="QV3" s="122">
        <v>462</v>
      </c>
      <c r="QW3" s="122">
        <v>463</v>
      </c>
      <c r="QX3" s="122">
        <v>464</v>
      </c>
      <c r="QY3" s="122">
        <v>465</v>
      </c>
      <c r="QZ3" s="122">
        <v>466</v>
      </c>
      <c r="RA3" s="122">
        <v>467</v>
      </c>
      <c r="RB3" s="122">
        <v>468</v>
      </c>
      <c r="RC3" s="122">
        <v>469</v>
      </c>
      <c r="RD3" s="122">
        <v>470</v>
      </c>
      <c r="RE3" s="122">
        <v>471</v>
      </c>
      <c r="RF3" s="122">
        <v>472</v>
      </c>
      <c r="RG3" s="122">
        <v>473</v>
      </c>
      <c r="RH3" s="122">
        <v>474</v>
      </c>
      <c r="RI3" s="122">
        <v>475</v>
      </c>
      <c r="RJ3" s="122">
        <v>476</v>
      </c>
      <c r="RK3" s="122">
        <v>477</v>
      </c>
      <c r="RL3" s="122">
        <v>478</v>
      </c>
      <c r="RM3" s="122">
        <v>479</v>
      </c>
      <c r="RN3" s="122">
        <v>480</v>
      </c>
      <c r="RO3" s="122">
        <v>481</v>
      </c>
      <c r="RP3" s="122">
        <v>482</v>
      </c>
      <c r="RQ3" s="122">
        <v>483</v>
      </c>
      <c r="RR3" s="122">
        <v>484</v>
      </c>
      <c r="RS3" s="122">
        <v>485</v>
      </c>
      <c r="RT3" s="122">
        <v>486</v>
      </c>
      <c r="RU3" s="122">
        <v>487</v>
      </c>
      <c r="RV3" s="122">
        <v>488</v>
      </c>
      <c r="RW3" s="122">
        <v>489</v>
      </c>
      <c r="RX3" s="122">
        <v>490</v>
      </c>
      <c r="RY3" s="122">
        <v>491</v>
      </c>
      <c r="RZ3" s="122">
        <v>492</v>
      </c>
      <c r="SA3" s="122">
        <v>493</v>
      </c>
      <c r="SB3" s="122">
        <v>494</v>
      </c>
      <c r="SC3" s="122">
        <v>495</v>
      </c>
      <c r="SD3" s="122">
        <v>496</v>
      </c>
      <c r="SE3" s="122">
        <v>497</v>
      </c>
      <c r="SF3" s="122">
        <v>498</v>
      </c>
      <c r="SG3" s="122">
        <v>499</v>
      </c>
      <c r="SH3" s="122">
        <v>500</v>
      </c>
      <c r="SI3" s="122">
        <v>501</v>
      </c>
      <c r="SJ3" s="122">
        <v>502</v>
      </c>
      <c r="SK3" s="122">
        <v>503</v>
      </c>
      <c r="SL3" s="122">
        <v>504</v>
      </c>
      <c r="SM3" s="122">
        <v>505</v>
      </c>
      <c r="SN3" s="122">
        <v>506</v>
      </c>
      <c r="SO3" s="122">
        <v>507</v>
      </c>
      <c r="SP3" s="122">
        <v>508</v>
      </c>
      <c r="SQ3" s="122">
        <v>509</v>
      </c>
      <c r="SR3" s="122">
        <v>510</v>
      </c>
      <c r="SS3" s="122">
        <v>511</v>
      </c>
      <c r="ST3" s="122">
        <v>512</v>
      </c>
      <c r="SU3" s="122">
        <v>513</v>
      </c>
      <c r="SV3" s="122">
        <v>514</v>
      </c>
      <c r="SW3" s="122">
        <v>515</v>
      </c>
      <c r="SX3" s="122">
        <v>516</v>
      </c>
      <c r="SY3" s="122">
        <v>517</v>
      </c>
      <c r="SZ3" s="122">
        <v>518</v>
      </c>
      <c r="TA3" s="122">
        <v>519</v>
      </c>
      <c r="TB3" s="122">
        <v>520</v>
      </c>
      <c r="TC3" s="122">
        <v>521</v>
      </c>
      <c r="TD3" s="122">
        <v>522</v>
      </c>
      <c r="TE3" s="122">
        <v>523</v>
      </c>
      <c r="TF3" s="122">
        <v>524</v>
      </c>
      <c r="TG3" s="122">
        <v>525</v>
      </c>
      <c r="TH3" s="122">
        <v>526</v>
      </c>
      <c r="TI3" s="122">
        <v>527</v>
      </c>
      <c r="TJ3" s="122">
        <v>528</v>
      </c>
      <c r="TK3" s="122">
        <v>529</v>
      </c>
      <c r="TL3" s="122">
        <v>530</v>
      </c>
      <c r="TM3" s="122">
        <v>531</v>
      </c>
      <c r="TN3" s="122">
        <v>532</v>
      </c>
      <c r="TO3" s="122">
        <v>533</v>
      </c>
      <c r="TP3" s="122">
        <v>534</v>
      </c>
      <c r="TQ3" s="122">
        <v>535</v>
      </c>
      <c r="TR3" s="122">
        <v>536</v>
      </c>
      <c r="TS3" s="122">
        <v>537</v>
      </c>
      <c r="TT3" s="122">
        <v>538</v>
      </c>
      <c r="TU3" s="122">
        <v>539</v>
      </c>
      <c r="TV3" s="122">
        <v>540</v>
      </c>
      <c r="TW3" s="122">
        <v>541</v>
      </c>
      <c r="TX3" s="122">
        <v>542</v>
      </c>
      <c r="TY3" s="122">
        <v>543</v>
      </c>
      <c r="TZ3" s="122">
        <v>544</v>
      </c>
      <c r="UA3" s="122">
        <v>545</v>
      </c>
      <c r="UB3" s="122">
        <v>546</v>
      </c>
      <c r="UC3" s="122">
        <v>547</v>
      </c>
      <c r="UD3" s="122">
        <v>548</v>
      </c>
      <c r="UE3" s="122">
        <v>549</v>
      </c>
      <c r="UF3" s="122">
        <v>550</v>
      </c>
      <c r="UG3" s="122">
        <v>551</v>
      </c>
      <c r="UH3" s="122">
        <v>552</v>
      </c>
      <c r="UI3" s="122">
        <v>553</v>
      </c>
      <c r="UJ3" s="122">
        <v>554</v>
      </c>
      <c r="UK3" s="122">
        <v>555</v>
      </c>
      <c r="UL3" s="122">
        <v>556</v>
      </c>
      <c r="UM3" s="122">
        <v>557</v>
      </c>
      <c r="UN3" s="122">
        <v>558</v>
      </c>
      <c r="UO3" s="122">
        <v>559</v>
      </c>
      <c r="UP3" s="122">
        <v>560</v>
      </c>
      <c r="UQ3" s="122">
        <v>561</v>
      </c>
      <c r="UR3" s="122">
        <v>562</v>
      </c>
      <c r="US3" s="122">
        <v>563</v>
      </c>
      <c r="UT3" s="122">
        <v>564</v>
      </c>
      <c r="UU3" s="122">
        <v>565</v>
      </c>
      <c r="UV3" s="122">
        <v>566</v>
      </c>
      <c r="UW3" s="122">
        <v>567</v>
      </c>
      <c r="UX3" s="122">
        <v>568</v>
      </c>
      <c r="UY3" s="122">
        <v>569</v>
      </c>
      <c r="UZ3" s="122">
        <v>570</v>
      </c>
      <c r="VA3" s="122">
        <v>571</v>
      </c>
      <c r="VB3" s="122">
        <v>572</v>
      </c>
      <c r="VC3" s="122">
        <v>573</v>
      </c>
      <c r="VD3" s="122">
        <v>574</v>
      </c>
      <c r="VE3" s="122">
        <v>575</v>
      </c>
      <c r="VF3" s="122">
        <v>576</v>
      </c>
      <c r="VG3" s="122">
        <v>577</v>
      </c>
      <c r="VH3" s="122">
        <v>578</v>
      </c>
      <c r="VI3" s="122">
        <v>579</v>
      </c>
      <c r="VJ3" s="122">
        <v>580</v>
      </c>
      <c r="VK3" s="122">
        <v>581</v>
      </c>
      <c r="VL3" s="122">
        <v>582</v>
      </c>
      <c r="VM3" s="122">
        <v>583</v>
      </c>
      <c r="VN3" s="122">
        <v>584</v>
      </c>
      <c r="VO3" s="122">
        <v>585</v>
      </c>
      <c r="VP3" s="122">
        <v>586</v>
      </c>
      <c r="VQ3" s="122">
        <v>587</v>
      </c>
      <c r="VR3" s="122">
        <v>588</v>
      </c>
      <c r="VS3" s="122">
        <v>589</v>
      </c>
      <c r="VT3" s="122">
        <v>590</v>
      </c>
      <c r="VU3" s="122">
        <v>591</v>
      </c>
      <c r="VV3" s="122">
        <v>592</v>
      </c>
      <c r="VW3" s="122">
        <v>593</v>
      </c>
      <c r="VX3" s="122">
        <v>594</v>
      </c>
      <c r="VY3" s="122">
        <v>595</v>
      </c>
      <c r="VZ3" s="122">
        <v>596</v>
      </c>
      <c r="WA3" s="122">
        <v>597</v>
      </c>
      <c r="WB3" s="122">
        <v>598</v>
      </c>
      <c r="WC3" s="122">
        <v>599</v>
      </c>
      <c r="WD3" s="122">
        <v>600</v>
      </c>
      <c r="WE3" s="122">
        <v>601</v>
      </c>
      <c r="WF3" s="122">
        <v>602</v>
      </c>
      <c r="WG3" s="122">
        <v>603</v>
      </c>
      <c r="WH3" s="122">
        <v>604</v>
      </c>
      <c r="WI3" s="122">
        <v>605</v>
      </c>
      <c r="WJ3" s="122">
        <v>606</v>
      </c>
      <c r="WK3" s="122">
        <v>607</v>
      </c>
      <c r="WL3" s="122">
        <v>608</v>
      </c>
      <c r="WM3" s="122">
        <v>609</v>
      </c>
      <c r="WN3" s="122">
        <v>610</v>
      </c>
      <c r="WO3" s="122">
        <v>611</v>
      </c>
      <c r="WP3" s="122">
        <v>612</v>
      </c>
      <c r="WQ3" s="122">
        <v>613</v>
      </c>
      <c r="WR3" s="122">
        <v>614</v>
      </c>
      <c r="WS3" s="122">
        <v>615</v>
      </c>
      <c r="WT3" s="122">
        <v>616</v>
      </c>
    </row>
    <row r="4" spans="1:618" s="122" customFormat="1" x14ac:dyDescent="0.25">
      <c r="A4" s="96">
        <v>2</v>
      </c>
      <c r="B4" t="s">
        <v>717</v>
      </c>
      <c r="C4" s="9">
        <v>43</v>
      </c>
      <c r="D4" s="9">
        <v>44</v>
      </c>
      <c r="E4" s="9">
        <v>45</v>
      </c>
      <c r="F4" s="9">
        <v>46</v>
      </c>
      <c r="G4" s="122">
        <v>47</v>
      </c>
      <c r="H4" s="9">
        <v>48</v>
      </c>
      <c r="I4" s="9">
        <v>49</v>
      </c>
      <c r="J4" s="9">
        <v>50</v>
      </c>
      <c r="K4" s="9">
        <v>51</v>
      </c>
      <c r="L4" s="9">
        <v>52</v>
      </c>
      <c r="M4" s="9">
        <v>53</v>
      </c>
      <c r="N4" s="9">
        <v>54</v>
      </c>
      <c r="O4" s="9">
        <v>55</v>
      </c>
      <c r="P4" s="9">
        <v>56</v>
      </c>
      <c r="Q4" s="9">
        <v>63</v>
      </c>
      <c r="R4" s="9">
        <v>77</v>
      </c>
      <c r="S4" s="9">
        <v>79</v>
      </c>
      <c r="T4" s="9">
        <v>80</v>
      </c>
      <c r="U4" s="9">
        <v>81</v>
      </c>
      <c r="V4" s="9">
        <v>82</v>
      </c>
      <c r="W4" s="122">
        <v>83</v>
      </c>
      <c r="X4" s="122">
        <v>84</v>
      </c>
      <c r="Y4" s="122">
        <v>85</v>
      </c>
      <c r="Z4" s="122">
        <v>86</v>
      </c>
      <c r="AA4" s="122">
        <v>87</v>
      </c>
      <c r="AB4" s="122">
        <v>88</v>
      </c>
      <c r="AC4" s="122">
        <v>90</v>
      </c>
      <c r="AD4" s="122">
        <v>91</v>
      </c>
      <c r="AE4" s="122">
        <v>92</v>
      </c>
      <c r="AF4" s="122">
        <v>95</v>
      </c>
      <c r="AG4" s="122">
        <v>96</v>
      </c>
      <c r="AH4" s="122">
        <v>97</v>
      </c>
      <c r="AI4" s="122">
        <v>98</v>
      </c>
      <c r="AJ4" s="122">
        <v>99</v>
      </c>
      <c r="AK4" s="122">
        <v>101</v>
      </c>
      <c r="AL4" s="122">
        <v>102</v>
      </c>
      <c r="AM4" s="122">
        <v>103</v>
      </c>
      <c r="AN4" s="122">
        <v>104</v>
      </c>
      <c r="AO4" s="122">
        <v>110</v>
      </c>
      <c r="AP4" s="122">
        <v>111</v>
      </c>
      <c r="AQ4" s="122">
        <v>113</v>
      </c>
      <c r="AR4" s="122">
        <v>114</v>
      </c>
      <c r="AS4" s="122">
        <v>115</v>
      </c>
      <c r="AT4" s="122">
        <v>116</v>
      </c>
      <c r="AU4" s="122">
        <v>123</v>
      </c>
      <c r="AV4" s="122">
        <v>124</v>
      </c>
      <c r="AW4" s="122">
        <v>125</v>
      </c>
      <c r="AX4" s="122">
        <v>126</v>
      </c>
      <c r="AY4" s="122">
        <v>127</v>
      </c>
      <c r="AZ4" s="122">
        <v>128</v>
      </c>
      <c r="BA4" s="122">
        <v>129</v>
      </c>
      <c r="BB4" s="122">
        <v>130</v>
      </c>
      <c r="BC4" s="122">
        <v>131</v>
      </c>
      <c r="BD4" s="122">
        <v>132</v>
      </c>
      <c r="BE4" s="122">
        <v>133</v>
      </c>
      <c r="BF4" s="122">
        <v>134</v>
      </c>
      <c r="BG4" s="122">
        <v>135</v>
      </c>
      <c r="BH4" s="122">
        <v>136</v>
      </c>
      <c r="BI4" s="122">
        <v>137</v>
      </c>
      <c r="BJ4" s="122">
        <v>138</v>
      </c>
      <c r="BK4" s="122">
        <v>139</v>
      </c>
      <c r="BL4" s="122">
        <v>140</v>
      </c>
      <c r="BM4" s="122">
        <v>141</v>
      </c>
      <c r="BN4" s="122">
        <v>142</v>
      </c>
      <c r="BO4" s="122">
        <v>143</v>
      </c>
      <c r="BP4" s="122">
        <v>144</v>
      </c>
      <c r="BQ4" s="122">
        <v>145</v>
      </c>
      <c r="BR4" s="122">
        <v>146</v>
      </c>
      <c r="BS4" s="122">
        <v>152</v>
      </c>
      <c r="BT4" s="122">
        <v>153</v>
      </c>
      <c r="BU4" s="122">
        <v>154</v>
      </c>
      <c r="BV4" s="122">
        <v>155</v>
      </c>
      <c r="BW4" s="122">
        <v>157</v>
      </c>
      <c r="BX4" s="122">
        <v>163</v>
      </c>
      <c r="BY4" s="122">
        <v>169</v>
      </c>
      <c r="BZ4" s="122">
        <v>175</v>
      </c>
      <c r="CA4" s="122">
        <v>181</v>
      </c>
      <c r="CB4" s="122">
        <v>186</v>
      </c>
      <c r="CC4" s="122">
        <v>187</v>
      </c>
      <c r="CD4" s="122">
        <v>188</v>
      </c>
      <c r="CE4" s="122">
        <v>189</v>
      </c>
      <c r="CF4" s="122">
        <v>190</v>
      </c>
      <c r="CG4" s="122">
        <v>191</v>
      </c>
      <c r="CH4" s="122">
        <v>192</v>
      </c>
      <c r="CI4" s="122">
        <v>193</v>
      </c>
      <c r="CJ4" s="122">
        <v>194</v>
      </c>
      <c r="CK4" s="122">
        <v>195</v>
      </c>
      <c r="CL4" s="122">
        <v>196</v>
      </c>
      <c r="CM4" s="122">
        <v>197</v>
      </c>
      <c r="CN4" s="122">
        <v>198</v>
      </c>
      <c r="CO4" s="122">
        <v>199</v>
      </c>
      <c r="CP4" s="122">
        <v>200</v>
      </c>
      <c r="CQ4" s="122">
        <v>201</v>
      </c>
      <c r="CR4" s="122">
        <v>202</v>
      </c>
      <c r="CS4" s="122">
        <v>203</v>
      </c>
      <c r="CT4" s="122">
        <v>204</v>
      </c>
      <c r="CU4" s="122">
        <v>205</v>
      </c>
      <c r="CV4" s="122">
        <v>206</v>
      </c>
      <c r="CW4" s="122">
        <v>207</v>
      </c>
      <c r="CX4" s="122">
        <v>208</v>
      </c>
      <c r="CY4" s="122">
        <v>209</v>
      </c>
      <c r="CZ4" s="122">
        <v>210</v>
      </c>
      <c r="DA4" s="122">
        <v>211</v>
      </c>
      <c r="DB4" s="122">
        <v>212</v>
      </c>
      <c r="DC4" s="122">
        <v>213</v>
      </c>
      <c r="DD4" s="122">
        <v>214</v>
      </c>
      <c r="DE4" s="122">
        <v>215</v>
      </c>
      <c r="DF4" s="122">
        <v>216</v>
      </c>
      <c r="DG4" s="122">
        <v>217</v>
      </c>
      <c r="DH4" s="122">
        <v>218</v>
      </c>
      <c r="DI4" s="122">
        <v>219</v>
      </c>
      <c r="DJ4" s="122">
        <v>220</v>
      </c>
      <c r="DK4" s="122">
        <v>221</v>
      </c>
      <c r="DL4" s="122">
        <v>222</v>
      </c>
      <c r="DM4" s="122">
        <v>223</v>
      </c>
      <c r="DN4" s="122">
        <v>224</v>
      </c>
      <c r="DO4" s="122">
        <v>225</v>
      </c>
      <c r="DP4" s="122">
        <v>226</v>
      </c>
      <c r="DQ4" s="122">
        <v>227</v>
      </c>
      <c r="DR4" s="122">
        <v>228</v>
      </c>
      <c r="DS4" s="122">
        <v>229</v>
      </c>
      <c r="DT4" s="122">
        <v>230</v>
      </c>
      <c r="DU4" s="122">
        <v>231</v>
      </c>
      <c r="DV4" s="122">
        <v>232</v>
      </c>
      <c r="DW4" s="122">
        <v>233</v>
      </c>
      <c r="DX4" s="122">
        <v>234</v>
      </c>
      <c r="DY4" s="122">
        <v>235</v>
      </c>
      <c r="DZ4" s="122">
        <v>236</v>
      </c>
      <c r="EA4" s="122">
        <v>237</v>
      </c>
      <c r="EB4" s="122">
        <v>238</v>
      </c>
      <c r="EC4" s="122">
        <v>239</v>
      </c>
      <c r="ED4" s="122">
        <v>240</v>
      </c>
      <c r="EE4" s="122">
        <v>241</v>
      </c>
      <c r="EF4" s="122">
        <v>242</v>
      </c>
      <c r="EG4" s="122">
        <v>243</v>
      </c>
      <c r="EH4" s="122">
        <v>244</v>
      </c>
      <c r="EI4" s="122">
        <v>245</v>
      </c>
      <c r="EJ4" s="122">
        <v>246</v>
      </c>
      <c r="EK4" s="122">
        <v>247</v>
      </c>
      <c r="EL4" s="122">
        <v>248</v>
      </c>
      <c r="EM4" s="122">
        <v>249</v>
      </c>
      <c r="EN4" s="122">
        <v>250</v>
      </c>
      <c r="EO4" s="122">
        <v>251</v>
      </c>
      <c r="EP4" s="122">
        <v>252</v>
      </c>
      <c r="EQ4" s="122">
        <v>253</v>
      </c>
      <c r="ER4" s="122">
        <v>254</v>
      </c>
      <c r="ES4" s="122">
        <v>255</v>
      </c>
      <c r="ET4" s="122">
        <v>256</v>
      </c>
      <c r="EU4" s="122">
        <v>257</v>
      </c>
      <c r="EV4" s="122">
        <v>258</v>
      </c>
      <c r="EW4" s="122">
        <v>259</v>
      </c>
      <c r="EX4" s="122">
        <v>260</v>
      </c>
      <c r="EY4" s="122">
        <v>261</v>
      </c>
      <c r="EZ4" s="122">
        <v>262</v>
      </c>
      <c r="FA4" s="122">
        <v>263</v>
      </c>
      <c r="FB4" s="122">
        <v>264</v>
      </c>
      <c r="FC4" s="122">
        <v>265</v>
      </c>
      <c r="FD4" s="122">
        <v>266</v>
      </c>
      <c r="FE4" s="122">
        <v>267</v>
      </c>
      <c r="FF4" s="122">
        <v>268</v>
      </c>
      <c r="FG4" s="122">
        <v>269</v>
      </c>
      <c r="FH4" s="122">
        <v>270</v>
      </c>
      <c r="FI4" s="122">
        <v>271</v>
      </c>
      <c r="FJ4" s="122">
        <v>272</v>
      </c>
      <c r="FK4" s="122">
        <v>273</v>
      </c>
      <c r="FL4" s="122">
        <v>274</v>
      </c>
      <c r="FM4" s="122">
        <v>275</v>
      </c>
      <c r="FN4" s="122">
        <v>276</v>
      </c>
      <c r="FO4" s="122">
        <v>277</v>
      </c>
      <c r="FP4" s="122">
        <v>278</v>
      </c>
      <c r="FQ4" s="122">
        <v>279</v>
      </c>
      <c r="FR4" s="122">
        <v>280</v>
      </c>
      <c r="FS4" s="122">
        <v>281</v>
      </c>
      <c r="FT4" s="122">
        <v>282</v>
      </c>
      <c r="FU4" s="122">
        <v>283</v>
      </c>
      <c r="FV4" s="122">
        <v>284</v>
      </c>
      <c r="FW4" s="122">
        <v>285</v>
      </c>
      <c r="FX4" s="122">
        <v>286</v>
      </c>
      <c r="FY4" s="122">
        <v>287</v>
      </c>
      <c r="FZ4" s="122">
        <v>288</v>
      </c>
      <c r="GA4" s="122">
        <v>289</v>
      </c>
      <c r="GB4" s="122">
        <v>290</v>
      </c>
      <c r="GC4" s="122">
        <v>291</v>
      </c>
      <c r="GD4" s="122">
        <v>292</v>
      </c>
      <c r="GE4" s="122">
        <v>293</v>
      </c>
      <c r="GF4" s="122">
        <v>294</v>
      </c>
      <c r="GG4" s="122">
        <v>295</v>
      </c>
      <c r="GH4" s="122">
        <v>296</v>
      </c>
      <c r="GI4" s="122">
        <v>297</v>
      </c>
      <c r="GJ4" s="122">
        <v>298</v>
      </c>
      <c r="GK4" s="122">
        <v>299</v>
      </c>
      <c r="GL4" s="122">
        <v>300</v>
      </c>
      <c r="GM4" s="122">
        <v>301</v>
      </c>
      <c r="GN4" s="122">
        <v>302</v>
      </c>
      <c r="GO4" s="122">
        <v>303</v>
      </c>
      <c r="GP4" s="122">
        <v>304</v>
      </c>
      <c r="GQ4" s="122">
        <v>305</v>
      </c>
      <c r="GR4" s="122">
        <v>306</v>
      </c>
      <c r="GS4" s="122">
        <v>307</v>
      </c>
      <c r="GT4" s="122">
        <v>308</v>
      </c>
      <c r="GU4" s="122">
        <v>309</v>
      </c>
      <c r="GV4" s="122">
        <v>310</v>
      </c>
      <c r="GW4" s="122">
        <v>311</v>
      </c>
      <c r="GX4" s="122">
        <v>312</v>
      </c>
      <c r="GY4" s="122">
        <v>313</v>
      </c>
      <c r="GZ4" s="122">
        <v>314</v>
      </c>
      <c r="HA4" s="122">
        <v>315</v>
      </c>
      <c r="HB4" s="122">
        <v>316</v>
      </c>
      <c r="HC4" s="122">
        <v>317</v>
      </c>
      <c r="HD4" s="122">
        <v>318</v>
      </c>
      <c r="HE4" s="122">
        <v>319</v>
      </c>
      <c r="HF4" s="122">
        <v>320</v>
      </c>
      <c r="HG4" s="122">
        <v>321</v>
      </c>
      <c r="HH4" s="122">
        <v>322</v>
      </c>
      <c r="HI4" s="122">
        <v>323</v>
      </c>
      <c r="HJ4" s="122">
        <v>324</v>
      </c>
      <c r="HK4" s="122">
        <v>325</v>
      </c>
      <c r="HL4" s="122">
        <v>326</v>
      </c>
      <c r="HM4" s="122">
        <v>327</v>
      </c>
      <c r="HN4" s="122">
        <v>328</v>
      </c>
      <c r="HO4" s="122">
        <v>329</v>
      </c>
      <c r="HP4" s="122">
        <v>330</v>
      </c>
      <c r="HQ4" s="122">
        <v>331</v>
      </c>
      <c r="HR4" s="122">
        <v>332</v>
      </c>
      <c r="HS4" s="122">
        <v>333</v>
      </c>
      <c r="HT4" s="122">
        <v>334</v>
      </c>
      <c r="HU4" s="122">
        <v>335</v>
      </c>
    </row>
    <row r="5" spans="1:618" s="122" customFormat="1" x14ac:dyDescent="0.25">
      <c r="A5" s="96">
        <v>3</v>
      </c>
      <c r="B5" t="s">
        <v>718</v>
      </c>
      <c r="C5" s="9">
        <v>1</v>
      </c>
      <c r="D5" s="9">
        <v>2</v>
      </c>
      <c r="E5" s="9">
        <v>3</v>
      </c>
      <c r="F5" s="9">
        <v>4</v>
      </c>
      <c r="G5" s="122">
        <v>5</v>
      </c>
      <c r="H5" s="9">
        <v>6</v>
      </c>
      <c r="I5" s="9">
        <v>7</v>
      </c>
      <c r="J5" s="9">
        <v>8</v>
      </c>
      <c r="K5" s="9">
        <v>9</v>
      </c>
      <c r="L5" s="9">
        <v>10</v>
      </c>
      <c r="M5" s="9">
        <v>11</v>
      </c>
      <c r="N5" s="9">
        <v>12</v>
      </c>
      <c r="O5" s="9">
        <v>13</v>
      </c>
      <c r="P5" s="9">
        <v>14</v>
      </c>
      <c r="Q5" s="9">
        <v>15</v>
      </c>
      <c r="R5" s="9">
        <v>16</v>
      </c>
      <c r="S5" s="9">
        <v>17</v>
      </c>
      <c r="T5" s="9">
        <v>18</v>
      </c>
      <c r="U5" s="9">
        <v>19</v>
      </c>
      <c r="V5" s="9">
        <v>20</v>
      </c>
      <c r="W5" s="122">
        <v>21</v>
      </c>
      <c r="X5" s="122">
        <v>22</v>
      </c>
      <c r="Y5" s="122">
        <v>23</v>
      </c>
      <c r="Z5" s="122">
        <v>24</v>
      </c>
      <c r="AA5" s="122">
        <v>25</v>
      </c>
      <c r="AB5" s="122">
        <v>26</v>
      </c>
      <c r="AC5" s="122">
        <v>27</v>
      </c>
      <c r="AD5" s="122">
        <v>28</v>
      </c>
      <c r="AE5" s="122">
        <v>29</v>
      </c>
      <c r="AF5" s="122">
        <v>30</v>
      </c>
      <c r="AG5" s="122">
        <v>31</v>
      </c>
      <c r="AH5" s="122">
        <v>32</v>
      </c>
      <c r="AI5" s="122">
        <v>33</v>
      </c>
      <c r="AJ5" s="122">
        <v>34</v>
      </c>
      <c r="AK5" s="122">
        <v>35</v>
      </c>
      <c r="AL5" s="122">
        <v>36</v>
      </c>
      <c r="AM5" s="122">
        <v>37</v>
      </c>
      <c r="AN5" s="122">
        <v>38</v>
      </c>
      <c r="AO5" s="122">
        <v>39</v>
      </c>
      <c r="AP5" s="122">
        <v>40</v>
      </c>
      <c r="AQ5" s="122">
        <v>41</v>
      </c>
      <c r="AR5" s="122">
        <v>42</v>
      </c>
      <c r="AS5" s="122">
        <v>57</v>
      </c>
      <c r="AT5" s="122">
        <v>58</v>
      </c>
      <c r="AU5" s="122">
        <v>59</v>
      </c>
      <c r="AV5" s="122">
        <v>60</v>
      </c>
      <c r="AW5" s="122">
        <v>61</v>
      </c>
      <c r="AX5" s="122">
        <v>62</v>
      </c>
      <c r="AY5" s="122">
        <v>64</v>
      </c>
      <c r="AZ5" s="122">
        <v>65</v>
      </c>
      <c r="BA5" s="122">
        <v>66</v>
      </c>
      <c r="BB5" s="122">
        <v>67</v>
      </c>
      <c r="BC5" s="122">
        <v>68</v>
      </c>
      <c r="BD5" s="122">
        <v>69</v>
      </c>
      <c r="BE5" s="122">
        <v>70</v>
      </c>
      <c r="BF5" s="122">
        <v>71</v>
      </c>
      <c r="BG5" s="122">
        <v>72</v>
      </c>
      <c r="BH5" s="122">
        <v>73</v>
      </c>
      <c r="BI5" s="122">
        <v>74</v>
      </c>
      <c r="BJ5" s="122">
        <v>75</v>
      </c>
      <c r="BK5" s="122">
        <v>76</v>
      </c>
      <c r="BL5" s="122">
        <v>78</v>
      </c>
      <c r="BM5" s="122">
        <v>89</v>
      </c>
      <c r="BN5" s="122">
        <v>92</v>
      </c>
      <c r="BO5" s="122">
        <v>93</v>
      </c>
      <c r="BP5" s="122">
        <v>94</v>
      </c>
      <c r="BQ5" s="122">
        <v>99</v>
      </c>
      <c r="BR5" s="122">
        <v>100</v>
      </c>
      <c r="BS5" s="122">
        <v>105</v>
      </c>
      <c r="BT5" s="122">
        <v>106</v>
      </c>
      <c r="BU5" s="122">
        <v>107</v>
      </c>
      <c r="BV5" s="122">
        <v>108</v>
      </c>
      <c r="BW5" s="122">
        <v>109</v>
      </c>
      <c r="BX5" s="122">
        <v>111</v>
      </c>
      <c r="BY5" s="122">
        <v>112</v>
      </c>
      <c r="BZ5" s="122">
        <v>117</v>
      </c>
      <c r="CA5" s="122">
        <v>118</v>
      </c>
      <c r="CB5" s="122">
        <v>119</v>
      </c>
      <c r="CC5" s="122">
        <v>120</v>
      </c>
      <c r="CD5" s="122">
        <v>121</v>
      </c>
      <c r="CE5" s="122">
        <v>122</v>
      </c>
      <c r="CF5" s="122">
        <v>147</v>
      </c>
      <c r="CG5" s="122">
        <v>148</v>
      </c>
      <c r="CH5" s="122">
        <v>149</v>
      </c>
      <c r="CI5" s="122">
        <v>150</v>
      </c>
      <c r="CJ5" s="122">
        <v>151</v>
      </c>
      <c r="CK5" s="122">
        <v>156</v>
      </c>
      <c r="CL5" s="122">
        <v>158</v>
      </c>
      <c r="CM5" s="122">
        <v>159</v>
      </c>
      <c r="CN5" s="122">
        <v>160</v>
      </c>
      <c r="CO5" s="122">
        <v>161</v>
      </c>
      <c r="CP5" s="122">
        <v>162</v>
      </c>
      <c r="CQ5" s="122">
        <v>164</v>
      </c>
      <c r="CR5" s="122">
        <v>165</v>
      </c>
      <c r="CS5" s="122">
        <v>166</v>
      </c>
      <c r="CT5" s="122">
        <v>167</v>
      </c>
      <c r="CU5" s="122">
        <v>168</v>
      </c>
      <c r="CV5" s="122">
        <v>170</v>
      </c>
      <c r="CW5" s="122">
        <v>171</v>
      </c>
      <c r="CX5" s="122">
        <v>172</v>
      </c>
      <c r="CY5" s="122">
        <v>173</v>
      </c>
      <c r="CZ5" s="122">
        <v>174</v>
      </c>
      <c r="DA5" s="122">
        <v>176</v>
      </c>
      <c r="DB5" s="122">
        <v>177</v>
      </c>
      <c r="DC5" s="122">
        <v>178</v>
      </c>
      <c r="DD5" s="122">
        <v>179</v>
      </c>
      <c r="DE5" s="122">
        <v>180</v>
      </c>
      <c r="DF5" s="122">
        <v>182</v>
      </c>
      <c r="DG5" s="122">
        <v>183</v>
      </c>
      <c r="DH5" s="122">
        <v>184</v>
      </c>
      <c r="DI5" s="122">
        <v>185</v>
      </c>
      <c r="DJ5" s="122">
        <v>336</v>
      </c>
      <c r="DK5" s="122">
        <v>337</v>
      </c>
      <c r="DL5" s="122">
        <v>338</v>
      </c>
      <c r="DM5" s="122">
        <v>339</v>
      </c>
      <c r="DN5" s="122">
        <v>340</v>
      </c>
      <c r="DO5" s="122">
        <v>341</v>
      </c>
      <c r="DP5" s="122">
        <v>342</v>
      </c>
      <c r="DQ5" s="122">
        <v>343</v>
      </c>
      <c r="DR5" s="122">
        <v>344</v>
      </c>
      <c r="DS5" s="122">
        <v>345</v>
      </c>
      <c r="DT5" s="122">
        <v>346</v>
      </c>
      <c r="DU5" s="122">
        <v>347</v>
      </c>
      <c r="DV5" s="122">
        <v>348</v>
      </c>
      <c r="DW5" s="122">
        <v>349</v>
      </c>
      <c r="DX5" s="122">
        <v>350</v>
      </c>
      <c r="DY5" s="122">
        <v>351</v>
      </c>
      <c r="DZ5" s="122">
        <v>352</v>
      </c>
      <c r="EA5" s="122">
        <v>353</v>
      </c>
      <c r="EB5" s="122">
        <v>354</v>
      </c>
      <c r="EC5" s="122">
        <v>355</v>
      </c>
      <c r="ED5" s="122">
        <v>356</v>
      </c>
      <c r="EE5" s="122">
        <v>357</v>
      </c>
      <c r="EF5" s="122">
        <v>358</v>
      </c>
      <c r="EG5" s="122">
        <v>359</v>
      </c>
      <c r="EH5" s="122">
        <v>360</v>
      </c>
      <c r="EI5" s="122">
        <v>361</v>
      </c>
      <c r="EJ5" s="122">
        <v>362</v>
      </c>
      <c r="EK5" s="122">
        <v>363</v>
      </c>
      <c r="EL5" s="122">
        <v>364</v>
      </c>
      <c r="EM5" s="122">
        <v>365</v>
      </c>
      <c r="EN5" s="122">
        <v>366</v>
      </c>
      <c r="EO5" s="122">
        <v>367</v>
      </c>
      <c r="EP5" s="122">
        <v>368</v>
      </c>
      <c r="EQ5" s="122">
        <v>369</v>
      </c>
      <c r="ER5" s="122">
        <v>370</v>
      </c>
      <c r="ES5" s="122">
        <v>371</v>
      </c>
      <c r="ET5" s="122">
        <v>372</v>
      </c>
      <c r="EU5" s="122">
        <v>373</v>
      </c>
      <c r="EV5" s="122">
        <v>374</v>
      </c>
      <c r="EW5" s="122">
        <v>375</v>
      </c>
      <c r="EX5" s="122">
        <v>376</v>
      </c>
      <c r="EY5" s="122">
        <v>377</v>
      </c>
      <c r="EZ5" s="122">
        <v>378</v>
      </c>
      <c r="FA5" s="122">
        <v>379</v>
      </c>
      <c r="FB5" s="122">
        <v>380</v>
      </c>
      <c r="FC5" s="122">
        <v>381</v>
      </c>
      <c r="FD5" s="122">
        <v>382</v>
      </c>
      <c r="FE5" s="122">
        <v>383</v>
      </c>
      <c r="FF5" s="122">
        <v>384</v>
      </c>
      <c r="FG5" s="122">
        <v>385</v>
      </c>
      <c r="FH5" s="122">
        <v>386</v>
      </c>
      <c r="FI5" s="122">
        <v>387</v>
      </c>
      <c r="FJ5" s="122">
        <v>388</v>
      </c>
      <c r="FK5" s="122">
        <v>389</v>
      </c>
      <c r="FL5" s="122">
        <v>390</v>
      </c>
      <c r="FM5" s="122">
        <v>391</v>
      </c>
      <c r="FN5" s="122">
        <v>392</v>
      </c>
      <c r="FO5" s="122">
        <v>393</v>
      </c>
      <c r="FP5" s="122">
        <v>394</v>
      </c>
      <c r="FQ5" s="122">
        <v>395</v>
      </c>
      <c r="FR5" s="122">
        <v>396</v>
      </c>
      <c r="FS5" s="122">
        <v>397</v>
      </c>
      <c r="FT5" s="122">
        <v>398</v>
      </c>
      <c r="FU5" s="122">
        <v>399</v>
      </c>
      <c r="FV5" s="122">
        <v>400</v>
      </c>
      <c r="FW5" s="122">
        <v>401</v>
      </c>
      <c r="FX5" s="122">
        <v>402</v>
      </c>
      <c r="FY5" s="122">
        <v>403</v>
      </c>
      <c r="FZ5" s="122">
        <v>404</v>
      </c>
      <c r="GA5" s="122">
        <v>405</v>
      </c>
      <c r="GB5" s="122">
        <v>406</v>
      </c>
      <c r="GC5" s="122">
        <v>407</v>
      </c>
      <c r="GD5" s="122">
        <v>408</v>
      </c>
      <c r="GE5" s="122">
        <v>409</v>
      </c>
      <c r="GF5" s="122">
        <v>410</v>
      </c>
      <c r="GG5" s="122">
        <v>411</v>
      </c>
      <c r="GH5" s="122">
        <v>412</v>
      </c>
      <c r="GI5" s="122">
        <v>413</v>
      </c>
      <c r="GJ5" s="122">
        <v>414</v>
      </c>
      <c r="GK5" s="122">
        <v>415</v>
      </c>
      <c r="GL5" s="122">
        <v>416</v>
      </c>
      <c r="GM5" s="122">
        <v>417</v>
      </c>
      <c r="GN5" s="122">
        <v>418</v>
      </c>
      <c r="GO5" s="122">
        <v>419</v>
      </c>
      <c r="GP5" s="122">
        <v>420</v>
      </c>
      <c r="GQ5" s="122">
        <v>421</v>
      </c>
      <c r="GR5" s="122">
        <v>422</v>
      </c>
      <c r="GS5" s="122">
        <v>423</v>
      </c>
      <c r="GT5" s="122">
        <v>424</v>
      </c>
      <c r="GU5" s="122">
        <v>425</v>
      </c>
      <c r="GV5" s="122">
        <v>426</v>
      </c>
      <c r="GW5" s="122">
        <v>427</v>
      </c>
      <c r="GX5" s="122">
        <v>428</v>
      </c>
      <c r="GY5" s="122">
        <v>429</v>
      </c>
      <c r="GZ5" s="122">
        <v>430</v>
      </c>
      <c r="HA5" s="122">
        <v>431</v>
      </c>
      <c r="HB5" s="122">
        <v>432</v>
      </c>
      <c r="HC5" s="122">
        <v>433</v>
      </c>
      <c r="HD5" s="122">
        <v>434</v>
      </c>
      <c r="HE5" s="122">
        <v>435</v>
      </c>
      <c r="HF5" s="122">
        <v>436</v>
      </c>
      <c r="HG5" s="122">
        <v>437</v>
      </c>
      <c r="HH5" s="122">
        <v>438</v>
      </c>
      <c r="HI5" s="122">
        <v>439</v>
      </c>
      <c r="HJ5" s="122">
        <v>440</v>
      </c>
      <c r="HK5" s="122">
        <v>441</v>
      </c>
      <c r="HL5" s="122">
        <v>442</v>
      </c>
      <c r="HM5" s="122">
        <v>443</v>
      </c>
      <c r="HN5" s="122">
        <v>444</v>
      </c>
      <c r="HO5" s="122">
        <v>445</v>
      </c>
      <c r="HP5" s="122">
        <v>446</v>
      </c>
      <c r="HQ5" s="122">
        <v>447</v>
      </c>
      <c r="HR5" s="122">
        <v>448</v>
      </c>
      <c r="HS5" s="122">
        <v>449</v>
      </c>
      <c r="HT5" s="122">
        <v>450</v>
      </c>
      <c r="HU5" s="122">
        <v>451</v>
      </c>
      <c r="HV5" s="122">
        <v>452</v>
      </c>
      <c r="HW5" s="122">
        <v>453</v>
      </c>
      <c r="HX5" s="122">
        <v>454</v>
      </c>
      <c r="HY5" s="122">
        <v>455</v>
      </c>
      <c r="HZ5" s="122">
        <v>456</v>
      </c>
      <c r="IA5" s="122">
        <v>457</v>
      </c>
      <c r="IB5" s="122">
        <v>458</v>
      </c>
      <c r="IC5" s="122">
        <v>459</v>
      </c>
      <c r="ID5" s="122">
        <v>460</v>
      </c>
      <c r="IE5" s="122">
        <v>461</v>
      </c>
      <c r="IF5" s="122">
        <v>462</v>
      </c>
      <c r="IG5" s="122">
        <v>463</v>
      </c>
      <c r="IH5" s="122">
        <v>464</v>
      </c>
      <c r="II5" s="122">
        <v>465</v>
      </c>
      <c r="IJ5" s="122">
        <v>466</v>
      </c>
      <c r="IK5" s="122">
        <v>467</v>
      </c>
      <c r="IL5" s="122">
        <v>468</v>
      </c>
      <c r="IM5" s="122">
        <v>469</v>
      </c>
      <c r="IN5" s="122">
        <v>470</v>
      </c>
      <c r="IO5" s="122">
        <v>471</v>
      </c>
      <c r="IP5" s="122">
        <v>472</v>
      </c>
      <c r="IQ5" s="122">
        <v>473</v>
      </c>
      <c r="IR5" s="122">
        <v>474</v>
      </c>
      <c r="IS5" s="122">
        <v>475</v>
      </c>
      <c r="IT5" s="122">
        <v>476</v>
      </c>
      <c r="IU5" s="122">
        <v>477</v>
      </c>
      <c r="IV5" s="122">
        <v>478</v>
      </c>
      <c r="IW5" s="122">
        <v>479</v>
      </c>
      <c r="IX5" s="122">
        <v>480</v>
      </c>
      <c r="IY5" s="122">
        <v>481</v>
      </c>
      <c r="IZ5" s="122">
        <v>482</v>
      </c>
      <c r="JA5" s="122">
        <v>483</v>
      </c>
      <c r="JB5" s="122">
        <v>484</v>
      </c>
      <c r="JC5" s="122">
        <v>485</v>
      </c>
      <c r="JD5" s="122">
        <v>486</v>
      </c>
      <c r="JE5" s="122">
        <v>487</v>
      </c>
      <c r="JF5" s="122">
        <v>488</v>
      </c>
      <c r="JG5" s="122">
        <v>489</v>
      </c>
      <c r="JH5" s="122">
        <v>490</v>
      </c>
      <c r="JI5" s="122">
        <v>491</v>
      </c>
      <c r="JJ5" s="122">
        <v>492</v>
      </c>
      <c r="JK5" s="122">
        <v>493</v>
      </c>
      <c r="JL5" s="122">
        <v>494</v>
      </c>
      <c r="JM5" s="122">
        <v>495</v>
      </c>
      <c r="JN5" s="122">
        <v>496</v>
      </c>
      <c r="JO5" s="122">
        <v>497</v>
      </c>
      <c r="JP5" s="122">
        <v>498</v>
      </c>
      <c r="JQ5" s="122">
        <v>499</v>
      </c>
      <c r="JR5" s="122">
        <v>500</v>
      </c>
      <c r="JS5" s="122">
        <v>501</v>
      </c>
      <c r="JT5" s="122">
        <v>502</v>
      </c>
      <c r="JU5" s="122">
        <v>503</v>
      </c>
      <c r="JV5" s="122">
        <v>504</v>
      </c>
      <c r="JW5" s="122">
        <v>505</v>
      </c>
      <c r="JX5" s="122">
        <v>506</v>
      </c>
      <c r="JY5" s="122">
        <v>507</v>
      </c>
      <c r="JZ5" s="122">
        <v>508</v>
      </c>
      <c r="KA5" s="122">
        <v>509</v>
      </c>
      <c r="KB5" s="122">
        <v>510</v>
      </c>
      <c r="KC5" s="122">
        <v>511</v>
      </c>
      <c r="KD5" s="122">
        <v>512</v>
      </c>
      <c r="KE5" s="122">
        <v>513</v>
      </c>
      <c r="KF5" s="122">
        <v>514</v>
      </c>
      <c r="KG5" s="122">
        <v>515</v>
      </c>
      <c r="KH5" s="122">
        <v>516</v>
      </c>
      <c r="KI5" s="122">
        <v>517</v>
      </c>
      <c r="KJ5" s="122">
        <v>518</v>
      </c>
      <c r="KK5" s="122">
        <v>519</v>
      </c>
      <c r="KL5" s="122">
        <v>520</v>
      </c>
      <c r="KM5" s="122">
        <v>521</v>
      </c>
      <c r="KN5" s="122">
        <v>522</v>
      </c>
      <c r="KO5" s="122">
        <v>523</v>
      </c>
      <c r="KP5" s="122">
        <v>524</v>
      </c>
      <c r="KQ5" s="122">
        <v>525</v>
      </c>
      <c r="KR5" s="122">
        <v>526</v>
      </c>
      <c r="KS5" s="122">
        <v>527</v>
      </c>
      <c r="KT5" s="122">
        <v>528</v>
      </c>
      <c r="KU5" s="122">
        <v>529</v>
      </c>
      <c r="KV5" s="122">
        <v>530</v>
      </c>
      <c r="KW5" s="122">
        <v>531</v>
      </c>
      <c r="KX5" s="122">
        <v>532</v>
      </c>
      <c r="KY5" s="122">
        <v>533</v>
      </c>
      <c r="KZ5" s="122">
        <v>534</v>
      </c>
      <c r="LA5" s="122">
        <v>535</v>
      </c>
      <c r="LB5" s="122">
        <v>536</v>
      </c>
      <c r="LC5" s="122">
        <v>537</v>
      </c>
      <c r="LD5" s="122">
        <v>538</v>
      </c>
      <c r="LE5" s="122">
        <v>539</v>
      </c>
      <c r="LF5" s="122">
        <v>540</v>
      </c>
      <c r="LG5" s="122">
        <v>541</v>
      </c>
      <c r="LH5" s="122">
        <v>542</v>
      </c>
      <c r="LI5" s="122">
        <v>543</v>
      </c>
      <c r="LJ5" s="122">
        <v>544</v>
      </c>
      <c r="LK5" s="122">
        <v>545</v>
      </c>
      <c r="LL5" s="122">
        <v>546</v>
      </c>
      <c r="LM5" s="122">
        <v>547</v>
      </c>
      <c r="LN5" s="122">
        <v>548</v>
      </c>
      <c r="LO5" s="122">
        <v>549</v>
      </c>
      <c r="LP5" s="122">
        <v>550</v>
      </c>
      <c r="LQ5" s="122">
        <v>551</v>
      </c>
      <c r="LR5" s="122">
        <v>552</v>
      </c>
      <c r="LS5" s="122">
        <v>553</v>
      </c>
      <c r="LT5" s="122">
        <v>554</v>
      </c>
      <c r="LU5" s="122">
        <v>555</v>
      </c>
      <c r="LV5" s="122">
        <v>556</v>
      </c>
      <c r="LW5" s="122">
        <v>557</v>
      </c>
      <c r="LX5" s="122">
        <v>558</v>
      </c>
      <c r="LY5" s="122">
        <v>559</v>
      </c>
      <c r="LZ5" s="122">
        <v>560</v>
      </c>
      <c r="MA5" s="122">
        <v>561</v>
      </c>
      <c r="MB5" s="122">
        <v>562</v>
      </c>
      <c r="MC5" s="122">
        <v>563</v>
      </c>
      <c r="MD5" s="122">
        <v>564</v>
      </c>
      <c r="ME5" s="122">
        <v>565</v>
      </c>
      <c r="MF5" s="122">
        <v>566</v>
      </c>
      <c r="MG5" s="122">
        <v>567</v>
      </c>
      <c r="MH5" s="122">
        <v>568</v>
      </c>
      <c r="MI5" s="122">
        <v>569</v>
      </c>
      <c r="MJ5" s="122">
        <v>570</v>
      </c>
      <c r="MK5" s="122">
        <v>571</v>
      </c>
      <c r="ML5" s="122">
        <v>572</v>
      </c>
      <c r="MM5" s="122">
        <v>573</v>
      </c>
      <c r="MN5" s="122">
        <v>574</v>
      </c>
      <c r="MO5" s="122">
        <v>575</v>
      </c>
      <c r="MP5" s="122">
        <v>576</v>
      </c>
      <c r="MQ5" s="122">
        <v>577</v>
      </c>
      <c r="MR5" s="122">
        <v>578</v>
      </c>
      <c r="MS5" s="122">
        <v>579</v>
      </c>
      <c r="MT5" s="122">
        <v>580</v>
      </c>
      <c r="MU5" s="122">
        <v>581</v>
      </c>
      <c r="MV5" s="122">
        <v>582</v>
      </c>
      <c r="MW5" s="122">
        <v>583</v>
      </c>
      <c r="MX5" s="122">
        <v>584</v>
      </c>
      <c r="MY5" s="122">
        <v>585</v>
      </c>
      <c r="MZ5" s="122">
        <v>586</v>
      </c>
      <c r="NA5" s="122">
        <v>587</v>
      </c>
      <c r="NB5" s="122">
        <v>588</v>
      </c>
      <c r="NC5" s="122">
        <v>589</v>
      </c>
      <c r="ND5" s="122">
        <v>590</v>
      </c>
      <c r="NE5" s="122">
        <v>591</v>
      </c>
      <c r="NF5" s="122">
        <v>592</v>
      </c>
      <c r="NG5" s="122">
        <v>593</v>
      </c>
      <c r="NH5" s="122">
        <v>594</v>
      </c>
      <c r="NI5" s="122">
        <v>595</v>
      </c>
      <c r="NJ5" s="122">
        <v>596</v>
      </c>
      <c r="NK5" s="122">
        <v>597</v>
      </c>
      <c r="NL5" s="122">
        <v>598</v>
      </c>
      <c r="NM5" s="122">
        <v>599</v>
      </c>
      <c r="NN5" s="122">
        <v>600</v>
      </c>
      <c r="NO5" s="122">
        <v>601</v>
      </c>
      <c r="NP5" s="122">
        <v>602</v>
      </c>
      <c r="NQ5" s="122">
        <v>603</v>
      </c>
      <c r="NR5" s="122">
        <v>604</v>
      </c>
      <c r="NS5" s="122">
        <v>605</v>
      </c>
      <c r="NT5" s="122">
        <v>606</v>
      </c>
      <c r="NU5" s="122">
        <v>607</v>
      </c>
      <c r="NV5" s="122">
        <v>608</v>
      </c>
      <c r="NW5" s="122">
        <v>609</v>
      </c>
      <c r="NX5" s="122">
        <v>610</v>
      </c>
      <c r="NY5" s="122">
        <v>611</v>
      </c>
      <c r="NZ5" s="122">
        <v>612</v>
      </c>
      <c r="OA5" s="122">
        <v>613</v>
      </c>
      <c r="OB5" s="122">
        <v>614</v>
      </c>
      <c r="OC5" s="122">
        <v>615</v>
      </c>
      <c r="OD5" s="122">
        <v>616</v>
      </c>
    </row>
    <row r="6" spans="1:618" x14ac:dyDescent="0.25">
      <c r="A6" s="96">
        <v>4</v>
      </c>
      <c r="B6" s="70" t="s">
        <v>630</v>
      </c>
      <c r="C6" s="16">
        <v>182</v>
      </c>
      <c r="D6" s="122">
        <v>183</v>
      </c>
      <c r="E6" s="122">
        <v>184</v>
      </c>
      <c r="F6" s="122">
        <v>185</v>
      </c>
      <c r="G6" s="16">
        <v>186</v>
      </c>
      <c r="H6" s="122">
        <v>187</v>
      </c>
      <c r="I6" s="122">
        <v>188</v>
      </c>
      <c r="J6" s="122">
        <v>189</v>
      </c>
      <c r="K6" s="122">
        <v>190</v>
      </c>
      <c r="L6" s="122">
        <v>191</v>
      </c>
      <c r="M6" s="122">
        <v>192</v>
      </c>
      <c r="N6" s="122">
        <v>193</v>
      </c>
      <c r="O6" s="122">
        <v>194</v>
      </c>
      <c r="P6" s="122">
        <v>195</v>
      </c>
      <c r="Q6" s="122">
        <v>196</v>
      </c>
      <c r="R6" s="122">
        <v>197</v>
      </c>
      <c r="S6" s="122">
        <v>198</v>
      </c>
      <c r="T6" s="122">
        <v>199</v>
      </c>
      <c r="U6" s="122">
        <v>200</v>
      </c>
      <c r="V6" s="122">
        <v>201</v>
      </c>
      <c r="W6" s="122">
        <v>202</v>
      </c>
      <c r="X6" s="122">
        <v>203</v>
      </c>
      <c r="Y6" s="122">
        <v>204</v>
      </c>
      <c r="Z6" s="122">
        <v>205</v>
      </c>
      <c r="AA6" s="122">
        <v>206</v>
      </c>
      <c r="AB6" s="122">
        <v>207</v>
      </c>
      <c r="AC6" s="122">
        <v>208</v>
      </c>
      <c r="AD6" s="122">
        <v>209</v>
      </c>
      <c r="AE6" s="122">
        <v>210</v>
      </c>
      <c r="AF6" s="122">
        <v>211</v>
      </c>
      <c r="AG6" s="122">
        <v>212</v>
      </c>
      <c r="AH6" s="122">
        <v>213</v>
      </c>
      <c r="AI6" s="122">
        <v>214</v>
      </c>
      <c r="AJ6" s="122">
        <v>215</v>
      </c>
      <c r="AK6" s="122">
        <v>216</v>
      </c>
      <c r="AL6" s="122">
        <v>217</v>
      </c>
      <c r="AM6" s="122">
        <v>218</v>
      </c>
      <c r="AN6" s="122">
        <v>219</v>
      </c>
      <c r="AO6" s="122">
        <v>220</v>
      </c>
      <c r="AP6" s="122">
        <v>221</v>
      </c>
      <c r="AQ6" s="122">
        <v>222</v>
      </c>
      <c r="AR6" s="122">
        <v>223</v>
      </c>
      <c r="AS6" s="122">
        <v>224</v>
      </c>
      <c r="AT6" s="122">
        <v>225</v>
      </c>
      <c r="AU6" s="122">
        <v>226</v>
      </c>
      <c r="AV6" s="122">
        <v>227</v>
      </c>
      <c r="AW6" s="122">
        <v>228</v>
      </c>
      <c r="AX6" s="122">
        <v>229</v>
      </c>
      <c r="AY6" s="122">
        <v>230</v>
      </c>
      <c r="AZ6" s="122">
        <v>231</v>
      </c>
      <c r="BA6" s="122">
        <v>232</v>
      </c>
      <c r="BB6" s="122">
        <v>233</v>
      </c>
      <c r="BC6" s="122">
        <v>234</v>
      </c>
      <c r="BD6" s="122">
        <v>235</v>
      </c>
      <c r="BE6" s="122">
        <v>236</v>
      </c>
      <c r="BF6" s="122">
        <v>237</v>
      </c>
      <c r="BG6" s="122">
        <v>238</v>
      </c>
      <c r="BH6" s="122">
        <v>239</v>
      </c>
      <c r="BI6" s="122">
        <v>240</v>
      </c>
      <c r="BJ6" s="122">
        <v>241</v>
      </c>
      <c r="BK6" s="122">
        <v>242</v>
      </c>
      <c r="BL6" s="122">
        <v>243</v>
      </c>
      <c r="BM6" s="122">
        <v>244</v>
      </c>
      <c r="BN6" s="122">
        <v>245</v>
      </c>
      <c r="BO6" s="122">
        <v>246</v>
      </c>
      <c r="BP6" s="122">
        <v>247</v>
      </c>
      <c r="BQ6" s="122">
        <v>248</v>
      </c>
      <c r="BR6" s="122">
        <v>249</v>
      </c>
      <c r="BS6" s="122">
        <v>250</v>
      </c>
      <c r="BT6" s="122">
        <v>251</v>
      </c>
      <c r="BU6" s="122">
        <v>252</v>
      </c>
      <c r="BV6" s="122">
        <v>253</v>
      </c>
      <c r="BW6" s="122">
        <v>254</v>
      </c>
      <c r="BX6" s="122">
        <v>255</v>
      </c>
      <c r="BY6" s="122">
        <v>256</v>
      </c>
      <c r="BZ6" s="122">
        <v>257</v>
      </c>
      <c r="CA6" s="122">
        <v>258</v>
      </c>
      <c r="CB6" s="122">
        <v>259</v>
      </c>
      <c r="CC6" s="122">
        <v>260</v>
      </c>
      <c r="CD6" s="122">
        <v>261</v>
      </c>
      <c r="CE6" s="122">
        <v>262</v>
      </c>
      <c r="CF6" s="122">
        <v>263</v>
      </c>
      <c r="CG6" s="122">
        <v>264</v>
      </c>
      <c r="CH6" s="122">
        <v>265</v>
      </c>
      <c r="CI6" s="122">
        <v>266</v>
      </c>
      <c r="CJ6" s="122">
        <v>267</v>
      </c>
      <c r="CK6" s="122">
        <v>268</v>
      </c>
      <c r="CL6" s="122">
        <v>269</v>
      </c>
      <c r="CM6" s="122">
        <v>270</v>
      </c>
      <c r="CN6" s="122">
        <v>271</v>
      </c>
      <c r="CO6" s="122">
        <v>272</v>
      </c>
      <c r="CP6" s="122">
        <v>273</v>
      </c>
      <c r="CQ6" s="122">
        <v>274</v>
      </c>
      <c r="CR6" s="122">
        <v>275</v>
      </c>
      <c r="CS6" s="122">
        <v>276</v>
      </c>
      <c r="CT6" s="122">
        <v>277</v>
      </c>
      <c r="CU6" s="122">
        <v>278</v>
      </c>
      <c r="CV6" s="122">
        <v>279</v>
      </c>
      <c r="CW6" s="122">
        <v>280</v>
      </c>
      <c r="CX6" s="122">
        <v>281</v>
      </c>
      <c r="CY6" s="122">
        <v>282</v>
      </c>
      <c r="CZ6" s="122">
        <v>283</v>
      </c>
      <c r="DA6" s="122">
        <v>284</v>
      </c>
      <c r="DB6" s="122">
        <v>285</v>
      </c>
      <c r="DC6" s="122">
        <v>286</v>
      </c>
      <c r="DD6" s="122">
        <v>287</v>
      </c>
      <c r="DE6" s="122">
        <v>288</v>
      </c>
      <c r="DF6" s="122">
        <v>289</v>
      </c>
      <c r="DG6" s="122">
        <v>290</v>
      </c>
      <c r="DH6" s="122">
        <v>291</v>
      </c>
      <c r="DI6" s="122">
        <v>292</v>
      </c>
      <c r="DJ6" s="122">
        <v>293</v>
      </c>
      <c r="DK6" s="122">
        <v>294</v>
      </c>
      <c r="DL6" s="122">
        <v>295</v>
      </c>
      <c r="DM6" s="122">
        <v>296</v>
      </c>
      <c r="DN6" s="122">
        <v>297</v>
      </c>
      <c r="DO6" s="122">
        <v>298</v>
      </c>
      <c r="DP6" s="122">
        <v>299</v>
      </c>
      <c r="DQ6" s="122">
        <v>300</v>
      </c>
      <c r="DR6" s="122">
        <v>301</v>
      </c>
      <c r="DS6" s="122">
        <v>302</v>
      </c>
      <c r="DT6" s="122">
        <v>303</v>
      </c>
      <c r="DU6" s="122">
        <v>304</v>
      </c>
      <c r="DV6" s="122">
        <v>305</v>
      </c>
      <c r="DW6" s="122">
        <v>306</v>
      </c>
      <c r="DX6" s="122">
        <v>307</v>
      </c>
      <c r="DY6" s="122">
        <v>308</v>
      </c>
      <c r="DZ6" s="122">
        <v>309</v>
      </c>
      <c r="EA6" s="122">
        <v>310</v>
      </c>
      <c r="EB6" s="122">
        <v>311</v>
      </c>
      <c r="EC6" s="122">
        <v>312</v>
      </c>
      <c r="ED6" s="122">
        <v>313</v>
      </c>
      <c r="EE6" s="122">
        <v>314</v>
      </c>
      <c r="EF6" s="122">
        <v>315</v>
      </c>
      <c r="EG6" s="122">
        <v>316</v>
      </c>
      <c r="EH6" s="122">
        <v>317</v>
      </c>
      <c r="EI6" s="122">
        <v>318</v>
      </c>
      <c r="EJ6" s="122">
        <v>319</v>
      </c>
      <c r="EK6" s="122">
        <v>320</v>
      </c>
      <c r="EL6" s="122">
        <v>321</v>
      </c>
      <c r="EM6" s="122">
        <v>322</v>
      </c>
      <c r="EN6" s="122">
        <v>323</v>
      </c>
      <c r="EO6" s="122">
        <v>324</v>
      </c>
      <c r="EP6" s="122">
        <v>325</v>
      </c>
      <c r="EQ6" s="122">
        <v>326</v>
      </c>
      <c r="ER6" s="122">
        <v>327</v>
      </c>
      <c r="ES6" s="122">
        <v>328</v>
      </c>
      <c r="ET6" s="122">
        <v>329</v>
      </c>
      <c r="EU6" s="122">
        <v>330</v>
      </c>
      <c r="EV6" s="122">
        <v>331</v>
      </c>
      <c r="EW6" s="122">
        <v>332</v>
      </c>
      <c r="EX6" s="122">
        <v>333</v>
      </c>
      <c r="EY6" s="122">
        <v>334</v>
      </c>
      <c r="EZ6" s="122">
        <v>335</v>
      </c>
      <c r="FA6" s="122">
        <v>336</v>
      </c>
      <c r="FB6" s="122">
        <v>337</v>
      </c>
      <c r="FC6" s="122">
        <v>338</v>
      </c>
      <c r="FD6" s="122">
        <v>339</v>
      </c>
      <c r="FE6" s="122">
        <v>340</v>
      </c>
      <c r="FF6" s="122">
        <v>341</v>
      </c>
      <c r="FG6" s="122">
        <v>342</v>
      </c>
      <c r="FH6" s="122">
        <v>343</v>
      </c>
      <c r="FI6" s="122">
        <v>344</v>
      </c>
      <c r="FJ6" s="122">
        <v>345</v>
      </c>
      <c r="FK6" s="122">
        <v>346</v>
      </c>
      <c r="FL6" s="122">
        <v>347</v>
      </c>
      <c r="FM6" s="122">
        <v>348</v>
      </c>
      <c r="FN6" s="122">
        <v>349</v>
      </c>
      <c r="FO6" s="122">
        <v>350</v>
      </c>
      <c r="FP6" s="122">
        <v>351</v>
      </c>
      <c r="FQ6" s="122">
        <v>352</v>
      </c>
      <c r="FR6" s="122">
        <v>353</v>
      </c>
      <c r="FS6" s="122">
        <v>354</v>
      </c>
      <c r="FT6" s="122">
        <v>355</v>
      </c>
      <c r="FU6" s="122">
        <v>356</v>
      </c>
      <c r="FV6" s="122">
        <v>357</v>
      </c>
      <c r="FW6" s="122">
        <v>358</v>
      </c>
      <c r="FX6" s="122">
        <v>359</v>
      </c>
      <c r="FY6" s="122">
        <v>360</v>
      </c>
      <c r="FZ6" s="122">
        <v>361</v>
      </c>
      <c r="GA6" s="122">
        <v>362</v>
      </c>
      <c r="GB6" s="122">
        <v>363</v>
      </c>
      <c r="GC6" s="122">
        <v>364</v>
      </c>
      <c r="GD6" s="122">
        <v>365</v>
      </c>
      <c r="GE6" s="122">
        <v>366</v>
      </c>
      <c r="GF6" s="122">
        <v>367</v>
      </c>
      <c r="GG6" s="122">
        <v>368</v>
      </c>
      <c r="GH6" s="122">
        <v>369</v>
      </c>
      <c r="GI6" s="122">
        <v>370</v>
      </c>
      <c r="GJ6" s="122">
        <v>371</v>
      </c>
      <c r="GK6" s="122">
        <v>372</v>
      </c>
      <c r="GL6" s="122">
        <v>373</v>
      </c>
      <c r="GM6" s="122">
        <v>374</v>
      </c>
      <c r="GN6" s="122">
        <v>375</v>
      </c>
      <c r="GO6" s="122">
        <v>376</v>
      </c>
      <c r="GP6" s="122">
        <v>377</v>
      </c>
      <c r="GQ6" s="122">
        <v>378</v>
      </c>
      <c r="GR6" s="122">
        <v>379</v>
      </c>
      <c r="GS6" s="122">
        <v>380</v>
      </c>
      <c r="GT6" s="122">
        <v>381</v>
      </c>
      <c r="GU6" s="122">
        <v>382</v>
      </c>
      <c r="GV6" s="122">
        <v>383</v>
      </c>
      <c r="GW6" s="122">
        <v>384</v>
      </c>
      <c r="GX6" s="122">
        <v>385</v>
      </c>
      <c r="GY6" s="122">
        <v>386</v>
      </c>
      <c r="GZ6" s="122">
        <v>387</v>
      </c>
      <c r="HA6" s="122">
        <v>388</v>
      </c>
      <c r="HB6" s="122">
        <v>389</v>
      </c>
      <c r="HC6" s="122">
        <v>390</v>
      </c>
      <c r="HD6" s="122">
        <v>391</v>
      </c>
      <c r="HE6" s="122">
        <v>392</v>
      </c>
      <c r="HF6" s="122">
        <v>393</v>
      </c>
      <c r="HG6" s="122">
        <v>394</v>
      </c>
      <c r="HH6" s="122">
        <v>395</v>
      </c>
      <c r="HI6" s="122">
        <v>396</v>
      </c>
      <c r="HJ6" s="122">
        <v>397</v>
      </c>
      <c r="HK6" s="122">
        <v>398</v>
      </c>
      <c r="HL6" s="122">
        <v>399</v>
      </c>
      <c r="HM6" s="122">
        <v>400</v>
      </c>
      <c r="HN6" s="122">
        <v>401</v>
      </c>
      <c r="HO6" s="122">
        <v>402</v>
      </c>
      <c r="HP6" s="122">
        <v>403</v>
      </c>
      <c r="HQ6" s="122">
        <v>404</v>
      </c>
      <c r="HR6" s="122">
        <v>405</v>
      </c>
      <c r="HS6" s="122">
        <v>406</v>
      </c>
      <c r="HT6" s="122">
        <v>407</v>
      </c>
      <c r="HU6" s="122">
        <v>408</v>
      </c>
      <c r="HV6" s="122">
        <v>409</v>
      </c>
      <c r="HW6" s="122">
        <v>410</v>
      </c>
      <c r="HX6" s="122">
        <v>411</v>
      </c>
      <c r="HY6" s="122">
        <v>412</v>
      </c>
      <c r="HZ6" s="122">
        <v>413</v>
      </c>
      <c r="IA6" s="122">
        <v>414</v>
      </c>
      <c r="IB6" s="122">
        <v>415</v>
      </c>
      <c r="IC6" s="122">
        <v>416</v>
      </c>
      <c r="ID6" s="122">
        <v>417</v>
      </c>
      <c r="IE6" s="122">
        <v>418</v>
      </c>
      <c r="IF6" s="122">
        <v>419</v>
      </c>
      <c r="IG6" s="122">
        <v>420</v>
      </c>
      <c r="IH6" s="122">
        <v>421</v>
      </c>
      <c r="II6" s="122">
        <v>422</v>
      </c>
      <c r="IJ6" s="122">
        <v>423</v>
      </c>
      <c r="IK6" s="122">
        <v>424</v>
      </c>
      <c r="IL6" s="122">
        <v>425</v>
      </c>
      <c r="IM6" s="122">
        <v>426</v>
      </c>
      <c r="IN6" s="122">
        <v>427</v>
      </c>
      <c r="IO6" s="122">
        <v>428</v>
      </c>
      <c r="IP6" s="122">
        <v>429</v>
      </c>
      <c r="IQ6" s="122">
        <v>430</v>
      </c>
      <c r="IR6" s="122">
        <v>431</v>
      </c>
      <c r="IS6" s="122">
        <v>432</v>
      </c>
      <c r="IT6" s="122">
        <v>433</v>
      </c>
      <c r="IU6" s="122">
        <v>434</v>
      </c>
      <c r="IV6" s="122">
        <v>435</v>
      </c>
      <c r="IW6" s="122">
        <v>436</v>
      </c>
      <c r="IX6" s="122">
        <v>437</v>
      </c>
      <c r="IY6" s="122">
        <v>438</v>
      </c>
      <c r="IZ6" s="122">
        <v>439</v>
      </c>
      <c r="JA6" s="122">
        <v>440</v>
      </c>
      <c r="JB6" s="122">
        <v>441</v>
      </c>
      <c r="JC6" s="122">
        <v>442</v>
      </c>
      <c r="JD6" s="122">
        <v>443</v>
      </c>
      <c r="JE6" s="122">
        <v>444</v>
      </c>
      <c r="JF6" s="122">
        <v>445</v>
      </c>
      <c r="JG6" s="122">
        <v>446</v>
      </c>
      <c r="JH6" s="122">
        <v>447</v>
      </c>
      <c r="JI6" s="122">
        <v>448</v>
      </c>
      <c r="JJ6" s="122">
        <v>449</v>
      </c>
      <c r="JK6" s="122">
        <v>450</v>
      </c>
      <c r="JL6" s="122">
        <v>451</v>
      </c>
      <c r="JM6" s="122">
        <v>452</v>
      </c>
      <c r="JN6" s="122">
        <v>453</v>
      </c>
      <c r="JO6" s="122">
        <v>454</v>
      </c>
      <c r="JP6" s="122">
        <v>455</v>
      </c>
      <c r="JQ6" s="122">
        <v>456</v>
      </c>
      <c r="JR6" s="122">
        <v>457</v>
      </c>
      <c r="JS6" s="122">
        <v>458</v>
      </c>
      <c r="JT6" s="122">
        <v>459</v>
      </c>
      <c r="JU6" s="122">
        <v>460</v>
      </c>
      <c r="JV6" s="122">
        <v>461</v>
      </c>
      <c r="JW6" s="122">
        <v>462</v>
      </c>
      <c r="JX6" s="122">
        <v>463</v>
      </c>
      <c r="JY6" s="122">
        <v>464</v>
      </c>
      <c r="JZ6" s="122">
        <v>465</v>
      </c>
      <c r="KA6" s="122">
        <v>466</v>
      </c>
      <c r="KB6" s="122">
        <v>467</v>
      </c>
      <c r="KC6" s="122">
        <v>468</v>
      </c>
      <c r="KD6" s="122">
        <v>469</v>
      </c>
      <c r="KE6" s="122">
        <v>470</v>
      </c>
      <c r="KF6" s="122">
        <v>471</v>
      </c>
      <c r="KG6" s="122">
        <v>472</v>
      </c>
      <c r="KH6" s="122">
        <v>473</v>
      </c>
      <c r="KI6" s="122">
        <v>474</v>
      </c>
      <c r="KJ6" s="122">
        <v>475</v>
      </c>
      <c r="KK6" s="122">
        <v>476</v>
      </c>
      <c r="KL6" s="122">
        <v>477</v>
      </c>
      <c r="KM6" s="122">
        <v>478</v>
      </c>
      <c r="KN6" s="122">
        <v>479</v>
      </c>
      <c r="KO6" s="122">
        <v>480</v>
      </c>
      <c r="KP6" s="122">
        <v>481</v>
      </c>
      <c r="KQ6" s="122">
        <v>482</v>
      </c>
      <c r="KR6" s="122">
        <v>483</v>
      </c>
      <c r="KS6" s="122">
        <v>484</v>
      </c>
      <c r="KT6" s="122">
        <v>485</v>
      </c>
      <c r="KU6" s="122">
        <v>486</v>
      </c>
      <c r="KV6" s="122">
        <v>487</v>
      </c>
      <c r="KW6" s="122">
        <v>488</v>
      </c>
      <c r="KX6" s="122">
        <v>489</v>
      </c>
      <c r="KY6" s="122">
        <v>490</v>
      </c>
      <c r="KZ6" s="122">
        <v>491</v>
      </c>
      <c r="LA6" s="122">
        <v>492</v>
      </c>
      <c r="LB6" s="122">
        <v>493</v>
      </c>
      <c r="LC6" s="122">
        <v>494</v>
      </c>
      <c r="LD6" s="122">
        <v>495</v>
      </c>
      <c r="LE6" s="122">
        <v>496</v>
      </c>
      <c r="LF6" s="122">
        <v>497</v>
      </c>
      <c r="LG6" s="122">
        <v>498</v>
      </c>
      <c r="LH6" s="122">
        <v>499</v>
      </c>
      <c r="LI6" s="122">
        <v>500</v>
      </c>
      <c r="LJ6" s="122">
        <v>501</v>
      </c>
      <c r="LK6" s="122">
        <v>502</v>
      </c>
      <c r="LL6" s="122">
        <v>503</v>
      </c>
      <c r="LM6" s="122">
        <v>504</v>
      </c>
      <c r="LN6" s="122">
        <v>505</v>
      </c>
      <c r="LO6" s="122">
        <v>506</v>
      </c>
      <c r="LP6" s="122">
        <v>507</v>
      </c>
      <c r="LQ6" s="122">
        <v>508</v>
      </c>
      <c r="LR6" s="122">
        <v>509</v>
      </c>
      <c r="LS6" s="122">
        <v>510</v>
      </c>
      <c r="LT6" s="122">
        <v>511</v>
      </c>
      <c r="LU6" s="122">
        <v>512</v>
      </c>
      <c r="LV6" s="122">
        <v>513</v>
      </c>
      <c r="LW6" s="122">
        <v>514</v>
      </c>
      <c r="LX6" s="122">
        <v>515</v>
      </c>
      <c r="LY6" s="122">
        <v>516</v>
      </c>
      <c r="LZ6" s="122">
        <v>517</v>
      </c>
      <c r="MA6" s="122">
        <v>518</v>
      </c>
      <c r="MB6" s="122">
        <v>519</v>
      </c>
      <c r="MC6" s="122">
        <v>520</v>
      </c>
      <c r="MD6" s="122">
        <v>521</v>
      </c>
      <c r="ME6" s="122">
        <v>522</v>
      </c>
      <c r="MF6" s="122">
        <v>523</v>
      </c>
      <c r="MG6" s="122">
        <v>524</v>
      </c>
      <c r="MH6" s="122">
        <v>525</v>
      </c>
      <c r="MI6" s="122">
        <v>526</v>
      </c>
      <c r="MJ6" s="122">
        <v>527</v>
      </c>
      <c r="MK6" s="122">
        <v>528</v>
      </c>
      <c r="ML6" s="122">
        <v>529</v>
      </c>
      <c r="MM6" s="122">
        <v>530</v>
      </c>
      <c r="MN6" s="122">
        <v>531</v>
      </c>
      <c r="MO6" s="122">
        <v>532</v>
      </c>
      <c r="MP6" s="122">
        <v>533</v>
      </c>
      <c r="MQ6" s="122">
        <v>534</v>
      </c>
      <c r="MR6" s="122">
        <v>535</v>
      </c>
      <c r="MS6" s="122">
        <v>536</v>
      </c>
      <c r="MT6" s="122">
        <v>537</v>
      </c>
      <c r="MU6" s="122">
        <v>538</v>
      </c>
      <c r="MV6" s="122">
        <v>539</v>
      </c>
      <c r="MW6" s="122">
        <v>540</v>
      </c>
      <c r="MX6" s="122">
        <v>541</v>
      </c>
      <c r="MY6" s="122">
        <v>542</v>
      </c>
      <c r="MZ6" s="122">
        <v>543</v>
      </c>
      <c r="NA6" s="122">
        <v>544</v>
      </c>
      <c r="NB6" s="122">
        <v>545</v>
      </c>
      <c r="NC6" s="122">
        <v>546</v>
      </c>
      <c r="ND6" s="122">
        <v>547</v>
      </c>
      <c r="NE6" s="122">
        <v>548</v>
      </c>
      <c r="NF6" s="122">
        <v>549</v>
      </c>
      <c r="NG6" s="122">
        <v>550</v>
      </c>
      <c r="NH6" s="122">
        <v>551</v>
      </c>
      <c r="NI6" s="122">
        <v>552</v>
      </c>
      <c r="NJ6" s="122">
        <v>553</v>
      </c>
      <c r="NK6" s="122">
        <v>554</v>
      </c>
      <c r="NL6" s="122">
        <v>555</v>
      </c>
      <c r="NM6" s="122">
        <v>556</v>
      </c>
      <c r="NN6" s="122">
        <v>557</v>
      </c>
      <c r="NO6" s="122">
        <v>558</v>
      </c>
      <c r="NP6" s="122">
        <v>559</v>
      </c>
      <c r="NQ6" s="122">
        <v>560</v>
      </c>
      <c r="NR6" s="122">
        <v>561</v>
      </c>
      <c r="NS6" s="122">
        <v>562</v>
      </c>
      <c r="NT6" s="122">
        <v>563</v>
      </c>
      <c r="NU6" s="122">
        <v>564</v>
      </c>
      <c r="NV6" s="122">
        <v>565</v>
      </c>
      <c r="NW6" s="122">
        <v>566</v>
      </c>
      <c r="NX6" s="122">
        <v>567</v>
      </c>
      <c r="NY6" s="122">
        <v>568</v>
      </c>
      <c r="NZ6" s="122">
        <v>569</v>
      </c>
      <c r="OA6" s="122">
        <v>570</v>
      </c>
      <c r="OB6" s="122">
        <v>571</v>
      </c>
      <c r="OC6" s="122">
        <v>572</v>
      </c>
      <c r="OD6" s="122">
        <v>573</v>
      </c>
      <c r="OE6" s="122">
        <v>574</v>
      </c>
      <c r="OF6" s="122">
        <v>575</v>
      </c>
      <c r="OG6" s="122">
        <v>576</v>
      </c>
      <c r="OH6" s="122">
        <v>577</v>
      </c>
      <c r="OI6" s="122">
        <v>578</v>
      </c>
      <c r="OJ6" s="122">
        <v>579</v>
      </c>
      <c r="OK6" s="122">
        <v>580</v>
      </c>
      <c r="OL6" s="122">
        <v>581</v>
      </c>
      <c r="OM6" s="122">
        <v>582</v>
      </c>
      <c r="ON6" s="122">
        <v>583</v>
      </c>
      <c r="OO6" s="122">
        <v>584</v>
      </c>
      <c r="OP6" s="122">
        <v>585</v>
      </c>
      <c r="OQ6" s="122">
        <v>586</v>
      </c>
      <c r="OR6" s="122">
        <v>587</v>
      </c>
      <c r="OS6" s="122">
        <v>588</v>
      </c>
      <c r="OT6" s="122">
        <v>589</v>
      </c>
      <c r="OU6" s="122">
        <v>590</v>
      </c>
      <c r="OV6" s="122">
        <v>591</v>
      </c>
      <c r="OW6" s="122">
        <v>592</v>
      </c>
      <c r="OX6" s="122">
        <v>593</v>
      </c>
      <c r="OY6" s="122">
        <v>594</v>
      </c>
      <c r="OZ6" s="122">
        <v>595</v>
      </c>
      <c r="PA6" s="122">
        <v>596</v>
      </c>
      <c r="PB6" s="122">
        <v>597</v>
      </c>
      <c r="PC6" s="122">
        <v>598</v>
      </c>
      <c r="PD6" s="122">
        <v>599</v>
      </c>
      <c r="PE6" s="122">
        <v>600</v>
      </c>
      <c r="PF6" s="122">
        <v>601</v>
      </c>
      <c r="PG6" s="122">
        <v>602</v>
      </c>
      <c r="PH6" s="122">
        <v>603</v>
      </c>
      <c r="PI6" s="122">
        <v>604</v>
      </c>
      <c r="PJ6" s="122">
        <v>605</v>
      </c>
      <c r="PK6" s="122">
        <v>606</v>
      </c>
      <c r="PL6" s="122">
        <v>607</v>
      </c>
      <c r="PM6" s="122">
        <v>608</v>
      </c>
      <c r="PN6" s="122">
        <v>609</v>
      </c>
      <c r="PO6" s="122">
        <v>610</v>
      </c>
      <c r="PP6" s="122">
        <v>611</v>
      </c>
      <c r="PQ6" s="122">
        <v>612</v>
      </c>
      <c r="PR6" s="122">
        <v>613</v>
      </c>
      <c r="PS6" s="122">
        <v>614</v>
      </c>
      <c r="PT6" s="122">
        <v>615</v>
      </c>
      <c r="PU6" s="122">
        <v>616</v>
      </c>
      <c r="PV6" s="122"/>
      <c r="PW6" s="122"/>
      <c r="PX6" s="122"/>
    </row>
    <row r="7" spans="1:618" x14ac:dyDescent="0.25">
      <c r="A7" s="96">
        <v>5</v>
      </c>
      <c r="B7" s="127" t="s">
        <v>629</v>
      </c>
      <c r="C7" s="16">
        <v>43</v>
      </c>
      <c r="D7" s="122">
        <v>44</v>
      </c>
      <c r="E7" s="122">
        <v>47</v>
      </c>
      <c r="F7" s="122">
        <v>48</v>
      </c>
      <c r="G7" s="122">
        <v>49</v>
      </c>
      <c r="H7" s="122">
        <v>52</v>
      </c>
      <c r="I7" s="122">
        <v>53</v>
      </c>
      <c r="J7" s="122">
        <v>54</v>
      </c>
      <c r="K7" s="122">
        <v>126</v>
      </c>
      <c r="L7" s="122">
        <v>127</v>
      </c>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row>
    <row r="8" spans="1:618" x14ac:dyDescent="0.25">
      <c r="A8" s="96">
        <v>6</v>
      </c>
      <c r="B8" s="19" t="s">
        <v>737</v>
      </c>
      <c r="C8">
        <v>45</v>
      </c>
      <c r="D8">
        <v>46</v>
      </c>
      <c r="E8">
        <v>50</v>
      </c>
      <c r="F8">
        <v>51</v>
      </c>
      <c r="G8">
        <v>55</v>
      </c>
      <c r="H8">
        <v>56</v>
      </c>
      <c r="I8">
        <v>128</v>
      </c>
      <c r="J8">
        <v>129</v>
      </c>
      <c r="K8" s="16">
        <v>130</v>
      </c>
      <c r="L8" s="16">
        <v>131</v>
      </c>
      <c r="M8" s="16">
        <v>132</v>
      </c>
      <c r="N8" s="16">
        <v>133</v>
      </c>
      <c r="O8" s="16">
        <v>134</v>
      </c>
      <c r="P8" s="16">
        <v>135</v>
      </c>
      <c r="Q8" s="16">
        <v>136</v>
      </c>
      <c r="R8" s="16">
        <v>137</v>
      </c>
      <c r="S8" s="16">
        <v>138</v>
      </c>
      <c r="T8" s="16">
        <v>139</v>
      </c>
      <c r="U8" s="16">
        <v>140</v>
      </c>
      <c r="V8" s="16">
        <v>141</v>
      </c>
      <c r="W8" s="16">
        <v>142</v>
      </c>
      <c r="X8" s="16">
        <v>143</v>
      </c>
      <c r="Y8" s="16">
        <v>144</v>
      </c>
      <c r="Z8" s="16">
        <v>145</v>
      </c>
      <c r="AA8" s="16">
        <v>146</v>
      </c>
      <c r="AB8" s="16">
        <v>147</v>
      </c>
      <c r="AC8" s="122">
        <v>148</v>
      </c>
      <c r="AD8" s="122">
        <v>149</v>
      </c>
      <c r="AE8" s="122">
        <v>150</v>
      </c>
      <c r="AF8" s="122">
        <v>151</v>
      </c>
      <c r="AG8" s="122">
        <v>152</v>
      </c>
      <c r="AH8" s="122">
        <v>153</v>
      </c>
      <c r="AI8" s="122">
        <v>154</v>
      </c>
      <c r="AJ8" s="16">
        <v>155</v>
      </c>
      <c r="AK8" s="122">
        <v>156</v>
      </c>
      <c r="AL8" s="122">
        <v>157</v>
      </c>
      <c r="AM8" s="122">
        <v>158</v>
      </c>
      <c r="AN8" s="122">
        <v>159</v>
      </c>
      <c r="AO8" s="122">
        <v>160</v>
      </c>
      <c r="AP8" s="122">
        <v>161</v>
      </c>
      <c r="AQ8" s="122">
        <v>162</v>
      </c>
      <c r="AR8" s="122">
        <v>163</v>
      </c>
      <c r="AS8" s="122">
        <v>164</v>
      </c>
      <c r="AT8" s="122">
        <v>165</v>
      </c>
      <c r="AU8" s="122">
        <v>166</v>
      </c>
      <c r="AV8" s="122">
        <v>167</v>
      </c>
      <c r="AW8" s="122">
        <v>168</v>
      </c>
      <c r="AX8" s="122">
        <v>169</v>
      </c>
      <c r="AY8" s="122">
        <v>170</v>
      </c>
      <c r="AZ8" s="122">
        <v>171</v>
      </c>
      <c r="BA8" s="122">
        <v>172</v>
      </c>
      <c r="BB8" s="122">
        <v>173</v>
      </c>
      <c r="BC8" s="122">
        <v>174</v>
      </c>
      <c r="BD8" s="122">
        <v>175</v>
      </c>
      <c r="BE8" s="122">
        <v>176</v>
      </c>
      <c r="BF8" s="122">
        <v>177</v>
      </c>
      <c r="BG8" s="122">
        <v>178</v>
      </c>
      <c r="BH8" s="122">
        <v>179</v>
      </c>
      <c r="BI8" s="122">
        <v>180</v>
      </c>
      <c r="BJ8" s="122">
        <v>181</v>
      </c>
    </row>
    <row r="9" spans="1:618" x14ac:dyDescent="0.25">
      <c r="A9" s="96">
        <v>7</v>
      </c>
      <c r="B9" s="128" t="s">
        <v>716</v>
      </c>
      <c r="C9" s="16">
        <v>1</v>
      </c>
      <c r="D9" s="122">
        <v>2</v>
      </c>
      <c r="E9" s="122">
        <v>3</v>
      </c>
      <c r="F9" s="122">
        <v>4</v>
      </c>
      <c r="G9" s="122">
        <v>5</v>
      </c>
      <c r="H9" s="122">
        <v>6</v>
      </c>
      <c r="I9" s="122">
        <v>7</v>
      </c>
      <c r="J9" s="122">
        <v>8</v>
      </c>
      <c r="K9" s="122">
        <v>9</v>
      </c>
      <c r="L9" s="122">
        <v>10</v>
      </c>
      <c r="M9" s="122">
        <v>11</v>
      </c>
      <c r="N9" s="122">
        <v>12</v>
      </c>
      <c r="O9" s="122">
        <v>13</v>
      </c>
      <c r="P9" s="122">
        <v>14</v>
      </c>
      <c r="Q9" s="122">
        <v>15</v>
      </c>
      <c r="R9" s="122">
        <v>16</v>
      </c>
      <c r="S9" s="122">
        <v>17</v>
      </c>
      <c r="T9" s="122">
        <v>18</v>
      </c>
      <c r="U9" s="122">
        <v>19</v>
      </c>
      <c r="V9" s="122">
        <v>20</v>
      </c>
      <c r="W9" s="122">
        <v>21</v>
      </c>
      <c r="X9" s="122">
        <v>22</v>
      </c>
      <c r="Y9" s="122">
        <v>23</v>
      </c>
      <c r="Z9" s="122">
        <v>24</v>
      </c>
      <c r="AA9" s="122">
        <v>25</v>
      </c>
      <c r="AB9" s="122">
        <v>26</v>
      </c>
      <c r="AC9" s="122">
        <v>27</v>
      </c>
      <c r="AD9" s="122">
        <v>28</v>
      </c>
      <c r="AE9" s="122">
        <v>29</v>
      </c>
      <c r="AF9" s="122">
        <v>30</v>
      </c>
      <c r="AG9" s="122">
        <v>31</v>
      </c>
      <c r="AH9" s="122">
        <v>32</v>
      </c>
      <c r="AI9" s="122">
        <v>33</v>
      </c>
      <c r="AJ9" s="122">
        <v>34</v>
      </c>
      <c r="AK9" s="122">
        <v>35</v>
      </c>
      <c r="AL9" s="122">
        <v>36</v>
      </c>
      <c r="AM9" s="122">
        <v>37</v>
      </c>
      <c r="AN9" s="122">
        <v>38</v>
      </c>
      <c r="AO9" s="122">
        <v>39</v>
      </c>
      <c r="AP9" s="122">
        <v>40</v>
      </c>
      <c r="AQ9" s="122">
        <v>41</v>
      </c>
      <c r="AR9" s="122">
        <v>42</v>
      </c>
      <c r="AS9" s="122"/>
      <c r="AT9" s="122"/>
      <c r="AU9" s="122"/>
      <c r="AV9" s="122"/>
      <c r="AW9" s="122"/>
      <c r="AX9" s="122"/>
      <c r="AY9" s="122"/>
      <c r="AZ9" s="122"/>
      <c r="BA9" s="122"/>
      <c r="BB9" s="122"/>
    </row>
    <row r="10" spans="1:618" x14ac:dyDescent="0.25">
      <c r="A10" s="96">
        <v>8</v>
      </c>
      <c r="B10" s="125" t="s">
        <v>14</v>
      </c>
      <c r="C10" s="16">
        <v>67</v>
      </c>
      <c r="D10" s="122">
        <v>68</v>
      </c>
      <c r="E10" s="122">
        <v>69</v>
      </c>
      <c r="F10" s="122">
        <v>70</v>
      </c>
      <c r="G10" s="122">
        <v>71</v>
      </c>
      <c r="H10" s="122">
        <v>72</v>
      </c>
      <c r="I10" s="122">
        <v>73</v>
      </c>
      <c r="J10" s="122">
        <v>74</v>
      </c>
      <c r="K10" s="122">
        <v>75</v>
      </c>
      <c r="L10" s="122">
        <v>76</v>
      </c>
      <c r="M10" s="16">
        <v>77</v>
      </c>
      <c r="N10" s="122">
        <v>78</v>
      </c>
      <c r="O10" s="122">
        <v>79</v>
      </c>
      <c r="P10" s="122">
        <v>80</v>
      </c>
      <c r="Q10" s="122">
        <v>81</v>
      </c>
      <c r="R10" s="122">
        <v>82</v>
      </c>
      <c r="S10" s="122">
        <v>83</v>
      </c>
      <c r="T10" s="122">
        <v>84</v>
      </c>
      <c r="U10" s="122">
        <v>85</v>
      </c>
      <c r="V10" s="122">
        <v>86</v>
      </c>
      <c r="W10" s="122">
        <v>87</v>
      </c>
      <c r="X10" s="122">
        <v>88</v>
      </c>
    </row>
    <row r="11" spans="1:618" x14ac:dyDescent="0.25">
      <c r="A11" s="96">
        <v>9</v>
      </c>
      <c r="B11" s="98" t="s">
        <v>16</v>
      </c>
      <c r="C11" s="16">
        <v>89</v>
      </c>
      <c r="D11" s="122">
        <v>90</v>
      </c>
      <c r="E11" s="122">
        <v>91</v>
      </c>
      <c r="F11" s="122">
        <v>92</v>
      </c>
      <c r="G11" s="122">
        <v>93</v>
      </c>
      <c r="H11" s="122">
        <v>94</v>
      </c>
      <c r="I11" s="122">
        <v>95</v>
      </c>
      <c r="J11" s="122">
        <v>96</v>
      </c>
      <c r="K11" s="122">
        <v>97</v>
      </c>
      <c r="L11" s="122">
        <v>98</v>
      </c>
      <c r="M11" s="122">
        <v>99</v>
      </c>
      <c r="N11" s="122">
        <v>100</v>
      </c>
      <c r="O11" s="122">
        <v>101</v>
      </c>
      <c r="P11" s="122">
        <v>102</v>
      </c>
      <c r="Q11" s="122">
        <v>103</v>
      </c>
      <c r="R11" s="122">
        <v>104</v>
      </c>
      <c r="S11" s="122">
        <v>105</v>
      </c>
      <c r="T11" s="122">
        <v>106</v>
      </c>
      <c r="U11" s="122">
        <v>107</v>
      </c>
      <c r="V11" s="122">
        <v>108</v>
      </c>
      <c r="W11" s="122">
        <v>109</v>
      </c>
      <c r="X11" s="122">
        <v>110</v>
      </c>
      <c r="Y11" s="122">
        <v>111</v>
      </c>
      <c r="Z11" s="122">
        <v>112</v>
      </c>
      <c r="AA11" s="122">
        <v>113</v>
      </c>
      <c r="AB11" s="122">
        <v>114</v>
      </c>
      <c r="AC11" s="122">
        <v>115</v>
      </c>
      <c r="AD11" s="122">
        <v>116</v>
      </c>
      <c r="AE11" s="122">
        <v>117</v>
      </c>
      <c r="AF11" s="122">
        <v>118</v>
      </c>
      <c r="AG11" s="122">
        <v>119</v>
      </c>
      <c r="AH11" s="122">
        <v>120</v>
      </c>
      <c r="AI11" s="122">
        <v>121</v>
      </c>
      <c r="AJ11" s="122">
        <v>122</v>
      </c>
      <c r="AK11" s="122">
        <v>123</v>
      </c>
      <c r="AL11" s="122">
        <v>124</v>
      </c>
      <c r="AM11" s="122">
        <v>125</v>
      </c>
    </row>
    <row r="12" spans="1:618" x14ac:dyDescent="0.25">
      <c r="A12" s="96">
        <v>10</v>
      </c>
      <c r="B12" s="126" t="s">
        <v>722</v>
      </c>
      <c r="C12" s="16">
        <v>57</v>
      </c>
      <c r="D12" s="16">
        <v>58</v>
      </c>
      <c r="E12" s="16">
        <v>59</v>
      </c>
      <c r="F12" s="16">
        <v>60</v>
      </c>
      <c r="G12" s="16">
        <v>61</v>
      </c>
      <c r="H12" s="16">
        <v>62</v>
      </c>
      <c r="I12" s="16">
        <v>63</v>
      </c>
      <c r="J12" s="16">
        <v>64</v>
      </c>
      <c r="K12" s="16">
        <v>65</v>
      </c>
      <c r="L12" s="16">
        <v>66</v>
      </c>
    </row>
    <row r="13" spans="1:618" s="122" customFormat="1" x14ac:dyDescent="0.25">
      <c r="B13" s="9"/>
      <c r="C13" s="130"/>
      <c r="D13" s="130"/>
      <c r="E13" s="130"/>
      <c r="F13" s="130"/>
      <c r="G13" s="130"/>
      <c r="H13" s="130"/>
      <c r="I13" s="130"/>
      <c r="J13" s="130"/>
      <c r="K13" s="130"/>
      <c r="L13" s="130"/>
      <c r="M13" s="130"/>
      <c r="N13" s="130"/>
      <c r="O13" s="130"/>
      <c r="P13" s="130"/>
      <c r="Q13" s="130"/>
      <c r="R13" s="130"/>
      <c r="S13" s="130"/>
      <c r="T13" s="130"/>
      <c r="U13" s="9"/>
      <c r="V13" s="9"/>
      <c r="W13" s="9"/>
      <c r="X13" s="9"/>
      <c r="Y13" s="9"/>
      <c r="Z13" s="9"/>
      <c r="AA13" s="9"/>
      <c r="AB13" s="130"/>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row>
    <row r="14" spans="1:618" x14ac:dyDescent="0.25">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618" ht="21" x14ac:dyDescent="0.35">
      <c r="B15" s="107" t="s">
        <v>751</v>
      </c>
      <c r="C15" s="15"/>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row>
    <row r="16" spans="1:618" x14ac:dyDescent="0.25">
      <c r="B16" t="s">
        <v>765</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c r="IP16" s="122"/>
      <c r="IQ16" s="122"/>
      <c r="IR16" s="122"/>
      <c r="IS16" s="122"/>
      <c r="IT16" s="122"/>
      <c r="IU16" s="122"/>
      <c r="IV16" s="122"/>
      <c r="IW16" s="122"/>
      <c r="IX16" s="122"/>
      <c r="IY16" s="122"/>
      <c r="IZ16" s="122"/>
      <c r="JA16" s="122"/>
      <c r="JB16" s="122"/>
      <c r="JC16" s="122"/>
      <c r="JD16" s="122"/>
      <c r="JE16" s="122"/>
      <c r="JF16" s="122"/>
      <c r="JG16" s="122"/>
      <c r="JH16" s="122"/>
      <c r="JI16" s="122"/>
      <c r="JJ16" s="122"/>
      <c r="JK16" s="122"/>
      <c r="JL16" s="122"/>
      <c r="JM16" s="122"/>
      <c r="JN16" s="122"/>
      <c r="JO16" s="122"/>
      <c r="JP16" s="122"/>
      <c r="JQ16" s="122"/>
      <c r="JR16" s="122"/>
      <c r="JS16" s="122"/>
      <c r="JT16" s="122"/>
      <c r="JU16" s="122"/>
      <c r="JV16" s="122"/>
      <c r="JW16" s="122"/>
      <c r="JX16" s="122"/>
      <c r="JY16" s="122"/>
      <c r="JZ16" s="122"/>
      <c r="KA16" s="122"/>
      <c r="KB16" s="122"/>
      <c r="KC16" s="122"/>
      <c r="KD16" s="122"/>
      <c r="KE16" s="122"/>
      <c r="KF16" s="122"/>
      <c r="KG16" s="122"/>
      <c r="KH16" s="122"/>
      <c r="KI16" s="122"/>
      <c r="KJ16" s="122"/>
      <c r="KK16" s="122"/>
      <c r="KL16" s="122"/>
      <c r="KM16" s="122"/>
      <c r="KN16" s="122"/>
      <c r="KO16" s="122"/>
      <c r="KP16" s="122"/>
      <c r="KQ16" s="122"/>
      <c r="KR16" s="122"/>
      <c r="KS16" s="122"/>
      <c r="KT16" s="122"/>
      <c r="KU16" s="122"/>
      <c r="KV16" s="122"/>
      <c r="KW16" s="122"/>
      <c r="KX16" s="122"/>
      <c r="KY16" s="122"/>
      <c r="KZ16" s="122"/>
      <c r="LA16" s="122"/>
      <c r="LB16" s="122"/>
      <c r="LC16" s="122"/>
      <c r="LD16" s="122"/>
      <c r="LE16" s="122"/>
      <c r="LF16" s="122"/>
      <c r="LG16" s="122"/>
      <c r="LH16" s="122"/>
      <c r="LI16" s="122"/>
      <c r="LJ16" s="122"/>
      <c r="LK16" s="122"/>
      <c r="LL16" s="122"/>
      <c r="LM16" s="122"/>
      <c r="LN16" s="122"/>
      <c r="LO16" s="122"/>
      <c r="LP16" s="122"/>
      <c r="LQ16" s="122"/>
      <c r="LR16" s="122"/>
      <c r="LS16" s="122"/>
      <c r="LT16" s="122"/>
      <c r="LU16" s="122"/>
      <c r="LV16" s="122"/>
      <c r="LW16" s="122"/>
      <c r="LX16" s="122"/>
      <c r="LY16" s="122"/>
      <c r="LZ16" s="122"/>
      <c r="MA16" s="122"/>
      <c r="MB16" s="122"/>
      <c r="MC16" s="122"/>
      <c r="MD16" s="122"/>
      <c r="ME16" s="122"/>
      <c r="MF16" s="122"/>
      <c r="MG16" s="122"/>
      <c r="MH16" s="122"/>
      <c r="MI16" s="122"/>
      <c r="MJ16" s="122"/>
      <c r="MK16" s="122"/>
      <c r="ML16" s="122"/>
      <c r="MM16" s="122"/>
      <c r="MN16" s="122"/>
      <c r="MO16" s="122"/>
      <c r="MP16" s="122"/>
      <c r="MQ16" s="122"/>
      <c r="MR16" s="122"/>
      <c r="MS16" s="122"/>
      <c r="MT16" s="122"/>
      <c r="MU16" s="122"/>
      <c r="MV16" s="122"/>
      <c r="MW16" s="122"/>
      <c r="MX16" s="122"/>
      <c r="MY16" s="122"/>
      <c r="MZ16" s="122"/>
      <c r="NA16" s="122"/>
      <c r="NB16" s="122"/>
      <c r="NC16" s="122"/>
      <c r="ND16" s="122"/>
      <c r="NE16" s="122"/>
      <c r="NF16" s="122"/>
      <c r="NG16" s="122"/>
      <c r="NH16" s="122"/>
      <c r="NI16" s="122"/>
      <c r="NJ16" s="122"/>
      <c r="NK16" s="122"/>
      <c r="NL16" s="122"/>
      <c r="NM16" s="122"/>
      <c r="NN16" s="122"/>
      <c r="NO16" s="122"/>
      <c r="NP16" s="122"/>
      <c r="NQ16" s="122"/>
      <c r="NR16" s="122"/>
      <c r="NS16" s="122"/>
      <c r="NT16" s="122"/>
      <c r="NU16" s="122"/>
      <c r="NV16" s="122"/>
      <c r="NW16" s="122"/>
      <c r="NX16" s="122"/>
      <c r="NY16" s="122"/>
      <c r="NZ16" s="122"/>
      <c r="OA16" s="122"/>
      <c r="OB16" s="122"/>
      <c r="OC16" s="122"/>
      <c r="OD16" s="122"/>
    </row>
    <row r="17" spans="2:612" x14ac:dyDescent="0.25">
      <c r="B17" t="s">
        <v>540</v>
      </c>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c r="IG17" s="122"/>
      <c r="IH17" s="122"/>
      <c r="II17" s="122"/>
      <c r="IJ17" s="122"/>
      <c r="IK17" s="122"/>
      <c r="IL17" s="122"/>
      <c r="IM17" s="122"/>
      <c r="IN17" s="122"/>
      <c r="IO17" s="122"/>
      <c r="IP17" s="122"/>
      <c r="IQ17" s="122"/>
      <c r="IR17" s="122"/>
      <c r="IS17" s="122"/>
      <c r="IT17" s="122"/>
      <c r="IU17" s="122"/>
      <c r="IV17" s="122"/>
      <c r="IW17" s="122"/>
      <c r="IX17" s="122"/>
      <c r="IY17" s="122"/>
      <c r="IZ17" s="122"/>
      <c r="JA17" s="122"/>
      <c r="JB17" s="122"/>
      <c r="JC17" s="122"/>
      <c r="JD17" s="122"/>
      <c r="JE17" s="122"/>
      <c r="JF17" s="122"/>
      <c r="JG17" s="122"/>
      <c r="JH17" s="122"/>
      <c r="JI17" s="122"/>
      <c r="JJ17" s="122"/>
      <c r="JK17" s="122"/>
      <c r="JL17" s="122"/>
      <c r="JM17" s="122"/>
      <c r="JN17" s="122"/>
      <c r="JO17" s="122"/>
      <c r="JP17" s="122"/>
      <c r="JQ17" s="122"/>
      <c r="JR17" s="122"/>
      <c r="JS17" s="122"/>
      <c r="JT17" s="122"/>
      <c r="JU17" s="122"/>
      <c r="JV17" s="122"/>
      <c r="JW17" s="122"/>
      <c r="JX17" s="122"/>
      <c r="JY17" s="122"/>
      <c r="JZ17" s="122"/>
      <c r="KA17" s="122"/>
      <c r="KB17" s="122"/>
      <c r="KC17" s="122"/>
      <c r="KD17" s="122"/>
      <c r="KE17" s="122"/>
      <c r="KF17" s="122"/>
      <c r="KG17" s="122"/>
      <c r="KH17" s="122"/>
      <c r="KI17" s="122"/>
      <c r="KJ17" s="122"/>
      <c r="KK17" s="122"/>
      <c r="KL17" s="122"/>
      <c r="KM17" s="122"/>
      <c r="KN17" s="122"/>
      <c r="KO17" s="122"/>
      <c r="KP17" s="122"/>
      <c r="KQ17" s="122"/>
      <c r="KR17" s="122"/>
      <c r="KS17" s="122"/>
      <c r="KT17" s="122"/>
      <c r="KU17" s="122"/>
      <c r="KV17" s="122"/>
      <c r="KW17" s="122"/>
      <c r="KX17" s="122"/>
      <c r="KY17" s="122"/>
      <c r="KZ17" s="122"/>
      <c r="LA17" s="122"/>
      <c r="LB17" s="122"/>
      <c r="LC17" s="122"/>
      <c r="LD17" s="122"/>
      <c r="LE17" s="122"/>
      <c r="LF17" s="122"/>
      <c r="LG17" s="122"/>
      <c r="LH17" s="122"/>
      <c r="LI17" s="122"/>
      <c r="LJ17" s="122"/>
      <c r="LK17" s="122"/>
      <c r="LL17" s="122"/>
      <c r="LM17" s="122"/>
      <c r="LN17" s="122"/>
      <c r="LO17" s="122"/>
      <c r="LP17" s="122"/>
      <c r="LQ17" s="122"/>
      <c r="LR17" s="122"/>
      <c r="LS17" s="122"/>
      <c r="LT17" s="122"/>
      <c r="LU17" s="122"/>
      <c r="LV17" s="122"/>
      <c r="LW17" s="122"/>
      <c r="LX17" s="122"/>
      <c r="LY17" s="122"/>
      <c r="LZ17" s="122"/>
      <c r="MA17" s="122"/>
      <c r="MB17" s="122"/>
      <c r="MC17" s="122"/>
      <c r="MD17" s="122"/>
      <c r="ME17" s="122"/>
      <c r="MF17" s="122"/>
      <c r="MG17" s="122"/>
      <c r="MH17" s="122"/>
      <c r="MI17" s="122"/>
      <c r="MJ17" s="122"/>
      <c r="MK17" s="122"/>
      <c r="ML17" s="122"/>
      <c r="MM17" s="122"/>
      <c r="MN17" s="122"/>
      <c r="MO17" s="122"/>
      <c r="MP17" s="122"/>
      <c r="MQ17" s="122"/>
      <c r="MR17" s="122"/>
      <c r="MS17" s="122"/>
      <c r="MT17" s="122"/>
      <c r="MU17" s="122"/>
      <c r="MV17" s="122"/>
      <c r="MW17" s="122"/>
      <c r="MX17" s="122"/>
      <c r="MY17" s="122"/>
      <c r="MZ17" s="122"/>
      <c r="NA17" s="122"/>
      <c r="NB17" s="122"/>
      <c r="NC17" s="122"/>
      <c r="ND17" s="122"/>
      <c r="NE17" s="122"/>
      <c r="NF17" s="122"/>
      <c r="NG17" s="122"/>
      <c r="NH17" s="122"/>
      <c r="NI17" s="122"/>
      <c r="NJ17" s="122"/>
      <c r="NK17" s="122"/>
      <c r="NL17" s="122"/>
      <c r="NM17" s="122"/>
      <c r="NN17" s="122"/>
      <c r="NO17" s="122"/>
      <c r="NP17" s="122"/>
      <c r="NQ17" s="122"/>
      <c r="NR17" s="122"/>
      <c r="NS17" s="122"/>
      <c r="NT17" s="122"/>
      <c r="NU17" s="122"/>
      <c r="NV17" s="122"/>
      <c r="NW17" s="122"/>
      <c r="NX17" s="122"/>
      <c r="NY17" s="122"/>
      <c r="NZ17" s="122"/>
      <c r="OA17" s="122"/>
      <c r="OB17" s="122"/>
      <c r="OC17" s="122"/>
      <c r="OD17" s="122"/>
    </row>
    <row r="18" spans="2:612" x14ac:dyDescent="0.25">
      <c r="B18" s="96" t="s">
        <v>769</v>
      </c>
      <c r="D18" s="9"/>
      <c r="E18" s="9"/>
      <c r="F18" s="9"/>
      <c r="G18" s="9"/>
      <c r="H18" s="9"/>
      <c r="I18" s="9"/>
      <c r="J18" s="9"/>
      <c r="K18" s="130"/>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2"/>
      <c r="IL18" s="122"/>
      <c r="IM18" s="122"/>
      <c r="IN18" s="122"/>
      <c r="IO18" s="122"/>
      <c r="IP18" s="122"/>
      <c r="IQ18" s="122"/>
      <c r="IR18" s="122"/>
      <c r="IS18" s="122"/>
      <c r="IT18" s="122"/>
      <c r="IU18" s="122"/>
      <c r="IV18" s="122"/>
      <c r="IW18" s="122"/>
      <c r="IX18" s="122"/>
      <c r="IY18" s="122"/>
      <c r="IZ18" s="122"/>
      <c r="JA18" s="122"/>
      <c r="JB18" s="122"/>
      <c r="JC18" s="122"/>
      <c r="JD18" s="122"/>
      <c r="JE18" s="122"/>
      <c r="JF18" s="122"/>
      <c r="JG18" s="122"/>
      <c r="JH18" s="122"/>
      <c r="JI18" s="122"/>
      <c r="JJ18" s="122"/>
      <c r="JK18" s="122"/>
      <c r="JL18" s="122"/>
      <c r="JM18" s="122"/>
      <c r="JN18" s="122"/>
      <c r="JO18" s="122"/>
      <c r="JP18" s="122"/>
      <c r="JQ18" s="122"/>
      <c r="JR18" s="122"/>
      <c r="JS18" s="122"/>
      <c r="JT18" s="122"/>
      <c r="JU18" s="122"/>
      <c r="JV18" s="122"/>
      <c r="JW18" s="122"/>
      <c r="JX18" s="122"/>
      <c r="JY18" s="122"/>
      <c r="JZ18" s="122"/>
      <c r="KA18" s="122"/>
      <c r="KB18" s="122"/>
      <c r="KC18" s="122"/>
      <c r="KD18" s="122"/>
      <c r="KE18" s="122"/>
      <c r="KF18" s="122"/>
      <c r="KG18" s="122"/>
      <c r="KH18" s="122"/>
      <c r="KI18" s="122"/>
      <c r="KJ18" s="122"/>
      <c r="KK18" s="122"/>
      <c r="KL18" s="122"/>
      <c r="KM18" s="122"/>
      <c r="KN18" s="122"/>
      <c r="KO18" s="122"/>
      <c r="KP18" s="122"/>
      <c r="KQ18" s="122"/>
      <c r="KR18" s="122"/>
      <c r="KS18" s="122"/>
      <c r="KT18" s="122"/>
      <c r="KU18" s="122"/>
      <c r="KV18" s="122"/>
      <c r="KW18" s="122"/>
      <c r="KX18" s="122"/>
      <c r="KY18" s="122"/>
      <c r="KZ18" s="122"/>
      <c r="LA18" s="122"/>
      <c r="LB18" s="122"/>
      <c r="LC18" s="122"/>
      <c r="LD18" s="122"/>
      <c r="LE18" s="122"/>
      <c r="LF18" s="122"/>
      <c r="LG18" s="122"/>
      <c r="LH18" s="122"/>
      <c r="LI18" s="122"/>
      <c r="LJ18" s="122"/>
      <c r="LK18" s="122"/>
      <c r="LL18" s="122"/>
      <c r="LM18" s="122"/>
      <c r="LN18" s="122"/>
      <c r="LO18" s="122"/>
      <c r="LP18" s="122"/>
      <c r="LQ18" s="122"/>
      <c r="LR18" s="122"/>
      <c r="LS18" s="122"/>
      <c r="LT18" s="122"/>
      <c r="LU18" s="122"/>
      <c r="LV18" s="122"/>
      <c r="LW18" s="122"/>
      <c r="LX18" s="122"/>
      <c r="LY18" s="122"/>
      <c r="LZ18" s="122"/>
      <c r="MA18" s="122"/>
      <c r="MB18" s="122"/>
      <c r="MC18" s="122"/>
      <c r="MD18" s="122"/>
      <c r="ME18" s="122"/>
      <c r="MF18" s="122"/>
      <c r="MG18" s="122"/>
      <c r="MH18" s="122"/>
      <c r="MI18" s="122"/>
      <c r="MJ18" s="122"/>
      <c r="MK18" s="122"/>
      <c r="ML18" s="122"/>
      <c r="MM18" s="122"/>
      <c r="MN18" s="122"/>
      <c r="MO18" s="122"/>
      <c r="MP18" s="122"/>
      <c r="MQ18" s="122"/>
      <c r="MR18" s="122"/>
      <c r="MS18" s="122"/>
      <c r="MT18" s="122"/>
      <c r="MU18" s="122"/>
      <c r="MV18" s="122"/>
      <c r="MW18" s="122"/>
      <c r="MX18" s="122"/>
      <c r="MY18" s="122"/>
      <c r="MZ18" s="122"/>
      <c r="NA18" s="122"/>
      <c r="NB18" s="122"/>
      <c r="NC18" s="122"/>
      <c r="ND18" s="122"/>
      <c r="NE18" s="122"/>
      <c r="NF18" s="122"/>
      <c r="NG18" s="122"/>
      <c r="NH18" s="122"/>
      <c r="NI18" s="122"/>
      <c r="NJ18" s="122"/>
      <c r="NK18" s="122"/>
      <c r="NL18" s="122"/>
      <c r="NM18" s="122"/>
      <c r="NN18" s="122"/>
      <c r="NO18" s="122"/>
      <c r="NP18" s="122"/>
      <c r="NQ18" s="122"/>
      <c r="NR18" s="122"/>
      <c r="NS18" s="122"/>
      <c r="NT18" s="122"/>
      <c r="NU18" s="122"/>
      <c r="NV18" s="122"/>
      <c r="NW18" s="122"/>
      <c r="NX18" s="122"/>
      <c r="NY18" s="122"/>
      <c r="NZ18" s="122"/>
      <c r="OA18" s="122"/>
      <c r="OB18" s="122"/>
      <c r="OC18" s="122"/>
      <c r="OD18" s="122"/>
    </row>
    <row r="19" spans="2:612" x14ac:dyDescent="0.25">
      <c r="B19" t="s">
        <v>2</v>
      </c>
      <c r="C19" t="s">
        <v>764</v>
      </c>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row>
    <row r="20" spans="2:612" x14ac:dyDescent="0.25">
      <c r="C20" t="s">
        <v>4</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row>
    <row r="21" spans="2:612" x14ac:dyDescent="0.25">
      <c r="C21" t="s">
        <v>3</v>
      </c>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row>
    <row r="22" spans="2:612" x14ac:dyDescent="0.25">
      <c r="B22" t="s">
        <v>543</v>
      </c>
      <c r="C22" t="s">
        <v>541</v>
      </c>
    </row>
    <row r="23" spans="2:612" x14ac:dyDescent="0.25">
      <c r="C23" t="s">
        <v>542</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c r="JD23" s="16"/>
      <c r="JE23" s="16"/>
      <c r="JF23" s="16"/>
      <c r="JG23" s="16"/>
      <c r="JH23" s="16"/>
      <c r="JI23" s="16"/>
      <c r="JJ23" s="16"/>
      <c r="JK23" s="16"/>
      <c r="JL23" s="16"/>
      <c r="JM23" s="16"/>
      <c r="JN23" s="16"/>
      <c r="JO23" s="16"/>
      <c r="JP23" s="16"/>
      <c r="JQ23" s="16"/>
      <c r="JR23" s="16"/>
      <c r="JS23" s="16"/>
      <c r="JT23" s="16"/>
      <c r="JU23" s="16"/>
      <c r="JV23" s="16"/>
      <c r="JW23" s="16"/>
      <c r="JX23" s="16"/>
      <c r="JY23" s="16"/>
      <c r="JZ23" s="16"/>
      <c r="KA23" s="16"/>
      <c r="KB23" s="16"/>
      <c r="KC23" s="16"/>
      <c r="KD23" s="16"/>
      <c r="KE23" s="16"/>
      <c r="KF23" s="16"/>
      <c r="KG23" s="16"/>
      <c r="KH23" s="16"/>
      <c r="KI23" s="16"/>
      <c r="KJ23" s="16"/>
      <c r="KK23" s="16"/>
      <c r="KL23" s="16"/>
      <c r="KM23" s="16"/>
      <c r="KN23" s="16"/>
      <c r="KO23" s="16"/>
      <c r="KP23" s="16"/>
      <c r="KQ23" s="16"/>
      <c r="KR23" s="16"/>
      <c r="KS23" s="16"/>
      <c r="KT23" s="16"/>
      <c r="KU23" s="16"/>
      <c r="KV23" s="16"/>
      <c r="KW23" s="16"/>
      <c r="KX23" s="16"/>
      <c r="KY23" s="16"/>
      <c r="KZ23" s="16"/>
      <c r="LA23" s="16"/>
      <c r="LB23" s="16"/>
      <c r="LC23" s="16"/>
      <c r="LD23" s="16"/>
      <c r="LE23" s="16"/>
      <c r="LF23" s="16"/>
      <c r="LG23" s="16"/>
      <c r="LH23" s="16"/>
      <c r="LI23" s="16"/>
      <c r="LJ23" s="16"/>
      <c r="LK23" s="16"/>
      <c r="LL23" s="16"/>
      <c r="LM23" s="16"/>
      <c r="LN23" s="16"/>
      <c r="LO23" s="16"/>
      <c r="LP23" s="16"/>
      <c r="LQ23" s="16"/>
      <c r="LR23" s="16"/>
      <c r="LS23" s="16"/>
      <c r="LT23" s="16"/>
      <c r="LU23" s="16"/>
      <c r="LV23" s="16"/>
      <c r="LW23" s="16"/>
      <c r="LX23" s="16"/>
      <c r="LY23" s="16"/>
      <c r="LZ23" s="16"/>
      <c r="MA23" s="16"/>
      <c r="MB23" s="16"/>
      <c r="MC23" s="16"/>
      <c r="MD23" s="16"/>
      <c r="ME23" s="16"/>
      <c r="MF23" s="16"/>
      <c r="MG23" s="16"/>
      <c r="MH23" s="16"/>
      <c r="MI23" s="16"/>
      <c r="MJ23" s="16"/>
      <c r="MK23" s="16"/>
      <c r="ML23" s="16"/>
      <c r="MM23" s="16"/>
      <c r="MN23" s="16"/>
      <c r="MO23" s="16"/>
      <c r="MP23" s="16"/>
      <c r="MQ23" s="16"/>
      <c r="MR23" s="16"/>
      <c r="MS23" s="16"/>
      <c r="MT23" s="16"/>
      <c r="MU23" s="16"/>
      <c r="MV23" s="16"/>
      <c r="MW23" s="16"/>
      <c r="MX23" s="16"/>
      <c r="MY23" s="16"/>
      <c r="MZ23" s="16"/>
      <c r="NA23" s="16"/>
      <c r="NB23" s="16"/>
      <c r="NC23" s="16"/>
      <c r="ND23" s="16"/>
      <c r="NE23" s="16"/>
      <c r="NF23" s="16"/>
      <c r="NG23" s="16"/>
      <c r="NH23" s="16"/>
      <c r="NI23" s="16"/>
      <c r="NJ23" s="16"/>
      <c r="NK23" s="16"/>
      <c r="NL23" s="16"/>
      <c r="NM23" s="16"/>
      <c r="NN23" s="16"/>
      <c r="NO23" s="16"/>
      <c r="NP23" s="16"/>
      <c r="NQ23" s="16"/>
      <c r="NR23" s="16"/>
      <c r="NS23" s="16"/>
      <c r="NT23" s="16"/>
      <c r="NU23" s="16"/>
      <c r="NV23" s="16"/>
      <c r="NW23" s="16"/>
      <c r="NX23" s="16"/>
      <c r="NY23" s="16"/>
      <c r="NZ23" s="16"/>
      <c r="OA23" s="16"/>
      <c r="OB23" s="16"/>
      <c r="OC23" s="16"/>
      <c r="OD23" s="16"/>
      <c r="OE23" s="16"/>
      <c r="OF23" s="16"/>
      <c r="OG23" s="16"/>
      <c r="OH23" s="16"/>
      <c r="OI23" s="16"/>
      <c r="OJ23" s="16"/>
      <c r="OK23" s="16"/>
      <c r="OL23" s="16"/>
      <c r="OM23" s="16"/>
      <c r="ON23" s="16"/>
      <c r="OO23" s="16"/>
      <c r="OP23" s="16"/>
      <c r="OQ23" s="16"/>
      <c r="OR23" s="16"/>
      <c r="OS23" s="16"/>
      <c r="OT23" s="16"/>
      <c r="OU23" s="16"/>
      <c r="OV23" s="16"/>
      <c r="OW23" s="16"/>
      <c r="OX23" s="16"/>
      <c r="OY23" s="16"/>
      <c r="OZ23" s="16"/>
      <c r="PA23" s="16"/>
      <c r="PB23" s="16"/>
      <c r="PC23" s="16"/>
      <c r="PD23" s="16"/>
      <c r="PE23" s="16"/>
      <c r="PF23" s="16"/>
      <c r="PG23" s="16"/>
      <c r="PH23" s="16"/>
      <c r="PI23" s="16"/>
      <c r="PJ23" s="16"/>
      <c r="PK23" s="16"/>
      <c r="PL23" s="16"/>
      <c r="PM23" s="16"/>
      <c r="PN23" s="16"/>
      <c r="PO23" s="16"/>
      <c r="PP23" s="16"/>
      <c r="PQ23" s="16"/>
      <c r="PR23" s="16"/>
      <c r="PS23" s="16"/>
      <c r="PT23" s="16"/>
      <c r="PU23" s="16"/>
      <c r="PV23" s="16"/>
      <c r="PW23" s="16"/>
      <c r="PX23" s="16"/>
      <c r="PY23" s="16"/>
      <c r="PZ23" s="16"/>
      <c r="QA23" s="16"/>
      <c r="QB23" s="16"/>
      <c r="QC23" s="16"/>
      <c r="QD23" s="16"/>
      <c r="QE23" s="16"/>
      <c r="QF23" s="16"/>
      <c r="QG23" s="16"/>
      <c r="QH23" s="16"/>
      <c r="QI23" s="16"/>
      <c r="QJ23" s="16"/>
      <c r="QK23" s="16"/>
      <c r="QL23" s="16"/>
      <c r="QM23" s="16"/>
      <c r="QN23" s="16"/>
      <c r="QO23" s="16"/>
      <c r="QP23" s="16"/>
      <c r="QQ23" s="16"/>
      <c r="QR23" s="16"/>
      <c r="QS23" s="16"/>
      <c r="QT23" s="16"/>
      <c r="QU23" s="16"/>
      <c r="QV23" s="16"/>
      <c r="QW23" s="16"/>
      <c r="QX23" s="16"/>
      <c r="QY23" s="16"/>
      <c r="QZ23" s="16"/>
      <c r="RA23" s="16"/>
      <c r="RB23" s="16"/>
      <c r="RC23" s="16"/>
      <c r="RD23" s="16"/>
      <c r="RE23" s="16"/>
      <c r="RF23" s="16"/>
      <c r="RG23" s="16"/>
      <c r="RH23" s="16"/>
      <c r="RI23" s="16"/>
      <c r="RJ23" s="16"/>
      <c r="RK23" s="16"/>
      <c r="RL23" s="16"/>
      <c r="RM23" s="16"/>
      <c r="RN23" s="16"/>
      <c r="RO23" s="16"/>
      <c r="RP23" s="16"/>
      <c r="RQ23" s="16"/>
      <c r="RR23" s="16"/>
      <c r="RS23" s="16"/>
      <c r="RT23" s="16"/>
      <c r="RU23" s="16"/>
      <c r="RV23" s="16"/>
      <c r="RW23" s="16"/>
      <c r="RX23" s="16"/>
      <c r="RY23" s="16"/>
      <c r="RZ23" s="16"/>
      <c r="SA23" s="16"/>
      <c r="SB23" s="16"/>
      <c r="SC23" s="16"/>
      <c r="SD23" s="16"/>
      <c r="SE23" s="16"/>
      <c r="SF23" s="16"/>
      <c r="SG23" s="16"/>
      <c r="SH23" s="16"/>
      <c r="SI23" s="16"/>
      <c r="SJ23" s="16"/>
      <c r="SK23" s="16"/>
      <c r="SL23" s="16"/>
      <c r="SM23" s="16"/>
      <c r="SN23" s="16"/>
      <c r="SO23" s="16"/>
      <c r="SP23" s="16"/>
      <c r="SQ23" s="16"/>
      <c r="SR23" s="16"/>
      <c r="SS23" s="16"/>
      <c r="ST23" s="16"/>
      <c r="SU23" s="16"/>
      <c r="SV23" s="16"/>
      <c r="SW23" s="16"/>
      <c r="SX23" s="16"/>
      <c r="SY23" s="16"/>
      <c r="SZ23" s="16"/>
      <c r="TA23" s="16"/>
      <c r="TB23" s="16"/>
      <c r="TC23" s="16"/>
      <c r="TD23" s="16"/>
      <c r="TE23" s="16"/>
      <c r="TF23" s="16"/>
      <c r="TG23" s="16"/>
      <c r="TH23" s="16"/>
      <c r="TI23" s="16"/>
      <c r="TJ23" s="16"/>
      <c r="TK23" s="16"/>
      <c r="TL23" s="16"/>
      <c r="TM23" s="16"/>
      <c r="TN23" s="16"/>
      <c r="TO23" s="16"/>
      <c r="TP23" s="16"/>
      <c r="TQ23" s="16"/>
      <c r="TR23" s="16"/>
      <c r="TS23" s="16"/>
      <c r="TT23" s="16"/>
      <c r="TU23" s="16"/>
      <c r="TV23" s="16"/>
      <c r="TW23" s="16"/>
      <c r="TX23" s="16"/>
      <c r="TY23" s="16"/>
      <c r="TZ23" s="16"/>
      <c r="UA23" s="16"/>
      <c r="UB23" s="16"/>
      <c r="UC23" s="16"/>
      <c r="UD23" s="16"/>
      <c r="UE23" s="16"/>
      <c r="UF23" s="16"/>
      <c r="UG23" s="16"/>
      <c r="UH23" s="16"/>
      <c r="UI23" s="16"/>
      <c r="UJ23" s="16"/>
      <c r="UK23" s="16"/>
      <c r="UL23" s="16"/>
      <c r="UM23" s="16"/>
      <c r="UN23" s="16"/>
      <c r="UO23" s="16"/>
      <c r="UP23" s="16"/>
      <c r="UQ23" s="16"/>
      <c r="UR23" s="16"/>
      <c r="US23" s="16"/>
      <c r="UT23" s="16"/>
      <c r="UU23" s="16"/>
      <c r="UV23" s="16"/>
      <c r="UW23" s="16"/>
      <c r="UX23" s="16"/>
      <c r="UY23" s="16"/>
      <c r="UZ23" s="16"/>
      <c r="VA23" s="16"/>
      <c r="VB23" s="16"/>
      <c r="VC23" s="16"/>
      <c r="VD23" s="16"/>
      <c r="VE23" s="16"/>
      <c r="VF23" s="16"/>
      <c r="VG23" s="16"/>
      <c r="VH23" s="16"/>
      <c r="VI23" s="16"/>
      <c r="VJ23" s="16"/>
      <c r="VK23" s="16"/>
      <c r="VL23" s="16"/>
      <c r="VM23" s="16"/>
      <c r="VN23" s="16"/>
      <c r="VO23" s="16"/>
      <c r="VP23" s="16"/>
      <c r="VQ23" s="16"/>
      <c r="VR23" s="16"/>
      <c r="VS23" s="16"/>
      <c r="VT23" s="16"/>
      <c r="VU23" s="16"/>
      <c r="VV23" s="16"/>
      <c r="VW23" s="16"/>
      <c r="VX23" s="16"/>
      <c r="VY23" s="16"/>
      <c r="VZ23" s="16"/>
      <c r="WA23" s="16"/>
      <c r="WB23" s="16"/>
      <c r="WC23" s="16"/>
      <c r="WD23" s="16"/>
      <c r="WE23" s="16"/>
      <c r="WF23" s="16"/>
      <c r="WG23" s="16"/>
      <c r="WH23" s="16"/>
      <c r="WI23" s="16"/>
      <c r="WJ23" s="16"/>
      <c r="WK23" s="16"/>
      <c r="WL23" s="16"/>
      <c r="WM23" s="16"/>
      <c r="WN23" s="16"/>
    </row>
    <row r="24" spans="2:612" x14ac:dyDescent="0.25">
      <c r="B24" t="s">
        <v>766</v>
      </c>
      <c r="C24" t="s">
        <v>768</v>
      </c>
      <c r="E24" s="9"/>
    </row>
    <row r="25" spans="2:612" x14ac:dyDescent="0.25">
      <c r="B25" t="s">
        <v>767</v>
      </c>
      <c r="C25" s="9" t="s">
        <v>778</v>
      </c>
      <c r="E25" s="9"/>
    </row>
    <row r="26" spans="2:612" x14ac:dyDescent="0.25">
      <c r="D26" s="9"/>
      <c r="E26" s="9"/>
    </row>
    <row r="27" spans="2:612" x14ac:dyDescent="0.25">
      <c r="B27" s="96" t="s">
        <v>774</v>
      </c>
      <c r="D27" s="9"/>
      <c r="E27" s="9"/>
    </row>
    <row r="28" spans="2:612" x14ac:dyDescent="0.25">
      <c r="B28" t="s">
        <v>9</v>
      </c>
      <c r="C28" t="s">
        <v>10</v>
      </c>
      <c r="D28" s="9"/>
      <c r="E28" s="9"/>
    </row>
    <row r="29" spans="2:612" x14ac:dyDescent="0.25">
      <c r="C29" t="s">
        <v>548</v>
      </c>
      <c r="D29" s="122"/>
      <c r="E29" s="9"/>
    </row>
    <row r="30" spans="2:612" x14ac:dyDescent="0.25">
      <c r="C30" t="s">
        <v>11</v>
      </c>
      <c r="D30" s="9"/>
      <c r="E30" s="9"/>
    </row>
    <row r="31" spans="2:612" x14ac:dyDescent="0.25">
      <c r="B31" s="122"/>
      <c r="C31" s="122" t="s">
        <v>777</v>
      </c>
      <c r="D31" s="9"/>
      <c r="E31" s="9"/>
    </row>
    <row r="32" spans="2:612" x14ac:dyDescent="0.25">
      <c r="B32" t="s">
        <v>770</v>
      </c>
      <c r="C32" t="s">
        <v>547</v>
      </c>
      <c r="D32" s="9"/>
      <c r="E32" s="9"/>
    </row>
    <row r="33" spans="2:5" x14ac:dyDescent="0.25">
      <c r="C33" t="s">
        <v>8</v>
      </c>
      <c r="D33" s="9"/>
      <c r="E33" s="9"/>
    </row>
    <row r="34" spans="2:5" x14ac:dyDescent="0.25">
      <c r="B34" t="s">
        <v>7</v>
      </c>
      <c r="C34" t="s">
        <v>779</v>
      </c>
      <c r="D34" s="9"/>
      <c r="E34" s="9"/>
    </row>
    <row r="35" spans="2:5" x14ac:dyDescent="0.25">
      <c r="C35" t="s">
        <v>780</v>
      </c>
      <c r="D35" s="9"/>
      <c r="E35" s="9"/>
    </row>
    <row r="36" spans="2:5" x14ac:dyDescent="0.25">
      <c r="C36" t="s">
        <v>781</v>
      </c>
      <c r="D36" s="9"/>
      <c r="E36" s="9"/>
    </row>
    <row r="37" spans="2:5" x14ac:dyDescent="0.25">
      <c r="C37" t="s">
        <v>544</v>
      </c>
      <c r="D37" s="9"/>
      <c r="E37" s="9"/>
    </row>
    <row r="38" spans="2:5" x14ac:dyDescent="0.25">
      <c r="D38" s="9"/>
      <c r="E38" s="9"/>
    </row>
    <row r="39" spans="2:5" x14ac:dyDescent="0.25">
      <c r="B39" s="96" t="s">
        <v>775</v>
      </c>
      <c r="D39" s="9"/>
      <c r="E39" s="9"/>
    </row>
    <row r="40" spans="2:5" x14ac:dyDescent="0.25">
      <c r="B40" t="s">
        <v>6</v>
      </c>
      <c r="D40" s="9"/>
      <c r="E40" s="9"/>
    </row>
    <row r="41" spans="2:5" x14ac:dyDescent="0.25">
      <c r="B41" t="s">
        <v>545</v>
      </c>
      <c r="D41" s="9"/>
      <c r="E41" s="9"/>
    </row>
    <row r="42" spans="2:5" x14ac:dyDescent="0.25">
      <c r="B42" t="s">
        <v>546</v>
      </c>
      <c r="D42" s="9"/>
      <c r="E42" s="9"/>
    </row>
    <row r="43" spans="2:5" x14ac:dyDescent="0.25">
      <c r="D43" s="9"/>
      <c r="E43" s="9"/>
    </row>
    <row r="44" spans="2:5" x14ac:dyDescent="0.25">
      <c r="B44" s="9" t="s">
        <v>782</v>
      </c>
      <c r="D44" s="9"/>
      <c r="E44" s="9"/>
    </row>
    <row r="45" spans="2:5" x14ac:dyDescent="0.25">
      <c r="D45" s="9"/>
      <c r="E45" s="9"/>
    </row>
    <row r="47" spans="2:5" x14ac:dyDescent="0.25">
      <c r="B47" s="9"/>
    </row>
    <row r="48" spans="2:5" x14ac:dyDescent="0.25">
      <c r="B48" s="9"/>
      <c r="C48" s="130"/>
    </row>
    <row r="49" spans="2:3" x14ac:dyDescent="0.25">
      <c r="B49" s="9"/>
      <c r="C49" s="130"/>
    </row>
    <row r="51" spans="2:3" x14ac:dyDescent="0.25">
      <c r="C51" s="16"/>
    </row>
    <row r="52" spans="2:3" x14ac:dyDescent="0.25">
      <c r="C52" s="9"/>
    </row>
    <row r="53" spans="2:3" x14ac:dyDescent="0.25">
      <c r="B53" s="16"/>
      <c r="C53" s="9"/>
    </row>
    <row r="54" spans="2:3" x14ac:dyDescent="0.25">
      <c r="B54" s="16"/>
      <c r="C54" s="9"/>
    </row>
    <row r="55" spans="2:3" x14ac:dyDescent="0.25">
      <c r="B55" s="16"/>
      <c r="C55" s="9"/>
    </row>
    <row r="56" spans="2:3" x14ac:dyDescent="0.25">
      <c r="B56" s="16"/>
      <c r="C56" s="9"/>
    </row>
    <row r="57" spans="2:3" x14ac:dyDescent="0.25">
      <c r="B57" s="16"/>
      <c r="C57" s="122"/>
    </row>
    <row r="58" spans="2:3" x14ac:dyDescent="0.25">
      <c r="B58" s="16"/>
      <c r="C58" s="9"/>
    </row>
    <row r="59" spans="2:3" x14ac:dyDescent="0.25">
      <c r="B59" s="16"/>
      <c r="C59" s="9"/>
    </row>
    <row r="60" spans="2:3" x14ac:dyDescent="0.25">
      <c r="B60" s="16"/>
      <c r="C60" s="9"/>
    </row>
    <row r="61" spans="2:3" x14ac:dyDescent="0.25">
      <c r="B61" s="16"/>
      <c r="C61" s="9"/>
    </row>
    <row r="62" spans="2:3" x14ac:dyDescent="0.25">
      <c r="B62" s="16"/>
      <c r="C62" s="9"/>
    </row>
    <row r="63" spans="2:3" x14ac:dyDescent="0.25">
      <c r="B63" s="16"/>
      <c r="C63" s="9"/>
    </row>
    <row r="64" spans="2:3" x14ac:dyDescent="0.25">
      <c r="B64" s="16"/>
      <c r="C64" s="9"/>
    </row>
    <row r="65" spans="2:3" x14ac:dyDescent="0.25">
      <c r="B65" s="16"/>
      <c r="C65" s="9"/>
    </row>
    <row r="66" spans="2:3" x14ac:dyDescent="0.25">
      <c r="B66" s="16"/>
      <c r="C66" s="9"/>
    </row>
    <row r="67" spans="2:3" x14ac:dyDescent="0.25">
      <c r="B67" s="16"/>
      <c r="C67" s="9"/>
    </row>
    <row r="68" spans="2:3" x14ac:dyDescent="0.25">
      <c r="B68" s="16"/>
      <c r="C68" s="9"/>
    </row>
    <row r="69" spans="2:3" x14ac:dyDescent="0.25">
      <c r="B69" s="16"/>
      <c r="C69" s="9"/>
    </row>
    <row r="70" spans="2:3" x14ac:dyDescent="0.25">
      <c r="B70" s="16"/>
      <c r="C70" s="9"/>
    </row>
    <row r="71" spans="2:3" x14ac:dyDescent="0.25">
      <c r="B71" s="16"/>
      <c r="C71" s="9"/>
    </row>
    <row r="72" spans="2:3" x14ac:dyDescent="0.25">
      <c r="B72" s="16"/>
      <c r="C72" s="9"/>
    </row>
    <row r="73" spans="2:3" x14ac:dyDescent="0.25">
      <c r="B73" s="16"/>
    </row>
    <row r="74" spans="2:3" x14ac:dyDescent="0.25">
      <c r="B74" s="16"/>
    </row>
    <row r="75" spans="2:3" x14ac:dyDescent="0.25">
      <c r="B75" s="16"/>
    </row>
    <row r="76" spans="2:3" x14ac:dyDescent="0.25">
      <c r="B76" s="16"/>
    </row>
    <row r="77" spans="2:3" x14ac:dyDescent="0.25">
      <c r="B77" s="16"/>
    </row>
    <row r="78" spans="2:3" x14ac:dyDescent="0.25">
      <c r="B78" s="16"/>
    </row>
    <row r="79" spans="2:3" x14ac:dyDescent="0.25">
      <c r="B79" s="16"/>
    </row>
    <row r="80" spans="2:3"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16"/>
    </row>
    <row r="104" spans="2:2" x14ac:dyDescent="0.25">
      <c r="B104" s="16"/>
    </row>
    <row r="105" spans="2:2" x14ac:dyDescent="0.25">
      <c r="B105" s="16"/>
    </row>
    <row r="106" spans="2:2" x14ac:dyDescent="0.25">
      <c r="B106" s="16"/>
    </row>
    <row r="107" spans="2:2" x14ac:dyDescent="0.25">
      <c r="B107" s="16"/>
    </row>
    <row r="108" spans="2:2" x14ac:dyDescent="0.25">
      <c r="B108" s="16"/>
    </row>
    <row r="109" spans="2:2" x14ac:dyDescent="0.25">
      <c r="B109" s="16"/>
    </row>
    <row r="110" spans="2:2" x14ac:dyDescent="0.25">
      <c r="B110" s="16"/>
    </row>
    <row r="111" spans="2:2" x14ac:dyDescent="0.25">
      <c r="B111" s="16"/>
    </row>
    <row r="112" spans="2:2" x14ac:dyDescent="0.25">
      <c r="B112" s="16"/>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16"/>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39" spans="2:2" x14ac:dyDescent="0.25">
      <c r="B139" s="16"/>
    </row>
    <row r="140" spans="2:2" x14ac:dyDescent="0.25">
      <c r="B140" s="16"/>
    </row>
    <row r="141" spans="2:2" x14ac:dyDescent="0.25">
      <c r="B141" s="16"/>
    </row>
    <row r="142" spans="2:2" x14ac:dyDescent="0.25">
      <c r="B142" s="16"/>
    </row>
    <row r="143" spans="2:2" x14ac:dyDescent="0.25">
      <c r="B143" s="16"/>
    </row>
    <row r="144" spans="2:2" x14ac:dyDescent="0.25">
      <c r="B144" s="16"/>
    </row>
    <row r="145" spans="2:2" x14ac:dyDescent="0.25">
      <c r="B145" s="16"/>
    </row>
    <row r="146" spans="2:2" x14ac:dyDescent="0.25">
      <c r="B146" s="16"/>
    </row>
    <row r="147" spans="2:2" x14ac:dyDescent="0.25">
      <c r="B147" s="16"/>
    </row>
    <row r="148" spans="2:2" x14ac:dyDescent="0.25">
      <c r="B148" s="16"/>
    </row>
    <row r="149" spans="2:2" x14ac:dyDescent="0.25">
      <c r="B149" s="16"/>
    </row>
    <row r="150" spans="2:2" x14ac:dyDescent="0.25">
      <c r="B150" s="16"/>
    </row>
    <row r="151" spans="2:2" x14ac:dyDescent="0.25">
      <c r="B151" s="16"/>
    </row>
    <row r="152" spans="2:2" x14ac:dyDescent="0.25">
      <c r="B152" s="16"/>
    </row>
    <row r="153" spans="2:2" x14ac:dyDescent="0.25">
      <c r="B153" s="16"/>
    </row>
    <row r="154" spans="2:2" x14ac:dyDescent="0.25">
      <c r="B154" s="16"/>
    </row>
    <row r="155" spans="2:2" x14ac:dyDescent="0.25">
      <c r="B155" s="16"/>
    </row>
    <row r="156" spans="2:2" x14ac:dyDescent="0.25">
      <c r="B156"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169" spans="2:2" x14ac:dyDescent="0.25">
      <c r="B169" s="16"/>
    </row>
    <row r="170" spans="2:2" x14ac:dyDescent="0.25">
      <c r="B170" s="16"/>
    </row>
    <row r="171" spans="2:2" x14ac:dyDescent="0.25">
      <c r="B171" s="16"/>
    </row>
    <row r="172" spans="2:2" x14ac:dyDescent="0.25">
      <c r="B172" s="16"/>
    </row>
    <row r="173" spans="2:2" x14ac:dyDescent="0.25">
      <c r="B173" s="16"/>
    </row>
    <row r="174" spans="2:2" x14ac:dyDescent="0.25">
      <c r="B174" s="16"/>
    </row>
    <row r="175" spans="2:2" x14ac:dyDescent="0.25">
      <c r="B175" s="16"/>
    </row>
    <row r="176" spans="2:2" x14ac:dyDescent="0.25">
      <c r="B176" s="16"/>
    </row>
    <row r="177" spans="2:2" x14ac:dyDescent="0.25">
      <c r="B177" s="16"/>
    </row>
    <row r="178" spans="2:2" x14ac:dyDescent="0.25">
      <c r="B178" s="16"/>
    </row>
    <row r="179" spans="2:2" x14ac:dyDescent="0.25">
      <c r="B179" s="16"/>
    </row>
    <row r="180" spans="2:2" x14ac:dyDescent="0.25">
      <c r="B180" s="16"/>
    </row>
    <row r="181" spans="2:2" x14ac:dyDescent="0.25">
      <c r="B181" s="16"/>
    </row>
    <row r="182" spans="2:2" x14ac:dyDescent="0.25">
      <c r="B182" s="16"/>
    </row>
    <row r="183" spans="2:2" x14ac:dyDescent="0.25">
      <c r="B183" s="16"/>
    </row>
    <row r="184" spans="2:2" x14ac:dyDescent="0.25">
      <c r="B184" s="16"/>
    </row>
    <row r="185" spans="2:2" x14ac:dyDescent="0.25">
      <c r="B185" s="16"/>
    </row>
    <row r="186" spans="2:2" x14ac:dyDescent="0.25">
      <c r="B186" s="16"/>
    </row>
    <row r="187" spans="2:2" x14ac:dyDescent="0.25">
      <c r="B187" s="16"/>
    </row>
    <row r="188" spans="2:2" x14ac:dyDescent="0.25">
      <c r="B188" s="16"/>
    </row>
    <row r="189" spans="2:2" x14ac:dyDescent="0.25">
      <c r="B189" s="16"/>
    </row>
    <row r="190" spans="2:2" x14ac:dyDescent="0.25">
      <c r="B190" s="16"/>
    </row>
    <row r="191" spans="2:2" x14ac:dyDescent="0.25">
      <c r="B191" s="16"/>
    </row>
    <row r="192" spans="2:2" x14ac:dyDescent="0.25">
      <c r="B192" s="16"/>
    </row>
    <row r="193" spans="2:2" x14ac:dyDescent="0.25">
      <c r="B193" s="16"/>
    </row>
    <row r="194" spans="2:2" x14ac:dyDescent="0.25">
      <c r="B194" s="16"/>
    </row>
    <row r="195" spans="2:2" x14ac:dyDescent="0.25">
      <c r="B195" s="16"/>
    </row>
    <row r="196" spans="2:2" x14ac:dyDescent="0.25">
      <c r="B196" s="16"/>
    </row>
    <row r="197" spans="2:2" x14ac:dyDescent="0.25">
      <c r="B197" s="16"/>
    </row>
    <row r="198" spans="2:2" x14ac:dyDescent="0.25">
      <c r="B198" s="16"/>
    </row>
    <row r="199" spans="2:2" x14ac:dyDescent="0.25">
      <c r="B199" s="16"/>
    </row>
    <row r="200" spans="2:2" x14ac:dyDescent="0.25">
      <c r="B200" s="16"/>
    </row>
    <row r="201" spans="2:2" x14ac:dyDescent="0.25">
      <c r="B201" s="16"/>
    </row>
    <row r="202" spans="2:2" x14ac:dyDescent="0.25">
      <c r="B202" s="16"/>
    </row>
    <row r="203" spans="2:2" x14ac:dyDescent="0.25">
      <c r="B203" s="16"/>
    </row>
    <row r="204" spans="2:2" x14ac:dyDescent="0.25">
      <c r="B204" s="16"/>
    </row>
    <row r="205" spans="2:2" x14ac:dyDescent="0.25">
      <c r="B205" s="16"/>
    </row>
    <row r="206" spans="2:2" x14ac:dyDescent="0.25">
      <c r="B206" s="16"/>
    </row>
    <row r="207" spans="2:2" x14ac:dyDescent="0.25">
      <c r="B207" s="16"/>
    </row>
    <row r="208" spans="2:2" x14ac:dyDescent="0.25">
      <c r="B208" s="16"/>
    </row>
    <row r="209" spans="2:2" x14ac:dyDescent="0.25">
      <c r="B209" s="16"/>
    </row>
    <row r="210" spans="2:2" x14ac:dyDescent="0.25">
      <c r="B210" s="16"/>
    </row>
    <row r="211" spans="2:2" x14ac:dyDescent="0.25">
      <c r="B211" s="16"/>
    </row>
    <row r="212" spans="2:2" x14ac:dyDescent="0.25">
      <c r="B212" s="16"/>
    </row>
    <row r="213" spans="2:2" x14ac:dyDescent="0.25">
      <c r="B213" s="16"/>
    </row>
    <row r="214" spans="2:2" x14ac:dyDescent="0.25">
      <c r="B214" s="16"/>
    </row>
    <row r="215" spans="2:2" x14ac:dyDescent="0.25">
      <c r="B215" s="16"/>
    </row>
    <row r="216" spans="2:2" x14ac:dyDescent="0.25">
      <c r="B216" s="16"/>
    </row>
    <row r="217" spans="2:2" x14ac:dyDescent="0.25">
      <c r="B217" s="16"/>
    </row>
    <row r="218" spans="2:2" x14ac:dyDescent="0.25">
      <c r="B218" s="16"/>
    </row>
    <row r="219" spans="2:2" x14ac:dyDescent="0.25">
      <c r="B219" s="16"/>
    </row>
    <row r="220" spans="2:2" x14ac:dyDescent="0.25">
      <c r="B220" s="16"/>
    </row>
    <row r="221" spans="2:2" x14ac:dyDescent="0.25">
      <c r="B221" s="16"/>
    </row>
    <row r="222" spans="2:2" x14ac:dyDescent="0.25">
      <c r="B222" s="16"/>
    </row>
    <row r="223" spans="2:2" x14ac:dyDescent="0.25">
      <c r="B223" s="16"/>
    </row>
    <row r="224" spans="2:2" x14ac:dyDescent="0.25">
      <c r="B224" s="16"/>
    </row>
    <row r="225" spans="2:2" x14ac:dyDescent="0.25">
      <c r="B225" s="16"/>
    </row>
    <row r="226" spans="2:2" x14ac:dyDescent="0.25">
      <c r="B226" s="16"/>
    </row>
    <row r="227" spans="2:2" x14ac:dyDescent="0.25">
      <c r="B227" s="16"/>
    </row>
    <row r="228" spans="2:2" x14ac:dyDescent="0.25">
      <c r="B228" s="16"/>
    </row>
    <row r="229" spans="2:2" x14ac:dyDescent="0.25">
      <c r="B229" s="16"/>
    </row>
    <row r="230" spans="2:2" x14ac:dyDescent="0.25">
      <c r="B230" s="16"/>
    </row>
    <row r="231" spans="2:2" x14ac:dyDescent="0.25">
      <c r="B231" s="16"/>
    </row>
    <row r="232" spans="2:2" x14ac:dyDescent="0.25">
      <c r="B232" s="16"/>
    </row>
    <row r="233" spans="2:2" x14ac:dyDescent="0.25">
      <c r="B233" s="16"/>
    </row>
    <row r="234" spans="2:2" x14ac:dyDescent="0.25">
      <c r="B234" s="16"/>
    </row>
    <row r="235" spans="2:2" x14ac:dyDescent="0.25">
      <c r="B235" s="16"/>
    </row>
    <row r="236" spans="2:2" x14ac:dyDescent="0.25">
      <c r="B236" s="16"/>
    </row>
    <row r="237" spans="2:2" x14ac:dyDescent="0.25">
      <c r="B237" s="16"/>
    </row>
    <row r="238" spans="2:2" x14ac:dyDescent="0.25">
      <c r="B238" s="16"/>
    </row>
    <row r="239" spans="2:2" x14ac:dyDescent="0.25">
      <c r="B239" s="16"/>
    </row>
    <row r="240" spans="2:2" x14ac:dyDescent="0.25">
      <c r="B240" s="16"/>
    </row>
    <row r="241" spans="2:2" x14ac:dyDescent="0.25">
      <c r="B241" s="16"/>
    </row>
    <row r="242" spans="2:2" x14ac:dyDescent="0.25">
      <c r="B242" s="16"/>
    </row>
    <row r="243" spans="2:2" x14ac:dyDescent="0.25">
      <c r="B243" s="16"/>
    </row>
    <row r="244" spans="2:2" x14ac:dyDescent="0.25">
      <c r="B244" s="16"/>
    </row>
    <row r="245" spans="2:2" x14ac:dyDescent="0.25">
      <c r="B245" s="16"/>
    </row>
    <row r="246" spans="2:2" x14ac:dyDescent="0.25">
      <c r="B246" s="16"/>
    </row>
    <row r="247" spans="2:2" x14ac:dyDescent="0.25">
      <c r="B247" s="16"/>
    </row>
    <row r="248" spans="2:2" x14ac:dyDescent="0.25">
      <c r="B248" s="16"/>
    </row>
    <row r="249" spans="2:2" x14ac:dyDescent="0.25">
      <c r="B249" s="16"/>
    </row>
    <row r="250" spans="2:2" x14ac:dyDescent="0.25">
      <c r="B250" s="16"/>
    </row>
    <row r="251" spans="2:2" x14ac:dyDescent="0.25">
      <c r="B251" s="16"/>
    </row>
    <row r="252" spans="2:2" x14ac:dyDescent="0.25">
      <c r="B252" s="16"/>
    </row>
    <row r="253" spans="2:2" x14ac:dyDescent="0.25">
      <c r="B253" s="16"/>
    </row>
    <row r="254" spans="2:2" x14ac:dyDescent="0.25">
      <c r="B254" s="16"/>
    </row>
    <row r="255" spans="2:2" x14ac:dyDescent="0.25">
      <c r="B255" s="16"/>
    </row>
    <row r="256" spans="2:2" x14ac:dyDescent="0.25">
      <c r="B256" s="16"/>
    </row>
    <row r="257" spans="2:2" x14ac:dyDescent="0.25">
      <c r="B257" s="16"/>
    </row>
    <row r="258" spans="2:2" x14ac:dyDescent="0.25">
      <c r="B258" s="16"/>
    </row>
    <row r="259" spans="2:2" x14ac:dyDescent="0.25">
      <c r="B259" s="16"/>
    </row>
    <row r="260" spans="2:2" x14ac:dyDescent="0.25">
      <c r="B260" s="16"/>
    </row>
    <row r="261" spans="2:2" x14ac:dyDescent="0.25">
      <c r="B261" s="16"/>
    </row>
    <row r="262" spans="2:2" x14ac:dyDescent="0.25">
      <c r="B262" s="16"/>
    </row>
    <row r="263" spans="2:2" x14ac:dyDescent="0.25">
      <c r="B263" s="16"/>
    </row>
    <row r="264" spans="2:2" x14ac:dyDescent="0.25">
      <c r="B264" s="16"/>
    </row>
    <row r="265" spans="2:2" x14ac:dyDescent="0.25">
      <c r="B265" s="16"/>
    </row>
    <row r="266" spans="2:2" x14ac:dyDescent="0.25">
      <c r="B266" s="16"/>
    </row>
    <row r="267" spans="2:2" x14ac:dyDescent="0.25">
      <c r="B267" s="16"/>
    </row>
    <row r="268" spans="2:2" x14ac:dyDescent="0.25">
      <c r="B268" s="16"/>
    </row>
    <row r="269" spans="2:2" x14ac:dyDescent="0.25">
      <c r="B269" s="16"/>
    </row>
    <row r="270" spans="2:2" x14ac:dyDescent="0.25">
      <c r="B270" s="16"/>
    </row>
    <row r="271" spans="2:2" x14ac:dyDescent="0.25">
      <c r="B271" s="16"/>
    </row>
    <row r="272" spans="2:2" x14ac:dyDescent="0.25">
      <c r="B272" s="16"/>
    </row>
    <row r="273" spans="2:2" x14ac:dyDescent="0.25">
      <c r="B273" s="16"/>
    </row>
    <row r="274" spans="2:2" x14ac:dyDescent="0.25">
      <c r="B274" s="16"/>
    </row>
    <row r="275" spans="2:2" x14ac:dyDescent="0.25">
      <c r="B275" s="16"/>
    </row>
    <row r="276" spans="2:2" x14ac:dyDescent="0.25">
      <c r="B276" s="16"/>
    </row>
    <row r="277" spans="2:2" x14ac:dyDescent="0.25">
      <c r="B277" s="16"/>
    </row>
    <row r="278" spans="2:2" x14ac:dyDescent="0.25">
      <c r="B278" s="16"/>
    </row>
    <row r="279" spans="2:2" x14ac:dyDescent="0.25">
      <c r="B279" s="16"/>
    </row>
    <row r="280" spans="2:2" x14ac:dyDescent="0.25">
      <c r="B280" s="16"/>
    </row>
    <row r="281" spans="2:2" x14ac:dyDescent="0.25">
      <c r="B281" s="16"/>
    </row>
    <row r="282" spans="2:2" x14ac:dyDescent="0.25">
      <c r="B282" s="16"/>
    </row>
    <row r="283" spans="2:2" x14ac:dyDescent="0.25">
      <c r="B283" s="16"/>
    </row>
    <row r="284" spans="2:2" x14ac:dyDescent="0.25">
      <c r="B284" s="16"/>
    </row>
    <row r="285" spans="2:2" x14ac:dyDescent="0.25">
      <c r="B285" s="16"/>
    </row>
    <row r="286" spans="2:2" x14ac:dyDescent="0.25">
      <c r="B286" s="16"/>
    </row>
    <row r="287" spans="2:2" x14ac:dyDescent="0.25">
      <c r="B287" s="16"/>
    </row>
    <row r="288" spans="2:2" x14ac:dyDescent="0.25">
      <c r="B288" s="16"/>
    </row>
    <row r="289" spans="2:2" x14ac:dyDescent="0.25">
      <c r="B289" s="16"/>
    </row>
    <row r="290" spans="2:2" x14ac:dyDescent="0.25">
      <c r="B290" s="16"/>
    </row>
    <row r="291" spans="2:2" x14ac:dyDescent="0.25">
      <c r="B291" s="16"/>
    </row>
    <row r="292" spans="2:2" x14ac:dyDescent="0.25">
      <c r="B292" s="16"/>
    </row>
    <row r="293" spans="2:2" x14ac:dyDescent="0.25">
      <c r="B293" s="16"/>
    </row>
    <row r="294" spans="2:2" x14ac:dyDescent="0.25">
      <c r="B294" s="16"/>
    </row>
    <row r="295" spans="2:2" x14ac:dyDescent="0.25">
      <c r="B295" s="16"/>
    </row>
    <row r="296" spans="2:2" x14ac:dyDescent="0.25">
      <c r="B296" s="16"/>
    </row>
    <row r="297" spans="2:2" x14ac:dyDescent="0.25">
      <c r="B297" s="16"/>
    </row>
    <row r="298" spans="2:2" x14ac:dyDescent="0.25">
      <c r="B298" s="16"/>
    </row>
    <row r="299" spans="2:2" x14ac:dyDescent="0.25">
      <c r="B299" s="16"/>
    </row>
    <row r="300" spans="2:2" x14ac:dyDescent="0.25">
      <c r="B300" s="16"/>
    </row>
    <row r="301" spans="2:2" x14ac:dyDescent="0.25">
      <c r="B301" s="16"/>
    </row>
    <row r="302" spans="2:2" x14ac:dyDescent="0.25">
      <c r="B302" s="16"/>
    </row>
    <row r="303" spans="2:2" x14ac:dyDescent="0.25">
      <c r="B303" s="16"/>
    </row>
    <row r="304" spans="2:2" x14ac:dyDescent="0.25">
      <c r="B304" s="16"/>
    </row>
    <row r="305" spans="2:2" x14ac:dyDescent="0.25">
      <c r="B305" s="16"/>
    </row>
    <row r="306" spans="2:2" x14ac:dyDescent="0.25">
      <c r="B306" s="16"/>
    </row>
    <row r="307" spans="2:2" x14ac:dyDescent="0.25">
      <c r="B307" s="16"/>
    </row>
    <row r="308" spans="2:2" x14ac:dyDescent="0.25">
      <c r="B308" s="16"/>
    </row>
    <row r="309" spans="2:2" x14ac:dyDescent="0.25">
      <c r="B309" s="16"/>
    </row>
    <row r="310" spans="2:2" x14ac:dyDescent="0.25">
      <c r="B310" s="16"/>
    </row>
    <row r="311" spans="2:2" x14ac:dyDescent="0.25">
      <c r="B311" s="16"/>
    </row>
    <row r="312" spans="2:2" x14ac:dyDescent="0.25">
      <c r="B312" s="16"/>
    </row>
    <row r="313" spans="2:2" x14ac:dyDescent="0.25">
      <c r="B313" s="16"/>
    </row>
    <row r="314" spans="2:2" x14ac:dyDescent="0.25">
      <c r="B314" s="16"/>
    </row>
    <row r="315" spans="2:2" x14ac:dyDescent="0.25">
      <c r="B315" s="16"/>
    </row>
    <row r="316" spans="2:2" x14ac:dyDescent="0.25">
      <c r="B316" s="16"/>
    </row>
    <row r="317" spans="2:2" x14ac:dyDescent="0.25">
      <c r="B317" s="16"/>
    </row>
    <row r="318" spans="2:2" x14ac:dyDescent="0.25">
      <c r="B318"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31" spans="2:2" x14ac:dyDescent="0.25">
      <c r="B331" s="16"/>
    </row>
    <row r="332" spans="2:2" x14ac:dyDescent="0.25">
      <c r="B332" s="16"/>
    </row>
    <row r="333" spans="2:2" x14ac:dyDescent="0.25">
      <c r="B333" s="16"/>
    </row>
    <row r="334" spans="2:2" x14ac:dyDescent="0.25">
      <c r="B334" s="16"/>
    </row>
    <row r="335" spans="2:2" x14ac:dyDescent="0.25">
      <c r="B335" s="16"/>
    </row>
    <row r="336" spans="2:2" x14ac:dyDescent="0.25">
      <c r="B336" s="16"/>
    </row>
    <row r="337" spans="2:2" x14ac:dyDescent="0.25">
      <c r="B337" s="16"/>
    </row>
    <row r="338" spans="2:2" x14ac:dyDescent="0.25">
      <c r="B338" s="16"/>
    </row>
    <row r="339" spans="2:2" x14ac:dyDescent="0.25">
      <c r="B339" s="16"/>
    </row>
    <row r="340" spans="2:2" x14ac:dyDescent="0.25">
      <c r="B340" s="16"/>
    </row>
    <row r="341" spans="2:2" x14ac:dyDescent="0.25">
      <c r="B341"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1" spans="2:2" x14ac:dyDescent="0.25">
      <c r="B351" s="16"/>
    </row>
    <row r="352" spans="2:2" x14ac:dyDescent="0.25">
      <c r="B352" s="16"/>
    </row>
    <row r="353" spans="2:2" x14ac:dyDescent="0.25">
      <c r="B353" s="16"/>
    </row>
    <row r="354" spans="2:2" x14ac:dyDescent="0.25">
      <c r="B354" s="16"/>
    </row>
    <row r="355" spans="2:2" x14ac:dyDescent="0.25">
      <c r="B355" s="16"/>
    </row>
    <row r="356" spans="2:2" x14ac:dyDescent="0.25">
      <c r="B356" s="16"/>
    </row>
    <row r="357" spans="2:2" x14ac:dyDescent="0.25">
      <c r="B357" s="16"/>
    </row>
    <row r="358" spans="2:2" x14ac:dyDescent="0.25">
      <c r="B358" s="16"/>
    </row>
    <row r="359" spans="2:2" x14ac:dyDescent="0.25">
      <c r="B359" s="16"/>
    </row>
    <row r="360" spans="2:2" x14ac:dyDescent="0.25">
      <c r="B360" s="16"/>
    </row>
    <row r="361" spans="2:2" x14ac:dyDescent="0.25">
      <c r="B361" s="16"/>
    </row>
    <row r="362" spans="2:2" x14ac:dyDescent="0.25">
      <c r="B362" s="16"/>
    </row>
    <row r="363" spans="2:2" x14ac:dyDescent="0.25">
      <c r="B363"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3" spans="2:2" x14ac:dyDescent="0.25">
      <c r="B383" s="16"/>
    </row>
    <row r="384" spans="2:2" x14ac:dyDescent="0.25">
      <c r="B384" s="16"/>
    </row>
    <row r="385" spans="2:2" x14ac:dyDescent="0.25">
      <c r="B385" s="16"/>
    </row>
    <row r="386" spans="2:2" x14ac:dyDescent="0.25">
      <c r="B386" s="16"/>
    </row>
    <row r="387" spans="2:2" x14ac:dyDescent="0.25">
      <c r="B387" s="16"/>
    </row>
    <row r="388" spans="2:2" x14ac:dyDescent="0.25">
      <c r="B388" s="16"/>
    </row>
    <row r="389" spans="2:2" x14ac:dyDescent="0.25">
      <c r="B389" s="16"/>
    </row>
    <row r="390" spans="2:2" x14ac:dyDescent="0.25">
      <c r="B390" s="16"/>
    </row>
    <row r="391" spans="2:2" x14ac:dyDescent="0.25">
      <c r="B391" s="16"/>
    </row>
    <row r="392" spans="2:2" x14ac:dyDescent="0.25">
      <c r="B392" s="16"/>
    </row>
    <row r="393" spans="2:2" x14ac:dyDescent="0.25">
      <c r="B393" s="16"/>
    </row>
    <row r="394" spans="2:2" x14ac:dyDescent="0.25">
      <c r="B394" s="16"/>
    </row>
    <row r="395" spans="2:2" x14ac:dyDescent="0.25">
      <c r="B395" s="16"/>
    </row>
    <row r="396" spans="2:2" x14ac:dyDescent="0.25">
      <c r="B396" s="16"/>
    </row>
    <row r="397" spans="2:2" x14ac:dyDescent="0.25">
      <c r="B397" s="16"/>
    </row>
    <row r="398" spans="2:2" x14ac:dyDescent="0.25">
      <c r="B398" s="16"/>
    </row>
    <row r="399" spans="2:2" x14ac:dyDescent="0.25">
      <c r="B399" s="16"/>
    </row>
    <row r="400" spans="2:2" x14ac:dyDescent="0.25">
      <c r="B400" s="16"/>
    </row>
    <row r="401" spans="2:2" x14ac:dyDescent="0.25">
      <c r="B401" s="16"/>
    </row>
    <row r="402" spans="2:2" x14ac:dyDescent="0.25">
      <c r="B402" s="16"/>
    </row>
    <row r="403" spans="2:2" x14ac:dyDescent="0.25">
      <c r="B403" s="16"/>
    </row>
    <row r="404" spans="2:2" x14ac:dyDescent="0.25">
      <c r="B404" s="16"/>
    </row>
    <row r="405" spans="2:2" x14ac:dyDescent="0.25">
      <c r="B405" s="16"/>
    </row>
    <row r="406" spans="2:2" x14ac:dyDescent="0.25">
      <c r="B406" s="16"/>
    </row>
    <row r="407" spans="2:2" x14ac:dyDescent="0.25">
      <c r="B407" s="16"/>
    </row>
    <row r="408" spans="2:2" x14ac:dyDescent="0.25">
      <c r="B408" s="16"/>
    </row>
    <row r="409" spans="2:2" x14ac:dyDescent="0.25">
      <c r="B409" s="16"/>
    </row>
    <row r="410" spans="2:2" x14ac:dyDescent="0.25">
      <c r="B410" s="16"/>
    </row>
    <row r="411" spans="2:2" x14ac:dyDescent="0.25">
      <c r="B411" s="16"/>
    </row>
    <row r="412" spans="2:2" x14ac:dyDescent="0.25">
      <c r="B412" s="16"/>
    </row>
    <row r="413" spans="2:2" x14ac:dyDescent="0.25">
      <c r="B413" s="16"/>
    </row>
    <row r="414" spans="2:2" x14ac:dyDescent="0.25">
      <c r="B414" s="16"/>
    </row>
    <row r="415" spans="2:2" x14ac:dyDescent="0.25">
      <c r="B415" s="16"/>
    </row>
    <row r="416" spans="2:2" x14ac:dyDescent="0.25">
      <c r="B416" s="16"/>
    </row>
    <row r="417" spans="2:2" x14ac:dyDescent="0.25">
      <c r="B417" s="16"/>
    </row>
    <row r="418" spans="2:2" x14ac:dyDescent="0.25">
      <c r="B418" s="16"/>
    </row>
    <row r="419" spans="2:2" x14ac:dyDescent="0.25">
      <c r="B419" s="16"/>
    </row>
    <row r="420" spans="2:2" x14ac:dyDescent="0.25">
      <c r="B420" s="16"/>
    </row>
    <row r="421" spans="2:2" x14ac:dyDescent="0.25">
      <c r="B421" s="16"/>
    </row>
    <row r="422" spans="2:2" x14ac:dyDescent="0.25">
      <c r="B422" s="16"/>
    </row>
    <row r="423" spans="2:2" x14ac:dyDescent="0.25">
      <c r="B423" s="16"/>
    </row>
    <row r="424" spans="2:2" x14ac:dyDescent="0.25">
      <c r="B424" s="16"/>
    </row>
    <row r="425" spans="2:2" x14ac:dyDescent="0.25">
      <c r="B425" s="16"/>
    </row>
    <row r="426" spans="2:2" x14ac:dyDescent="0.25">
      <c r="B426" s="16"/>
    </row>
    <row r="427" spans="2:2" x14ac:dyDescent="0.25">
      <c r="B427" s="16"/>
    </row>
    <row r="428" spans="2:2" x14ac:dyDescent="0.25">
      <c r="B428" s="16"/>
    </row>
    <row r="429" spans="2:2" x14ac:dyDescent="0.25">
      <c r="B429" s="16"/>
    </row>
    <row r="430" spans="2:2" x14ac:dyDescent="0.25">
      <c r="B430" s="16"/>
    </row>
    <row r="431" spans="2:2" x14ac:dyDescent="0.25">
      <c r="B431" s="16"/>
    </row>
    <row r="432" spans="2:2" x14ac:dyDescent="0.25">
      <c r="B432" s="16"/>
    </row>
    <row r="433" spans="2:2" x14ac:dyDescent="0.25">
      <c r="B433" s="16"/>
    </row>
    <row r="434" spans="2:2" x14ac:dyDescent="0.25">
      <c r="B434" s="16"/>
    </row>
    <row r="435" spans="2:2" x14ac:dyDescent="0.25">
      <c r="B435" s="16"/>
    </row>
    <row r="436" spans="2:2" x14ac:dyDescent="0.25">
      <c r="B436" s="16"/>
    </row>
    <row r="437" spans="2:2" x14ac:dyDescent="0.25">
      <c r="B437" s="16"/>
    </row>
    <row r="438" spans="2:2" x14ac:dyDescent="0.25">
      <c r="B438" s="16"/>
    </row>
    <row r="439" spans="2:2" x14ac:dyDescent="0.25">
      <c r="B439" s="16"/>
    </row>
    <row r="440" spans="2:2" x14ac:dyDescent="0.25">
      <c r="B440" s="16"/>
    </row>
    <row r="441" spans="2:2" x14ac:dyDescent="0.25">
      <c r="B441" s="16"/>
    </row>
    <row r="442" spans="2:2" x14ac:dyDescent="0.25">
      <c r="B442" s="16"/>
    </row>
    <row r="443" spans="2:2" x14ac:dyDescent="0.25">
      <c r="B443" s="16"/>
    </row>
    <row r="444" spans="2:2" x14ac:dyDescent="0.25">
      <c r="B444" s="16"/>
    </row>
    <row r="445" spans="2:2" x14ac:dyDescent="0.25">
      <c r="B445" s="16"/>
    </row>
    <row r="446" spans="2:2" x14ac:dyDescent="0.25">
      <c r="B446" s="16"/>
    </row>
    <row r="447" spans="2:2" x14ac:dyDescent="0.25">
      <c r="B447" s="16"/>
    </row>
    <row r="448" spans="2:2" x14ac:dyDescent="0.25">
      <c r="B448" s="16"/>
    </row>
    <row r="449" spans="2:2" x14ac:dyDescent="0.25">
      <c r="B449" s="16"/>
    </row>
    <row r="450" spans="2:2" x14ac:dyDescent="0.25">
      <c r="B450" s="16"/>
    </row>
    <row r="451" spans="2:2" x14ac:dyDescent="0.25">
      <c r="B451" s="16"/>
    </row>
    <row r="452" spans="2:2" x14ac:dyDescent="0.25">
      <c r="B452" s="16"/>
    </row>
    <row r="453" spans="2:2" x14ac:dyDescent="0.25">
      <c r="B453" s="16"/>
    </row>
    <row r="454" spans="2:2" x14ac:dyDescent="0.25">
      <c r="B454" s="16"/>
    </row>
    <row r="455" spans="2:2" x14ac:dyDescent="0.25">
      <c r="B455" s="16"/>
    </row>
    <row r="456" spans="2:2" x14ac:dyDescent="0.25">
      <c r="B456" s="16"/>
    </row>
    <row r="457" spans="2:2" x14ac:dyDescent="0.25">
      <c r="B457" s="16"/>
    </row>
    <row r="458" spans="2:2" x14ac:dyDescent="0.25">
      <c r="B458" s="16"/>
    </row>
    <row r="459" spans="2:2" x14ac:dyDescent="0.25">
      <c r="B459" s="16"/>
    </row>
    <row r="460" spans="2:2" x14ac:dyDescent="0.25">
      <c r="B460" s="16"/>
    </row>
    <row r="461" spans="2:2" x14ac:dyDescent="0.25">
      <c r="B461" s="16"/>
    </row>
    <row r="462" spans="2:2" x14ac:dyDescent="0.25">
      <c r="B462" s="16"/>
    </row>
    <row r="463" spans="2:2" x14ac:dyDescent="0.25">
      <c r="B463" s="16"/>
    </row>
    <row r="464" spans="2:2" x14ac:dyDescent="0.25">
      <c r="B464" s="16"/>
    </row>
    <row r="465" spans="2:2" x14ac:dyDescent="0.25">
      <c r="B465" s="16"/>
    </row>
    <row r="466" spans="2:2" x14ac:dyDescent="0.25">
      <c r="B466" s="16"/>
    </row>
    <row r="467" spans="2:2" x14ac:dyDescent="0.25">
      <c r="B467" s="16"/>
    </row>
    <row r="468" spans="2:2" x14ac:dyDescent="0.25">
      <c r="B468" s="16"/>
    </row>
    <row r="469" spans="2:2" x14ac:dyDescent="0.25">
      <c r="B469" s="16"/>
    </row>
    <row r="470" spans="2:2" x14ac:dyDescent="0.25">
      <c r="B470" s="16"/>
    </row>
    <row r="471" spans="2:2" x14ac:dyDescent="0.25">
      <c r="B471" s="16"/>
    </row>
    <row r="472" spans="2:2" x14ac:dyDescent="0.25">
      <c r="B472" s="16"/>
    </row>
    <row r="473" spans="2:2" x14ac:dyDescent="0.25">
      <c r="B473" s="16"/>
    </row>
    <row r="474" spans="2:2" x14ac:dyDescent="0.25">
      <c r="B474" s="16"/>
    </row>
    <row r="475" spans="2:2" x14ac:dyDescent="0.25">
      <c r="B475" s="16"/>
    </row>
    <row r="476" spans="2:2" x14ac:dyDescent="0.25">
      <c r="B476" s="16"/>
    </row>
    <row r="477" spans="2:2" x14ac:dyDescent="0.25">
      <c r="B477" s="16"/>
    </row>
    <row r="478" spans="2:2" x14ac:dyDescent="0.25">
      <c r="B478" s="16"/>
    </row>
    <row r="479" spans="2:2" x14ac:dyDescent="0.25">
      <c r="B479" s="16"/>
    </row>
    <row r="480" spans="2:2" x14ac:dyDescent="0.25">
      <c r="B480" s="16"/>
    </row>
    <row r="481" spans="2:2" x14ac:dyDescent="0.25">
      <c r="B481" s="16"/>
    </row>
    <row r="482" spans="2:2" x14ac:dyDescent="0.25">
      <c r="B482" s="16"/>
    </row>
    <row r="483" spans="2:2" x14ac:dyDescent="0.25">
      <c r="B483" s="16"/>
    </row>
    <row r="484" spans="2:2" x14ac:dyDescent="0.25">
      <c r="B484" s="16"/>
    </row>
    <row r="485" spans="2:2" x14ac:dyDescent="0.25">
      <c r="B485" s="16"/>
    </row>
    <row r="486" spans="2:2" x14ac:dyDescent="0.25">
      <c r="B486" s="16"/>
    </row>
    <row r="487" spans="2:2" x14ac:dyDescent="0.25">
      <c r="B487" s="16"/>
    </row>
    <row r="488" spans="2:2" x14ac:dyDescent="0.25">
      <c r="B488" s="16"/>
    </row>
    <row r="489" spans="2:2" x14ac:dyDescent="0.25">
      <c r="B489" s="16"/>
    </row>
    <row r="490" spans="2:2" x14ac:dyDescent="0.25">
      <c r="B490" s="16"/>
    </row>
    <row r="491" spans="2:2" x14ac:dyDescent="0.25">
      <c r="B491" s="16"/>
    </row>
    <row r="492" spans="2:2" x14ac:dyDescent="0.25">
      <c r="B492" s="16"/>
    </row>
    <row r="493" spans="2:2" x14ac:dyDescent="0.25">
      <c r="B493" s="16"/>
    </row>
    <row r="494" spans="2:2" x14ac:dyDescent="0.25">
      <c r="B494" s="16"/>
    </row>
    <row r="495" spans="2:2" x14ac:dyDescent="0.25">
      <c r="B495" s="16"/>
    </row>
    <row r="496" spans="2:2" x14ac:dyDescent="0.25">
      <c r="B496" s="16"/>
    </row>
    <row r="497" spans="2:2" x14ac:dyDescent="0.25">
      <c r="B497" s="16"/>
    </row>
    <row r="498" spans="2:2" x14ac:dyDescent="0.25">
      <c r="B498" s="16"/>
    </row>
    <row r="499" spans="2:2" x14ac:dyDescent="0.25">
      <c r="B499" s="16"/>
    </row>
    <row r="500" spans="2:2" x14ac:dyDescent="0.25">
      <c r="B500" s="16"/>
    </row>
    <row r="501" spans="2:2" x14ac:dyDescent="0.25">
      <c r="B501" s="16"/>
    </row>
    <row r="502" spans="2:2" x14ac:dyDescent="0.25">
      <c r="B502" s="16"/>
    </row>
    <row r="503" spans="2:2" x14ac:dyDescent="0.25">
      <c r="B503" s="16"/>
    </row>
    <row r="504" spans="2:2" x14ac:dyDescent="0.25">
      <c r="B504" s="16"/>
    </row>
    <row r="505" spans="2:2" x14ac:dyDescent="0.25">
      <c r="B505" s="16"/>
    </row>
    <row r="506" spans="2:2" x14ac:dyDescent="0.25">
      <c r="B506" s="16"/>
    </row>
    <row r="507" spans="2:2" x14ac:dyDescent="0.25">
      <c r="B507" s="16"/>
    </row>
    <row r="508" spans="2:2" x14ac:dyDescent="0.25">
      <c r="B508" s="16"/>
    </row>
    <row r="509" spans="2:2" x14ac:dyDescent="0.25">
      <c r="B509" s="16"/>
    </row>
    <row r="510" spans="2:2" x14ac:dyDescent="0.25">
      <c r="B510" s="16"/>
    </row>
    <row r="511" spans="2:2" x14ac:dyDescent="0.25">
      <c r="B511" s="16"/>
    </row>
    <row r="512" spans="2:2" x14ac:dyDescent="0.25">
      <c r="B512" s="16"/>
    </row>
    <row r="513" spans="2:2" x14ac:dyDescent="0.25">
      <c r="B513" s="16"/>
    </row>
    <row r="514" spans="2:2" x14ac:dyDescent="0.25">
      <c r="B514" s="16"/>
    </row>
    <row r="515" spans="2:2" x14ac:dyDescent="0.25">
      <c r="B515" s="16"/>
    </row>
    <row r="516" spans="2:2" x14ac:dyDescent="0.25">
      <c r="B516" s="16"/>
    </row>
    <row r="517" spans="2:2" x14ac:dyDescent="0.25">
      <c r="B517" s="16"/>
    </row>
    <row r="518" spans="2:2" x14ac:dyDescent="0.25">
      <c r="B518" s="16"/>
    </row>
    <row r="519" spans="2:2" x14ac:dyDescent="0.25">
      <c r="B519" s="16"/>
    </row>
    <row r="520" spans="2:2" x14ac:dyDescent="0.25">
      <c r="B520" s="16"/>
    </row>
    <row r="521" spans="2:2" x14ac:dyDescent="0.25">
      <c r="B521" s="16"/>
    </row>
    <row r="522" spans="2:2" x14ac:dyDescent="0.25">
      <c r="B522" s="16"/>
    </row>
    <row r="523" spans="2:2" x14ac:dyDescent="0.25">
      <c r="B523" s="16"/>
    </row>
    <row r="524" spans="2:2" x14ac:dyDescent="0.25">
      <c r="B524" s="16"/>
    </row>
    <row r="525" spans="2:2" x14ac:dyDescent="0.25">
      <c r="B525" s="16"/>
    </row>
    <row r="526" spans="2:2" x14ac:dyDescent="0.25">
      <c r="B526" s="16"/>
    </row>
    <row r="527" spans="2:2" x14ac:dyDescent="0.25">
      <c r="B527" s="16"/>
    </row>
    <row r="528" spans="2:2" x14ac:dyDescent="0.25">
      <c r="B528" s="16"/>
    </row>
    <row r="529" spans="2:2" x14ac:dyDescent="0.25">
      <c r="B529" s="16"/>
    </row>
    <row r="530" spans="2:2" x14ac:dyDescent="0.25">
      <c r="B530" s="16"/>
    </row>
    <row r="531" spans="2:2" x14ac:dyDescent="0.25">
      <c r="B531" s="16"/>
    </row>
    <row r="532" spans="2:2" x14ac:dyDescent="0.25">
      <c r="B532" s="16"/>
    </row>
    <row r="533" spans="2:2" x14ac:dyDescent="0.25">
      <c r="B533" s="16"/>
    </row>
    <row r="534" spans="2:2" x14ac:dyDescent="0.25">
      <c r="B534" s="16"/>
    </row>
    <row r="535" spans="2:2" x14ac:dyDescent="0.25">
      <c r="B535" s="16"/>
    </row>
    <row r="536" spans="2:2" x14ac:dyDescent="0.25">
      <c r="B536" s="16"/>
    </row>
    <row r="537" spans="2:2" x14ac:dyDescent="0.25">
      <c r="B537" s="16"/>
    </row>
    <row r="538" spans="2:2" x14ac:dyDescent="0.25">
      <c r="B538" s="16"/>
    </row>
    <row r="539" spans="2:2" x14ac:dyDescent="0.25">
      <c r="B539" s="16"/>
    </row>
    <row r="540" spans="2:2" x14ac:dyDescent="0.25">
      <c r="B540" s="16"/>
    </row>
    <row r="541" spans="2:2" x14ac:dyDescent="0.25">
      <c r="B541" s="16"/>
    </row>
    <row r="542" spans="2:2" x14ac:dyDescent="0.25">
      <c r="B542" s="16"/>
    </row>
    <row r="543" spans="2:2" x14ac:dyDescent="0.25">
      <c r="B543" s="16"/>
    </row>
    <row r="544" spans="2:2" x14ac:dyDescent="0.25">
      <c r="B544" s="16"/>
    </row>
    <row r="545" spans="2:2" x14ac:dyDescent="0.25">
      <c r="B545" s="16"/>
    </row>
    <row r="546" spans="2:2" x14ac:dyDescent="0.25">
      <c r="B546" s="16"/>
    </row>
    <row r="547" spans="2:2" x14ac:dyDescent="0.25">
      <c r="B547" s="16"/>
    </row>
    <row r="548" spans="2:2" x14ac:dyDescent="0.25">
      <c r="B548" s="16"/>
    </row>
    <row r="549" spans="2:2" x14ac:dyDescent="0.25">
      <c r="B549" s="16"/>
    </row>
    <row r="550" spans="2:2" x14ac:dyDescent="0.25">
      <c r="B550" s="16"/>
    </row>
    <row r="551" spans="2:2" x14ac:dyDescent="0.25">
      <c r="B551" s="16"/>
    </row>
    <row r="552" spans="2:2" x14ac:dyDescent="0.25">
      <c r="B552" s="16"/>
    </row>
    <row r="553" spans="2:2" x14ac:dyDescent="0.25">
      <c r="B553" s="16"/>
    </row>
    <row r="554" spans="2:2" x14ac:dyDescent="0.25">
      <c r="B554" s="16"/>
    </row>
    <row r="555" spans="2:2" x14ac:dyDescent="0.25">
      <c r="B555" s="16"/>
    </row>
    <row r="556" spans="2:2" x14ac:dyDescent="0.25">
      <c r="B556" s="16"/>
    </row>
    <row r="557" spans="2:2" x14ac:dyDescent="0.25">
      <c r="B557" s="16"/>
    </row>
    <row r="558" spans="2:2" x14ac:dyDescent="0.25">
      <c r="B558" s="16"/>
    </row>
    <row r="559" spans="2:2" x14ac:dyDescent="0.25">
      <c r="B559" s="16"/>
    </row>
    <row r="560" spans="2:2" x14ac:dyDescent="0.25">
      <c r="B560" s="16"/>
    </row>
    <row r="561" spans="2:2" x14ac:dyDescent="0.25">
      <c r="B561" s="16"/>
    </row>
    <row r="562" spans="2:2" x14ac:dyDescent="0.25">
      <c r="B562" s="16"/>
    </row>
    <row r="563" spans="2:2" x14ac:dyDescent="0.25">
      <c r="B563" s="16"/>
    </row>
    <row r="564" spans="2:2" x14ac:dyDescent="0.25">
      <c r="B564" s="16"/>
    </row>
    <row r="565" spans="2:2" x14ac:dyDescent="0.25">
      <c r="B565" s="16"/>
    </row>
    <row r="566" spans="2:2" x14ac:dyDescent="0.25">
      <c r="B566" s="16"/>
    </row>
    <row r="567" spans="2:2" x14ac:dyDescent="0.25">
      <c r="B567" s="16"/>
    </row>
    <row r="568" spans="2:2" x14ac:dyDescent="0.25">
      <c r="B568" s="16"/>
    </row>
    <row r="569" spans="2:2" x14ac:dyDescent="0.25">
      <c r="B569" s="16"/>
    </row>
    <row r="570" spans="2:2" x14ac:dyDescent="0.25">
      <c r="B570" s="16"/>
    </row>
    <row r="571" spans="2:2" x14ac:dyDescent="0.25">
      <c r="B571" s="16"/>
    </row>
    <row r="572" spans="2:2" x14ac:dyDescent="0.25">
      <c r="B572" s="16"/>
    </row>
    <row r="573" spans="2:2" x14ac:dyDescent="0.25">
      <c r="B573" s="16"/>
    </row>
    <row r="574" spans="2:2" x14ac:dyDescent="0.25">
      <c r="B574" s="16"/>
    </row>
    <row r="575" spans="2:2" x14ac:dyDescent="0.25">
      <c r="B575" s="16"/>
    </row>
    <row r="576" spans="2:2" x14ac:dyDescent="0.25">
      <c r="B576" s="16"/>
    </row>
    <row r="577" spans="2:2" x14ac:dyDescent="0.25">
      <c r="B577" s="16"/>
    </row>
    <row r="578" spans="2:2" x14ac:dyDescent="0.25">
      <c r="B578" s="16"/>
    </row>
    <row r="579" spans="2:2" x14ac:dyDescent="0.25">
      <c r="B579" s="16"/>
    </row>
    <row r="580" spans="2:2" x14ac:dyDescent="0.25">
      <c r="B580" s="16"/>
    </row>
    <row r="581" spans="2:2" x14ac:dyDescent="0.25">
      <c r="B581" s="16"/>
    </row>
    <row r="582" spans="2:2" x14ac:dyDescent="0.25">
      <c r="B582" s="16"/>
    </row>
    <row r="583" spans="2:2" x14ac:dyDescent="0.25">
      <c r="B583" s="16"/>
    </row>
    <row r="584" spans="2:2" x14ac:dyDescent="0.25">
      <c r="B584" s="16"/>
    </row>
    <row r="585" spans="2:2" x14ac:dyDescent="0.25">
      <c r="B585" s="16"/>
    </row>
    <row r="586" spans="2:2" x14ac:dyDescent="0.25">
      <c r="B586" s="16"/>
    </row>
    <row r="587" spans="2:2" x14ac:dyDescent="0.25">
      <c r="B587" s="16"/>
    </row>
    <row r="588" spans="2:2" x14ac:dyDescent="0.25">
      <c r="B588" s="16"/>
    </row>
    <row r="589" spans="2:2" x14ac:dyDescent="0.25">
      <c r="B589" s="16"/>
    </row>
    <row r="590" spans="2:2" x14ac:dyDescent="0.25">
      <c r="B590" s="16"/>
    </row>
    <row r="591" spans="2:2" x14ac:dyDescent="0.25">
      <c r="B591" s="16"/>
    </row>
    <row r="592" spans="2:2" x14ac:dyDescent="0.25">
      <c r="B592" s="16"/>
    </row>
    <row r="593" spans="2:2" x14ac:dyDescent="0.25">
      <c r="B593" s="16"/>
    </row>
    <row r="594" spans="2:2" x14ac:dyDescent="0.25">
      <c r="B594" s="16"/>
    </row>
    <row r="595" spans="2:2" x14ac:dyDescent="0.25">
      <c r="B595" s="16"/>
    </row>
    <row r="596" spans="2:2" x14ac:dyDescent="0.25">
      <c r="B596" s="16"/>
    </row>
    <row r="597" spans="2:2" x14ac:dyDescent="0.25">
      <c r="B597" s="16"/>
    </row>
    <row r="598" spans="2:2" x14ac:dyDescent="0.25">
      <c r="B598" s="16"/>
    </row>
    <row r="599" spans="2:2" x14ac:dyDescent="0.25">
      <c r="B599" s="16"/>
    </row>
    <row r="600" spans="2:2" x14ac:dyDescent="0.25">
      <c r="B600" s="16"/>
    </row>
    <row r="601" spans="2:2" x14ac:dyDescent="0.25">
      <c r="B601" s="16"/>
    </row>
    <row r="602" spans="2:2" x14ac:dyDescent="0.25">
      <c r="B602" s="16"/>
    </row>
    <row r="603" spans="2:2" x14ac:dyDescent="0.25">
      <c r="B603" s="16"/>
    </row>
    <row r="604" spans="2:2" x14ac:dyDescent="0.25">
      <c r="B604" s="16"/>
    </row>
    <row r="605" spans="2:2" x14ac:dyDescent="0.25">
      <c r="B605" s="16"/>
    </row>
    <row r="606" spans="2:2" x14ac:dyDescent="0.25">
      <c r="B606" s="16"/>
    </row>
    <row r="607" spans="2:2" x14ac:dyDescent="0.25">
      <c r="B607" s="16"/>
    </row>
    <row r="608" spans="2:2" x14ac:dyDescent="0.25">
      <c r="B608" s="16"/>
    </row>
    <row r="609" spans="2:2" x14ac:dyDescent="0.25">
      <c r="B609" s="16"/>
    </row>
    <row r="610" spans="2:2" x14ac:dyDescent="0.25">
      <c r="B610" s="16"/>
    </row>
    <row r="611" spans="2:2" x14ac:dyDescent="0.25">
      <c r="B611" s="16"/>
    </row>
    <row r="612" spans="2:2" x14ac:dyDescent="0.25">
      <c r="B612" s="16"/>
    </row>
    <row r="613" spans="2:2" x14ac:dyDescent="0.25">
      <c r="B613" s="16"/>
    </row>
    <row r="614" spans="2:2" x14ac:dyDescent="0.25">
      <c r="B614" s="16"/>
    </row>
    <row r="615" spans="2:2" x14ac:dyDescent="0.25">
      <c r="B615" s="16"/>
    </row>
    <row r="616" spans="2:2" x14ac:dyDescent="0.25">
      <c r="B616" s="16"/>
    </row>
    <row r="617" spans="2:2" x14ac:dyDescent="0.25">
      <c r="B617" s="16"/>
    </row>
    <row r="618" spans="2:2" x14ac:dyDescent="0.25">
      <c r="B618" s="16"/>
    </row>
    <row r="619" spans="2:2" x14ac:dyDescent="0.25">
      <c r="B619" s="16"/>
    </row>
    <row r="620" spans="2:2" x14ac:dyDescent="0.25">
      <c r="B620" s="16"/>
    </row>
    <row r="621" spans="2:2" x14ac:dyDescent="0.25">
      <c r="B621" s="16"/>
    </row>
    <row r="622" spans="2:2" x14ac:dyDescent="0.25">
      <c r="B622" s="16"/>
    </row>
    <row r="623" spans="2:2" x14ac:dyDescent="0.25">
      <c r="B623" s="16"/>
    </row>
    <row r="624" spans="2:2" x14ac:dyDescent="0.25">
      <c r="B624" s="16"/>
    </row>
    <row r="625" spans="2:2" x14ac:dyDescent="0.25">
      <c r="B625" s="16"/>
    </row>
    <row r="626" spans="2:2" x14ac:dyDescent="0.25">
      <c r="B626" s="16"/>
    </row>
    <row r="627" spans="2:2" x14ac:dyDescent="0.25">
      <c r="B627" s="16"/>
    </row>
    <row r="628" spans="2:2" x14ac:dyDescent="0.25">
      <c r="B628" s="16"/>
    </row>
    <row r="629" spans="2:2" x14ac:dyDescent="0.25">
      <c r="B629" s="16"/>
    </row>
    <row r="630" spans="2:2" x14ac:dyDescent="0.25">
      <c r="B630" s="16"/>
    </row>
    <row r="631" spans="2:2" x14ac:dyDescent="0.25">
      <c r="B631" s="16"/>
    </row>
    <row r="632" spans="2:2" x14ac:dyDescent="0.25">
      <c r="B632" s="16"/>
    </row>
    <row r="633" spans="2:2" x14ac:dyDescent="0.25">
      <c r="B633" s="16"/>
    </row>
    <row r="634" spans="2:2" x14ac:dyDescent="0.25">
      <c r="B634" s="16"/>
    </row>
    <row r="635" spans="2:2" x14ac:dyDescent="0.25">
      <c r="B635" s="16"/>
    </row>
    <row r="636" spans="2:2" x14ac:dyDescent="0.25">
      <c r="B636" s="16"/>
    </row>
    <row r="637" spans="2:2" x14ac:dyDescent="0.25">
      <c r="B637" s="16"/>
    </row>
    <row r="638" spans="2:2" x14ac:dyDescent="0.25">
      <c r="B638" s="16"/>
    </row>
    <row r="639" spans="2:2" x14ac:dyDescent="0.25">
      <c r="B639" s="16"/>
    </row>
    <row r="640" spans="2:2" x14ac:dyDescent="0.25">
      <c r="B640" s="16"/>
    </row>
    <row r="641" spans="2:2" x14ac:dyDescent="0.25">
      <c r="B641" s="16"/>
    </row>
    <row r="642" spans="2:2" x14ac:dyDescent="0.25">
      <c r="B642" s="16"/>
    </row>
    <row r="643" spans="2:2" x14ac:dyDescent="0.25">
      <c r="B643" s="16"/>
    </row>
    <row r="644" spans="2:2" x14ac:dyDescent="0.25">
      <c r="B644" s="16"/>
    </row>
    <row r="645" spans="2:2" x14ac:dyDescent="0.25">
      <c r="B645" s="16"/>
    </row>
    <row r="646" spans="2:2" x14ac:dyDescent="0.25">
      <c r="B646" s="16"/>
    </row>
    <row r="647" spans="2:2" x14ac:dyDescent="0.25">
      <c r="B647" s="16"/>
    </row>
    <row r="648" spans="2:2" x14ac:dyDescent="0.25">
      <c r="B648" s="16"/>
    </row>
    <row r="649" spans="2:2" x14ac:dyDescent="0.25">
      <c r="B649" s="16"/>
    </row>
    <row r="650" spans="2:2" x14ac:dyDescent="0.25">
      <c r="B650" s="16"/>
    </row>
    <row r="651" spans="2:2" x14ac:dyDescent="0.25">
      <c r="B651" s="16"/>
    </row>
    <row r="652" spans="2:2" x14ac:dyDescent="0.25">
      <c r="B652" s="16"/>
    </row>
    <row r="653" spans="2:2" x14ac:dyDescent="0.25">
      <c r="B653" s="16"/>
    </row>
    <row r="654" spans="2:2" x14ac:dyDescent="0.25">
      <c r="B654" s="16"/>
    </row>
    <row r="655" spans="2:2" x14ac:dyDescent="0.25">
      <c r="B655" s="16"/>
    </row>
    <row r="656" spans="2:2" x14ac:dyDescent="0.25">
      <c r="B656" s="16"/>
    </row>
    <row r="657" spans="2:2" x14ac:dyDescent="0.25">
      <c r="B657" s="16"/>
    </row>
    <row r="658" spans="2:2" x14ac:dyDescent="0.25">
      <c r="B658" s="16"/>
    </row>
    <row r="659" spans="2:2" x14ac:dyDescent="0.25">
      <c r="B659" s="16"/>
    </row>
    <row r="660" spans="2:2" x14ac:dyDescent="0.25">
      <c r="B660" s="16"/>
    </row>
    <row r="661" spans="2:2" x14ac:dyDescent="0.25">
      <c r="B661" s="16"/>
    </row>
    <row r="662" spans="2:2" x14ac:dyDescent="0.25">
      <c r="B662" s="16"/>
    </row>
    <row r="663" spans="2:2" x14ac:dyDescent="0.25">
      <c r="B663" s="16"/>
    </row>
    <row r="664" spans="2:2" x14ac:dyDescent="0.25">
      <c r="B664" s="16"/>
    </row>
    <row r="665" spans="2:2" x14ac:dyDescent="0.25">
      <c r="B665" s="16"/>
    </row>
    <row r="666" spans="2:2" x14ac:dyDescent="0.25">
      <c r="B666" s="16"/>
    </row>
    <row r="667" spans="2:2" x14ac:dyDescent="0.25">
      <c r="B667" s="16"/>
    </row>
    <row r="668" spans="2:2" x14ac:dyDescent="0.25">
      <c r="B668" s="16"/>
    </row>
    <row r="669" spans="2:2" x14ac:dyDescent="0.25">
      <c r="B669" s="122"/>
    </row>
    <row r="670" spans="2:2" x14ac:dyDescent="0.25">
      <c r="B670" s="122"/>
    </row>
    <row r="671" spans="2:2" x14ac:dyDescent="0.25">
      <c r="B671" s="122"/>
    </row>
    <row r="672" spans="2:2" x14ac:dyDescent="0.25">
      <c r="B672" s="122"/>
    </row>
    <row r="673" spans="2:2" x14ac:dyDescent="0.25">
      <c r="B673" s="122"/>
    </row>
    <row r="674" spans="2:2" x14ac:dyDescent="0.25">
      <c r="B674" s="12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F282"/>
  <sheetViews>
    <sheetView workbookViewId="0">
      <selection activeCell="L24" sqref="L24"/>
    </sheetView>
  </sheetViews>
  <sheetFormatPr defaultRowHeight="15" x14ac:dyDescent="0.25"/>
  <cols>
    <col min="2" max="2" width="12.5703125" customWidth="1"/>
    <col min="3" max="3" width="14.28515625" bestFit="1" customWidth="1"/>
    <col min="4" max="4" width="13.28515625" bestFit="1" customWidth="1"/>
    <col min="5" max="5" width="12" customWidth="1"/>
    <col min="6" max="6" width="11.140625" customWidth="1"/>
    <col min="8" max="8" width="9.140625" customWidth="1"/>
    <col min="13" max="13" width="12" bestFit="1" customWidth="1"/>
    <col min="16" max="16" width="20.42578125" bestFit="1" customWidth="1"/>
    <col min="17" max="17" width="24.7109375" customWidth="1"/>
    <col min="20" max="20" width="10.42578125" customWidth="1"/>
  </cols>
  <sheetData>
    <row r="1" spans="2:8" s="122" customFormat="1" ht="18.75" x14ac:dyDescent="0.3">
      <c r="B1" s="97" t="s">
        <v>753</v>
      </c>
    </row>
    <row r="3" spans="2:8" x14ac:dyDescent="0.25">
      <c r="B3" s="49" t="s">
        <v>426</v>
      </c>
      <c r="C3" s="10"/>
      <c r="D3" s="10"/>
      <c r="E3" s="10"/>
      <c r="F3" s="10"/>
      <c r="G3" s="10"/>
      <c r="H3" s="10"/>
    </row>
    <row r="4" spans="2:8" x14ac:dyDescent="0.25">
      <c r="B4" s="10"/>
      <c r="C4" s="10" t="s">
        <v>280</v>
      </c>
      <c r="D4" s="10" t="s">
        <v>279</v>
      </c>
      <c r="E4" s="10" t="s">
        <v>643</v>
      </c>
      <c r="F4" s="10"/>
      <c r="G4" s="10"/>
      <c r="H4" s="10"/>
    </row>
    <row r="5" spans="2:8" x14ac:dyDescent="0.25">
      <c r="B5" s="10" t="s">
        <v>37</v>
      </c>
      <c r="C5" s="11">
        <v>0.23</v>
      </c>
      <c r="D5" s="11">
        <v>0.48</v>
      </c>
      <c r="E5" s="14">
        <v>0.25</v>
      </c>
      <c r="F5" s="12">
        <f t="shared" ref="F5:F20" si="0">C5*$E5</f>
        <v>5.7500000000000002E-2</v>
      </c>
      <c r="G5" s="12">
        <f t="shared" ref="G5:G20" si="1">D5*$E5</f>
        <v>0.12</v>
      </c>
      <c r="H5" s="10" t="s">
        <v>192</v>
      </c>
    </row>
    <row r="6" spans="2:8" x14ac:dyDescent="0.25">
      <c r="B6" s="10" t="s">
        <v>38</v>
      </c>
      <c r="C6" s="11">
        <v>0.22</v>
      </c>
      <c r="D6" s="11">
        <v>0.42</v>
      </c>
      <c r="E6" s="14">
        <v>0.25</v>
      </c>
      <c r="F6" s="12">
        <f t="shared" si="0"/>
        <v>5.5E-2</v>
      </c>
      <c r="G6" s="12">
        <f t="shared" si="1"/>
        <v>0.105</v>
      </c>
      <c r="H6" s="10" t="s">
        <v>155</v>
      </c>
    </row>
    <row r="7" spans="2:8" x14ac:dyDescent="0.25">
      <c r="B7" s="10" t="s">
        <v>39</v>
      </c>
      <c r="C7" s="11">
        <v>0.19</v>
      </c>
      <c r="D7" s="11">
        <v>0.37</v>
      </c>
      <c r="E7" s="14">
        <v>0.25</v>
      </c>
      <c r="F7" s="12">
        <f t="shared" si="0"/>
        <v>4.7500000000000001E-2</v>
      </c>
      <c r="G7" s="12">
        <f t="shared" si="1"/>
        <v>9.2499999999999999E-2</v>
      </c>
      <c r="H7" s="10" t="s">
        <v>156</v>
      </c>
    </row>
    <row r="8" spans="2:8" x14ac:dyDescent="0.25">
      <c r="B8" s="10" t="s">
        <v>40</v>
      </c>
      <c r="C8" s="11">
        <v>0.26</v>
      </c>
      <c r="D8" s="11">
        <v>0.22</v>
      </c>
      <c r="E8" s="14">
        <v>0.25</v>
      </c>
      <c r="F8" s="12">
        <f t="shared" si="0"/>
        <v>6.5000000000000002E-2</v>
      </c>
      <c r="G8" s="12">
        <f t="shared" si="1"/>
        <v>5.5E-2</v>
      </c>
      <c r="H8" s="10" t="s">
        <v>157</v>
      </c>
    </row>
    <row r="9" spans="2:8" x14ac:dyDescent="0.25">
      <c r="B9" s="10" t="s">
        <v>41</v>
      </c>
      <c r="C9" s="11">
        <v>0.21</v>
      </c>
      <c r="D9" s="11">
        <v>0.26</v>
      </c>
      <c r="E9" s="14">
        <v>0.25</v>
      </c>
      <c r="F9" s="12">
        <f t="shared" si="0"/>
        <v>5.2499999999999998E-2</v>
      </c>
      <c r="G9" s="12">
        <f t="shared" si="1"/>
        <v>6.5000000000000002E-2</v>
      </c>
      <c r="H9" s="10" t="s">
        <v>184</v>
      </c>
    </row>
    <row r="10" spans="2:8" x14ac:dyDescent="0.25">
      <c r="B10" s="10" t="s">
        <v>42</v>
      </c>
      <c r="C10" s="11">
        <v>0.19</v>
      </c>
      <c r="D10" s="11">
        <v>0.15</v>
      </c>
      <c r="E10" s="14">
        <v>0.25</v>
      </c>
      <c r="F10" s="12">
        <f t="shared" si="0"/>
        <v>4.7500000000000001E-2</v>
      </c>
      <c r="G10" s="12">
        <f t="shared" si="1"/>
        <v>3.7499999999999999E-2</v>
      </c>
      <c r="H10" s="10" t="s">
        <v>158</v>
      </c>
    </row>
    <row r="11" spans="2:8" x14ac:dyDescent="0.25">
      <c r="B11" s="10" t="s">
        <v>43</v>
      </c>
      <c r="C11" s="11">
        <v>0.21</v>
      </c>
      <c r="D11" s="11">
        <v>0.49</v>
      </c>
      <c r="E11" s="14">
        <v>0.25</v>
      </c>
      <c r="F11" s="12">
        <f t="shared" si="0"/>
        <v>5.2499999999999998E-2</v>
      </c>
      <c r="G11" s="12">
        <f t="shared" si="1"/>
        <v>0.1225</v>
      </c>
      <c r="H11" s="10" t="s">
        <v>286</v>
      </c>
    </row>
    <row r="12" spans="2:8" x14ac:dyDescent="0.25">
      <c r="B12" s="10" t="s">
        <v>44</v>
      </c>
      <c r="C12" s="11">
        <v>0.2</v>
      </c>
      <c r="D12" s="11">
        <v>0.27</v>
      </c>
      <c r="E12" s="14">
        <v>0.25</v>
      </c>
      <c r="F12" s="12">
        <f t="shared" si="0"/>
        <v>0.05</v>
      </c>
      <c r="G12" s="12">
        <f t="shared" si="1"/>
        <v>6.7500000000000004E-2</v>
      </c>
      <c r="H12" s="10"/>
    </row>
    <row r="13" spans="2:8" x14ac:dyDescent="0.25">
      <c r="B13" s="10" t="s">
        <v>45</v>
      </c>
      <c r="C13" s="11">
        <v>0.24</v>
      </c>
      <c r="D13" s="11">
        <v>0.33</v>
      </c>
      <c r="E13" s="14">
        <v>0.65</v>
      </c>
      <c r="F13" s="12">
        <f t="shared" si="0"/>
        <v>0.156</v>
      </c>
      <c r="G13" s="12">
        <f t="shared" si="1"/>
        <v>0.21450000000000002</v>
      </c>
      <c r="H13" s="10" t="s">
        <v>292</v>
      </c>
    </row>
    <row r="14" spans="2:8" x14ac:dyDescent="0.25">
      <c r="B14" s="10" t="s">
        <v>46</v>
      </c>
      <c r="C14" s="11">
        <v>0.25</v>
      </c>
      <c r="D14" s="11">
        <v>0.34</v>
      </c>
      <c r="E14" s="14">
        <v>0.5</v>
      </c>
      <c r="F14" s="12">
        <f t="shared" si="0"/>
        <v>0.125</v>
      </c>
      <c r="G14" s="12">
        <f t="shared" si="1"/>
        <v>0.17</v>
      </c>
      <c r="H14" s="10"/>
    </row>
    <row r="15" spans="2:8" x14ac:dyDescent="0.25">
      <c r="B15" s="10" t="s">
        <v>47</v>
      </c>
      <c r="C15" s="11">
        <v>0.16</v>
      </c>
      <c r="D15" s="11">
        <v>0.44</v>
      </c>
      <c r="E15" s="14">
        <v>0.33</v>
      </c>
      <c r="F15" s="12">
        <f t="shared" si="0"/>
        <v>5.2800000000000007E-2</v>
      </c>
      <c r="G15" s="12">
        <f t="shared" si="1"/>
        <v>0.1452</v>
      </c>
      <c r="H15" s="10"/>
    </row>
    <row r="16" spans="2:8" x14ac:dyDescent="0.25">
      <c r="B16" s="10" t="s">
        <v>48</v>
      </c>
      <c r="C16" s="11">
        <v>0.13</v>
      </c>
      <c r="D16" s="11">
        <v>0.59</v>
      </c>
      <c r="E16" s="14">
        <v>0.5</v>
      </c>
      <c r="F16" s="12">
        <f t="shared" si="0"/>
        <v>6.5000000000000002E-2</v>
      </c>
      <c r="G16" s="12">
        <f t="shared" si="1"/>
        <v>0.29499999999999998</v>
      </c>
      <c r="H16" s="10" t="s">
        <v>287</v>
      </c>
    </row>
    <row r="17" spans="2:32" x14ac:dyDescent="0.25">
      <c r="B17" s="10" t="s">
        <v>49</v>
      </c>
      <c r="C17" s="11">
        <v>0.12</v>
      </c>
      <c r="D17" s="11">
        <v>0.59</v>
      </c>
      <c r="E17" s="14">
        <v>0.2</v>
      </c>
      <c r="F17" s="12">
        <f t="shared" si="0"/>
        <v>2.4E-2</v>
      </c>
      <c r="G17" s="12">
        <f t="shared" si="1"/>
        <v>0.11799999999999999</v>
      </c>
      <c r="H17" s="10" t="s">
        <v>288</v>
      </c>
    </row>
    <row r="18" spans="2:32" x14ac:dyDescent="0.25">
      <c r="B18" s="10" t="s">
        <v>50</v>
      </c>
      <c r="C18" s="11">
        <v>0.17</v>
      </c>
      <c r="D18" s="11">
        <v>0.41</v>
      </c>
      <c r="E18" s="14">
        <v>0.25</v>
      </c>
      <c r="F18" s="12">
        <f t="shared" si="0"/>
        <v>4.2500000000000003E-2</v>
      </c>
      <c r="G18" s="12">
        <f t="shared" si="1"/>
        <v>0.10249999999999999</v>
      </c>
      <c r="H18" s="10" t="s">
        <v>290</v>
      </c>
    </row>
    <row r="19" spans="2:32" x14ac:dyDescent="0.25">
      <c r="B19" s="10" t="s">
        <v>51</v>
      </c>
      <c r="C19" s="11">
        <v>0.17</v>
      </c>
      <c r="D19" s="11">
        <v>0.21</v>
      </c>
      <c r="E19" s="14">
        <v>0.25</v>
      </c>
      <c r="F19" s="12">
        <f t="shared" si="0"/>
        <v>4.2500000000000003E-2</v>
      </c>
      <c r="G19" s="12">
        <f t="shared" si="1"/>
        <v>5.2499999999999998E-2</v>
      </c>
      <c r="H19" s="10"/>
    </row>
    <row r="20" spans="2:32" x14ac:dyDescent="0.25">
      <c r="B20" s="10" t="s">
        <v>154</v>
      </c>
      <c r="C20" s="11">
        <v>0.21</v>
      </c>
      <c r="D20" s="12">
        <v>0.5</v>
      </c>
      <c r="E20" s="14">
        <v>0.25</v>
      </c>
      <c r="F20" s="12">
        <f t="shared" si="0"/>
        <v>5.2499999999999998E-2</v>
      </c>
      <c r="G20" s="12">
        <f t="shared" si="1"/>
        <v>0.125</v>
      </c>
      <c r="H20" s="10"/>
    </row>
    <row r="21" spans="2:32" x14ac:dyDescent="0.25">
      <c r="B21" s="10"/>
      <c r="C21" s="10"/>
      <c r="D21" s="10"/>
      <c r="E21" s="10"/>
      <c r="F21" s="10"/>
      <c r="G21" s="10"/>
      <c r="H21" s="10"/>
    </row>
    <row r="22" spans="2:32" x14ac:dyDescent="0.25">
      <c r="B22" s="10" t="s">
        <v>296</v>
      </c>
      <c r="C22" s="10"/>
      <c r="D22" s="10"/>
      <c r="E22" s="10"/>
      <c r="F22" s="10"/>
      <c r="G22" s="10"/>
      <c r="H22" s="10"/>
    </row>
    <row r="23" spans="2:32" x14ac:dyDescent="0.25">
      <c r="B23" s="49" t="s">
        <v>5</v>
      </c>
      <c r="C23" s="10" t="s">
        <v>294</v>
      </c>
      <c r="D23" s="10" t="s">
        <v>295</v>
      </c>
      <c r="E23" s="10"/>
      <c r="F23" s="10"/>
      <c r="G23" s="10"/>
      <c r="H23" s="10"/>
      <c r="AF23" s="4"/>
    </row>
    <row r="24" spans="2:32" x14ac:dyDescent="0.25">
      <c r="B24" s="10" t="s">
        <v>281</v>
      </c>
      <c r="C24" s="12">
        <f>AVERAGE(D5:D10)</f>
        <v>0.31666666666666665</v>
      </c>
      <c r="D24" s="12">
        <f>AVERAGE(G5:G10)/C24</f>
        <v>0.25</v>
      </c>
      <c r="E24" s="10"/>
      <c r="F24" s="10"/>
      <c r="G24" s="10"/>
      <c r="H24" s="10"/>
      <c r="AF24" s="4"/>
    </row>
    <row r="25" spans="2:32" x14ac:dyDescent="0.25">
      <c r="B25" s="10" t="s">
        <v>282</v>
      </c>
      <c r="C25" s="12">
        <f>AVERAGE(D12:D16)</f>
        <v>0.39400000000000002</v>
      </c>
      <c r="D25" s="12">
        <f>AVERAGE(G12:G16)/C25</f>
        <v>0.45289340101522846</v>
      </c>
      <c r="E25" s="10"/>
      <c r="F25" s="10"/>
      <c r="G25" s="10"/>
      <c r="H25" s="10"/>
      <c r="AF25" s="4"/>
    </row>
    <row r="26" spans="2:32" x14ac:dyDescent="0.25">
      <c r="B26" s="10" t="s">
        <v>283</v>
      </c>
      <c r="C26" s="12">
        <f>D17</f>
        <v>0.59</v>
      </c>
      <c r="D26" s="12">
        <f>G17/C26</f>
        <v>0.2</v>
      </c>
      <c r="E26" s="10"/>
      <c r="F26" s="10"/>
      <c r="G26" s="10"/>
      <c r="H26" s="10"/>
    </row>
    <row r="27" spans="2:32" x14ac:dyDescent="0.25">
      <c r="B27" s="10" t="s">
        <v>284</v>
      </c>
      <c r="C27" s="12">
        <f>AVERAGE(D18:D19)</f>
        <v>0.31</v>
      </c>
      <c r="D27" s="12">
        <f>AVERAGE(G18:G19)/C27</f>
        <v>0.25</v>
      </c>
      <c r="E27" s="10"/>
      <c r="F27" s="10"/>
      <c r="G27" s="10"/>
      <c r="H27" s="10"/>
      <c r="AF27" s="4"/>
    </row>
    <row r="28" spans="2:32" x14ac:dyDescent="0.25">
      <c r="B28" s="49" t="s">
        <v>285</v>
      </c>
      <c r="C28" s="10"/>
      <c r="D28" s="12"/>
      <c r="E28" s="10"/>
      <c r="F28" s="10"/>
      <c r="G28" s="10"/>
      <c r="H28" s="10"/>
      <c r="AF28" s="4"/>
    </row>
    <row r="29" spans="2:32" x14ac:dyDescent="0.25">
      <c r="B29" s="10" t="s">
        <v>281</v>
      </c>
      <c r="C29" s="12">
        <f>AVERAGE(C5:C10)</f>
        <v>0.21666666666666667</v>
      </c>
      <c r="D29" s="12">
        <f>AVERAGE(F5:F10)/C29</f>
        <v>0.25</v>
      </c>
      <c r="E29" s="10"/>
      <c r="F29" s="10"/>
      <c r="G29" s="10"/>
      <c r="H29" s="10"/>
    </row>
    <row r="30" spans="2:32" x14ac:dyDescent="0.25">
      <c r="B30" s="10" t="s">
        <v>282</v>
      </c>
      <c r="C30" s="12">
        <f>AVERAGE(C12:C16)</f>
        <v>0.19600000000000001</v>
      </c>
      <c r="D30" s="12">
        <f>AVERAGE(F12:F16)/C30</f>
        <v>0.45795918367346938</v>
      </c>
      <c r="E30" s="10"/>
      <c r="F30" s="10"/>
      <c r="G30" s="10"/>
      <c r="H30" s="10"/>
    </row>
    <row r="31" spans="2:32" x14ac:dyDescent="0.25">
      <c r="B31" s="10" t="s">
        <v>283</v>
      </c>
      <c r="C31" s="12">
        <f>C17</f>
        <v>0.12</v>
      </c>
      <c r="D31" s="12">
        <f>F17/C31</f>
        <v>0.2</v>
      </c>
      <c r="E31" s="10"/>
      <c r="F31" s="10"/>
      <c r="G31" s="10"/>
      <c r="H31" s="10"/>
    </row>
    <row r="32" spans="2:32" x14ac:dyDescent="0.25">
      <c r="B32" s="10" t="s">
        <v>284</v>
      </c>
      <c r="C32" s="12">
        <f>AVERAGE(C18:C19)</f>
        <v>0.17</v>
      </c>
      <c r="D32" s="12">
        <f>AVERAGE(F18:F19)/C32</f>
        <v>0.25</v>
      </c>
      <c r="E32" s="12"/>
      <c r="F32" s="10"/>
      <c r="G32" s="10"/>
      <c r="H32" s="10"/>
      <c r="AF32" s="4"/>
    </row>
    <row r="33" spans="1:32" x14ac:dyDescent="0.25">
      <c r="A33" s="15"/>
      <c r="B33" s="10" t="s">
        <v>418</v>
      </c>
      <c r="C33" s="10"/>
      <c r="D33" s="10"/>
      <c r="E33" s="10"/>
      <c r="F33" s="10"/>
      <c r="G33" s="10"/>
      <c r="H33" s="10"/>
      <c r="I33" s="15"/>
      <c r="J33" s="15"/>
      <c r="R33" s="1"/>
      <c r="S33" s="1"/>
      <c r="AF33" s="4"/>
    </row>
    <row r="34" spans="1:32" x14ac:dyDescent="0.25">
      <c r="A34" s="15"/>
      <c r="B34" s="15"/>
      <c r="C34" s="15"/>
      <c r="D34" s="15"/>
      <c r="E34" s="15"/>
      <c r="F34" s="15"/>
      <c r="G34" s="15"/>
      <c r="H34" s="15"/>
      <c r="I34" s="15"/>
      <c r="J34" s="15"/>
      <c r="R34" s="1"/>
      <c r="S34" s="1"/>
      <c r="AF34" s="4"/>
    </row>
    <row r="35" spans="1:32" s="15" customFormat="1" x14ac:dyDescent="0.25">
      <c r="B35" s="49" t="s">
        <v>416</v>
      </c>
      <c r="C35" s="10"/>
      <c r="D35" s="10"/>
      <c r="E35" s="10"/>
      <c r="F35" s="10"/>
      <c r="G35" s="10"/>
      <c r="H35" s="10"/>
      <c r="R35" s="1"/>
      <c r="S35" s="1"/>
      <c r="AF35" s="4"/>
    </row>
    <row r="36" spans="1:32" s="15" customFormat="1" x14ac:dyDescent="0.25">
      <c r="B36" s="10"/>
      <c r="C36" s="51"/>
      <c r="D36" s="11" t="s">
        <v>423</v>
      </c>
      <c r="E36" s="51"/>
      <c r="F36" s="58" t="s">
        <v>415</v>
      </c>
      <c r="G36" s="58"/>
      <c r="H36" s="58"/>
      <c r="R36" s="1"/>
      <c r="S36" s="1"/>
      <c r="AF36" s="4"/>
    </row>
    <row r="37" spans="1:32" s="15" customFormat="1" x14ac:dyDescent="0.25">
      <c r="B37" s="52"/>
      <c r="C37" s="53"/>
      <c r="D37" s="52" t="s">
        <v>424</v>
      </c>
      <c r="E37" s="53" t="s">
        <v>425</v>
      </c>
      <c r="F37" s="52"/>
      <c r="G37" s="52"/>
      <c r="H37" s="52"/>
      <c r="R37" s="1"/>
      <c r="S37" s="1"/>
      <c r="AF37" s="4"/>
    </row>
    <row r="38" spans="1:32" s="15" customFormat="1" x14ac:dyDescent="0.25">
      <c r="B38" s="10" t="s">
        <v>145</v>
      </c>
      <c r="C38" s="51" t="s">
        <v>109</v>
      </c>
      <c r="D38" s="11">
        <f t="shared" ref="D38:D47" si="2">0.38*0.5</f>
        <v>0.19</v>
      </c>
      <c r="E38" s="11">
        <f t="shared" ref="E38:E47" si="3">0.5*0.95</f>
        <v>0.47499999999999998</v>
      </c>
      <c r="F38" s="55" t="s">
        <v>421</v>
      </c>
      <c r="G38" s="57">
        <f>-16/36*22.8/36</f>
        <v>-0.28148148148148144</v>
      </c>
      <c r="H38" s="10" t="s">
        <v>417</v>
      </c>
      <c r="R38" s="1"/>
      <c r="S38" s="1"/>
      <c r="AF38" s="4"/>
    </row>
    <row r="39" spans="1:32" s="15" customFormat="1" x14ac:dyDescent="0.25">
      <c r="B39" s="10"/>
      <c r="C39" s="51" t="s">
        <v>110</v>
      </c>
      <c r="D39" s="11">
        <f t="shared" si="2"/>
        <v>0.19</v>
      </c>
      <c r="E39" s="11">
        <f t="shared" si="3"/>
        <v>0.47499999999999998</v>
      </c>
      <c r="F39" s="55"/>
      <c r="G39" s="57">
        <f>-2/36*22.8/36</f>
        <v>-3.518518518518518E-2</v>
      </c>
      <c r="H39" s="10" t="s">
        <v>414</v>
      </c>
      <c r="R39" s="1"/>
      <c r="S39" s="1"/>
      <c r="AF39" s="4"/>
    </row>
    <row r="40" spans="1:32" s="15" customFormat="1" x14ac:dyDescent="0.25">
      <c r="B40" s="10"/>
      <c r="C40" s="51" t="s">
        <v>111</v>
      </c>
      <c r="D40" s="11">
        <f t="shared" si="2"/>
        <v>0.19</v>
      </c>
      <c r="E40" s="11">
        <f t="shared" si="3"/>
        <v>0.47499999999999998</v>
      </c>
      <c r="F40" s="55"/>
      <c r="G40" s="57">
        <f>-7/36*22.8/36</f>
        <v>-0.12314814814814816</v>
      </c>
      <c r="H40" s="10"/>
      <c r="R40" s="1"/>
      <c r="S40" s="1"/>
      <c r="AF40" s="4"/>
    </row>
    <row r="41" spans="1:32" s="15" customFormat="1" x14ac:dyDescent="0.25">
      <c r="B41" s="10"/>
      <c r="C41" s="51" t="s">
        <v>106</v>
      </c>
      <c r="D41" s="11">
        <f t="shared" si="2"/>
        <v>0.19</v>
      </c>
      <c r="E41" s="11">
        <f>0.5*0.95</f>
        <v>0.47499999999999998</v>
      </c>
      <c r="F41" s="55" t="s">
        <v>422</v>
      </c>
      <c r="G41" s="57">
        <f>0.8/36</f>
        <v>2.2222222222222223E-2</v>
      </c>
      <c r="H41" s="50" t="s">
        <v>118</v>
      </c>
      <c r="R41" s="1"/>
      <c r="S41" s="1"/>
      <c r="AF41" s="4"/>
    </row>
    <row r="42" spans="1:32" s="15" customFormat="1" x14ac:dyDescent="0.25">
      <c r="B42" s="10"/>
      <c r="C42" s="51" t="s">
        <v>420</v>
      </c>
      <c r="D42" s="11">
        <f t="shared" si="2"/>
        <v>0.19</v>
      </c>
      <c r="E42" s="11">
        <f>0.5*0.95</f>
        <v>0.47499999999999998</v>
      </c>
      <c r="F42" s="55"/>
      <c r="G42" s="57">
        <f>9.1/36</f>
        <v>0.25277777777777777</v>
      </c>
      <c r="H42" s="10" t="s">
        <v>419</v>
      </c>
      <c r="R42" s="1"/>
      <c r="S42" s="1"/>
      <c r="AF42" s="4"/>
    </row>
    <row r="43" spans="1:32" s="15" customFormat="1" x14ac:dyDescent="0.25">
      <c r="B43" s="10"/>
      <c r="C43" s="51" t="s">
        <v>107</v>
      </c>
      <c r="D43" s="11">
        <f t="shared" si="2"/>
        <v>0.19</v>
      </c>
      <c r="E43" s="11">
        <f>0.5*0.95</f>
        <v>0.47499999999999998</v>
      </c>
      <c r="F43" s="55"/>
      <c r="G43" s="57">
        <f>(1.4+2)/36</f>
        <v>9.4444444444444442E-2</v>
      </c>
      <c r="H43" s="10"/>
      <c r="R43" s="1"/>
      <c r="S43" s="1"/>
      <c r="AF43" s="4"/>
    </row>
    <row r="44" spans="1:32" s="15" customFormat="1" x14ac:dyDescent="0.25">
      <c r="B44" s="52"/>
      <c r="C44" s="53" t="s">
        <v>108</v>
      </c>
      <c r="D44" s="54">
        <f t="shared" si="2"/>
        <v>0.19</v>
      </c>
      <c r="E44" s="54">
        <f>0.5*0.95</f>
        <v>0.47499999999999998</v>
      </c>
      <c r="F44" s="56"/>
      <c r="G44" s="54">
        <f>2.6/36</f>
        <v>7.2222222222222229E-2</v>
      </c>
      <c r="H44" s="52"/>
      <c r="R44" s="9"/>
      <c r="S44" s="1"/>
      <c r="AF44" s="4"/>
    </row>
    <row r="45" spans="1:32" s="15" customFormat="1" x14ac:dyDescent="0.25">
      <c r="B45" s="10" t="s">
        <v>146</v>
      </c>
      <c r="C45" s="51" t="s">
        <v>112</v>
      </c>
      <c r="D45" s="11">
        <f t="shared" si="2"/>
        <v>0.19</v>
      </c>
      <c r="E45" s="11">
        <f t="shared" si="3"/>
        <v>0.47499999999999998</v>
      </c>
      <c r="F45" s="55" t="s">
        <v>421</v>
      </c>
      <c r="G45" s="57">
        <f>-5.6/36*22.8/36</f>
        <v>-9.8518518518518519E-2</v>
      </c>
      <c r="H45" s="10"/>
      <c r="R45" s="9"/>
      <c r="S45" s="1"/>
      <c r="AF45" s="4"/>
    </row>
    <row r="46" spans="1:32" s="15" customFormat="1" x14ac:dyDescent="0.25">
      <c r="B46" s="10"/>
      <c r="C46" s="51" t="s">
        <v>106</v>
      </c>
      <c r="D46" s="11">
        <f t="shared" si="2"/>
        <v>0.19</v>
      </c>
      <c r="E46" s="11">
        <f t="shared" si="3"/>
        <v>0.47499999999999998</v>
      </c>
      <c r="F46" s="55" t="s">
        <v>422</v>
      </c>
      <c r="G46" s="57">
        <f>0.8/36</f>
        <v>2.2222222222222223E-2</v>
      </c>
      <c r="H46" s="10"/>
      <c r="R46" s="9"/>
      <c r="S46" s="1"/>
      <c r="AF46" s="4"/>
    </row>
    <row r="47" spans="1:32" s="15" customFormat="1" x14ac:dyDescent="0.25">
      <c r="B47" s="52"/>
      <c r="C47" s="53" t="s">
        <v>107</v>
      </c>
      <c r="D47" s="54">
        <f t="shared" si="2"/>
        <v>0.19</v>
      </c>
      <c r="E47" s="54">
        <f t="shared" si="3"/>
        <v>0.47499999999999998</v>
      </c>
      <c r="F47" s="56"/>
      <c r="G47" s="54">
        <f>(1.4+1)/36</f>
        <v>6.6666666666666666E-2</v>
      </c>
      <c r="H47" s="52"/>
      <c r="R47" s="9"/>
      <c r="S47" s="1"/>
      <c r="AF47" s="4"/>
    </row>
    <row r="48" spans="1:32" s="15" customFormat="1" x14ac:dyDescent="0.25">
      <c r="B48" s="10" t="s">
        <v>147</v>
      </c>
      <c r="C48" s="51" t="s">
        <v>109</v>
      </c>
      <c r="D48" s="11">
        <f t="shared" ref="D48:D55" si="4">0.6*0.5</f>
        <v>0.3</v>
      </c>
      <c r="E48" s="11">
        <f t="shared" ref="E48:E55" si="5">0.5*0.95</f>
        <v>0.47499999999999998</v>
      </c>
      <c r="F48" s="55" t="s">
        <v>421</v>
      </c>
      <c r="G48" s="57">
        <f>-128/400*218.2/400</f>
        <v>-0.17455999999999999</v>
      </c>
      <c r="H48" s="50" t="s">
        <v>117</v>
      </c>
      <c r="R48" s="9"/>
      <c r="S48" s="1"/>
      <c r="AF48" s="4"/>
    </row>
    <row r="49" spans="1:32" s="15" customFormat="1" x14ac:dyDescent="0.25">
      <c r="B49" s="10"/>
      <c r="C49" s="51" t="s">
        <v>110</v>
      </c>
      <c r="D49" s="11">
        <f t="shared" si="4"/>
        <v>0.3</v>
      </c>
      <c r="E49" s="11">
        <f t="shared" si="5"/>
        <v>0.47499999999999998</v>
      </c>
      <c r="F49" s="55"/>
      <c r="G49" s="57">
        <f>-2/400*218.2/400</f>
        <v>-2.7274999999999999E-3</v>
      </c>
      <c r="H49" s="10"/>
      <c r="R49" s="9"/>
      <c r="S49" s="1"/>
      <c r="AF49" s="4"/>
    </row>
    <row r="50" spans="1:32" s="15" customFormat="1" x14ac:dyDescent="0.25">
      <c r="B50" s="10"/>
      <c r="C50" s="51" t="s">
        <v>111</v>
      </c>
      <c r="D50" s="11">
        <f t="shared" si="4"/>
        <v>0.3</v>
      </c>
      <c r="E50" s="11">
        <f t="shared" si="5"/>
        <v>0.47499999999999998</v>
      </c>
      <c r="F50" s="55"/>
      <c r="G50" s="57">
        <f>-69/400*218.2/400</f>
        <v>-9.4098749999999995E-2</v>
      </c>
      <c r="H50" s="10"/>
      <c r="R50" s="9"/>
      <c r="S50" s="1"/>
      <c r="AF50" s="4"/>
    </row>
    <row r="51" spans="1:32" s="15" customFormat="1" x14ac:dyDescent="0.25">
      <c r="B51" s="10"/>
      <c r="C51" s="51" t="s">
        <v>106</v>
      </c>
      <c r="D51" s="11">
        <f t="shared" si="4"/>
        <v>0.3</v>
      </c>
      <c r="E51" s="11">
        <f t="shared" si="5"/>
        <v>0.47499999999999998</v>
      </c>
      <c r="F51" s="55" t="s">
        <v>422</v>
      </c>
      <c r="G51" s="57">
        <f>1.2/400</f>
        <v>3.0000000000000001E-3</v>
      </c>
      <c r="H51" s="10"/>
      <c r="R51" s="9"/>
      <c r="S51" s="1"/>
      <c r="AF51" s="4"/>
    </row>
    <row r="52" spans="1:32" s="15" customFormat="1" x14ac:dyDescent="0.25">
      <c r="B52" s="10"/>
      <c r="C52" s="51" t="s">
        <v>420</v>
      </c>
      <c r="D52" s="11">
        <f t="shared" si="4"/>
        <v>0.3</v>
      </c>
      <c r="E52" s="11">
        <f t="shared" si="5"/>
        <v>0.47499999999999998</v>
      </c>
      <c r="F52" s="55"/>
      <c r="G52" s="57">
        <f>21.8/400</f>
        <v>5.45E-2</v>
      </c>
      <c r="H52" s="10"/>
      <c r="R52" s="9"/>
      <c r="S52" s="1"/>
      <c r="AF52" s="4"/>
    </row>
    <row r="53" spans="1:32" s="15" customFormat="1" x14ac:dyDescent="0.25">
      <c r="B53" s="10"/>
      <c r="C53" s="51" t="s">
        <v>107</v>
      </c>
      <c r="D53" s="11">
        <f t="shared" si="4"/>
        <v>0.3</v>
      </c>
      <c r="E53" s="11">
        <f t="shared" si="5"/>
        <v>0.47499999999999998</v>
      </c>
      <c r="F53" s="55"/>
      <c r="G53" s="57">
        <f>(3+10.4+1.2)/400</f>
        <v>3.6499999999999998E-2</v>
      </c>
      <c r="H53" s="10"/>
      <c r="R53"/>
      <c r="S53" s="1"/>
      <c r="AF53" s="4"/>
    </row>
    <row r="54" spans="1:32" s="15" customFormat="1" x14ac:dyDescent="0.25">
      <c r="B54" s="10"/>
      <c r="C54" s="51" t="s">
        <v>108</v>
      </c>
      <c r="D54" s="11">
        <f t="shared" si="4"/>
        <v>0.3</v>
      </c>
      <c r="E54" s="11">
        <f t="shared" si="5"/>
        <v>0.47499999999999998</v>
      </c>
      <c r="F54" s="55"/>
      <c r="G54" s="57">
        <f>25.1/400</f>
        <v>6.275E-2</v>
      </c>
      <c r="H54" s="10"/>
      <c r="R54"/>
      <c r="S54" s="1"/>
      <c r="AF54" s="4"/>
    </row>
    <row r="55" spans="1:32" s="15" customFormat="1" x14ac:dyDescent="0.25">
      <c r="B55" s="52"/>
      <c r="C55" s="53" t="s">
        <v>109</v>
      </c>
      <c r="D55" s="54">
        <f t="shared" si="4"/>
        <v>0.3</v>
      </c>
      <c r="E55" s="54">
        <f t="shared" si="5"/>
        <v>0.47499999999999998</v>
      </c>
      <c r="F55" s="56"/>
      <c r="G55" s="54">
        <f>42.9/400</f>
        <v>0.10725</v>
      </c>
      <c r="H55" s="52"/>
      <c r="R55"/>
      <c r="S55" s="1"/>
      <c r="AF55" s="4"/>
    </row>
    <row r="56" spans="1:32" s="15" customFormat="1" x14ac:dyDescent="0.25">
      <c r="B56" s="10" t="s">
        <v>114</v>
      </c>
      <c r="C56" s="51" t="s">
        <v>113</v>
      </c>
      <c r="D56" s="11">
        <f t="shared" ref="D56:D61" si="6">0.65*0.5</f>
        <v>0.32500000000000001</v>
      </c>
      <c r="E56" s="11">
        <f t="shared" ref="E56:E61" si="7">0.95*0.5</f>
        <v>0.47499999999999998</v>
      </c>
      <c r="F56" s="55" t="s">
        <v>421</v>
      </c>
      <c r="G56" s="57">
        <f>-437/970*560/970</f>
        <v>-0.26009140184929325</v>
      </c>
      <c r="H56" s="50" t="s">
        <v>116</v>
      </c>
      <c r="R56"/>
      <c r="S56" s="1"/>
      <c r="AF56" s="4"/>
    </row>
    <row r="57" spans="1:32" s="15" customFormat="1" x14ac:dyDescent="0.25">
      <c r="B57" s="10"/>
      <c r="C57" s="51" t="s">
        <v>110</v>
      </c>
      <c r="D57" s="11">
        <f t="shared" si="6"/>
        <v>0.32500000000000001</v>
      </c>
      <c r="E57" s="11">
        <f t="shared" si="7"/>
        <v>0.47499999999999998</v>
      </c>
      <c r="F57" s="55"/>
      <c r="G57" s="57">
        <f>-18/970*560/970</f>
        <v>-1.0713146986927411E-2</v>
      </c>
      <c r="H57" s="10"/>
      <c r="R57"/>
      <c r="S57" s="1"/>
      <c r="AF57" s="4"/>
    </row>
    <row r="58" spans="1:32" x14ac:dyDescent="0.25">
      <c r="A58" s="15"/>
      <c r="B58" s="10"/>
      <c r="C58" s="51" t="s">
        <v>96</v>
      </c>
      <c r="D58" s="11">
        <f t="shared" si="6"/>
        <v>0.32500000000000001</v>
      </c>
      <c r="E58" s="11">
        <f t="shared" si="7"/>
        <v>0.47499999999999998</v>
      </c>
      <c r="F58" s="55"/>
      <c r="G58" s="57">
        <f>-155/970*560/970</f>
        <v>-9.2252099054097134E-2</v>
      </c>
      <c r="H58" s="10"/>
      <c r="I58" s="15"/>
      <c r="J58" s="15"/>
      <c r="S58" s="1"/>
      <c r="AF58" s="4"/>
    </row>
    <row r="59" spans="1:32" x14ac:dyDescent="0.25">
      <c r="A59" s="15"/>
      <c r="B59" s="10"/>
      <c r="C59" s="51" t="s">
        <v>115</v>
      </c>
      <c r="D59" s="11">
        <f t="shared" si="6"/>
        <v>0.32500000000000001</v>
      </c>
      <c r="E59" s="11">
        <f t="shared" si="7"/>
        <v>0.47499999999999998</v>
      </c>
      <c r="F59" s="55" t="s">
        <v>422</v>
      </c>
      <c r="G59" s="57">
        <f>12/970</f>
        <v>1.2371134020618556E-2</v>
      </c>
      <c r="H59" s="10"/>
      <c r="I59" s="15"/>
      <c r="J59" s="15"/>
      <c r="K59" s="15"/>
      <c r="L59" s="15"/>
      <c r="M59" s="15"/>
      <c r="N59" s="15"/>
      <c r="O59" s="15"/>
      <c r="S59" s="1"/>
      <c r="AF59" s="4"/>
    </row>
    <row r="60" spans="1:32" s="15" customFormat="1" x14ac:dyDescent="0.25">
      <c r="B60" s="10"/>
      <c r="C60" s="51" t="s">
        <v>107</v>
      </c>
      <c r="D60" s="11">
        <f t="shared" si="6"/>
        <v>0.32500000000000001</v>
      </c>
      <c r="E60" s="11">
        <f t="shared" si="7"/>
        <v>0.47499999999999998</v>
      </c>
      <c r="F60" s="55"/>
      <c r="G60" s="57">
        <f>80/970</f>
        <v>8.247422680412371E-2</v>
      </c>
      <c r="H60" s="10"/>
      <c r="R60" s="1"/>
      <c r="S60" s="1"/>
      <c r="AF60" s="4"/>
    </row>
    <row r="61" spans="1:32" s="15" customFormat="1" x14ac:dyDescent="0.25">
      <c r="B61" s="10"/>
      <c r="C61" s="51" t="s">
        <v>108</v>
      </c>
      <c r="D61" s="11">
        <f t="shared" si="6"/>
        <v>0.32500000000000001</v>
      </c>
      <c r="E61" s="11">
        <f t="shared" si="7"/>
        <v>0.47499999999999998</v>
      </c>
      <c r="F61" s="55"/>
      <c r="G61" s="57">
        <f>80/970</f>
        <v>8.247422680412371E-2</v>
      </c>
      <c r="H61" s="10"/>
      <c r="R61" s="1"/>
      <c r="S61" s="1"/>
      <c r="AF61" s="4"/>
    </row>
    <row r="62" spans="1:32" s="15" customFormat="1" x14ac:dyDescent="0.25">
      <c r="B62" s="10"/>
      <c r="C62" s="10" t="s">
        <v>413</v>
      </c>
      <c r="D62" s="10"/>
      <c r="E62" s="10"/>
      <c r="F62" s="10"/>
      <c r="G62" s="10"/>
      <c r="H62" s="10"/>
      <c r="R62" s="1"/>
      <c r="S62" s="1"/>
      <c r="AF62" s="4"/>
    </row>
    <row r="63" spans="1:32" s="15" customFormat="1" x14ac:dyDescent="0.25">
      <c r="R63" s="1"/>
      <c r="S63" s="1"/>
      <c r="AF63" s="4"/>
    </row>
    <row r="64" spans="1:32" s="15" customFormat="1" x14ac:dyDescent="0.25">
      <c r="R64" s="1"/>
      <c r="S64" s="1"/>
      <c r="AF64" s="4"/>
    </row>
    <row r="65" spans="1:32" x14ac:dyDescent="0.25">
      <c r="A65" s="15"/>
      <c r="B65" s="15"/>
      <c r="C65" s="15"/>
      <c r="D65" s="15"/>
      <c r="E65" s="15"/>
      <c r="F65" s="15"/>
      <c r="G65" s="15"/>
      <c r="H65" s="15"/>
      <c r="I65" s="15"/>
      <c r="J65" s="15"/>
      <c r="K65" s="15"/>
      <c r="L65" s="15"/>
      <c r="M65" s="15"/>
      <c r="N65" s="15"/>
      <c r="O65" s="15"/>
      <c r="P65" s="15"/>
      <c r="Q65" s="15"/>
      <c r="R65" s="1"/>
      <c r="S65" s="1"/>
      <c r="AF65" s="4"/>
    </row>
    <row r="66" spans="1:32" x14ac:dyDescent="0.25">
      <c r="A66" s="15"/>
      <c r="B66" s="7" t="s">
        <v>405</v>
      </c>
      <c r="C66" s="7"/>
      <c r="D66" s="7"/>
      <c r="E66" s="7"/>
      <c r="F66" s="7"/>
      <c r="G66" s="7"/>
      <c r="H66" s="7"/>
      <c r="I66" s="15"/>
      <c r="J66" s="15"/>
      <c r="K66" s="15"/>
      <c r="L66" s="15"/>
      <c r="M66" s="15"/>
      <c r="N66" s="15"/>
      <c r="O66" s="15"/>
      <c r="P66" s="15"/>
      <c r="Q66" s="15"/>
      <c r="R66" s="1"/>
      <c r="S66" s="1"/>
    </row>
    <row r="67" spans="1:32" x14ac:dyDescent="0.25">
      <c r="A67" s="15"/>
      <c r="B67" s="7" t="s">
        <v>23</v>
      </c>
      <c r="C67" s="7" t="s">
        <v>24</v>
      </c>
      <c r="D67" s="7" t="s">
        <v>15</v>
      </c>
      <c r="E67" s="7" t="s">
        <v>25</v>
      </c>
      <c r="F67" s="7" t="s">
        <v>26</v>
      </c>
      <c r="G67" s="7" t="s">
        <v>27</v>
      </c>
      <c r="H67" s="24" t="s">
        <v>28</v>
      </c>
      <c r="I67" s="15"/>
      <c r="J67" s="15"/>
      <c r="K67" s="15"/>
      <c r="L67" s="15"/>
      <c r="M67" s="15"/>
      <c r="N67" s="15"/>
      <c r="O67" s="15"/>
      <c r="P67" s="15"/>
      <c r="Q67" s="15"/>
      <c r="R67" s="1"/>
      <c r="S67" s="1"/>
      <c r="AF67" s="4"/>
    </row>
    <row r="68" spans="1:32" x14ac:dyDescent="0.25">
      <c r="A68" s="15"/>
      <c r="B68" s="24" t="s">
        <v>28</v>
      </c>
      <c r="C68" s="24">
        <v>1700</v>
      </c>
      <c r="D68" s="24">
        <v>1500</v>
      </c>
      <c r="E68" s="24">
        <v>1500</v>
      </c>
      <c r="F68" s="24">
        <v>200</v>
      </c>
      <c r="G68" s="24">
        <v>900</v>
      </c>
      <c r="H68" s="24">
        <v>5800</v>
      </c>
      <c r="I68" s="15"/>
      <c r="J68" s="108" t="s">
        <v>648</v>
      </c>
      <c r="K68" s="2">
        <f>1700/5800</f>
        <v>0.29310344827586204</v>
      </c>
      <c r="L68" s="15"/>
      <c r="M68" s="15"/>
      <c r="N68" s="15"/>
      <c r="O68" s="15"/>
      <c r="P68" s="15"/>
      <c r="Q68" s="15"/>
      <c r="R68" s="1"/>
      <c r="S68" s="1"/>
    </row>
    <row r="69" spans="1:32" x14ac:dyDescent="0.25">
      <c r="A69" s="15"/>
      <c r="B69" s="24" t="s">
        <v>21</v>
      </c>
      <c r="C69" s="24">
        <v>1600</v>
      </c>
      <c r="D69" s="24">
        <v>800</v>
      </c>
      <c r="E69" s="24">
        <v>1400</v>
      </c>
      <c r="F69" s="24">
        <v>0</v>
      </c>
      <c r="G69" s="24">
        <v>500</v>
      </c>
      <c r="H69" s="24">
        <v>4300</v>
      </c>
      <c r="I69" s="15"/>
      <c r="J69" s="108" t="s">
        <v>269</v>
      </c>
      <c r="K69" s="2">
        <f>400/5800</f>
        <v>6.8965517241379309E-2</v>
      </c>
      <c r="L69" s="15"/>
    </row>
    <row r="70" spans="1:32" x14ac:dyDescent="0.25">
      <c r="A70" s="15"/>
      <c r="B70" s="7" t="s">
        <v>29</v>
      </c>
      <c r="C70" s="7">
        <v>800</v>
      </c>
      <c r="D70" s="7">
        <v>0</v>
      </c>
      <c r="E70" s="7">
        <v>700</v>
      </c>
      <c r="F70" s="7">
        <v>0</v>
      </c>
      <c r="G70" s="7">
        <v>200</v>
      </c>
      <c r="H70" s="24">
        <v>1800</v>
      </c>
      <c r="I70" s="15"/>
      <c r="J70" s="108" t="s">
        <v>267</v>
      </c>
      <c r="K70" s="2">
        <f>1500/5800</f>
        <v>0.25862068965517243</v>
      </c>
      <c r="L70" s="15"/>
    </row>
    <row r="71" spans="1:32" x14ac:dyDescent="0.25">
      <c r="A71" s="15"/>
      <c r="B71" s="7" t="s">
        <v>30</v>
      </c>
      <c r="C71" s="7">
        <v>300</v>
      </c>
      <c r="D71" s="7">
        <v>200</v>
      </c>
      <c r="E71" s="7">
        <v>200</v>
      </c>
      <c r="F71" s="7">
        <v>0</v>
      </c>
      <c r="G71" s="7">
        <v>100</v>
      </c>
      <c r="H71" s="24">
        <v>800</v>
      </c>
      <c r="I71" s="15"/>
      <c r="J71" s="39" t="s">
        <v>153</v>
      </c>
      <c r="K71" s="2">
        <f>600/5800</f>
        <v>0.10344827586206896</v>
      </c>
      <c r="L71" s="15"/>
      <c r="AF71" s="4"/>
    </row>
    <row r="72" spans="1:32" x14ac:dyDescent="0.25">
      <c r="A72" s="15"/>
      <c r="B72" s="7" t="s">
        <v>31</v>
      </c>
      <c r="C72" s="7">
        <v>200</v>
      </c>
      <c r="D72" s="7">
        <v>100</v>
      </c>
      <c r="E72" s="7">
        <v>200</v>
      </c>
      <c r="F72" s="7">
        <v>0</v>
      </c>
      <c r="G72" s="7">
        <v>100</v>
      </c>
      <c r="H72" s="24">
        <v>600</v>
      </c>
      <c r="I72" s="15"/>
      <c r="J72" s="109" t="s">
        <v>150</v>
      </c>
      <c r="K72" s="2">
        <f>(1700+1500)/5800</f>
        <v>0.55172413793103448</v>
      </c>
      <c r="L72" s="15"/>
      <c r="AF72" s="4"/>
    </row>
    <row r="73" spans="1:32" x14ac:dyDescent="0.25">
      <c r="A73" s="15"/>
      <c r="B73" s="7" t="s">
        <v>32</v>
      </c>
      <c r="C73" s="7">
        <v>100</v>
      </c>
      <c r="D73" s="7">
        <v>300</v>
      </c>
      <c r="E73" s="7">
        <v>100</v>
      </c>
      <c r="F73" s="7">
        <v>0</v>
      </c>
      <c r="G73" s="7">
        <v>0</v>
      </c>
      <c r="H73" s="24">
        <v>500</v>
      </c>
      <c r="I73" s="15"/>
      <c r="J73" s="39" t="s">
        <v>270</v>
      </c>
      <c r="K73" s="2">
        <f>200/5800</f>
        <v>3.4482758620689655E-2</v>
      </c>
      <c r="L73" s="15"/>
      <c r="AF73" s="4"/>
    </row>
    <row r="74" spans="1:32" x14ac:dyDescent="0.25">
      <c r="A74" s="15"/>
      <c r="B74" s="7" t="s">
        <v>33</v>
      </c>
      <c r="C74" s="7">
        <v>100</v>
      </c>
      <c r="D74" s="7">
        <v>200</v>
      </c>
      <c r="E74" s="7">
        <v>100</v>
      </c>
      <c r="F74" s="7">
        <v>0</v>
      </c>
      <c r="G74" s="7">
        <v>0</v>
      </c>
      <c r="H74" s="24">
        <v>400</v>
      </c>
      <c r="I74" s="15"/>
      <c r="J74" s="109" t="s">
        <v>268</v>
      </c>
      <c r="K74" s="2">
        <f>300/4800</f>
        <v>6.25E-2</v>
      </c>
      <c r="L74" s="15"/>
      <c r="AF74" s="4"/>
    </row>
    <row r="75" spans="1:32" x14ac:dyDescent="0.25">
      <c r="A75" s="15"/>
      <c r="B75" s="7" t="s">
        <v>19</v>
      </c>
      <c r="C75" s="7">
        <v>100</v>
      </c>
      <c r="D75" s="7">
        <v>0</v>
      </c>
      <c r="E75" s="7">
        <v>100</v>
      </c>
      <c r="F75" s="7">
        <v>0</v>
      </c>
      <c r="G75" s="7">
        <v>0</v>
      </c>
      <c r="H75" s="24">
        <v>200</v>
      </c>
      <c r="I75" s="15"/>
      <c r="J75" s="15"/>
      <c r="K75" s="15"/>
      <c r="L75" s="15"/>
      <c r="AF75" s="4"/>
    </row>
    <row r="76" spans="1:32" x14ac:dyDescent="0.25">
      <c r="A76" s="15"/>
      <c r="B76" s="24" t="s">
        <v>34</v>
      </c>
      <c r="C76" s="24">
        <v>100</v>
      </c>
      <c r="D76" s="24">
        <v>700</v>
      </c>
      <c r="E76" s="24">
        <v>100</v>
      </c>
      <c r="F76" s="24">
        <v>200</v>
      </c>
      <c r="G76" s="24">
        <v>400</v>
      </c>
      <c r="H76" s="24">
        <v>1400</v>
      </c>
      <c r="I76" s="15"/>
      <c r="J76" s="15"/>
      <c r="K76" s="15"/>
      <c r="L76" s="15"/>
      <c r="AF76" s="4"/>
    </row>
    <row r="77" spans="1:32" x14ac:dyDescent="0.25">
      <c r="A77" s="15"/>
      <c r="B77" s="7" t="s">
        <v>35</v>
      </c>
      <c r="C77" s="7">
        <v>0</v>
      </c>
      <c r="D77" s="7">
        <v>400</v>
      </c>
      <c r="E77" s="7">
        <v>0</v>
      </c>
      <c r="F77" s="7">
        <v>0</v>
      </c>
      <c r="G77" s="7">
        <v>300</v>
      </c>
      <c r="H77" s="24">
        <v>800</v>
      </c>
      <c r="I77" s="15"/>
    </row>
    <row r="78" spans="1:32" x14ac:dyDescent="0.25">
      <c r="A78" s="15"/>
      <c r="B78" s="7" t="s">
        <v>26</v>
      </c>
      <c r="C78" s="7">
        <v>0</v>
      </c>
      <c r="D78" s="7">
        <v>0</v>
      </c>
      <c r="E78" s="7">
        <v>0</v>
      </c>
      <c r="F78" s="7">
        <v>200</v>
      </c>
      <c r="G78" s="7">
        <v>0</v>
      </c>
      <c r="H78" s="24">
        <v>200</v>
      </c>
      <c r="I78" s="15"/>
    </row>
    <row r="79" spans="1:32" x14ac:dyDescent="0.25">
      <c r="A79" s="15"/>
      <c r="B79" s="7" t="s">
        <v>36</v>
      </c>
      <c r="C79" s="7">
        <v>0</v>
      </c>
      <c r="D79" s="7">
        <v>0</v>
      </c>
      <c r="E79" s="7">
        <v>0</v>
      </c>
      <c r="F79" s="7">
        <v>0</v>
      </c>
      <c r="G79" s="7">
        <v>0</v>
      </c>
      <c r="H79" s="24">
        <v>100</v>
      </c>
      <c r="I79" s="15"/>
    </row>
    <row r="80" spans="1:32" x14ac:dyDescent="0.25">
      <c r="A80" s="15"/>
      <c r="B80" s="7" t="s">
        <v>19</v>
      </c>
      <c r="C80" s="7">
        <v>0</v>
      </c>
      <c r="D80" s="7">
        <v>200</v>
      </c>
      <c r="E80" s="7">
        <v>0</v>
      </c>
      <c r="F80" s="7">
        <v>0</v>
      </c>
      <c r="G80" s="7">
        <v>100</v>
      </c>
      <c r="H80" s="24">
        <v>300</v>
      </c>
      <c r="I80" s="15"/>
    </row>
    <row r="81" spans="1:15" x14ac:dyDescent="0.25">
      <c r="A81" s="15"/>
      <c r="B81" s="15"/>
      <c r="C81" s="15"/>
      <c r="D81" s="15"/>
      <c r="E81" s="15"/>
      <c r="F81" s="15"/>
      <c r="G81" s="15"/>
      <c r="H81" s="15"/>
      <c r="I81" s="15"/>
    </row>
    <row r="82" spans="1:15" x14ac:dyDescent="0.25">
      <c r="B82" s="7" t="s">
        <v>406</v>
      </c>
      <c r="E82" s="7"/>
      <c r="F82" s="7"/>
      <c r="G82" s="7"/>
      <c r="H82" s="7"/>
    </row>
    <row r="83" spans="1:15" x14ac:dyDescent="0.25">
      <c r="B83" s="7" t="s">
        <v>23</v>
      </c>
      <c r="C83" s="7" t="s">
        <v>24</v>
      </c>
      <c r="D83" s="7" t="s">
        <v>15</v>
      </c>
      <c r="E83" s="7" t="s">
        <v>25</v>
      </c>
      <c r="F83" s="7" t="s">
        <v>26</v>
      </c>
      <c r="G83" s="7" t="s">
        <v>27</v>
      </c>
      <c r="H83" s="24" t="s">
        <v>28</v>
      </c>
    </row>
    <row r="84" spans="1:15" x14ac:dyDescent="0.25">
      <c r="B84" s="24" t="s">
        <v>28</v>
      </c>
      <c r="C84" s="24">
        <v>80</v>
      </c>
      <c r="D84" s="24">
        <v>190</v>
      </c>
      <c r="E84" s="24">
        <v>140</v>
      </c>
      <c r="F84" s="24">
        <v>10</v>
      </c>
      <c r="G84" s="24">
        <v>50</v>
      </c>
      <c r="H84" s="24">
        <v>480</v>
      </c>
      <c r="J84" s="108" t="s">
        <v>648</v>
      </c>
      <c r="K84" s="13">
        <f>80/480</f>
        <v>0.16666666666666666</v>
      </c>
      <c r="L84" s="9"/>
      <c r="M84" s="15"/>
      <c r="N84" s="15"/>
      <c r="O84" s="76"/>
    </row>
    <row r="85" spans="1:15" x14ac:dyDescent="0.25">
      <c r="B85" s="24" t="s">
        <v>21</v>
      </c>
      <c r="C85" s="24">
        <v>60</v>
      </c>
      <c r="D85" s="24">
        <v>100</v>
      </c>
      <c r="E85" s="24">
        <v>110</v>
      </c>
      <c r="F85" s="24">
        <v>0</v>
      </c>
      <c r="G85" s="24">
        <v>20</v>
      </c>
      <c r="H85" s="24">
        <v>290</v>
      </c>
      <c r="J85" s="108" t="s">
        <v>269</v>
      </c>
      <c r="K85" s="13">
        <f>30/480</f>
        <v>6.25E-2</v>
      </c>
      <c r="L85" s="9"/>
      <c r="M85" s="15"/>
      <c r="N85" s="15"/>
      <c r="O85" s="76"/>
    </row>
    <row r="86" spans="1:15" x14ac:dyDescent="0.25">
      <c r="B86" s="7" t="s">
        <v>29</v>
      </c>
      <c r="C86" s="7">
        <v>30</v>
      </c>
      <c r="D86" s="7">
        <v>10</v>
      </c>
      <c r="E86" s="7">
        <v>60</v>
      </c>
      <c r="F86" s="7">
        <v>0</v>
      </c>
      <c r="G86" s="7">
        <v>10</v>
      </c>
      <c r="H86" s="24">
        <v>110</v>
      </c>
      <c r="J86" s="108" t="s">
        <v>267</v>
      </c>
      <c r="K86" s="13">
        <f>170/480</f>
        <v>0.35416666666666669</v>
      </c>
      <c r="L86" s="9"/>
      <c r="M86" s="15"/>
      <c r="N86" s="15"/>
      <c r="O86" s="76"/>
    </row>
    <row r="87" spans="1:15" x14ac:dyDescent="0.25">
      <c r="B87" s="7" t="s">
        <v>30</v>
      </c>
      <c r="C87" s="7">
        <v>10</v>
      </c>
      <c r="D87" s="7">
        <v>20</v>
      </c>
      <c r="E87" s="7">
        <v>10</v>
      </c>
      <c r="F87" s="7">
        <v>0</v>
      </c>
      <c r="G87" s="7">
        <v>0</v>
      </c>
      <c r="H87" s="24">
        <v>40</v>
      </c>
      <c r="J87" s="39" t="s">
        <v>153</v>
      </c>
      <c r="K87" s="13">
        <f>50/480</f>
        <v>0.10416666666666667</v>
      </c>
      <c r="L87" s="9"/>
      <c r="M87" s="15"/>
      <c r="N87" s="15"/>
      <c r="O87" s="76"/>
    </row>
    <row r="88" spans="1:15" x14ac:dyDescent="0.25">
      <c r="B88" s="7" t="s">
        <v>31</v>
      </c>
      <c r="C88" s="7">
        <v>10</v>
      </c>
      <c r="D88" s="7">
        <v>10</v>
      </c>
      <c r="E88" s="7">
        <v>10</v>
      </c>
      <c r="F88" s="7">
        <v>0</v>
      </c>
      <c r="G88" s="7">
        <v>0</v>
      </c>
      <c r="H88" s="24">
        <v>30</v>
      </c>
      <c r="J88" s="109" t="s">
        <v>690</v>
      </c>
      <c r="K88" s="13">
        <f>(80+140)/480</f>
        <v>0.45833333333333331</v>
      </c>
      <c r="L88" s="9"/>
      <c r="M88" s="15"/>
      <c r="N88" s="15"/>
      <c r="O88" s="76"/>
    </row>
    <row r="89" spans="1:15" x14ac:dyDescent="0.25">
      <c r="B89" s="7" t="s">
        <v>32</v>
      </c>
      <c r="C89" s="7">
        <v>10</v>
      </c>
      <c r="D89" s="7">
        <v>20</v>
      </c>
      <c r="E89" s="7">
        <v>10</v>
      </c>
      <c r="F89" s="7">
        <v>0</v>
      </c>
      <c r="G89" s="7">
        <v>0</v>
      </c>
      <c r="H89" s="24">
        <v>40</v>
      </c>
      <c r="J89" s="39" t="s">
        <v>270</v>
      </c>
      <c r="K89" s="13">
        <f>10/480</f>
        <v>2.0833333333333332E-2</v>
      </c>
      <c r="L89" s="9"/>
      <c r="M89" s="15"/>
      <c r="N89" s="15"/>
      <c r="O89" s="76"/>
    </row>
    <row r="90" spans="1:15" x14ac:dyDescent="0.25">
      <c r="B90" s="7" t="s">
        <v>33</v>
      </c>
      <c r="C90" s="7">
        <v>0</v>
      </c>
      <c r="D90" s="7">
        <v>40</v>
      </c>
      <c r="E90" s="7">
        <v>10</v>
      </c>
      <c r="F90" s="7">
        <v>0</v>
      </c>
      <c r="G90" s="7">
        <v>0</v>
      </c>
      <c r="H90" s="24">
        <v>50</v>
      </c>
      <c r="J90" s="109" t="s">
        <v>268</v>
      </c>
      <c r="K90" s="13">
        <f>50/480</f>
        <v>0.10416666666666667</v>
      </c>
      <c r="L90" s="9"/>
      <c r="M90" s="15"/>
      <c r="N90" s="15"/>
      <c r="O90" s="76"/>
    </row>
    <row r="91" spans="1:15" x14ac:dyDescent="0.25">
      <c r="B91" s="7" t="s">
        <v>19</v>
      </c>
      <c r="C91" s="7">
        <v>10</v>
      </c>
      <c r="D91" s="7">
        <v>0</v>
      </c>
      <c r="E91" s="7">
        <v>10</v>
      </c>
      <c r="F91" s="7">
        <v>0</v>
      </c>
      <c r="G91" s="7">
        <v>0</v>
      </c>
      <c r="H91" s="24">
        <v>30</v>
      </c>
    </row>
    <row r="92" spans="1:15" x14ac:dyDescent="0.25">
      <c r="B92" s="24" t="s">
        <v>34</v>
      </c>
      <c r="C92" s="24">
        <v>20</v>
      </c>
      <c r="D92" s="24">
        <v>90</v>
      </c>
      <c r="E92" s="24">
        <v>30</v>
      </c>
      <c r="F92" s="24">
        <v>10</v>
      </c>
      <c r="G92" s="24">
        <v>30</v>
      </c>
      <c r="H92" s="24">
        <v>180</v>
      </c>
    </row>
    <row r="93" spans="1:15" x14ac:dyDescent="0.25">
      <c r="B93" s="7" t="s">
        <v>35</v>
      </c>
      <c r="C93" s="7">
        <v>10</v>
      </c>
      <c r="D93" s="7">
        <v>60</v>
      </c>
      <c r="E93" s="7">
        <v>10</v>
      </c>
      <c r="F93" s="7">
        <v>0</v>
      </c>
      <c r="G93" s="7">
        <v>20</v>
      </c>
      <c r="H93" s="24">
        <v>100</v>
      </c>
    </row>
    <row r="94" spans="1:15" x14ac:dyDescent="0.25">
      <c r="B94" s="7" t="s">
        <v>26</v>
      </c>
      <c r="C94" s="7">
        <v>0</v>
      </c>
      <c r="D94" s="7">
        <v>0</v>
      </c>
      <c r="E94" s="7">
        <v>0</v>
      </c>
      <c r="F94" s="7">
        <v>10</v>
      </c>
      <c r="G94" s="7">
        <v>0</v>
      </c>
      <c r="H94" s="24">
        <v>10</v>
      </c>
    </row>
    <row r="95" spans="1:15" x14ac:dyDescent="0.25">
      <c r="B95" s="7" t="s">
        <v>36</v>
      </c>
      <c r="C95" s="7">
        <v>0</v>
      </c>
      <c r="D95" s="7">
        <v>0</v>
      </c>
      <c r="E95" s="7">
        <v>10</v>
      </c>
      <c r="F95" s="7">
        <v>0</v>
      </c>
      <c r="G95" s="7">
        <v>0</v>
      </c>
      <c r="H95" s="24">
        <v>10</v>
      </c>
    </row>
    <row r="96" spans="1:15" x14ac:dyDescent="0.25">
      <c r="B96" s="7" t="s">
        <v>19</v>
      </c>
      <c r="C96" s="7">
        <v>10</v>
      </c>
      <c r="D96" s="7">
        <v>20</v>
      </c>
      <c r="E96" s="7">
        <v>10</v>
      </c>
      <c r="F96" s="7">
        <v>0</v>
      </c>
      <c r="G96" s="7">
        <v>10</v>
      </c>
      <c r="H96" s="24">
        <v>50</v>
      </c>
    </row>
    <row r="97" spans="2:8" s="15" customFormat="1" x14ac:dyDescent="0.25">
      <c r="B97" s="7"/>
      <c r="C97" s="7"/>
      <c r="D97" s="7"/>
      <c r="E97" s="7"/>
      <c r="F97" s="7"/>
      <c r="G97" s="7"/>
      <c r="H97" s="24"/>
    </row>
    <row r="98" spans="2:8" s="15" customFormat="1" x14ac:dyDescent="0.25">
      <c r="G98" s="9"/>
      <c r="H98" s="26"/>
    </row>
    <row r="99" spans="2:8" s="15" customFormat="1" x14ac:dyDescent="0.25">
      <c r="B99" s="72" t="s">
        <v>503</v>
      </c>
      <c r="C99" s="70"/>
      <c r="D99" s="70"/>
      <c r="E99" s="70"/>
      <c r="F99" s="70"/>
      <c r="G99" s="70"/>
      <c r="H99" s="70"/>
    </row>
    <row r="100" spans="2:8" s="15" customFormat="1" x14ac:dyDescent="0.25">
      <c r="B100" s="70"/>
      <c r="C100" s="70"/>
      <c r="D100" s="70" t="s">
        <v>514</v>
      </c>
      <c r="E100" s="70" t="s">
        <v>513</v>
      </c>
      <c r="F100" s="70" t="s">
        <v>515</v>
      </c>
      <c r="G100" s="70"/>
      <c r="H100" s="70" t="s">
        <v>516</v>
      </c>
    </row>
    <row r="101" spans="2:8" s="15" customFormat="1" x14ac:dyDescent="0.25">
      <c r="B101" s="70" t="s">
        <v>21</v>
      </c>
      <c r="C101" s="70"/>
      <c r="D101" s="70">
        <v>385</v>
      </c>
      <c r="E101" s="70">
        <v>358</v>
      </c>
      <c r="F101" s="71">
        <v>0.93</v>
      </c>
      <c r="G101" s="70"/>
      <c r="H101" s="71">
        <f t="shared" ref="H101:H115" si="8">D101/D$115</f>
        <v>0.30219780219780218</v>
      </c>
    </row>
    <row r="102" spans="2:8" s="15" customFormat="1" x14ac:dyDescent="0.25">
      <c r="B102" s="70" t="s">
        <v>34</v>
      </c>
      <c r="C102" s="70"/>
      <c r="D102" s="70">
        <v>252</v>
      </c>
      <c r="E102" s="70">
        <v>238</v>
      </c>
      <c r="F102" s="71">
        <v>0.95</v>
      </c>
      <c r="G102" s="70"/>
      <c r="H102" s="71">
        <f t="shared" si="8"/>
        <v>0.19780219780219779</v>
      </c>
    </row>
    <row r="103" spans="2:8" s="15" customFormat="1" x14ac:dyDescent="0.25">
      <c r="B103" s="72" t="s">
        <v>16</v>
      </c>
      <c r="C103" s="72"/>
      <c r="D103" s="72">
        <v>637</v>
      </c>
      <c r="E103" s="72">
        <v>596</v>
      </c>
      <c r="F103" s="73">
        <v>0.94</v>
      </c>
      <c r="G103" s="72"/>
      <c r="H103" s="73">
        <f t="shared" si="8"/>
        <v>0.5</v>
      </c>
    </row>
    <row r="104" spans="2:8" s="15" customFormat="1" x14ac:dyDescent="0.25">
      <c r="B104" s="70" t="s">
        <v>504</v>
      </c>
      <c r="C104" s="70"/>
      <c r="D104" s="70">
        <v>127</v>
      </c>
      <c r="E104" s="70">
        <v>88</v>
      </c>
      <c r="F104" s="71">
        <v>0.69</v>
      </c>
      <c r="G104" s="70"/>
      <c r="H104" s="71">
        <f t="shared" si="8"/>
        <v>9.968602825745683E-2</v>
      </c>
    </row>
    <row r="105" spans="2:8" s="15" customFormat="1" x14ac:dyDescent="0.25">
      <c r="B105" s="70" t="s">
        <v>505</v>
      </c>
      <c r="C105" s="70"/>
      <c r="D105" s="70">
        <v>25</v>
      </c>
      <c r="E105" s="70">
        <v>21</v>
      </c>
      <c r="F105" s="71">
        <v>0.8</v>
      </c>
      <c r="G105" s="70"/>
      <c r="H105" s="71">
        <f t="shared" si="8"/>
        <v>1.9623233908948195E-2</v>
      </c>
    </row>
    <row r="106" spans="2:8" s="15" customFormat="1" x14ac:dyDescent="0.25">
      <c r="B106" s="70" t="s">
        <v>506</v>
      </c>
      <c r="C106" s="70"/>
      <c r="D106" s="70">
        <v>38</v>
      </c>
      <c r="E106" s="70">
        <v>31</v>
      </c>
      <c r="F106" s="71">
        <v>0.81</v>
      </c>
      <c r="G106" s="70"/>
      <c r="H106" s="71">
        <f t="shared" si="8"/>
        <v>2.9827315541601257E-2</v>
      </c>
    </row>
    <row r="107" spans="2:8" s="15" customFormat="1" x14ac:dyDescent="0.25">
      <c r="B107" s="72" t="s">
        <v>14</v>
      </c>
      <c r="C107" s="72"/>
      <c r="D107" s="72">
        <v>191</v>
      </c>
      <c r="E107" s="72">
        <v>139</v>
      </c>
      <c r="F107" s="73">
        <v>0.73</v>
      </c>
      <c r="G107" s="72"/>
      <c r="H107" s="73">
        <f t="shared" si="8"/>
        <v>0.14992150706436422</v>
      </c>
    </row>
    <row r="108" spans="2:8" s="15" customFormat="1" x14ac:dyDescent="0.25">
      <c r="B108" s="70" t="s">
        <v>507</v>
      </c>
      <c r="C108" s="70"/>
      <c r="D108" s="70">
        <v>178</v>
      </c>
      <c r="E108" s="70">
        <v>143</v>
      </c>
      <c r="F108" s="71">
        <v>0.8</v>
      </c>
      <c r="G108" s="70"/>
      <c r="H108" s="71">
        <f t="shared" si="8"/>
        <v>0.13971742543171115</v>
      </c>
    </row>
    <row r="109" spans="2:8" s="15" customFormat="1" x14ac:dyDescent="0.25">
      <c r="B109" s="70" t="s">
        <v>508</v>
      </c>
      <c r="C109" s="70"/>
      <c r="D109" s="70">
        <v>38</v>
      </c>
      <c r="E109" s="70">
        <v>33</v>
      </c>
      <c r="F109" s="71">
        <v>0.87</v>
      </c>
      <c r="G109" s="70"/>
      <c r="H109" s="71">
        <f t="shared" si="8"/>
        <v>2.9827315541601257E-2</v>
      </c>
    </row>
    <row r="110" spans="2:8" s="15" customFormat="1" x14ac:dyDescent="0.25">
      <c r="B110" s="72" t="s">
        <v>20</v>
      </c>
      <c r="C110" s="72"/>
      <c r="D110" s="72">
        <v>217</v>
      </c>
      <c r="E110" s="72">
        <v>176</v>
      </c>
      <c r="F110" s="73">
        <v>0.81</v>
      </c>
      <c r="G110" s="72"/>
      <c r="H110" s="73">
        <f t="shared" si="8"/>
        <v>0.17032967032967034</v>
      </c>
    </row>
    <row r="111" spans="2:8" s="15" customFormat="1" x14ac:dyDescent="0.25">
      <c r="B111" s="70" t="s">
        <v>510</v>
      </c>
      <c r="C111" s="70"/>
      <c r="D111" s="70">
        <v>38</v>
      </c>
      <c r="E111" s="70">
        <v>31</v>
      </c>
      <c r="F111" s="71">
        <v>0.8</v>
      </c>
      <c r="G111" s="70"/>
      <c r="H111" s="71">
        <f t="shared" si="8"/>
        <v>2.9827315541601257E-2</v>
      </c>
    </row>
    <row r="112" spans="2:8" s="15" customFormat="1" x14ac:dyDescent="0.25">
      <c r="B112" s="70" t="s">
        <v>511</v>
      </c>
      <c r="C112" s="70"/>
      <c r="D112" s="70">
        <v>12</v>
      </c>
      <c r="E112" s="70">
        <v>8</v>
      </c>
      <c r="F112" s="71">
        <v>0.7</v>
      </c>
      <c r="G112" s="70"/>
      <c r="H112" s="71">
        <f t="shared" si="8"/>
        <v>9.4191522762951327E-3</v>
      </c>
    </row>
    <row r="113" spans="2:12" s="15" customFormat="1" x14ac:dyDescent="0.25">
      <c r="B113" s="70" t="s">
        <v>512</v>
      </c>
      <c r="C113" s="70"/>
      <c r="D113" s="70">
        <v>180</v>
      </c>
      <c r="E113" s="70">
        <v>138</v>
      </c>
      <c r="F113" s="71">
        <v>0.77</v>
      </c>
      <c r="G113" s="70"/>
      <c r="H113" s="71">
        <f t="shared" si="8"/>
        <v>0.14128728414442701</v>
      </c>
    </row>
    <row r="114" spans="2:12" s="15" customFormat="1" x14ac:dyDescent="0.25">
      <c r="B114" s="72" t="s">
        <v>509</v>
      </c>
      <c r="C114" s="72"/>
      <c r="D114" s="72">
        <v>229</v>
      </c>
      <c r="E114" s="72">
        <v>177</v>
      </c>
      <c r="F114" s="73">
        <v>0.77</v>
      </c>
      <c r="G114" s="72"/>
      <c r="H114" s="73">
        <f t="shared" si="8"/>
        <v>0.17974882260596547</v>
      </c>
    </row>
    <row r="115" spans="2:12" s="15" customFormat="1" x14ac:dyDescent="0.25">
      <c r="B115" s="72" t="s">
        <v>518</v>
      </c>
      <c r="C115" s="72"/>
      <c r="D115" s="72">
        <f>D103+D107+D110+D114</f>
        <v>1274</v>
      </c>
      <c r="E115" s="72">
        <f>E103+E107+E110+E114</f>
        <v>1088</v>
      </c>
      <c r="F115" s="73">
        <f>E115/D115</f>
        <v>0.85400313971742547</v>
      </c>
      <c r="G115" s="72"/>
      <c r="H115" s="73">
        <f t="shared" si="8"/>
        <v>1</v>
      </c>
    </row>
    <row r="116" spans="2:12" s="15" customFormat="1" x14ac:dyDescent="0.25">
      <c r="B116" s="70"/>
      <c r="C116" s="70"/>
      <c r="D116" s="70"/>
      <c r="E116" s="70"/>
      <c r="F116" s="70" t="s">
        <v>517</v>
      </c>
      <c r="G116" s="70"/>
      <c r="H116" s="70"/>
    </row>
    <row r="118" spans="2:12" x14ac:dyDescent="0.25">
      <c r="B118" s="5"/>
      <c r="C118" s="5" t="s">
        <v>404</v>
      </c>
      <c r="D118" s="5"/>
      <c r="E118" s="5"/>
      <c r="F118" s="5"/>
      <c r="G118" s="5"/>
      <c r="H118" s="5"/>
      <c r="I118" s="5"/>
      <c r="J118" s="5"/>
      <c r="K118" s="5"/>
      <c r="L118" s="5"/>
    </row>
    <row r="119" spans="2:12" s="15" customFormat="1" x14ac:dyDescent="0.25">
      <c r="B119" s="44"/>
      <c r="C119" s="45" t="s">
        <v>124</v>
      </c>
      <c r="D119" s="44"/>
      <c r="E119" s="45" t="s">
        <v>125</v>
      </c>
      <c r="F119" s="44"/>
      <c r="G119" s="45" t="s">
        <v>407</v>
      </c>
      <c r="H119" s="44"/>
      <c r="I119" s="45" t="s">
        <v>408</v>
      </c>
      <c r="J119" s="44"/>
      <c r="K119" s="45" t="s">
        <v>409</v>
      </c>
      <c r="L119" s="45"/>
    </row>
    <row r="120" spans="2:12" s="15" customFormat="1" x14ac:dyDescent="0.25">
      <c r="B120" s="42" t="s">
        <v>410</v>
      </c>
      <c r="C120" s="5"/>
      <c r="D120" s="42"/>
      <c r="E120" s="5"/>
      <c r="F120" s="42"/>
      <c r="G120" s="5" t="s">
        <v>52</v>
      </c>
      <c r="H120" s="43">
        <v>0.86</v>
      </c>
      <c r="I120" s="5" t="s">
        <v>52</v>
      </c>
      <c r="J120" s="43">
        <v>0.86</v>
      </c>
      <c r="K120" s="5"/>
      <c r="L120" s="5"/>
    </row>
    <row r="121" spans="2:12" s="15" customFormat="1" x14ac:dyDescent="0.25">
      <c r="B121" s="42"/>
      <c r="C121" s="5" t="s">
        <v>53</v>
      </c>
      <c r="D121" s="43">
        <v>0.82</v>
      </c>
      <c r="E121" s="5" t="s">
        <v>53</v>
      </c>
      <c r="F121" s="43">
        <v>0.82</v>
      </c>
      <c r="G121" s="5" t="s">
        <v>54</v>
      </c>
      <c r="H121" s="43">
        <v>0.37</v>
      </c>
      <c r="I121" s="5" t="s">
        <v>54</v>
      </c>
      <c r="J121" s="43">
        <v>0.37</v>
      </c>
      <c r="K121" s="5"/>
      <c r="L121" s="5"/>
    </row>
    <row r="122" spans="2:12" s="15" customFormat="1" x14ac:dyDescent="0.25">
      <c r="B122" s="42"/>
      <c r="C122" s="5" t="s">
        <v>55</v>
      </c>
      <c r="D122" s="43">
        <v>0.87</v>
      </c>
      <c r="E122" s="5" t="s">
        <v>55</v>
      </c>
      <c r="F122" s="43">
        <v>0.87</v>
      </c>
      <c r="G122" s="5" t="s">
        <v>56</v>
      </c>
      <c r="H122" s="43">
        <v>0.53</v>
      </c>
      <c r="I122" s="5" t="s">
        <v>56</v>
      </c>
      <c r="J122" s="43">
        <v>0.53</v>
      </c>
      <c r="K122" s="5"/>
      <c r="L122" s="5"/>
    </row>
    <row r="123" spans="2:12" s="15" customFormat="1" x14ac:dyDescent="0.25">
      <c r="B123" s="42"/>
      <c r="C123" s="5" t="s">
        <v>57</v>
      </c>
      <c r="D123" s="43">
        <v>0.97</v>
      </c>
      <c r="E123" s="5" t="s">
        <v>57</v>
      </c>
      <c r="F123" s="43">
        <v>0.97</v>
      </c>
      <c r="G123" s="5" t="s">
        <v>58</v>
      </c>
      <c r="H123" s="43">
        <v>0.98</v>
      </c>
      <c r="I123" s="5" t="s">
        <v>58</v>
      </c>
      <c r="J123" s="43">
        <v>0.98</v>
      </c>
      <c r="K123" s="5"/>
      <c r="L123" s="5"/>
    </row>
    <row r="124" spans="2:12" s="15" customFormat="1" x14ac:dyDescent="0.25">
      <c r="B124" s="42"/>
      <c r="C124" s="5"/>
      <c r="D124" s="42"/>
      <c r="E124" s="5"/>
      <c r="F124" s="42"/>
      <c r="G124" s="5" t="s">
        <v>59</v>
      </c>
      <c r="H124" s="43">
        <v>0.92</v>
      </c>
      <c r="I124" s="5" t="s">
        <v>59</v>
      </c>
      <c r="J124" s="43">
        <v>0.92</v>
      </c>
      <c r="K124" s="5" t="s">
        <v>60</v>
      </c>
      <c r="L124" s="6">
        <v>0.99</v>
      </c>
    </row>
    <row r="125" spans="2:12" s="15" customFormat="1" x14ac:dyDescent="0.25">
      <c r="B125" s="42"/>
      <c r="C125" s="5"/>
      <c r="D125" s="42"/>
      <c r="E125" s="5"/>
      <c r="F125" s="42"/>
      <c r="G125" s="5" t="s">
        <v>61</v>
      </c>
      <c r="H125" s="43">
        <v>0.96</v>
      </c>
      <c r="I125" s="5" t="s">
        <v>61</v>
      </c>
      <c r="J125" s="43">
        <v>0.96</v>
      </c>
      <c r="K125" s="5" t="s">
        <v>62</v>
      </c>
      <c r="L125" s="6">
        <v>0.87</v>
      </c>
    </row>
    <row r="126" spans="2:12" s="15" customFormat="1" x14ac:dyDescent="0.25">
      <c r="B126" s="44"/>
      <c r="C126" s="45"/>
      <c r="D126" s="44"/>
      <c r="E126" s="45"/>
      <c r="F126" s="44"/>
      <c r="G126" s="45" t="s">
        <v>63</v>
      </c>
      <c r="H126" s="46">
        <v>0.95</v>
      </c>
      <c r="I126" s="45" t="s">
        <v>63</v>
      </c>
      <c r="J126" s="46">
        <v>0.95</v>
      </c>
      <c r="K126" s="45" t="s">
        <v>63</v>
      </c>
      <c r="L126" s="47">
        <v>0.87</v>
      </c>
    </row>
    <row r="127" spans="2:12" s="15" customFormat="1" x14ac:dyDescent="0.25">
      <c r="B127" s="42" t="s">
        <v>411</v>
      </c>
      <c r="C127" s="5" t="s">
        <v>64</v>
      </c>
      <c r="D127" s="43">
        <v>0.95</v>
      </c>
      <c r="E127" s="5" t="s">
        <v>65</v>
      </c>
      <c r="F127" s="43">
        <v>0.97</v>
      </c>
      <c r="G127" s="5" t="s">
        <v>65</v>
      </c>
      <c r="H127" s="43">
        <v>0.89</v>
      </c>
      <c r="I127" s="5"/>
      <c r="J127" s="42"/>
      <c r="K127" s="5" t="s">
        <v>66</v>
      </c>
      <c r="L127" s="6">
        <v>0.91</v>
      </c>
    </row>
    <row r="128" spans="2:12" s="15" customFormat="1" x14ac:dyDescent="0.25">
      <c r="B128" s="42"/>
      <c r="C128" s="5"/>
      <c r="D128" s="42"/>
      <c r="E128" s="5" t="s">
        <v>67</v>
      </c>
      <c r="F128" s="43">
        <v>0.95</v>
      </c>
      <c r="G128" s="5"/>
      <c r="H128" s="42"/>
      <c r="I128" s="5"/>
      <c r="J128" s="42"/>
      <c r="K128" s="5" t="s">
        <v>68</v>
      </c>
      <c r="L128" s="6">
        <v>0.92</v>
      </c>
    </row>
    <row r="129" spans="2:12" s="15" customFormat="1" x14ac:dyDescent="0.25">
      <c r="B129" s="42"/>
      <c r="C129" s="5"/>
      <c r="D129" s="42"/>
      <c r="E129" s="5" t="s">
        <v>69</v>
      </c>
      <c r="F129" s="43">
        <v>0.99</v>
      </c>
      <c r="G129" s="5" t="s">
        <v>69</v>
      </c>
      <c r="H129" s="43">
        <v>0.95</v>
      </c>
      <c r="I129" s="5"/>
      <c r="J129" s="42"/>
      <c r="K129" s="5" t="s">
        <v>70</v>
      </c>
      <c r="L129" s="6">
        <v>0.99</v>
      </c>
    </row>
    <row r="130" spans="2:12" s="15" customFormat="1" x14ac:dyDescent="0.25">
      <c r="B130" s="44"/>
      <c r="C130" s="45"/>
      <c r="D130" s="44"/>
      <c r="E130" s="45" t="s">
        <v>71</v>
      </c>
      <c r="F130" s="46">
        <v>0.91</v>
      </c>
      <c r="G130" s="45"/>
      <c r="H130" s="44"/>
      <c r="I130" s="45"/>
      <c r="J130" s="44"/>
      <c r="K130" s="45" t="s">
        <v>72</v>
      </c>
      <c r="L130" s="47">
        <v>0.99</v>
      </c>
    </row>
    <row r="131" spans="2:12" s="15" customFormat="1" x14ac:dyDescent="0.25">
      <c r="B131" s="42" t="s">
        <v>412</v>
      </c>
      <c r="C131" s="5"/>
      <c r="D131" s="42"/>
      <c r="E131" s="5" t="s">
        <v>73</v>
      </c>
      <c r="F131" s="43">
        <v>0.98</v>
      </c>
      <c r="G131" s="5" t="s">
        <v>73</v>
      </c>
      <c r="H131" s="43">
        <v>0.96</v>
      </c>
      <c r="I131" s="5"/>
      <c r="J131" s="42"/>
      <c r="K131" s="5" t="s">
        <v>74</v>
      </c>
      <c r="L131" s="6">
        <v>0.98</v>
      </c>
    </row>
    <row r="132" spans="2:12" s="15" customFormat="1" x14ac:dyDescent="0.25">
      <c r="B132" s="42"/>
      <c r="C132" s="5"/>
      <c r="D132" s="42"/>
      <c r="E132" s="5" t="s">
        <v>75</v>
      </c>
      <c r="F132" s="43">
        <v>0.9</v>
      </c>
      <c r="G132" s="5" t="s">
        <v>75</v>
      </c>
      <c r="H132" s="43">
        <v>0.9</v>
      </c>
      <c r="I132" s="5" t="s">
        <v>76</v>
      </c>
      <c r="J132" s="42">
        <v>85</v>
      </c>
      <c r="K132" s="5" t="s">
        <v>61</v>
      </c>
      <c r="L132" s="6">
        <v>0.84</v>
      </c>
    </row>
    <row r="133" spans="2:12" s="15" customFormat="1" x14ac:dyDescent="0.25">
      <c r="B133" s="42"/>
      <c r="C133" s="5"/>
      <c r="D133" s="42"/>
      <c r="E133" s="5" t="s">
        <v>77</v>
      </c>
      <c r="F133" s="43">
        <v>0.68</v>
      </c>
      <c r="G133" s="5" t="s">
        <v>77</v>
      </c>
      <c r="H133" s="43">
        <v>0.72</v>
      </c>
      <c r="I133" s="5" t="s">
        <v>78</v>
      </c>
      <c r="J133" s="42">
        <v>98</v>
      </c>
      <c r="K133" s="5" t="s">
        <v>79</v>
      </c>
      <c r="L133" s="6">
        <v>0.55000000000000004</v>
      </c>
    </row>
    <row r="134" spans="2:12" s="15" customFormat="1" x14ac:dyDescent="0.25">
      <c r="B134" s="42"/>
      <c r="C134" s="5"/>
      <c r="D134" s="42"/>
      <c r="E134" s="5"/>
      <c r="F134" s="42"/>
      <c r="G134" s="5"/>
      <c r="H134" s="42"/>
      <c r="I134" s="5" t="s">
        <v>80</v>
      </c>
      <c r="J134" s="42">
        <v>97</v>
      </c>
      <c r="K134" s="5" t="s">
        <v>81</v>
      </c>
      <c r="L134" s="6">
        <v>0.28999999999999998</v>
      </c>
    </row>
    <row r="135" spans="2:12" s="15" customFormat="1" x14ac:dyDescent="0.25">
      <c r="B135" s="42"/>
      <c r="C135" s="5"/>
      <c r="D135" s="42"/>
      <c r="E135" s="5"/>
      <c r="F135" s="42"/>
      <c r="G135" s="5"/>
      <c r="H135" s="42"/>
      <c r="I135" s="5"/>
      <c r="J135" s="42"/>
      <c r="K135" s="5"/>
      <c r="L135" s="5"/>
    </row>
    <row r="136" spans="2:12" s="15" customFormat="1" x14ac:dyDescent="0.25">
      <c r="B136" s="42"/>
      <c r="C136" s="5"/>
      <c r="D136" s="43">
        <f>D121*D122*D123*D127</f>
        <v>0.65739809999999987</v>
      </c>
      <c r="E136" s="5"/>
      <c r="F136" s="43">
        <f>D121*D122*D123*F127*F128*F129*F130*F131*F132*F133</f>
        <v>0.34455159411681796</v>
      </c>
      <c r="G136" s="5"/>
      <c r="H136" s="42"/>
      <c r="I136" s="5"/>
      <c r="J136" s="42"/>
      <c r="K136" s="5"/>
      <c r="L136" s="23">
        <f>L124*L125*L126*L127*L128*L129*L130*L131*L132*L133*L134</f>
        <v>8.0730818906496679E-2</v>
      </c>
    </row>
    <row r="137" spans="2:12" s="15" customFormat="1" x14ac:dyDescent="0.25"/>
    <row r="138" spans="2:12" s="15" customFormat="1" x14ac:dyDescent="0.25"/>
    <row r="139" spans="2:12" s="15" customFormat="1" x14ac:dyDescent="0.25">
      <c r="B139" s="5" t="s">
        <v>484</v>
      </c>
      <c r="C139" s="5"/>
      <c r="D139" s="5" t="s">
        <v>481</v>
      </c>
      <c r="E139" s="5" t="s">
        <v>482</v>
      </c>
      <c r="F139" s="5" t="s">
        <v>483</v>
      </c>
    </row>
    <row r="140" spans="2:12" s="15" customFormat="1" x14ac:dyDescent="0.25">
      <c r="B140" s="5" t="s">
        <v>14</v>
      </c>
      <c r="C140" s="5" t="s">
        <v>126</v>
      </c>
      <c r="D140" s="67">
        <v>90</v>
      </c>
      <c r="E140" s="67">
        <v>93</v>
      </c>
      <c r="F140" s="68">
        <f t="shared" ref="F140:F147" si="9">(D140-E140)/E140</f>
        <v>-3.2258064516129031E-2</v>
      </c>
    </row>
    <row r="141" spans="2:12" x14ac:dyDescent="0.25">
      <c r="B141" s="5" t="s">
        <v>14</v>
      </c>
      <c r="C141" s="5" t="s">
        <v>127</v>
      </c>
      <c r="D141" s="67">
        <v>80</v>
      </c>
      <c r="E141" s="67">
        <v>87</v>
      </c>
      <c r="F141" s="68">
        <f t="shared" si="9"/>
        <v>-8.0459770114942528E-2</v>
      </c>
    </row>
    <row r="142" spans="2:12" x14ac:dyDescent="0.25">
      <c r="B142" s="5" t="s">
        <v>14</v>
      </c>
      <c r="C142" s="5" t="s">
        <v>128</v>
      </c>
      <c r="D142" s="67">
        <v>80</v>
      </c>
      <c r="E142" s="67">
        <v>87</v>
      </c>
      <c r="F142" s="68">
        <f t="shared" si="9"/>
        <v>-8.0459770114942528E-2</v>
      </c>
    </row>
    <row r="143" spans="2:12" s="15" customFormat="1" x14ac:dyDescent="0.25">
      <c r="B143" s="5" t="s">
        <v>14</v>
      </c>
      <c r="C143" s="5" t="s">
        <v>129</v>
      </c>
      <c r="D143" s="67">
        <v>80</v>
      </c>
      <c r="E143" s="67">
        <v>87</v>
      </c>
      <c r="F143" s="68">
        <f t="shared" si="9"/>
        <v>-8.0459770114942528E-2</v>
      </c>
    </row>
    <row r="144" spans="2:12" s="15" customFormat="1" x14ac:dyDescent="0.25">
      <c r="B144" s="5" t="s">
        <v>14</v>
      </c>
      <c r="C144" s="5" t="s">
        <v>130</v>
      </c>
      <c r="D144" s="67">
        <v>60</v>
      </c>
      <c r="E144" s="67">
        <v>73</v>
      </c>
      <c r="F144" s="68">
        <f t="shared" si="9"/>
        <v>-0.17808219178082191</v>
      </c>
      <c r="G144" s="5"/>
    </row>
    <row r="145" spans="1:19" s="15" customFormat="1" x14ac:dyDescent="0.25">
      <c r="B145" s="5" t="s">
        <v>14</v>
      </c>
      <c r="C145" s="5" t="s">
        <v>131</v>
      </c>
      <c r="D145" s="67">
        <v>95</v>
      </c>
      <c r="E145" s="67">
        <v>97</v>
      </c>
      <c r="F145" s="68">
        <f t="shared" si="9"/>
        <v>-2.0618556701030927E-2</v>
      </c>
    </row>
    <row r="146" spans="1:19" s="15" customFormat="1" x14ac:dyDescent="0.25">
      <c r="B146" s="5" t="s">
        <v>14</v>
      </c>
      <c r="C146" s="5" t="s">
        <v>132</v>
      </c>
      <c r="D146" s="67">
        <v>95</v>
      </c>
      <c r="E146" s="67">
        <v>97</v>
      </c>
      <c r="F146" s="68">
        <f t="shared" si="9"/>
        <v>-2.0618556701030927E-2</v>
      </c>
    </row>
    <row r="147" spans="1:19" s="15" customFormat="1" x14ac:dyDescent="0.25">
      <c r="A147"/>
      <c r="B147" s="5" t="s">
        <v>14</v>
      </c>
      <c r="C147" s="5" t="s">
        <v>133</v>
      </c>
      <c r="D147" s="67">
        <v>100</v>
      </c>
      <c r="E147" s="67">
        <v>100</v>
      </c>
      <c r="F147" s="68">
        <f t="shared" si="9"/>
        <v>0</v>
      </c>
      <c r="K147"/>
      <c r="L147"/>
      <c r="M147"/>
      <c r="N147"/>
      <c r="O147"/>
      <c r="R147"/>
      <c r="S147"/>
    </row>
    <row r="148" spans="1:19" s="15" customFormat="1" x14ac:dyDescent="0.25">
      <c r="A148"/>
      <c r="B148" s="5" t="s">
        <v>480</v>
      </c>
      <c r="C148" s="5"/>
      <c r="D148" s="5"/>
      <c r="E148" s="5"/>
      <c r="F148" s="5"/>
      <c r="K148" s="2"/>
      <c r="L148" s="2"/>
      <c r="M148"/>
      <c r="O148"/>
      <c r="R148"/>
      <c r="S148"/>
    </row>
    <row r="149" spans="1:19" s="15" customFormat="1" x14ac:dyDescent="0.25">
      <c r="A149"/>
      <c r="B149"/>
      <c r="K149" s="2"/>
      <c r="L149" s="2"/>
      <c r="M149"/>
      <c r="N149"/>
      <c r="O149"/>
      <c r="R149"/>
      <c r="S149"/>
    </row>
    <row r="150" spans="1:19" s="15" customFormat="1" x14ac:dyDescent="0.25">
      <c r="A150"/>
      <c r="B150" s="5" t="s">
        <v>486</v>
      </c>
      <c r="C150" s="5"/>
      <c r="D150" s="5"/>
      <c r="E150" s="5"/>
      <c r="F150" s="5"/>
      <c r="G150" s="5"/>
      <c r="H150" s="5"/>
      <c r="K150" s="2"/>
      <c r="L150" s="2"/>
      <c r="M150"/>
      <c r="N150"/>
      <c r="O150"/>
      <c r="R150"/>
      <c r="S150"/>
    </row>
    <row r="151" spans="1:19" s="15" customFormat="1" x14ac:dyDescent="0.25">
      <c r="A151"/>
      <c r="B151" s="5"/>
      <c r="C151" s="5" t="s">
        <v>481</v>
      </c>
      <c r="D151" s="5" t="s">
        <v>482</v>
      </c>
      <c r="E151" s="5" t="s">
        <v>485</v>
      </c>
      <c r="F151" s="5"/>
      <c r="G151" s="5" t="s">
        <v>487</v>
      </c>
      <c r="H151" s="5"/>
      <c r="K151" s="2"/>
      <c r="L151" s="2"/>
      <c r="M151"/>
      <c r="N151"/>
      <c r="O151"/>
      <c r="R151"/>
      <c r="S151"/>
    </row>
    <row r="152" spans="1:19" s="15" customFormat="1" x14ac:dyDescent="0.25">
      <c r="A152"/>
      <c r="B152" s="5" t="s">
        <v>135</v>
      </c>
      <c r="C152" s="5">
        <v>96.8</v>
      </c>
      <c r="D152" s="5">
        <v>99.6</v>
      </c>
      <c r="E152" s="68">
        <f t="shared" ref="E152:E160" si="10">(C152-D152)/D152</f>
        <v>-2.8112449799196759E-2</v>
      </c>
      <c r="F152" s="5"/>
      <c r="G152" s="69">
        <f>(640+484+99)/(640+89+484+99+10+68)</f>
        <v>0.87985611510791362</v>
      </c>
      <c r="H152" s="5"/>
      <c r="K152" s="2"/>
      <c r="L152" s="2"/>
      <c r="M152"/>
      <c r="N152"/>
      <c r="O152"/>
      <c r="R152"/>
      <c r="S152"/>
    </row>
    <row r="153" spans="1:19" s="15" customFormat="1" x14ac:dyDescent="0.25">
      <c r="A153"/>
      <c r="B153" s="5" t="s">
        <v>142</v>
      </c>
      <c r="C153" s="5">
        <v>98</v>
      </c>
      <c r="D153" s="5">
        <v>99.5</v>
      </c>
      <c r="E153" s="68">
        <f t="shared" si="10"/>
        <v>-1.507537688442211E-2</v>
      </c>
      <c r="F153" s="5"/>
      <c r="G153" s="69">
        <f>89/(640+89+484+99+10+68)</f>
        <v>6.4028776978417259E-2</v>
      </c>
      <c r="H153" s="5"/>
      <c r="K153" s="2"/>
      <c r="L153" s="2"/>
      <c r="M153"/>
      <c r="N153"/>
      <c r="O153"/>
      <c r="R153"/>
      <c r="S153"/>
    </row>
    <row r="154" spans="1:19" s="15" customFormat="1" x14ac:dyDescent="0.25">
      <c r="A154"/>
      <c r="B154" s="5" t="s">
        <v>143</v>
      </c>
      <c r="C154" s="5">
        <v>66</v>
      </c>
      <c r="D154" s="5">
        <v>99.5</v>
      </c>
      <c r="E154" s="68">
        <f t="shared" si="10"/>
        <v>-0.33668341708542715</v>
      </c>
      <c r="F154" s="5"/>
      <c r="G154" s="69">
        <f>68/(640+89+484+99+10+68)</f>
        <v>4.8920863309352518E-2</v>
      </c>
      <c r="H154" s="5"/>
      <c r="K154" s="2"/>
      <c r="L154" s="2"/>
      <c r="M154"/>
      <c r="N154"/>
      <c r="O154"/>
      <c r="R154"/>
      <c r="S154"/>
    </row>
    <row r="155" spans="1:19" s="15" customFormat="1" x14ac:dyDescent="0.25">
      <c r="A155"/>
      <c r="B155" s="5" t="s">
        <v>141</v>
      </c>
      <c r="C155" s="5">
        <v>52.2</v>
      </c>
      <c r="D155" s="5">
        <v>99.5</v>
      </c>
      <c r="E155" s="68">
        <f t="shared" si="10"/>
        <v>-0.47537688442211051</v>
      </c>
      <c r="F155" s="5"/>
      <c r="G155" s="69">
        <f>10/(640+89+484+99+10+68)</f>
        <v>7.1942446043165471E-3</v>
      </c>
      <c r="H155" s="5"/>
      <c r="K155" s="2"/>
      <c r="L155" s="2"/>
      <c r="M155"/>
      <c r="N155"/>
      <c r="O155"/>
      <c r="R155"/>
      <c r="S155"/>
    </row>
    <row r="156" spans="1:19" s="15" customFormat="1" x14ac:dyDescent="0.25">
      <c r="A156"/>
      <c r="B156" s="5" t="s">
        <v>136</v>
      </c>
      <c r="C156" s="5">
        <v>92.5</v>
      </c>
      <c r="D156" s="5">
        <v>99</v>
      </c>
      <c r="E156" s="68">
        <f t="shared" si="10"/>
        <v>-6.5656565656565663E-2</v>
      </c>
      <c r="F156" s="5"/>
      <c r="G156" s="69">
        <f>89/(640+89+484+99+10+68)</f>
        <v>6.4028776978417259E-2</v>
      </c>
      <c r="H156" s="5"/>
      <c r="I156" s="3"/>
      <c r="J156" s="2"/>
      <c r="K156" s="2"/>
      <c r="L156" s="2"/>
      <c r="M156"/>
      <c r="N156"/>
      <c r="O156"/>
      <c r="P156"/>
      <c r="Q156"/>
      <c r="R156"/>
      <c r="S156"/>
    </row>
    <row r="157" spans="1:19" s="15" customFormat="1" x14ac:dyDescent="0.25">
      <c r="A157"/>
      <c r="B157" s="5" t="s">
        <v>137</v>
      </c>
      <c r="C157" s="5">
        <v>95.7</v>
      </c>
      <c r="D157" s="5">
        <v>98.9</v>
      </c>
      <c r="E157" s="68">
        <f t="shared" si="10"/>
        <v>-3.2355915065722982E-2</v>
      </c>
      <c r="F157" s="5"/>
      <c r="G157" s="69">
        <f>540/(640+89+484+99+10+68)</f>
        <v>0.38848920863309355</v>
      </c>
      <c r="H157" s="5"/>
      <c r="I157" s="3"/>
      <c r="K157" s="2"/>
      <c r="L157" s="2"/>
      <c r="M157"/>
      <c r="N157"/>
      <c r="O157"/>
      <c r="R157"/>
      <c r="S157"/>
    </row>
    <row r="158" spans="1:19" s="15" customFormat="1" x14ac:dyDescent="0.25">
      <c r="A158"/>
      <c r="B158" s="5" t="s">
        <v>138</v>
      </c>
      <c r="C158" s="5">
        <v>90</v>
      </c>
      <c r="D158" s="5">
        <v>98.6</v>
      </c>
      <c r="E158" s="68">
        <f t="shared" si="10"/>
        <v>-8.7221095334685542E-2</v>
      </c>
      <c r="F158" s="5"/>
      <c r="G158" s="69">
        <f>125/(640+89+484+99+10+68)</f>
        <v>8.9928057553956831E-2</v>
      </c>
      <c r="H158" s="5"/>
      <c r="I158" s="3"/>
      <c r="K158" s="2"/>
      <c r="L158" s="2"/>
      <c r="M158"/>
      <c r="N158"/>
      <c r="O158"/>
      <c r="R158"/>
      <c r="S158"/>
    </row>
    <row r="159" spans="1:19" s="15" customFormat="1" x14ac:dyDescent="0.25">
      <c r="A159"/>
      <c r="B159" s="5" t="s">
        <v>139</v>
      </c>
      <c r="C159" s="5">
        <v>94</v>
      </c>
      <c r="D159" s="5">
        <v>98.4</v>
      </c>
      <c r="E159" s="68">
        <f t="shared" si="10"/>
        <v>-4.4715447154471601E-2</v>
      </c>
      <c r="F159" s="5"/>
      <c r="G159" s="69">
        <f>462/(640+89+484+99+10+68)</f>
        <v>0.33237410071942447</v>
      </c>
      <c r="H159" s="5"/>
      <c r="I159" s="3"/>
      <c r="K159" s="2"/>
      <c r="L159" s="2"/>
      <c r="M159"/>
      <c r="N159"/>
      <c r="O159"/>
      <c r="R159"/>
      <c r="S159"/>
    </row>
    <row r="160" spans="1:19" s="15" customFormat="1" x14ac:dyDescent="0.25">
      <c r="A160"/>
      <c r="B160" s="5" t="s">
        <v>140</v>
      </c>
      <c r="C160" s="5">
        <v>90</v>
      </c>
      <c r="D160" s="5">
        <v>98.1</v>
      </c>
      <c r="E160" s="68">
        <f t="shared" si="10"/>
        <v>-8.256880733944949E-2</v>
      </c>
      <c r="F160" s="5"/>
      <c r="G160" s="69">
        <f>94/(640+89+484+99+10+68)</f>
        <v>6.7625899280575538E-2</v>
      </c>
      <c r="H160" s="5"/>
      <c r="I160" s="3"/>
      <c r="K160" s="2"/>
      <c r="L160" s="2"/>
      <c r="M160"/>
      <c r="N160" s="9"/>
      <c r="O160"/>
      <c r="R160"/>
      <c r="S160"/>
    </row>
    <row r="161" spans="1:19" s="15" customFormat="1" x14ac:dyDescent="0.25">
      <c r="A161"/>
      <c r="B161"/>
      <c r="C161"/>
      <c r="E161"/>
      <c r="F161"/>
      <c r="G161"/>
      <c r="I161" s="3"/>
      <c r="K161" s="2"/>
      <c r="L161" s="2"/>
      <c r="M161"/>
      <c r="N161" s="9"/>
      <c r="O161"/>
      <c r="R161"/>
      <c r="S161"/>
    </row>
    <row r="162" spans="1:19" s="15" customFormat="1" x14ac:dyDescent="0.25">
      <c r="A162"/>
      <c r="B162"/>
      <c r="C162"/>
      <c r="E162"/>
      <c r="F162"/>
      <c r="G162"/>
      <c r="I162" s="3"/>
      <c r="K162" s="2"/>
      <c r="L162" s="2"/>
      <c r="M162"/>
      <c r="N162" s="9"/>
      <c r="O162"/>
      <c r="R162"/>
      <c r="S162"/>
    </row>
    <row r="163" spans="1:19" x14ac:dyDescent="0.25">
      <c r="A163" s="15"/>
      <c r="B163" s="15"/>
      <c r="C163" s="15"/>
      <c r="D163" s="15"/>
      <c r="E163" s="15"/>
      <c r="F163" s="15"/>
      <c r="G163" s="15"/>
      <c r="H163" s="15"/>
      <c r="I163" s="15"/>
      <c r="J163" s="15"/>
      <c r="K163" s="15"/>
      <c r="L163" s="15"/>
      <c r="M163" s="15"/>
      <c r="N163" s="15"/>
      <c r="O163" s="15"/>
      <c r="P163" s="15"/>
      <c r="Q163" s="15"/>
      <c r="R163" s="15"/>
      <c r="S163" s="15"/>
    </row>
    <row r="164" spans="1:19" x14ac:dyDescent="0.25">
      <c r="A164" s="15"/>
      <c r="B164" s="48" t="s">
        <v>361</v>
      </c>
      <c r="C164" s="21"/>
      <c r="D164" s="21"/>
      <c r="E164" s="21"/>
      <c r="F164" s="21"/>
      <c r="G164" s="21"/>
      <c r="H164" s="21"/>
      <c r="I164" s="21"/>
      <c r="L164" s="15"/>
      <c r="M164" s="15"/>
      <c r="N164" s="15"/>
      <c r="O164" s="15"/>
      <c r="P164" s="15"/>
      <c r="Q164" s="15"/>
      <c r="R164" s="15"/>
      <c r="S164" s="15"/>
    </row>
    <row r="165" spans="1:19" x14ac:dyDescent="0.25">
      <c r="A165" s="15"/>
      <c r="B165" s="21" t="s">
        <v>346</v>
      </c>
      <c r="C165" s="21"/>
      <c r="D165" s="21"/>
      <c r="E165" s="21"/>
      <c r="F165" s="21"/>
      <c r="G165" s="21" t="s">
        <v>348</v>
      </c>
      <c r="H165" s="21" t="s">
        <v>351</v>
      </c>
      <c r="I165" s="21"/>
      <c r="L165" s="15"/>
      <c r="M165" s="15"/>
      <c r="N165" s="15"/>
      <c r="O165" s="15"/>
      <c r="P165" s="15"/>
      <c r="Q165" s="15"/>
      <c r="R165" s="15"/>
      <c r="S165" s="15"/>
    </row>
    <row r="166" spans="1:19" x14ac:dyDescent="0.25">
      <c r="A166" s="15"/>
      <c r="B166" s="21" t="s">
        <v>347</v>
      </c>
      <c r="C166" s="21"/>
      <c r="D166" s="21"/>
      <c r="E166" s="21"/>
      <c r="F166" s="21" t="s">
        <v>12</v>
      </c>
      <c r="G166" s="34">
        <v>0.40100000000000002</v>
      </c>
      <c r="H166" s="35">
        <f>32%/0.8</f>
        <v>0.39999999999999997</v>
      </c>
      <c r="I166" s="21"/>
      <c r="L166" s="15"/>
      <c r="M166" s="15"/>
      <c r="N166" s="15"/>
      <c r="O166" s="15"/>
      <c r="P166" s="15"/>
      <c r="Q166" s="15"/>
      <c r="R166" s="15"/>
      <c r="S166" s="15"/>
    </row>
    <row r="167" spans="1:19" x14ac:dyDescent="0.25">
      <c r="A167" s="15"/>
      <c r="B167" s="21" t="s">
        <v>357</v>
      </c>
      <c r="C167" s="21"/>
      <c r="D167" s="21"/>
      <c r="E167" s="21"/>
      <c r="F167" s="21" t="s">
        <v>16</v>
      </c>
      <c r="G167" s="34">
        <v>0.20399999999999999</v>
      </c>
      <c r="H167" s="35">
        <f>16%/0.8</f>
        <v>0.19999999999999998</v>
      </c>
      <c r="I167" s="21"/>
      <c r="L167" s="15"/>
      <c r="M167" s="15"/>
      <c r="N167" s="15"/>
      <c r="O167" s="15"/>
      <c r="P167" s="15"/>
      <c r="Q167" s="15"/>
      <c r="R167" s="15"/>
      <c r="S167" s="15"/>
    </row>
    <row r="168" spans="1:19" x14ac:dyDescent="0.25">
      <c r="A168" s="15"/>
      <c r="B168" s="21" t="s">
        <v>359</v>
      </c>
      <c r="C168" s="21"/>
      <c r="D168" s="21"/>
      <c r="E168" s="21"/>
      <c r="F168" s="21" t="s">
        <v>354</v>
      </c>
      <c r="G168" s="21"/>
      <c r="H168" s="36">
        <f>21%/0.8</f>
        <v>0.26249999999999996</v>
      </c>
      <c r="I168" s="21"/>
      <c r="L168" s="15"/>
    </row>
    <row r="169" spans="1:19" x14ac:dyDescent="0.25">
      <c r="A169" s="15"/>
      <c r="B169" s="21" t="s">
        <v>358</v>
      </c>
      <c r="C169" s="21"/>
      <c r="D169" s="21"/>
      <c r="E169" s="21"/>
      <c r="F169" s="21" t="s">
        <v>349</v>
      </c>
      <c r="G169" s="35">
        <v>7.0000000000000007E-2</v>
      </c>
      <c r="H169" s="21"/>
      <c r="I169" s="21"/>
      <c r="L169" s="15"/>
    </row>
    <row r="170" spans="1:19" x14ac:dyDescent="0.25">
      <c r="A170" s="15"/>
      <c r="B170" s="21"/>
      <c r="C170" s="21"/>
      <c r="D170" s="21"/>
      <c r="E170" s="21"/>
      <c r="F170" s="21" t="s">
        <v>350</v>
      </c>
      <c r="G170" s="34">
        <v>5.6000000000000001E-2</v>
      </c>
      <c r="H170" s="35">
        <f>2%/0.8</f>
        <v>2.4999999999999998E-2</v>
      </c>
      <c r="I170" s="21"/>
      <c r="L170" s="15"/>
    </row>
    <row r="171" spans="1:19" x14ac:dyDescent="0.25">
      <c r="A171" s="15"/>
      <c r="B171" s="21"/>
      <c r="C171" s="21"/>
      <c r="D171" s="21"/>
      <c r="E171" s="21"/>
      <c r="F171" s="21" t="s">
        <v>19</v>
      </c>
      <c r="G171" s="34">
        <v>0.26900000000000002</v>
      </c>
      <c r="H171" s="35">
        <f>6%/0.8</f>
        <v>7.4999999999999997E-2</v>
      </c>
      <c r="I171" s="21"/>
      <c r="L171" s="15"/>
    </row>
    <row r="172" spans="1:19" x14ac:dyDescent="0.25">
      <c r="A172" s="15"/>
      <c r="B172" s="21"/>
      <c r="C172" s="21"/>
      <c r="D172" s="21"/>
      <c r="E172" s="21"/>
      <c r="F172" s="21" t="s">
        <v>352</v>
      </c>
      <c r="G172" s="21"/>
      <c r="H172" s="35">
        <f>3%/0.8</f>
        <v>3.7499999999999999E-2</v>
      </c>
      <c r="I172" s="21"/>
      <c r="L172" s="15"/>
    </row>
    <row r="173" spans="1:19" x14ac:dyDescent="0.25">
      <c r="A173" s="15"/>
      <c r="B173" s="21"/>
      <c r="C173" s="21"/>
      <c r="D173" s="21"/>
      <c r="E173" s="21"/>
      <c r="F173" s="21"/>
      <c r="G173" s="21"/>
      <c r="H173" s="36">
        <f>0.2/0.8</f>
        <v>0.25</v>
      </c>
      <c r="I173" s="21" t="s">
        <v>353</v>
      </c>
      <c r="L173" s="15"/>
    </row>
    <row r="174" spans="1:19" x14ac:dyDescent="0.25">
      <c r="A174" s="15"/>
      <c r="B174" s="21"/>
      <c r="C174" s="21"/>
      <c r="D174" s="21"/>
      <c r="E174" s="21"/>
      <c r="F174" s="21" t="s">
        <v>28</v>
      </c>
      <c r="G174" s="21" t="s">
        <v>356</v>
      </c>
      <c r="H174" s="21" t="s">
        <v>355</v>
      </c>
      <c r="I174" s="21" t="s">
        <v>353</v>
      </c>
      <c r="L174" s="15"/>
    </row>
    <row r="175" spans="1:19" x14ac:dyDescent="0.25">
      <c r="A175" s="15"/>
      <c r="B175" s="15"/>
      <c r="C175" s="15"/>
      <c r="D175" s="15"/>
      <c r="E175" s="15"/>
      <c r="F175" s="15"/>
      <c r="G175" s="15"/>
      <c r="H175" s="15"/>
      <c r="I175" s="15"/>
      <c r="L175" s="15"/>
    </row>
    <row r="176" spans="1:19" x14ac:dyDescent="0.25">
      <c r="A176" s="15"/>
      <c r="B176" s="15"/>
      <c r="C176" s="15"/>
      <c r="H176" s="15"/>
      <c r="I176" s="15"/>
      <c r="L176" s="15"/>
    </row>
    <row r="177" spans="1:19" x14ac:dyDescent="0.25">
      <c r="A177" s="15"/>
      <c r="B177" s="59" t="s">
        <v>363</v>
      </c>
      <c r="C177" s="20"/>
      <c r="H177" s="15"/>
      <c r="I177" s="15"/>
      <c r="L177" s="15"/>
    </row>
    <row r="178" spans="1:19" x14ac:dyDescent="0.25">
      <c r="A178" s="15"/>
      <c r="B178" s="20" t="s">
        <v>364</v>
      </c>
      <c r="C178" s="37">
        <v>0.3</v>
      </c>
      <c r="H178" s="15"/>
      <c r="I178" s="15"/>
      <c r="L178" s="15"/>
    </row>
    <row r="179" spans="1:19" x14ac:dyDescent="0.25">
      <c r="A179" s="15"/>
      <c r="B179" s="20" t="s">
        <v>365</v>
      </c>
      <c r="C179" s="37">
        <v>0.32</v>
      </c>
      <c r="H179" s="15"/>
      <c r="I179" s="15"/>
      <c r="L179" s="15"/>
      <c r="M179" s="15"/>
      <c r="O179" s="15"/>
      <c r="P179" s="15"/>
      <c r="Q179" s="15"/>
      <c r="R179" s="15"/>
      <c r="S179" s="15"/>
    </row>
    <row r="180" spans="1:19" x14ac:dyDescent="0.25">
      <c r="A180" s="15"/>
      <c r="B180" s="20" t="s">
        <v>366</v>
      </c>
      <c r="C180" s="37">
        <v>0.21</v>
      </c>
      <c r="H180" s="15"/>
      <c r="I180" s="15"/>
      <c r="L180" s="15"/>
      <c r="M180" s="15"/>
      <c r="O180" s="15"/>
      <c r="P180" s="15"/>
      <c r="Q180" s="15"/>
      <c r="R180" s="15"/>
      <c r="S180" s="15"/>
    </row>
    <row r="181" spans="1:19" x14ac:dyDescent="0.25">
      <c r="A181" s="15"/>
      <c r="B181" s="20" t="s">
        <v>367</v>
      </c>
      <c r="C181" s="37">
        <v>0.11</v>
      </c>
      <c r="F181" s="15"/>
      <c r="G181" s="15"/>
      <c r="H181" s="15"/>
      <c r="I181" s="15"/>
      <c r="L181" s="15"/>
      <c r="M181" s="15"/>
      <c r="N181" s="15"/>
      <c r="O181" s="15"/>
      <c r="P181" s="15"/>
      <c r="Q181" s="15"/>
      <c r="R181" s="15"/>
      <c r="S181" s="15"/>
    </row>
    <row r="182" spans="1:19" x14ac:dyDescent="0.25">
      <c r="A182" s="15"/>
      <c r="B182" s="20" t="s">
        <v>368</v>
      </c>
      <c r="C182" s="37">
        <v>0.06</v>
      </c>
      <c r="D182" s="15"/>
      <c r="E182" s="15"/>
      <c r="F182" s="15"/>
      <c r="G182" s="15"/>
      <c r="H182" s="15"/>
      <c r="I182" s="15"/>
      <c r="L182" s="15"/>
      <c r="M182" s="15"/>
      <c r="N182" s="15"/>
      <c r="O182" s="15"/>
      <c r="P182" s="15"/>
      <c r="Q182" s="15"/>
      <c r="R182" s="15"/>
      <c r="S182" s="15"/>
    </row>
    <row r="184" spans="1:19" s="15" customFormat="1" x14ac:dyDescent="0.25">
      <c r="B184" s="99" t="s">
        <v>592</v>
      </c>
      <c r="C184" s="99"/>
      <c r="D184" s="99"/>
      <c r="E184" s="99"/>
      <c r="F184" s="99"/>
      <c r="G184" s="99"/>
      <c r="H184" s="99"/>
    </row>
    <row r="185" spans="1:19" s="15" customFormat="1" x14ac:dyDescent="0.25">
      <c r="B185" s="99"/>
      <c r="C185" s="99" t="s">
        <v>584</v>
      </c>
      <c r="D185" s="99"/>
      <c r="E185" s="99" t="s">
        <v>588</v>
      </c>
      <c r="F185" s="99" t="s">
        <v>589</v>
      </c>
      <c r="G185" s="99"/>
      <c r="H185" s="99"/>
    </row>
    <row r="186" spans="1:19" s="15" customFormat="1" x14ac:dyDescent="0.25">
      <c r="B186" s="99" t="s">
        <v>12</v>
      </c>
      <c r="C186" s="99">
        <v>15876</v>
      </c>
      <c r="D186" s="100">
        <v>0.63</v>
      </c>
      <c r="E186" s="100">
        <v>0.77</v>
      </c>
      <c r="F186" s="100">
        <v>0.6</v>
      </c>
      <c r="G186" s="100">
        <f t="shared" ref="G186:G191" si="11">D186*E186</f>
        <v>0.48510000000000003</v>
      </c>
      <c r="H186" s="100">
        <f t="shared" ref="H186:H191" si="12">F186*D186</f>
        <v>0.378</v>
      </c>
    </row>
    <row r="187" spans="1:19" s="15" customFormat="1" x14ac:dyDescent="0.25">
      <c r="B187" s="99" t="s">
        <v>585</v>
      </c>
      <c r="C187" s="99">
        <v>1260</v>
      </c>
      <c r="D187" s="100">
        <v>0.05</v>
      </c>
      <c r="E187" s="100">
        <v>0.62</v>
      </c>
      <c r="F187" s="100">
        <v>0.55000000000000004</v>
      </c>
      <c r="G187" s="100">
        <f t="shared" si="11"/>
        <v>3.1E-2</v>
      </c>
      <c r="H187" s="100">
        <f t="shared" si="12"/>
        <v>2.7500000000000004E-2</v>
      </c>
    </row>
    <row r="188" spans="1:19" s="15" customFormat="1" x14ac:dyDescent="0.25">
      <c r="B188" s="99" t="s">
        <v>586</v>
      </c>
      <c r="C188" s="99">
        <v>1260</v>
      </c>
      <c r="D188" s="100">
        <v>0.05</v>
      </c>
      <c r="E188" s="100">
        <v>0.46</v>
      </c>
      <c r="F188" s="100">
        <v>0.35</v>
      </c>
      <c r="G188" s="100">
        <f t="shared" si="11"/>
        <v>2.3000000000000003E-2</v>
      </c>
      <c r="H188" s="100">
        <f t="shared" si="12"/>
        <v>1.7499999999999998E-2</v>
      </c>
    </row>
    <row r="189" spans="1:19" s="15" customFormat="1" x14ac:dyDescent="0.25">
      <c r="B189" s="99" t="s">
        <v>16</v>
      </c>
      <c r="C189" s="99">
        <v>1512</v>
      </c>
      <c r="D189" s="100">
        <v>0.06</v>
      </c>
      <c r="E189" s="100">
        <v>0.51</v>
      </c>
      <c r="F189" s="100">
        <v>0.41</v>
      </c>
      <c r="G189" s="100">
        <f t="shared" si="11"/>
        <v>3.0599999999999999E-2</v>
      </c>
      <c r="H189" s="100">
        <f t="shared" si="12"/>
        <v>2.4599999999999997E-2</v>
      </c>
    </row>
    <row r="190" spans="1:19" s="15" customFormat="1" x14ac:dyDescent="0.25">
      <c r="B190" s="99" t="s">
        <v>526</v>
      </c>
      <c r="C190" s="99">
        <v>1260</v>
      </c>
      <c r="D190" s="100">
        <v>0.05</v>
      </c>
      <c r="E190" s="100">
        <v>0.44</v>
      </c>
      <c r="F190" s="100">
        <v>0.35</v>
      </c>
      <c r="G190" s="100">
        <f t="shared" si="11"/>
        <v>2.2000000000000002E-2</v>
      </c>
      <c r="H190" s="100">
        <f t="shared" si="12"/>
        <v>1.7499999999999998E-2</v>
      </c>
    </row>
    <row r="191" spans="1:19" s="15" customFormat="1" x14ac:dyDescent="0.25">
      <c r="B191" s="99" t="s">
        <v>19</v>
      </c>
      <c r="C191" s="99">
        <v>4032</v>
      </c>
      <c r="D191" s="100">
        <v>0.16</v>
      </c>
      <c r="E191" s="100">
        <v>0.09</v>
      </c>
      <c r="F191" s="100">
        <v>7.0000000000000007E-2</v>
      </c>
      <c r="G191" s="100">
        <f t="shared" si="11"/>
        <v>1.44E-2</v>
      </c>
      <c r="H191" s="100">
        <f t="shared" si="12"/>
        <v>1.1200000000000002E-2</v>
      </c>
    </row>
    <row r="192" spans="1:19" s="15" customFormat="1" x14ac:dyDescent="0.25">
      <c r="B192" s="99" t="s">
        <v>587</v>
      </c>
      <c r="C192" s="99"/>
      <c r="D192" s="99"/>
      <c r="E192" s="100">
        <f>SUM(G186:G191)</f>
        <v>0.60609999999999997</v>
      </c>
      <c r="F192" s="100">
        <f>SUM(H186:H191)</f>
        <v>0.47630000000000006</v>
      </c>
      <c r="G192" s="99"/>
      <c r="H192" s="99"/>
    </row>
    <row r="193" spans="2:11" s="15" customFormat="1" x14ac:dyDescent="0.25">
      <c r="B193" s="99" t="s">
        <v>590</v>
      </c>
      <c r="C193" s="99"/>
      <c r="D193" s="99"/>
      <c r="E193" s="100">
        <f>SUM(G187:G191)/SUM(D187:D191)</f>
        <v>0.32702702702702707</v>
      </c>
      <c r="F193" s="100">
        <f>SUM(H187:H191)/SUM(D187:D191)</f>
        <v>0.26567567567567568</v>
      </c>
      <c r="G193" s="99"/>
      <c r="H193" s="99"/>
    </row>
    <row r="194" spans="2:11" x14ac:dyDescent="0.25">
      <c r="B194" s="99" t="s">
        <v>591</v>
      </c>
      <c r="C194" s="99"/>
      <c r="D194" s="99"/>
      <c r="E194" s="99"/>
      <c r="F194" s="100">
        <f>F193/E193</f>
        <v>0.81239669421487593</v>
      </c>
      <c r="G194" s="99"/>
      <c r="H194" s="99"/>
    </row>
    <row r="195" spans="2:11" s="15" customFormat="1" x14ac:dyDescent="0.25">
      <c r="B195" s="101"/>
      <c r="C195" s="101"/>
      <c r="D195" s="101"/>
      <c r="E195" s="101"/>
      <c r="F195" s="102"/>
      <c r="G195" s="101"/>
      <c r="H195" s="101"/>
    </row>
    <row r="196" spans="2:11" s="15" customFormat="1" x14ac:dyDescent="0.25">
      <c r="B196" s="103" t="s">
        <v>599</v>
      </c>
      <c r="C196" s="103"/>
      <c r="D196" s="103"/>
      <c r="E196" s="103"/>
      <c r="F196" s="104" t="s">
        <v>598</v>
      </c>
      <c r="G196" s="103" t="s">
        <v>597</v>
      </c>
      <c r="H196" s="101"/>
    </row>
    <row r="197" spans="2:11" s="15" customFormat="1" x14ac:dyDescent="0.25">
      <c r="B197" s="5">
        <f>105.9/2.2</f>
        <v>48.136363636363633</v>
      </c>
      <c r="C197" s="103" t="s">
        <v>601</v>
      </c>
      <c r="D197" s="103"/>
      <c r="E197" s="103" t="s">
        <v>595</v>
      </c>
      <c r="F197" s="105">
        <v>11.46</v>
      </c>
      <c r="G197" s="103">
        <v>0.77</v>
      </c>
      <c r="H197" s="101"/>
    </row>
    <row r="198" spans="2:11" s="15" customFormat="1" x14ac:dyDescent="0.25">
      <c r="B198" s="5" t="s">
        <v>600</v>
      </c>
      <c r="C198" s="103"/>
      <c r="D198" s="103"/>
      <c r="E198" s="103" t="s">
        <v>596</v>
      </c>
      <c r="F198" s="105">
        <v>6.51</v>
      </c>
      <c r="G198" s="105">
        <v>0.13</v>
      </c>
      <c r="H198" s="101"/>
    </row>
    <row r="199" spans="2:11" s="15" customFormat="1" x14ac:dyDescent="0.25">
      <c r="B199" s="103"/>
      <c r="C199" s="103"/>
      <c r="D199" s="103"/>
      <c r="E199" s="103" t="s">
        <v>12</v>
      </c>
      <c r="F199" s="105">
        <v>13.78</v>
      </c>
      <c r="G199" s="105">
        <v>1.9</v>
      </c>
      <c r="H199" s="101"/>
    </row>
    <row r="201" spans="2:11" x14ac:dyDescent="0.25">
      <c r="B201" s="60" t="s">
        <v>381</v>
      </c>
      <c r="C201" s="61"/>
      <c r="D201" s="39"/>
      <c r="E201" s="39"/>
      <c r="F201" s="39"/>
      <c r="G201" s="39"/>
      <c r="H201" s="39"/>
      <c r="I201" s="39"/>
      <c r="J201" s="39"/>
    </row>
    <row r="202" spans="2:11" x14ac:dyDescent="0.25">
      <c r="B202" s="63"/>
      <c r="C202" s="64"/>
      <c r="D202" s="63" t="s">
        <v>98</v>
      </c>
      <c r="E202" s="63" t="s">
        <v>99</v>
      </c>
      <c r="F202" s="63" t="s">
        <v>382</v>
      </c>
      <c r="G202" s="63" t="s">
        <v>383</v>
      </c>
      <c r="H202" s="64" t="s">
        <v>384</v>
      </c>
      <c r="I202" s="63" t="s">
        <v>28</v>
      </c>
      <c r="J202" s="65" t="s">
        <v>474</v>
      </c>
      <c r="K202" s="63" t="s">
        <v>385</v>
      </c>
    </row>
    <row r="203" spans="2:11" x14ac:dyDescent="0.25">
      <c r="B203" s="39" t="s">
        <v>90</v>
      </c>
      <c r="C203" s="62" t="s">
        <v>85</v>
      </c>
      <c r="D203" s="39">
        <v>2</v>
      </c>
      <c r="E203" s="39">
        <v>4</v>
      </c>
      <c r="F203" s="39">
        <v>10</v>
      </c>
      <c r="G203" s="39">
        <v>2</v>
      </c>
      <c r="H203" s="62">
        <v>25</v>
      </c>
      <c r="I203" s="40">
        <f t="shared" ref="I203:I234" si="13">1-(1-D203/100)*(1-E203/100)*(1-F203/100)*(1-G203/100)*(1-H203/100)</f>
        <v>0.37766080000000002</v>
      </c>
      <c r="J203" s="40">
        <f>1-(1-E203/100)*(1-F203/100)*(1-D203/100)</f>
        <v>0.15327999999999997</v>
      </c>
      <c r="K203" s="40">
        <f t="shared" ref="K203:K234" si="14">1-(1-G203/100)*(1-H203/100)</f>
        <v>0.26500000000000001</v>
      </c>
    </row>
    <row r="204" spans="2:11" x14ac:dyDescent="0.25">
      <c r="B204" s="39"/>
      <c r="C204" s="62" t="s">
        <v>86</v>
      </c>
      <c r="D204" s="39">
        <v>20</v>
      </c>
      <c r="E204" s="39">
        <v>9</v>
      </c>
      <c r="F204" s="39">
        <v>15</v>
      </c>
      <c r="G204" s="39">
        <v>7</v>
      </c>
      <c r="H204" s="62">
        <v>17</v>
      </c>
      <c r="I204" s="40">
        <f t="shared" si="13"/>
        <v>0.52234828000000011</v>
      </c>
      <c r="J204" s="40">
        <f t="shared" ref="J204:J251" si="15">1-(1-E204/100)*(1-F204/100)*(1-D204/100)</f>
        <v>0.38119999999999998</v>
      </c>
      <c r="K204" s="40">
        <f t="shared" si="14"/>
        <v>0.22810000000000008</v>
      </c>
    </row>
    <row r="205" spans="2:11" x14ac:dyDescent="0.25">
      <c r="B205" s="39"/>
      <c r="C205" s="62" t="s">
        <v>87</v>
      </c>
      <c r="D205" s="39">
        <v>10</v>
      </c>
      <c r="E205" s="39">
        <v>1</v>
      </c>
      <c r="F205" s="39">
        <v>5</v>
      </c>
      <c r="G205" s="39">
        <v>1</v>
      </c>
      <c r="H205" s="62">
        <v>4</v>
      </c>
      <c r="I205" s="40">
        <f t="shared" si="13"/>
        <v>0.19553392000000014</v>
      </c>
      <c r="J205" s="40">
        <f t="shared" si="15"/>
        <v>0.15354999999999996</v>
      </c>
      <c r="K205" s="40">
        <f t="shared" si="14"/>
        <v>4.9600000000000088E-2</v>
      </c>
    </row>
    <row r="206" spans="2:11" x14ac:dyDescent="0.25">
      <c r="B206" s="39"/>
      <c r="C206" s="62" t="s">
        <v>88</v>
      </c>
      <c r="D206" s="39">
        <v>20</v>
      </c>
      <c r="E206" s="39">
        <v>5</v>
      </c>
      <c r="F206" s="39">
        <v>2</v>
      </c>
      <c r="G206" s="39">
        <v>10</v>
      </c>
      <c r="H206" s="62">
        <v>19</v>
      </c>
      <c r="I206" s="40">
        <f t="shared" si="13"/>
        <v>0.45704079999999991</v>
      </c>
      <c r="J206" s="40">
        <f t="shared" si="15"/>
        <v>0.25519999999999998</v>
      </c>
      <c r="K206" s="40">
        <f t="shared" si="14"/>
        <v>0.27099999999999991</v>
      </c>
    </row>
    <row r="207" spans="2:11" x14ac:dyDescent="0.25">
      <c r="B207" s="39"/>
      <c r="C207" s="62" t="s">
        <v>83</v>
      </c>
      <c r="D207" s="39">
        <v>3.1</v>
      </c>
      <c r="E207" s="39">
        <v>0.7</v>
      </c>
      <c r="F207" s="39">
        <v>5</v>
      </c>
      <c r="G207" s="39">
        <v>4</v>
      </c>
      <c r="H207" s="62">
        <v>11</v>
      </c>
      <c r="I207" s="40">
        <f t="shared" si="13"/>
        <v>0.21898770544000012</v>
      </c>
      <c r="J207" s="40">
        <f t="shared" si="15"/>
        <v>8.589385000000016E-2</v>
      </c>
      <c r="K207" s="40">
        <f t="shared" si="14"/>
        <v>0.14560000000000006</v>
      </c>
    </row>
    <row r="208" spans="2:11" x14ac:dyDescent="0.25">
      <c r="B208" s="39"/>
      <c r="C208" s="62" t="s">
        <v>89</v>
      </c>
      <c r="D208" s="39">
        <v>9.4</v>
      </c>
      <c r="E208" s="39">
        <v>0.5</v>
      </c>
      <c r="F208" s="39">
        <v>6</v>
      </c>
      <c r="G208" s="39">
        <v>9</v>
      </c>
      <c r="H208" s="62">
        <v>11</v>
      </c>
      <c r="I208" s="40">
        <f t="shared" si="13"/>
        <v>0.31370548018</v>
      </c>
      <c r="J208" s="40">
        <f t="shared" si="15"/>
        <v>0.15261820000000004</v>
      </c>
      <c r="K208" s="40">
        <f t="shared" si="14"/>
        <v>0.19009999999999994</v>
      </c>
    </row>
    <row r="209" spans="2:11" x14ac:dyDescent="0.25">
      <c r="B209" s="39"/>
      <c r="C209" s="62" t="s">
        <v>84</v>
      </c>
      <c r="D209" s="39">
        <v>3.5</v>
      </c>
      <c r="E209" s="39">
        <v>0.5</v>
      </c>
      <c r="F209" s="39">
        <v>1.2</v>
      </c>
      <c r="G209" s="39">
        <v>0.5</v>
      </c>
      <c r="H209" s="62">
        <v>7</v>
      </c>
      <c r="I209" s="40">
        <f t="shared" si="13"/>
        <v>0.12216403898499995</v>
      </c>
      <c r="J209" s="40">
        <f t="shared" si="15"/>
        <v>5.134710000000009E-2</v>
      </c>
      <c r="K209" s="40">
        <f t="shared" si="14"/>
        <v>7.4650000000000105E-2</v>
      </c>
    </row>
    <row r="210" spans="2:11" x14ac:dyDescent="0.25">
      <c r="B210" s="39" t="s">
        <v>91</v>
      </c>
      <c r="C210" s="62" t="s">
        <v>85</v>
      </c>
      <c r="D210" s="39">
        <v>2</v>
      </c>
      <c r="E210" s="39">
        <v>2</v>
      </c>
      <c r="F210" s="39">
        <v>10</v>
      </c>
      <c r="G210" s="39">
        <v>2</v>
      </c>
      <c r="H210" s="62">
        <v>27</v>
      </c>
      <c r="I210" s="40">
        <f t="shared" si="13"/>
        <v>0.38163685600000008</v>
      </c>
      <c r="J210" s="40">
        <f t="shared" si="15"/>
        <v>0.13563999999999998</v>
      </c>
      <c r="K210" s="40">
        <f t="shared" si="14"/>
        <v>0.28460000000000008</v>
      </c>
    </row>
    <row r="211" spans="2:11" x14ac:dyDescent="0.25">
      <c r="B211" s="39"/>
      <c r="C211" s="62" t="s">
        <v>86</v>
      </c>
      <c r="D211" s="39">
        <v>20</v>
      </c>
      <c r="E211" s="39">
        <v>10</v>
      </c>
      <c r="F211" s="39">
        <v>15</v>
      </c>
      <c r="G211" s="39">
        <v>7</v>
      </c>
      <c r="H211" s="62">
        <v>30</v>
      </c>
      <c r="I211" s="40">
        <f t="shared" si="13"/>
        <v>0.60158800000000001</v>
      </c>
      <c r="J211" s="40">
        <f t="shared" si="15"/>
        <v>0.3879999999999999</v>
      </c>
      <c r="K211" s="40">
        <f t="shared" si="14"/>
        <v>0.34900000000000009</v>
      </c>
    </row>
    <row r="212" spans="2:11" x14ac:dyDescent="0.25">
      <c r="B212" s="39"/>
      <c r="C212" s="62" t="s">
        <v>87</v>
      </c>
      <c r="D212" s="39">
        <v>12</v>
      </c>
      <c r="E212" s="39">
        <v>0</v>
      </c>
      <c r="F212" s="39">
        <v>5</v>
      </c>
      <c r="G212" s="39">
        <v>1</v>
      </c>
      <c r="H212" s="62">
        <v>4</v>
      </c>
      <c r="I212" s="40">
        <f t="shared" si="13"/>
        <v>0.20546560000000014</v>
      </c>
      <c r="J212" s="40">
        <f t="shared" si="15"/>
        <v>0.16400000000000003</v>
      </c>
      <c r="K212" s="40">
        <f t="shared" si="14"/>
        <v>4.9600000000000088E-2</v>
      </c>
    </row>
    <row r="213" spans="2:11" x14ac:dyDescent="0.25">
      <c r="B213" s="39"/>
      <c r="C213" s="62" t="s">
        <v>88</v>
      </c>
      <c r="D213" s="39">
        <v>20</v>
      </c>
      <c r="E213" s="39">
        <v>4</v>
      </c>
      <c r="F213" s="39">
        <v>2</v>
      </c>
      <c r="G213" s="39">
        <v>12</v>
      </c>
      <c r="H213" s="62">
        <v>28</v>
      </c>
      <c r="I213" s="40">
        <f t="shared" si="13"/>
        <v>0.52312729599999996</v>
      </c>
      <c r="J213" s="40">
        <f t="shared" si="15"/>
        <v>0.24736000000000002</v>
      </c>
      <c r="K213" s="40">
        <f t="shared" si="14"/>
        <v>0.36640000000000006</v>
      </c>
    </row>
    <row r="214" spans="2:11" x14ac:dyDescent="0.25">
      <c r="B214" s="39"/>
      <c r="C214" s="62" t="s">
        <v>83</v>
      </c>
      <c r="D214" s="39">
        <v>3.5</v>
      </c>
      <c r="E214" s="39">
        <v>1</v>
      </c>
      <c r="F214" s="39">
        <v>5</v>
      </c>
      <c r="G214" s="39">
        <v>4</v>
      </c>
      <c r="H214" s="62">
        <v>11</v>
      </c>
      <c r="I214" s="40">
        <f t="shared" si="13"/>
        <v>0.22456151200000019</v>
      </c>
      <c r="J214" s="40">
        <f t="shared" si="15"/>
        <v>9.2417500000000041E-2</v>
      </c>
      <c r="K214" s="40">
        <f t="shared" si="14"/>
        <v>0.14560000000000006</v>
      </c>
    </row>
    <row r="215" spans="2:11" x14ac:dyDescent="0.25">
      <c r="B215" s="39"/>
      <c r="C215" s="62" t="s">
        <v>89</v>
      </c>
      <c r="D215" s="39">
        <v>12</v>
      </c>
      <c r="E215" s="39">
        <v>0.5</v>
      </c>
      <c r="F215" s="39">
        <v>6</v>
      </c>
      <c r="G215" s="39">
        <v>9</v>
      </c>
      <c r="H215" s="62">
        <v>33</v>
      </c>
      <c r="I215" s="40">
        <f t="shared" si="13"/>
        <v>0.49817787920000001</v>
      </c>
      <c r="J215" s="40">
        <f t="shared" si="15"/>
        <v>0.17693600000000009</v>
      </c>
      <c r="K215" s="40">
        <f t="shared" si="14"/>
        <v>0.39030000000000009</v>
      </c>
    </row>
    <row r="216" spans="2:11" x14ac:dyDescent="0.25">
      <c r="B216" s="39"/>
      <c r="C216" s="62" t="s">
        <v>84</v>
      </c>
      <c r="D216" s="39">
        <v>3.5</v>
      </c>
      <c r="E216" s="39">
        <v>0.5</v>
      </c>
      <c r="F216" s="39">
        <v>1.2</v>
      </c>
      <c r="G216" s="39">
        <v>0.5</v>
      </c>
      <c r="H216" s="62">
        <v>15</v>
      </c>
      <c r="I216" s="40">
        <f t="shared" si="13"/>
        <v>0.19767680982499991</v>
      </c>
      <c r="J216" s="40">
        <f t="shared" si="15"/>
        <v>5.134710000000009E-2</v>
      </c>
      <c r="K216" s="40">
        <f t="shared" si="14"/>
        <v>0.15425</v>
      </c>
    </row>
    <row r="217" spans="2:11" x14ac:dyDescent="0.25">
      <c r="B217" s="39" t="s">
        <v>573</v>
      </c>
      <c r="C217" s="62" t="s">
        <v>85</v>
      </c>
      <c r="D217" s="39">
        <v>2</v>
      </c>
      <c r="E217" s="39">
        <v>10</v>
      </c>
      <c r="F217" s="39">
        <v>10</v>
      </c>
      <c r="G217" s="39">
        <v>2</v>
      </c>
      <c r="H217" s="62">
        <v>20</v>
      </c>
      <c r="I217" s="40">
        <f t="shared" si="13"/>
        <v>0.37766079999999991</v>
      </c>
      <c r="J217" s="40">
        <f t="shared" si="15"/>
        <v>0.20619999999999994</v>
      </c>
      <c r="K217" s="40">
        <f t="shared" si="14"/>
        <v>0.21599999999999997</v>
      </c>
    </row>
    <row r="218" spans="2:11" x14ac:dyDescent="0.25">
      <c r="B218" s="39"/>
      <c r="C218" s="62" t="s">
        <v>86</v>
      </c>
      <c r="D218" s="39">
        <v>20</v>
      </c>
      <c r="E218" s="39">
        <v>7</v>
      </c>
      <c r="F218" s="39">
        <v>15</v>
      </c>
      <c r="G218" s="39">
        <v>9</v>
      </c>
      <c r="H218" s="62">
        <v>10</v>
      </c>
      <c r="I218" s="40">
        <f t="shared" si="13"/>
        <v>0.48206439999999995</v>
      </c>
      <c r="J218" s="40">
        <f t="shared" si="15"/>
        <v>0.36759999999999993</v>
      </c>
      <c r="K218" s="40">
        <f t="shared" si="14"/>
        <v>0.18099999999999994</v>
      </c>
    </row>
    <row r="219" spans="2:11" x14ac:dyDescent="0.25">
      <c r="B219" s="39"/>
      <c r="C219" s="62" t="s">
        <v>87</v>
      </c>
      <c r="D219" s="39">
        <v>6</v>
      </c>
      <c r="E219" s="39">
        <v>3</v>
      </c>
      <c r="F219" s="39">
        <v>5</v>
      </c>
      <c r="G219" s="39">
        <v>1</v>
      </c>
      <c r="H219" s="62">
        <v>4</v>
      </c>
      <c r="I219" s="40">
        <f t="shared" si="13"/>
        <v>0.17675401600000007</v>
      </c>
      <c r="J219" s="40">
        <f t="shared" si="15"/>
        <v>0.13379000000000008</v>
      </c>
      <c r="K219" s="40">
        <f t="shared" si="14"/>
        <v>4.9600000000000088E-2</v>
      </c>
    </row>
    <row r="220" spans="2:11" x14ac:dyDescent="0.25">
      <c r="B220" s="39"/>
      <c r="C220" s="62" t="s">
        <v>88</v>
      </c>
      <c r="D220" s="39">
        <v>10</v>
      </c>
      <c r="E220" s="39">
        <v>8</v>
      </c>
      <c r="F220" s="39">
        <v>2</v>
      </c>
      <c r="G220" s="39">
        <v>8</v>
      </c>
      <c r="H220" s="62">
        <v>15</v>
      </c>
      <c r="I220" s="40">
        <f t="shared" si="13"/>
        <v>0.36545391999999988</v>
      </c>
      <c r="J220" s="40">
        <f t="shared" si="15"/>
        <v>0.18855999999999995</v>
      </c>
      <c r="K220" s="40">
        <f t="shared" si="14"/>
        <v>0.21799999999999997</v>
      </c>
    </row>
    <row r="221" spans="2:11" x14ac:dyDescent="0.25">
      <c r="B221" s="39"/>
      <c r="C221" s="62" t="s">
        <v>83</v>
      </c>
      <c r="D221" s="39">
        <v>2.9</v>
      </c>
      <c r="E221" s="39">
        <v>0.6</v>
      </c>
      <c r="F221" s="39">
        <v>5</v>
      </c>
      <c r="G221" s="39">
        <v>6</v>
      </c>
      <c r="H221" s="62">
        <v>8</v>
      </c>
      <c r="I221" s="40">
        <f t="shared" si="13"/>
        <v>0.20705164856000002</v>
      </c>
      <c r="J221" s="40">
        <f t="shared" si="15"/>
        <v>8.3084700000000122E-2</v>
      </c>
      <c r="K221" s="40">
        <f t="shared" si="14"/>
        <v>0.13519999999999999</v>
      </c>
    </row>
    <row r="222" spans="2:11" x14ac:dyDescent="0.25">
      <c r="B222" s="39"/>
      <c r="C222" s="62" t="s">
        <v>89</v>
      </c>
      <c r="D222" s="39">
        <v>15</v>
      </c>
      <c r="E222" s="39">
        <v>2</v>
      </c>
      <c r="F222" s="39">
        <v>6</v>
      </c>
      <c r="G222" s="39">
        <v>11</v>
      </c>
      <c r="H222" s="62">
        <v>8</v>
      </c>
      <c r="I222" s="40">
        <f t="shared" si="13"/>
        <v>0.35886322400000004</v>
      </c>
      <c r="J222" s="40">
        <f t="shared" si="15"/>
        <v>0.21698000000000006</v>
      </c>
      <c r="K222" s="40">
        <f t="shared" si="14"/>
        <v>0.18119999999999992</v>
      </c>
    </row>
    <row r="223" spans="2:11" x14ac:dyDescent="0.25">
      <c r="B223" s="39"/>
      <c r="C223" s="62" t="s">
        <v>84</v>
      </c>
      <c r="D223" s="39">
        <v>3.5</v>
      </c>
      <c r="E223" s="39">
        <v>1</v>
      </c>
      <c r="F223" s="39">
        <v>1.2</v>
      </c>
      <c r="G223" s="39">
        <v>0.5</v>
      </c>
      <c r="H223" s="62">
        <v>5</v>
      </c>
      <c r="I223" s="40">
        <f t="shared" si="13"/>
        <v>0.1077919475500001</v>
      </c>
      <c r="J223" s="40">
        <f t="shared" si="15"/>
        <v>5.6114200000000003E-2</v>
      </c>
      <c r="K223" s="40">
        <f t="shared" si="14"/>
        <v>5.4750000000000076E-2</v>
      </c>
    </row>
    <row r="224" spans="2:11" x14ac:dyDescent="0.25">
      <c r="B224" s="39" t="s">
        <v>92</v>
      </c>
      <c r="C224" s="62" t="s">
        <v>85</v>
      </c>
      <c r="D224" s="39">
        <v>6</v>
      </c>
      <c r="E224" s="39">
        <v>8</v>
      </c>
      <c r="F224" s="39">
        <v>3.5</v>
      </c>
      <c r="G224" s="39">
        <v>2</v>
      </c>
      <c r="H224" s="62">
        <v>1</v>
      </c>
      <c r="I224" s="40">
        <f t="shared" si="13"/>
        <v>0.19033705360000008</v>
      </c>
      <c r="J224" s="40">
        <f t="shared" si="15"/>
        <v>0.16546800000000006</v>
      </c>
      <c r="K224" s="40">
        <f t="shared" si="14"/>
        <v>2.9800000000000049E-2</v>
      </c>
    </row>
    <row r="225" spans="2:11" x14ac:dyDescent="0.25">
      <c r="B225" s="39"/>
      <c r="C225" s="62" t="s">
        <v>86</v>
      </c>
      <c r="D225" s="39">
        <v>14</v>
      </c>
      <c r="E225" s="39">
        <v>18</v>
      </c>
      <c r="F225" s="39">
        <v>15</v>
      </c>
      <c r="G225" s="39">
        <v>5</v>
      </c>
      <c r="H225" s="62">
        <v>2</v>
      </c>
      <c r="I225" s="40">
        <f t="shared" si="13"/>
        <v>0.44193998000000001</v>
      </c>
      <c r="J225" s="40">
        <f t="shared" si="15"/>
        <v>0.40057999999999994</v>
      </c>
      <c r="K225" s="40">
        <f t="shared" si="14"/>
        <v>6.9000000000000061E-2</v>
      </c>
    </row>
    <row r="226" spans="2:11" x14ac:dyDescent="0.25">
      <c r="B226" s="39"/>
      <c r="C226" s="62" t="s">
        <v>87</v>
      </c>
      <c r="D226" s="39">
        <v>12</v>
      </c>
      <c r="E226" s="39">
        <v>8</v>
      </c>
      <c r="F226" s="39">
        <v>8</v>
      </c>
      <c r="G226" s="39">
        <v>2</v>
      </c>
      <c r="H226" s="62">
        <v>1</v>
      </c>
      <c r="I226" s="40">
        <f t="shared" si="13"/>
        <v>0.27736399359999997</v>
      </c>
      <c r="J226" s="40">
        <f t="shared" si="15"/>
        <v>0.25516799999999995</v>
      </c>
      <c r="K226" s="40">
        <f t="shared" si="14"/>
        <v>2.9800000000000049E-2</v>
      </c>
    </row>
    <row r="227" spans="2:11" x14ac:dyDescent="0.25">
      <c r="B227" s="39"/>
      <c r="C227" s="62" t="s">
        <v>88</v>
      </c>
      <c r="D227" s="39">
        <v>10</v>
      </c>
      <c r="E227" s="39">
        <v>9</v>
      </c>
      <c r="F227" s="39">
        <v>25</v>
      </c>
      <c r="G227" s="39">
        <v>17</v>
      </c>
      <c r="H227" s="62">
        <v>5</v>
      </c>
      <c r="I227" s="40">
        <f t="shared" si="13"/>
        <v>0.51566387499999999</v>
      </c>
      <c r="J227" s="40">
        <f t="shared" si="15"/>
        <v>0.38575000000000004</v>
      </c>
      <c r="K227" s="40">
        <f t="shared" si="14"/>
        <v>0.21150000000000002</v>
      </c>
    </row>
    <row r="228" spans="2:11" x14ac:dyDescent="0.25">
      <c r="B228" s="39"/>
      <c r="C228" s="62" t="s">
        <v>83</v>
      </c>
      <c r="D228" s="39">
        <v>15</v>
      </c>
      <c r="E228" s="39">
        <v>0.7</v>
      </c>
      <c r="F228" s="39">
        <v>5</v>
      </c>
      <c r="G228" s="39">
        <v>7</v>
      </c>
      <c r="H228" s="62">
        <v>2</v>
      </c>
      <c r="I228" s="40">
        <f t="shared" si="13"/>
        <v>0.26919618850000004</v>
      </c>
      <c r="J228" s="40">
        <f t="shared" si="15"/>
        <v>0.19815250000000006</v>
      </c>
      <c r="K228" s="40">
        <f t="shared" si="14"/>
        <v>8.8600000000000123E-2</v>
      </c>
    </row>
    <row r="229" spans="2:11" x14ac:dyDescent="0.25">
      <c r="B229" s="39"/>
      <c r="C229" s="62" t="s">
        <v>89</v>
      </c>
      <c r="D229" s="39">
        <v>5.7</v>
      </c>
      <c r="E229" s="39">
        <v>6</v>
      </c>
      <c r="F229" s="39">
        <v>9</v>
      </c>
      <c r="G229" s="39">
        <v>15</v>
      </c>
      <c r="H229" s="62">
        <v>2</v>
      </c>
      <c r="I229" s="40">
        <f t="shared" si="13"/>
        <v>0.32806704740000014</v>
      </c>
      <c r="J229" s="40">
        <f t="shared" si="15"/>
        <v>0.19335780000000014</v>
      </c>
      <c r="K229" s="40">
        <f t="shared" si="14"/>
        <v>0.16700000000000004</v>
      </c>
    </row>
    <row r="230" spans="2:11" x14ac:dyDescent="0.25">
      <c r="B230" s="39"/>
      <c r="C230" s="62" t="s">
        <v>84</v>
      </c>
      <c r="D230" s="39">
        <v>6</v>
      </c>
      <c r="E230" s="39">
        <v>11</v>
      </c>
      <c r="F230" s="39">
        <v>0.1</v>
      </c>
      <c r="G230" s="39">
        <v>10</v>
      </c>
      <c r="H230" s="62">
        <v>0.1</v>
      </c>
      <c r="I230" s="40">
        <f t="shared" si="13"/>
        <v>0.24856512706</v>
      </c>
      <c r="J230" s="40">
        <f t="shared" si="15"/>
        <v>0.16423659999999995</v>
      </c>
      <c r="K230" s="40">
        <f t="shared" si="14"/>
        <v>0.10089999999999999</v>
      </c>
    </row>
    <row r="231" spans="2:11" x14ac:dyDescent="0.25">
      <c r="B231" s="39" t="s">
        <v>93</v>
      </c>
      <c r="C231" s="62" t="s">
        <v>85</v>
      </c>
      <c r="D231" s="39">
        <v>6</v>
      </c>
      <c r="E231" s="39">
        <v>8</v>
      </c>
      <c r="F231" s="39">
        <v>7</v>
      </c>
      <c r="G231" s="39">
        <v>4</v>
      </c>
      <c r="H231" s="62">
        <v>12</v>
      </c>
      <c r="I231" s="40">
        <f t="shared" si="13"/>
        <v>0.32055777280000008</v>
      </c>
      <c r="J231" s="40">
        <f t="shared" si="15"/>
        <v>0.19573600000000002</v>
      </c>
      <c r="K231" s="40">
        <f t="shared" si="14"/>
        <v>0.1552</v>
      </c>
    </row>
    <row r="232" spans="2:11" x14ac:dyDescent="0.25">
      <c r="B232" s="39"/>
      <c r="C232" s="62" t="s">
        <v>86</v>
      </c>
      <c r="D232" s="39">
        <v>6</v>
      </c>
      <c r="E232" s="39">
        <v>10</v>
      </c>
      <c r="F232" s="39">
        <v>12</v>
      </c>
      <c r="G232" s="39">
        <v>4</v>
      </c>
      <c r="H232" s="62">
        <v>6</v>
      </c>
      <c r="I232" s="40">
        <f t="shared" si="13"/>
        <v>0.32818124800000004</v>
      </c>
      <c r="J232" s="40">
        <f t="shared" si="15"/>
        <v>0.25551999999999997</v>
      </c>
      <c r="K232" s="40">
        <f t="shared" si="14"/>
        <v>9.7600000000000131E-2</v>
      </c>
    </row>
    <row r="233" spans="2:11" x14ac:dyDescent="0.25">
      <c r="B233" s="39"/>
      <c r="C233" s="62" t="s">
        <v>87</v>
      </c>
      <c r="D233" s="39">
        <v>15</v>
      </c>
      <c r="E233" s="39">
        <v>6</v>
      </c>
      <c r="F233" s="39">
        <v>8</v>
      </c>
      <c r="G233" s="39">
        <v>2</v>
      </c>
      <c r="H233" s="62">
        <v>2</v>
      </c>
      <c r="I233" s="40">
        <f t="shared" si="13"/>
        <v>0.29402916800000001</v>
      </c>
      <c r="J233" s="40">
        <f t="shared" si="15"/>
        <v>0.26492000000000004</v>
      </c>
      <c r="K233" s="40">
        <f t="shared" si="14"/>
        <v>3.960000000000008E-2</v>
      </c>
    </row>
    <row r="234" spans="2:11" x14ac:dyDescent="0.25">
      <c r="B234" s="39"/>
      <c r="C234" s="62" t="s">
        <v>88</v>
      </c>
      <c r="D234" s="39">
        <v>17</v>
      </c>
      <c r="E234" s="39">
        <v>10</v>
      </c>
      <c r="F234" s="39">
        <v>20</v>
      </c>
      <c r="G234" s="39">
        <v>15</v>
      </c>
      <c r="H234" s="62">
        <v>12</v>
      </c>
      <c r="I234" s="40">
        <f t="shared" si="13"/>
        <v>0.55299520000000002</v>
      </c>
      <c r="J234" s="40">
        <f t="shared" si="15"/>
        <v>0.40239999999999998</v>
      </c>
      <c r="K234" s="40">
        <f t="shared" si="14"/>
        <v>0.252</v>
      </c>
    </row>
    <row r="235" spans="2:11" x14ac:dyDescent="0.25">
      <c r="B235" s="39"/>
      <c r="C235" s="62" t="s">
        <v>83</v>
      </c>
      <c r="D235" s="39">
        <v>6.6</v>
      </c>
      <c r="E235" s="39">
        <v>0.2</v>
      </c>
      <c r="F235" s="39">
        <v>5</v>
      </c>
      <c r="G235" s="39">
        <v>5</v>
      </c>
      <c r="H235" s="62">
        <v>8</v>
      </c>
      <c r="I235" s="40">
        <f t="shared" ref="I235:I251" si="16">1-(1-D235/100)*(1-E235/100)*(1-F235/100)*(1-G235/100)*(1-H235/100)</f>
        <v>0.22605080040000003</v>
      </c>
      <c r="J235" s="40">
        <f t="shared" si="15"/>
        <v>0.11447460000000009</v>
      </c>
      <c r="K235" s="40">
        <f t="shared" ref="K235:K251" si="17">1-(1-G235/100)*(1-H235/100)</f>
        <v>0.126</v>
      </c>
    </row>
    <row r="236" spans="2:11" x14ac:dyDescent="0.25">
      <c r="B236" s="39"/>
      <c r="C236" s="62" t="s">
        <v>89</v>
      </c>
      <c r="D236" s="39">
        <v>6.6</v>
      </c>
      <c r="E236" s="39">
        <v>5</v>
      </c>
      <c r="F236" s="39">
        <v>9</v>
      </c>
      <c r="G236" s="39">
        <v>10</v>
      </c>
      <c r="H236" s="62">
        <v>4</v>
      </c>
      <c r="I236" s="40">
        <f t="shared" si="16"/>
        <v>0.30236924800000009</v>
      </c>
      <c r="J236" s="40">
        <f t="shared" si="15"/>
        <v>0.19255700000000009</v>
      </c>
      <c r="K236" s="40">
        <f t="shared" si="17"/>
        <v>0.13600000000000001</v>
      </c>
    </row>
    <row r="237" spans="2:11" x14ac:dyDescent="0.25">
      <c r="B237" s="39"/>
      <c r="C237" s="62" t="s">
        <v>84</v>
      </c>
      <c r="D237" s="39">
        <v>3.5</v>
      </c>
      <c r="E237" s="39">
        <v>6</v>
      </c>
      <c r="F237" s="39">
        <v>2</v>
      </c>
      <c r="G237" s="39">
        <v>8</v>
      </c>
      <c r="H237" s="62">
        <v>2</v>
      </c>
      <c r="I237" s="40">
        <f t="shared" si="16"/>
        <v>0.19851546720000002</v>
      </c>
      <c r="J237" s="40">
        <f t="shared" si="15"/>
        <v>0.11104200000000009</v>
      </c>
      <c r="K237" s="40">
        <f t="shared" si="17"/>
        <v>9.8399999999999932E-2</v>
      </c>
    </row>
    <row r="238" spans="2:11" x14ac:dyDescent="0.25">
      <c r="B238" s="39" t="s">
        <v>94</v>
      </c>
      <c r="C238" s="62" t="s">
        <v>85</v>
      </c>
      <c r="D238" s="39">
        <v>6</v>
      </c>
      <c r="E238" s="39">
        <v>7</v>
      </c>
      <c r="F238" s="39">
        <v>3.5</v>
      </c>
      <c r="G238" s="39">
        <v>2</v>
      </c>
      <c r="H238" s="62">
        <v>3</v>
      </c>
      <c r="I238" s="40">
        <f t="shared" si="16"/>
        <v>0.19807098820000013</v>
      </c>
      <c r="J238" s="40">
        <f t="shared" si="15"/>
        <v>0.15639700000000023</v>
      </c>
      <c r="K238" s="40">
        <f t="shared" si="17"/>
        <v>4.9399999999999999E-2</v>
      </c>
    </row>
    <row r="239" spans="2:11" x14ac:dyDescent="0.25">
      <c r="B239" s="39"/>
      <c r="C239" s="62" t="s">
        <v>86</v>
      </c>
      <c r="D239" s="39">
        <v>6</v>
      </c>
      <c r="E239" s="39">
        <v>19</v>
      </c>
      <c r="F239" s="39">
        <v>10</v>
      </c>
      <c r="G239" s="39">
        <v>11</v>
      </c>
      <c r="H239" s="62">
        <v>3</v>
      </c>
      <c r="I239" s="40">
        <f t="shared" si="16"/>
        <v>0.40841504200000001</v>
      </c>
      <c r="J239" s="40">
        <f t="shared" si="15"/>
        <v>0.31473999999999991</v>
      </c>
      <c r="K239" s="40">
        <f t="shared" si="17"/>
        <v>0.13670000000000004</v>
      </c>
    </row>
    <row r="240" spans="2:11" x14ac:dyDescent="0.25">
      <c r="B240" s="39"/>
      <c r="C240" s="62" t="s">
        <v>87</v>
      </c>
      <c r="D240" s="39">
        <v>7</v>
      </c>
      <c r="E240" s="39">
        <v>12</v>
      </c>
      <c r="F240" s="39">
        <v>8</v>
      </c>
      <c r="G240" s="39">
        <v>2</v>
      </c>
      <c r="H240" s="62">
        <v>1</v>
      </c>
      <c r="I240" s="40">
        <f t="shared" si="16"/>
        <v>0.26950925440000018</v>
      </c>
      <c r="J240" s="40">
        <f t="shared" si="15"/>
        <v>0.24707200000000007</v>
      </c>
      <c r="K240" s="40">
        <f t="shared" si="17"/>
        <v>2.9800000000000049E-2</v>
      </c>
    </row>
    <row r="241" spans="2:14" x14ac:dyDescent="0.25">
      <c r="B241" s="39"/>
      <c r="C241" s="62" t="s">
        <v>88</v>
      </c>
      <c r="D241" s="39">
        <v>15</v>
      </c>
      <c r="E241" s="39">
        <v>9</v>
      </c>
      <c r="F241" s="39">
        <v>25</v>
      </c>
      <c r="G241" s="39">
        <v>10</v>
      </c>
      <c r="H241" s="62">
        <v>7</v>
      </c>
      <c r="I241" s="40">
        <f t="shared" si="16"/>
        <v>0.51443537500000003</v>
      </c>
      <c r="J241" s="40">
        <f t="shared" si="15"/>
        <v>0.419875</v>
      </c>
      <c r="K241" s="40">
        <f t="shared" si="17"/>
        <v>0.16300000000000003</v>
      </c>
    </row>
    <row r="242" spans="2:14" x14ac:dyDescent="0.25">
      <c r="B242" s="39"/>
      <c r="C242" s="62" t="s">
        <v>83</v>
      </c>
      <c r="D242" s="39">
        <v>5.0999999999999996</v>
      </c>
      <c r="E242" s="39">
        <v>0.3</v>
      </c>
      <c r="F242" s="39">
        <v>5</v>
      </c>
      <c r="G242" s="39">
        <v>7</v>
      </c>
      <c r="H242" s="62">
        <v>4</v>
      </c>
      <c r="I242" s="40">
        <f t="shared" si="16"/>
        <v>0.19751087152000024</v>
      </c>
      <c r="J242" s="40">
        <f t="shared" si="15"/>
        <v>0.10115465000000012</v>
      </c>
      <c r="K242" s="40">
        <f t="shared" si="17"/>
        <v>0.10720000000000007</v>
      </c>
    </row>
    <row r="243" spans="2:14" x14ac:dyDescent="0.25">
      <c r="B243" s="39"/>
      <c r="C243" s="62" t="s">
        <v>89</v>
      </c>
      <c r="D243" s="39">
        <v>8.1999999999999993</v>
      </c>
      <c r="E243" s="39">
        <v>6</v>
      </c>
      <c r="F243" s="39">
        <v>9</v>
      </c>
      <c r="G243" s="39">
        <v>15</v>
      </c>
      <c r="H243" s="62">
        <v>2</v>
      </c>
      <c r="I243" s="40">
        <f t="shared" si="16"/>
        <v>0.34588075239999994</v>
      </c>
      <c r="J243" s="40">
        <f t="shared" si="15"/>
        <v>0.21474280000000001</v>
      </c>
      <c r="K243" s="40">
        <f t="shared" si="17"/>
        <v>0.16700000000000004</v>
      </c>
    </row>
    <row r="244" spans="2:14" x14ac:dyDescent="0.25">
      <c r="B244" s="39"/>
      <c r="C244" s="62" t="s">
        <v>84</v>
      </c>
      <c r="D244" s="39">
        <v>3.5</v>
      </c>
      <c r="E244" s="39">
        <v>6</v>
      </c>
      <c r="F244" s="39">
        <v>2</v>
      </c>
      <c r="G244" s="39">
        <v>10</v>
      </c>
      <c r="H244" s="62">
        <v>1</v>
      </c>
      <c r="I244" s="40">
        <f t="shared" si="16"/>
        <v>0.20793842200000001</v>
      </c>
      <c r="J244" s="40">
        <f t="shared" si="15"/>
        <v>0.11104200000000009</v>
      </c>
      <c r="K244" s="40">
        <f t="shared" si="17"/>
        <v>0.10899999999999999</v>
      </c>
    </row>
    <row r="245" spans="2:14" x14ac:dyDescent="0.25">
      <c r="B245" s="39" t="s">
        <v>95</v>
      </c>
      <c r="C245" s="62" t="s">
        <v>85</v>
      </c>
      <c r="D245" s="39">
        <v>6</v>
      </c>
      <c r="E245" s="39">
        <v>4</v>
      </c>
      <c r="F245" s="39">
        <v>7</v>
      </c>
      <c r="G245" s="39">
        <v>4</v>
      </c>
      <c r="H245" s="62">
        <v>10</v>
      </c>
      <c r="I245" s="40">
        <f t="shared" si="16"/>
        <v>0.27490355200000016</v>
      </c>
      <c r="J245" s="40">
        <f t="shared" si="15"/>
        <v>0.16076800000000013</v>
      </c>
      <c r="K245" s="40">
        <f t="shared" si="17"/>
        <v>0.13600000000000001</v>
      </c>
    </row>
    <row r="246" spans="2:14" x14ac:dyDescent="0.25">
      <c r="B246" s="39"/>
      <c r="C246" s="62" t="s">
        <v>86</v>
      </c>
      <c r="D246" s="39">
        <v>14</v>
      </c>
      <c r="E246" s="39">
        <v>14</v>
      </c>
      <c r="F246" s="39">
        <v>12</v>
      </c>
      <c r="G246" s="39">
        <v>3</v>
      </c>
      <c r="H246" s="62">
        <v>4</v>
      </c>
      <c r="I246" s="40">
        <f t="shared" si="16"/>
        <v>0.39393034240000002</v>
      </c>
      <c r="J246" s="40">
        <f t="shared" si="15"/>
        <v>0.34915200000000002</v>
      </c>
      <c r="K246" s="40">
        <f t="shared" si="17"/>
        <v>6.8800000000000083E-2</v>
      </c>
    </row>
    <row r="247" spans="2:14" x14ac:dyDescent="0.25">
      <c r="B247" s="39"/>
      <c r="C247" s="62" t="s">
        <v>87</v>
      </c>
      <c r="D247" s="39">
        <v>6</v>
      </c>
      <c r="E247" s="39">
        <v>3</v>
      </c>
      <c r="F247" s="39">
        <v>8</v>
      </c>
      <c r="G247" s="39">
        <v>2</v>
      </c>
      <c r="H247" s="62">
        <v>2</v>
      </c>
      <c r="I247" s="40">
        <f t="shared" si="16"/>
        <v>0.19436269760000002</v>
      </c>
      <c r="J247" s="40">
        <f t="shared" si="15"/>
        <v>0.16114400000000006</v>
      </c>
      <c r="K247" s="40">
        <f t="shared" si="17"/>
        <v>3.960000000000008E-2</v>
      </c>
    </row>
    <row r="248" spans="2:14" x14ac:dyDescent="0.25">
      <c r="B248" s="39"/>
      <c r="C248" s="62" t="s">
        <v>88</v>
      </c>
      <c r="D248" s="39">
        <v>20</v>
      </c>
      <c r="E248" s="39">
        <v>10</v>
      </c>
      <c r="F248" s="39">
        <v>20</v>
      </c>
      <c r="G248" s="39">
        <v>12</v>
      </c>
      <c r="H248" s="62">
        <v>10</v>
      </c>
      <c r="I248" s="40">
        <f t="shared" si="16"/>
        <v>0.54380799999999985</v>
      </c>
      <c r="J248" s="40">
        <f t="shared" si="15"/>
        <v>0.42399999999999993</v>
      </c>
      <c r="K248" s="40">
        <f t="shared" si="17"/>
        <v>0.20799999999999996</v>
      </c>
    </row>
    <row r="249" spans="2:14" x14ac:dyDescent="0.25">
      <c r="B249" s="39"/>
      <c r="C249" s="62" t="s">
        <v>83</v>
      </c>
      <c r="D249" s="39">
        <v>5.3</v>
      </c>
      <c r="E249" s="39">
        <v>1.1000000000000001</v>
      </c>
      <c r="F249" s="39">
        <v>5</v>
      </c>
      <c r="G249" s="39">
        <v>5</v>
      </c>
      <c r="H249" s="62">
        <v>6</v>
      </c>
      <c r="I249" s="40">
        <f t="shared" si="16"/>
        <v>0.20544981195000012</v>
      </c>
      <c r="J249" s="40">
        <f t="shared" si="15"/>
        <v>0.11024615000000004</v>
      </c>
      <c r="K249" s="40">
        <f t="shared" si="17"/>
        <v>0.1070000000000001</v>
      </c>
    </row>
    <row r="250" spans="2:14" x14ac:dyDescent="0.25">
      <c r="B250" s="39"/>
      <c r="C250" s="62" t="s">
        <v>89</v>
      </c>
      <c r="D250" s="39">
        <v>5.7</v>
      </c>
      <c r="E250" s="39">
        <v>5</v>
      </c>
      <c r="F250" s="39">
        <v>9</v>
      </c>
      <c r="G250" s="39">
        <v>10</v>
      </c>
      <c r="H250" s="62">
        <v>4</v>
      </c>
      <c r="I250" s="40">
        <f t="shared" si="16"/>
        <v>0.29564689600000005</v>
      </c>
      <c r="J250" s="40">
        <f t="shared" si="15"/>
        <v>0.18477650000000012</v>
      </c>
      <c r="K250" s="40">
        <f t="shared" si="17"/>
        <v>0.13600000000000001</v>
      </c>
    </row>
    <row r="251" spans="2:14" x14ac:dyDescent="0.25">
      <c r="B251" s="39"/>
      <c r="C251" s="62" t="s">
        <v>84</v>
      </c>
      <c r="D251" s="39">
        <v>3.5</v>
      </c>
      <c r="E251" s="39">
        <v>6</v>
      </c>
      <c r="F251" s="39">
        <v>2</v>
      </c>
      <c r="G251" s="39">
        <v>8</v>
      </c>
      <c r="H251" s="62">
        <v>4</v>
      </c>
      <c r="I251" s="40">
        <f t="shared" si="16"/>
        <v>0.21487229440000011</v>
      </c>
      <c r="J251" s="40">
        <f t="shared" si="15"/>
        <v>0.11104200000000009</v>
      </c>
      <c r="K251" s="40">
        <f t="shared" si="17"/>
        <v>0.11680000000000001</v>
      </c>
    </row>
    <row r="253" spans="2:14" x14ac:dyDescent="0.25">
      <c r="B253" s="66" t="s">
        <v>468</v>
      </c>
      <c r="C253" s="21"/>
      <c r="D253" s="21"/>
      <c r="E253" s="21"/>
      <c r="F253" s="21"/>
      <c r="G253" s="21"/>
      <c r="H253" s="21"/>
      <c r="I253" s="21"/>
      <c r="J253" s="21"/>
      <c r="K253" s="21"/>
      <c r="L253" s="21"/>
      <c r="M253" s="21"/>
      <c r="N253" s="21"/>
    </row>
    <row r="254" spans="2:14" x14ac:dyDescent="0.25">
      <c r="B254" s="21"/>
      <c r="C254" s="21"/>
      <c r="D254" s="21" t="s">
        <v>443</v>
      </c>
      <c r="E254" s="21" t="s">
        <v>444</v>
      </c>
      <c r="F254" s="21" t="s">
        <v>445</v>
      </c>
      <c r="G254" s="21"/>
      <c r="H254" s="21"/>
      <c r="I254" s="21"/>
      <c r="J254" s="21"/>
      <c r="K254" s="21"/>
      <c r="L254" s="21" t="s">
        <v>477</v>
      </c>
      <c r="M254" s="21"/>
      <c r="N254" s="21"/>
    </row>
    <row r="255" spans="2:14" x14ac:dyDescent="0.25">
      <c r="B255" s="66" t="s">
        <v>446</v>
      </c>
      <c r="C255" s="21"/>
      <c r="D255" s="21">
        <v>10700</v>
      </c>
      <c r="E255" s="21">
        <v>1300</v>
      </c>
      <c r="F255" s="21">
        <v>870</v>
      </c>
      <c r="G255" s="21"/>
      <c r="H255" s="21" t="s">
        <v>105</v>
      </c>
      <c r="I255" s="36">
        <f>F255/D255</f>
        <v>8.1308411214953275E-2</v>
      </c>
      <c r="J255" s="21"/>
      <c r="K255" s="21"/>
      <c r="L255" s="21" t="s">
        <v>454</v>
      </c>
      <c r="M255" s="36">
        <f>(F264+F268)/(D264+D268)</f>
        <v>0.15693430656934307</v>
      </c>
      <c r="N255" s="21"/>
    </row>
    <row r="256" spans="2:14" x14ac:dyDescent="0.25">
      <c r="B256" s="66" t="s">
        <v>447</v>
      </c>
      <c r="C256" s="21"/>
      <c r="D256" s="21">
        <v>2700</v>
      </c>
      <c r="E256" s="21">
        <v>1100</v>
      </c>
      <c r="F256" s="21">
        <v>500</v>
      </c>
      <c r="G256" s="21"/>
      <c r="H256" s="21" t="s">
        <v>457</v>
      </c>
      <c r="I256" s="36">
        <f>(F256+F262)/(D256+D262)</f>
        <v>0.19710144927536233</v>
      </c>
      <c r="J256" s="21"/>
      <c r="K256" s="21"/>
      <c r="L256" s="21" t="s">
        <v>455</v>
      </c>
      <c r="M256" s="36"/>
      <c r="N256" s="21"/>
    </row>
    <row r="257" spans="2:14" x14ac:dyDescent="0.25">
      <c r="B257" s="66" t="s">
        <v>449</v>
      </c>
      <c r="C257" s="21"/>
      <c r="D257" s="21">
        <v>2100</v>
      </c>
      <c r="E257" s="21">
        <v>800</v>
      </c>
      <c r="F257" s="21">
        <v>680</v>
      </c>
      <c r="G257" s="21"/>
      <c r="H257" s="21" t="s">
        <v>104</v>
      </c>
      <c r="I257" s="36">
        <f>(F257+F259+F265+F267+F268)/(D257+D259+D265+D267+D268)</f>
        <v>0.23176020408163264</v>
      </c>
      <c r="J257" s="21"/>
      <c r="K257" s="21"/>
      <c r="L257" s="21" t="s">
        <v>456</v>
      </c>
      <c r="M257" s="36"/>
      <c r="N257" s="21"/>
    </row>
    <row r="258" spans="2:14" x14ac:dyDescent="0.25">
      <c r="B258" s="66" t="s">
        <v>452</v>
      </c>
      <c r="C258" s="21"/>
      <c r="D258" s="21">
        <v>1300</v>
      </c>
      <c r="E258" s="21">
        <v>200</v>
      </c>
      <c r="F258" s="21">
        <v>200</v>
      </c>
      <c r="G258" s="21"/>
      <c r="H258" s="21" t="s">
        <v>103</v>
      </c>
      <c r="I258" s="36">
        <f>(F257+F259+F265+F267+F268)/(D257+D259+D265+D267+D268)</f>
        <v>0.23176020408163264</v>
      </c>
      <c r="J258" s="21"/>
      <c r="K258" s="21"/>
      <c r="L258" s="21" t="s">
        <v>458</v>
      </c>
      <c r="M258" s="36"/>
      <c r="N258" s="21"/>
    </row>
    <row r="259" spans="2:14" x14ac:dyDescent="0.25">
      <c r="B259" s="66" t="s">
        <v>469</v>
      </c>
      <c r="C259" s="21"/>
      <c r="D259" s="21">
        <v>1200</v>
      </c>
      <c r="E259" s="21">
        <v>71</v>
      </c>
      <c r="F259" s="21">
        <v>67</v>
      </c>
      <c r="G259" s="21"/>
      <c r="H259" s="21"/>
      <c r="I259" s="36"/>
      <c r="J259" s="21"/>
      <c r="K259" s="21"/>
      <c r="L259" s="21" t="s">
        <v>459</v>
      </c>
      <c r="M259" s="36"/>
      <c r="N259" s="21"/>
    </row>
    <row r="260" spans="2:14" x14ac:dyDescent="0.25">
      <c r="B260" s="66" t="s">
        <v>453</v>
      </c>
      <c r="C260" s="21"/>
      <c r="D260" s="21">
        <v>190</v>
      </c>
      <c r="E260" s="21">
        <v>30</v>
      </c>
      <c r="F260" s="21">
        <v>30</v>
      </c>
      <c r="G260" s="21"/>
      <c r="H260" s="21" t="s">
        <v>102</v>
      </c>
      <c r="I260" s="36">
        <f>F258/D258</f>
        <v>0.15384615384615385</v>
      </c>
      <c r="J260" s="21"/>
      <c r="K260" s="21"/>
      <c r="L260" s="21" t="s">
        <v>460</v>
      </c>
      <c r="M260" s="36"/>
      <c r="N260" s="21"/>
    </row>
    <row r="261" spans="2:14" x14ac:dyDescent="0.25">
      <c r="B261" s="66" t="s">
        <v>470</v>
      </c>
      <c r="C261" s="21"/>
      <c r="D261" s="21">
        <v>6800</v>
      </c>
      <c r="E261" s="21">
        <v>580</v>
      </c>
      <c r="F261" s="21">
        <v>530</v>
      </c>
      <c r="G261" s="21"/>
      <c r="H261" s="21" t="s">
        <v>101</v>
      </c>
      <c r="I261" s="36">
        <f>F261/D261</f>
        <v>7.7941176470588236E-2</v>
      </c>
      <c r="J261" s="21"/>
      <c r="K261" s="21"/>
      <c r="L261" s="21"/>
      <c r="M261" s="36"/>
      <c r="N261" s="21"/>
    </row>
    <row r="262" spans="2:14" x14ac:dyDescent="0.25">
      <c r="B262" s="66" t="s">
        <v>471</v>
      </c>
      <c r="C262" s="21"/>
      <c r="D262" s="21">
        <v>4200</v>
      </c>
      <c r="E262" s="21">
        <v>1900</v>
      </c>
      <c r="F262" s="21">
        <v>860</v>
      </c>
      <c r="G262" s="21"/>
      <c r="H262" s="21"/>
      <c r="I262" s="36"/>
      <c r="J262" s="21"/>
      <c r="K262" s="21"/>
      <c r="L262" s="21" t="s">
        <v>465</v>
      </c>
      <c r="M262" s="36">
        <f>F261/D261</f>
        <v>7.7941176470588236E-2</v>
      </c>
      <c r="N262" s="21"/>
    </row>
    <row r="263" spans="2:14" x14ac:dyDescent="0.25">
      <c r="B263" s="66" t="s">
        <v>448</v>
      </c>
      <c r="C263" s="21"/>
      <c r="D263" s="21">
        <v>2700</v>
      </c>
      <c r="E263" s="21">
        <v>610</v>
      </c>
      <c r="F263" s="21">
        <v>290</v>
      </c>
      <c r="G263" s="21"/>
      <c r="H263" s="21" t="s">
        <v>476</v>
      </c>
      <c r="I263" s="36">
        <f>F263/D263</f>
        <v>0.10740740740740741</v>
      </c>
      <c r="J263" s="21"/>
      <c r="K263" s="21"/>
      <c r="L263" s="21"/>
      <c r="M263" s="21"/>
      <c r="N263" s="21"/>
    </row>
    <row r="264" spans="2:14" x14ac:dyDescent="0.25">
      <c r="B264" s="66" t="s">
        <v>451</v>
      </c>
      <c r="C264" s="21"/>
      <c r="D264" s="21">
        <v>1500</v>
      </c>
      <c r="E264" s="21">
        <v>210</v>
      </c>
      <c r="F264" s="21">
        <v>210</v>
      </c>
      <c r="G264" s="21"/>
      <c r="H264" s="21"/>
      <c r="I264" s="36"/>
      <c r="J264" s="21"/>
      <c r="K264" s="21"/>
      <c r="L264" s="21" t="s">
        <v>461</v>
      </c>
      <c r="M264" s="36">
        <f>F263/D263</f>
        <v>0.10740740740740741</v>
      </c>
      <c r="N264" s="21"/>
    </row>
    <row r="265" spans="2:14" x14ac:dyDescent="0.25">
      <c r="B265" s="66" t="s">
        <v>472</v>
      </c>
      <c r="C265" s="21"/>
      <c r="D265" s="21">
        <v>1400</v>
      </c>
      <c r="E265" s="21">
        <v>190</v>
      </c>
      <c r="F265" s="21">
        <v>190</v>
      </c>
      <c r="G265" s="21"/>
      <c r="H265" s="21"/>
      <c r="I265" s="36"/>
      <c r="J265" s="21"/>
      <c r="K265" s="21"/>
      <c r="L265" s="21" t="s">
        <v>462</v>
      </c>
      <c r="M265" s="21"/>
      <c r="N265" s="21"/>
    </row>
    <row r="266" spans="2:14" x14ac:dyDescent="0.25">
      <c r="B266" s="66" t="s">
        <v>473</v>
      </c>
      <c r="C266" s="21"/>
      <c r="D266" s="21">
        <v>540</v>
      </c>
      <c r="E266" s="21">
        <v>90</v>
      </c>
      <c r="F266" s="21">
        <v>20</v>
      </c>
      <c r="G266" s="21"/>
      <c r="H266" s="21" t="s">
        <v>100</v>
      </c>
      <c r="I266" s="36">
        <f>F266/D266</f>
        <v>3.7037037037037035E-2</v>
      </c>
      <c r="J266" s="21"/>
      <c r="K266" s="21"/>
      <c r="L266" s="21" t="s">
        <v>442</v>
      </c>
      <c r="M266" s="21"/>
      <c r="N266" s="21"/>
    </row>
    <row r="267" spans="2:14" x14ac:dyDescent="0.25">
      <c r="B267" s="66" t="s">
        <v>450</v>
      </c>
      <c r="C267" s="21"/>
      <c r="D267" s="21">
        <v>1900</v>
      </c>
      <c r="E267" s="21">
        <v>690</v>
      </c>
      <c r="F267" s="21">
        <v>660</v>
      </c>
      <c r="G267" s="21"/>
      <c r="H267" s="21"/>
      <c r="I267" s="21"/>
      <c r="J267" s="21"/>
      <c r="K267" s="21"/>
      <c r="L267" s="21" t="s">
        <v>463</v>
      </c>
      <c r="M267" s="21"/>
      <c r="N267" s="21"/>
    </row>
    <row r="268" spans="2:14" x14ac:dyDescent="0.25">
      <c r="B268" s="66" t="s">
        <v>19</v>
      </c>
      <c r="C268" s="21"/>
      <c r="D268" s="21">
        <f>1000+240</f>
        <v>1240</v>
      </c>
      <c r="E268" s="21">
        <f>210+300</f>
        <v>510</v>
      </c>
      <c r="F268" s="21">
        <f>200+20</f>
        <v>220</v>
      </c>
      <c r="G268" s="21"/>
      <c r="H268" s="21"/>
      <c r="I268" s="21"/>
      <c r="J268" s="21"/>
      <c r="K268" s="21"/>
      <c r="L268" s="21" t="s">
        <v>464</v>
      </c>
      <c r="M268" s="21"/>
      <c r="N268" s="21"/>
    </row>
    <row r="269" spans="2:14" x14ac:dyDescent="0.25">
      <c r="B269" s="66"/>
      <c r="C269" s="21"/>
      <c r="D269" s="21"/>
      <c r="E269" s="21"/>
      <c r="F269" s="21"/>
      <c r="G269" s="21"/>
      <c r="H269" s="21"/>
      <c r="I269" s="21"/>
      <c r="J269" s="21"/>
      <c r="K269" s="21"/>
      <c r="L269" s="21" t="s">
        <v>466</v>
      </c>
      <c r="M269" s="21"/>
      <c r="N269" s="21"/>
    </row>
    <row r="270" spans="2:14" x14ac:dyDescent="0.25">
      <c r="B270" s="66"/>
      <c r="C270" s="66" t="s">
        <v>475</v>
      </c>
      <c r="D270" s="21"/>
      <c r="E270" s="21"/>
      <c r="F270" s="21"/>
      <c r="G270" s="21"/>
      <c r="H270" s="21"/>
      <c r="I270" s="21"/>
      <c r="J270" s="21"/>
      <c r="K270" s="21"/>
      <c r="L270" s="21"/>
      <c r="M270" s="21"/>
      <c r="N270" s="21"/>
    </row>
    <row r="271" spans="2:14" x14ac:dyDescent="0.25">
      <c r="B271" s="8"/>
      <c r="C271" s="9"/>
    </row>
    <row r="272" spans="2:14" x14ac:dyDescent="0.25">
      <c r="B272" s="110" t="s">
        <v>659</v>
      </c>
      <c r="C272" s="20"/>
      <c r="D272" s="20"/>
      <c r="E272" s="20"/>
      <c r="F272" s="20"/>
    </row>
    <row r="273" spans="2:6" x14ac:dyDescent="0.25">
      <c r="B273" s="110"/>
      <c r="C273" s="20" t="s">
        <v>504</v>
      </c>
      <c r="D273" s="20" t="s">
        <v>664</v>
      </c>
      <c r="E273" s="20" t="s">
        <v>665</v>
      </c>
      <c r="F273" s="20" t="s">
        <v>666</v>
      </c>
    </row>
    <row r="274" spans="2:6" x14ac:dyDescent="0.25">
      <c r="B274" s="110" t="s">
        <v>575</v>
      </c>
      <c r="C274" s="111">
        <v>19331225</v>
      </c>
      <c r="D274" s="111">
        <v>2587358</v>
      </c>
      <c r="E274" s="111">
        <v>836805</v>
      </c>
      <c r="F274" s="111">
        <v>90061</v>
      </c>
    </row>
    <row r="275" spans="2:6" x14ac:dyDescent="0.25">
      <c r="B275" s="110" t="s">
        <v>660</v>
      </c>
      <c r="C275" s="111">
        <v>6475498</v>
      </c>
      <c r="D275" s="111">
        <v>8545546</v>
      </c>
      <c r="E275" s="111">
        <v>404749</v>
      </c>
      <c r="F275" s="111">
        <v>28419</v>
      </c>
    </row>
    <row r="276" spans="2:6" x14ac:dyDescent="0.25">
      <c r="B276" s="110" t="s">
        <v>661</v>
      </c>
      <c r="C276" s="112">
        <v>2817842</v>
      </c>
      <c r="D276" s="111">
        <v>614047</v>
      </c>
      <c r="E276" s="111">
        <v>183261</v>
      </c>
      <c r="F276" s="111">
        <v>39851</v>
      </c>
    </row>
    <row r="277" spans="2:6" x14ac:dyDescent="0.25">
      <c r="B277" s="110" t="s">
        <v>662</v>
      </c>
      <c r="C277" s="112">
        <v>24094409</v>
      </c>
      <c r="D277" s="111">
        <v>4220568</v>
      </c>
      <c r="E277" s="111">
        <v>2002374</v>
      </c>
      <c r="F277" s="111">
        <v>338630</v>
      </c>
    </row>
    <row r="278" spans="2:6" x14ac:dyDescent="0.25">
      <c r="B278" s="110" t="s">
        <v>663</v>
      </c>
      <c r="C278" s="112">
        <v>330417</v>
      </c>
      <c r="D278" s="111">
        <v>174810</v>
      </c>
      <c r="E278" s="111">
        <v>29082</v>
      </c>
      <c r="F278" s="111">
        <v>6744</v>
      </c>
    </row>
    <row r="279" spans="2:6" x14ac:dyDescent="0.25">
      <c r="B279" s="113" t="s">
        <v>28</v>
      </c>
      <c r="C279" s="114">
        <f>SUM(C274:C278)</f>
        <v>53049391</v>
      </c>
      <c r="D279" s="114">
        <f>SUM(D274:D278)</f>
        <v>16142329</v>
      </c>
      <c r="E279" s="114">
        <f>SUM(E274:E278)</f>
        <v>3456271</v>
      </c>
      <c r="F279" s="114">
        <f>SUM(F274:F278)</f>
        <v>503705</v>
      </c>
    </row>
    <row r="280" spans="2:6" x14ac:dyDescent="0.25">
      <c r="B280" s="110"/>
      <c r="C280" s="115">
        <v>1.4</v>
      </c>
      <c r="D280" s="116">
        <v>3.5</v>
      </c>
      <c r="E280" s="116">
        <v>12</v>
      </c>
      <c r="F280" s="116">
        <v>12</v>
      </c>
    </row>
    <row r="281" spans="2:6" x14ac:dyDescent="0.25">
      <c r="B281" s="117">
        <f>SUM(C281:F281)</f>
        <v>178287010.89999998</v>
      </c>
      <c r="C281" s="111">
        <f>C279*C280</f>
        <v>74269147.399999991</v>
      </c>
      <c r="D281" s="111">
        <f>D279*D280</f>
        <v>56498151.5</v>
      </c>
      <c r="E281" s="111">
        <f>E279*E280</f>
        <v>41475252</v>
      </c>
      <c r="F281" s="111">
        <f>F279*F280</f>
        <v>6044460</v>
      </c>
    </row>
    <row r="282" spans="2:6" x14ac:dyDescent="0.25">
      <c r="B282" s="20"/>
      <c r="C282" s="118">
        <f>C281/$B281</f>
        <v>0.41657071384553679</v>
      </c>
      <c r="D282" s="118">
        <f>D281/$B281</f>
        <v>0.31689437842271889</v>
      </c>
      <c r="E282" s="118">
        <f>E281/$B281</f>
        <v>0.23263193314325742</v>
      </c>
      <c r="F282" s="118">
        <f>F281/$B281</f>
        <v>3.3902974588486977E-2</v>
      </c>
    </row>
  </sheetData>
  <conditionalFormatting sqref="K84:K90">
    <cfRule type="cellIs" dxfId="0" priority="1" operator="equal">
      <formula>1</formula>
    </cfRule>
  </conditionalFormatting>
  <pageMargins left="0.7" right="0.7" top="0.75" bottom="0.75"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1"/>
  <sheetViews>
    <sheetView workbookViewId="0">
      <selection activeCell="B17" sqref="B17"/>
    </sheetView>
  </sheetViews>
  <sheetFormatPr defaultRowHeight="15" x14ac:dyDescent="0.25"/>
  <cols>
    <col min="2" max="2" width="13.28515625" customWidth="1"/>
    <col min="3" max="7" width="17.85546875" customWidth="1"/>
  </cols>
  <sheetData>
    <row r="1" spans="1:6" x14ac:dyDescent="0.25">
      <c r="A1" t="s">
        <v>755</v>
      </c>
    </row>
    <row r="2" spans="1:6" x14ac:dyDescent="0.25">
      <c r="A2" t="s">
        <v>636</v>
      </c>
    </row>
    <row r="3" spans="1:6" x14ac:dyDescent="0.25">
      <c r="A3" t="s">
        <v>637</v>
      </c>
    </row>
    <row r="4" spans="1:6" x14ac:dyDescent="0.25">
      <c r="A4" t="s">
        <v>638</v>
      </c>
    </row>
    <row r="6" spans="1:6" x14ac:dyDescent="0.25">
      <c r="C6" t="s">
        <v>632</v>
      </c>
      <c r="D6" t="s">
        <v>633</v>
      </c>
      <c r="E6" t="s">
        <v>634</v>
      </c>
      <c r="F6" t="s">
        <v>635</v>
      </c>
    </row>
    <row r="7" spans="1:6" x14ac:dyDescent="0.25">
      <c r="B7" t="s">
        <v>13</v>
      </c>
      <c r="C7">
        <v>72</v>
      </c>
      <c r="D7">
        <v>73</v>
      </c>
      <c r="E7">
        <v>104</v>
      </c>
      <c r="F7">
        <v>105</v>
      </c>
    </row>
    <row r="8" spans="1:6" x14ac:dyDescent="0.25">
      <c r="B8" t="s">
        <v>538</v>
      </c>
      <c r="C8">
        <v>76</v>
      </c>
      <c r="D8">
        <v>77</v>
      </c>
      <c r="E8">
        <v>108</v>
      </c>
      <c r="F8">
        <v>109</v>
      </c>
    </row>
    <row r="9" spans="1:6" x14ac:dyDescent="0.25">
      <c r="B9" t="s">
        <v>556</v>
      </c>
      <c r="C9">
        <v>52</v>
      </c>
      <c r="D9">
        <v>53</v>
      </c>
      <c r="E9">
        <v>60</v>
      </c>
      <c r="F9">
        <v>61</v>
      </c>
    </row>
    <row r="10" spans="1:6" x14ac:dyDescent="0.25">
      <c r="B10" t="s">
        <v>578</v>
      </c>
      <c r="C10">
        <v>59</v>
      </c>
      <c r="D10">
        <v>60</v>
      </c>
      <c r="E10">
        <v>86</v>
      </c>
      <c r="F10">
        <v>87</v>
      </c>
    </row>
    <row r="11" spans="1:6" x14ac:dyDescent="0.25">
      <c r="A11" t="s">
        <v>752</v>
      </c>
    </row>
  </sheetData>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J78"/>
  <sheetViews>
    <sheetView workbookViewId="0">
      <selection activeCell="B21" sqref="B21"/>
    </sheetView>
  </sheetViews>
  <sheetFormatPr defaultRowHeight="15" x14ac:dyDescent="0.25"/>
  <cols>
    <col min="1" max="1" width="9.140625" style="15"/>
    <col min="2" max="2" width="83" style="15" customWidth="1"/>
    <col min="3" max="16384" width="9.140625" style="15"/>
  </cols>
  <sheetData>
    <row r="1" spans="1:166" ht="18.75" x14ac:dyDescent="0.3">
      <c r="B1" s="97" t="s">
        <v>748</v>
      </c>
    </row>
    <row r="2" spans="1:166" x14ac:dyDescent="0.25">
      <c r="B2" s="15" t="s">
        <v>749</v>
      </c>
    </row>
    <row r="3" spans="1:166" x14ac:dyDescent="0.25">
      <c r="A3" s="15">
        <v>1</v>
      </c>
      <c r="B3" s="15" t="s">
        <v>615</v>
      </c>
      <c r="C3" s="15">
        <v>1</v>
      </c>
      <c r="D3" s="15">
        <v>2</v>
      </c>
      <c r="E3" s="15">
        <v>3</v>
      </c>
      <c r="F3" s="15">
        <v>4</v>
      </c>
      <c r="G3" s="15">
        <v>5</v>
      </c>
      <c r="H3" s="15">
        <v>6</v>
      </c>
      <c r="I3" s="15">
        <v>7</v>
      </c>
      <c r="J3" s="15">
        <v>8</v>
      </c>
      <c r="K3" s="15">
        <v>9</v>
      </c>
      <c r="L3" s="15">
        <v>10</v>
      </c>
      <c r="M3" s="15">
        <v>11</v>
      </c>
      <c r="N3" s="15">
        <v>12</v>
      </c>
      <c r="O3" s="15">
        <v>13</v>
      </c>
      <c r="P3" s="15">
        <v>14</v>
      </c>
      <c r="Q3" s="15">
        <v>15</v>
      </c>
      <c r="R3" s="15">
        <v>16</v>
      </c>
      <c r="S3" s="15">
        <v>17</v>
      </c>
      <c r="T3" s="15">
        <v>18</v>
      </c>
      <c r="U3" s="15">
        <v>19</v>
      </c>
      <c r="V3" s="15">
        <v>20</v>
      </c>
      <c r="W3" s="15">
        <v>21</v>
      </c>
      <c r="X3" s="15">
        <v>22</v>
      </c>
      <c r="Y3" s="15">
        <v>23</v>
      </c>
      <c r="Z3" s="15">
        <v>24</v>
      </c>
      <c r="AA3" s="15">
        <v>25</v>
      </c>
      <c r="AB3" s="15">
        <v>26</v>
      </c>
      <c r="AC3" s="15">
        <v>27</v>
      </c>
      <c r="AD3" s="15">
        <v>28</v>
      </c>
      <c r="AE3" s="15">
        <v>29</v>
      </c>
      <c r="AF3" s="15">
        <v>30</v>
      </c>
      <c r="AG3" s="15">
        <v>31</v>
      </c>
      <c r="AH3" s="15">
        <v>32</v>
      </c>
      <c r="AI3" s="15">
        <v>33</v>
      </c>
      <c r="AJ3" s="15">
        <v>34</v>
      </c>
      <c r="AK3" s="15">
        <v>35</v>
      </c>
      <c r="AL3" s="15">
        <v>36</v>
      </c>
      <c r="AM3" s="15">
        <v>37</v>
      </c>
      <c r="AN3" s="15">
        <v>38</v>
      </c>
      <c r="AO3" s="15">
        <v>39</v>
      </c>
      <c r="AP3" s="15">
        <v>40</v>
      </c>
      <c r="AQ3" s="15">
        <v>41</v>
      </c>
      <c r="AR3" s="15">
        <v>42</v>
      </c>
      <c r="AS3" s="15">
        <v>43</v>
      </c>
      <c r="AT3" s="15">
        <v>44</v>
      </c>
      <c r="AU3" s="15">
        <v>45</v>
      </c>
      <c r="AV3" s="15">
        <v>46</v>
      </c>
      <c r="AW3" s="15">
        <v>47</v>
      </c>
      <c r="AX3" s="15">
        <v>48</v>
      </c>
      <c r="AY3" s="15">
        <v>49</v>
      </c>
      <c r="AZ3" s="15">
        <v>50</v>
      </c>
      <c r="BA3" s="15">
        <v>51</v>
      </c>
      <c r="BB3" s="15">
        <v>52</v>
      </c>
      <c r="BC3" s="15">
        <v>53</v>
      </c>
      <c r="BD3" s="15">
        <v>54</v>
      </c>
      <c r="BE3" s="15">
        <v>55</v>
      </c>
      <c r="BF3" s="15">
        <v>56</v>
      </c>
      <c r="BG3" s="15">
        <v>57</v>
      </c>
      <c r="BH3" s="15">
        <v>58</v>
      </c>
      <c r="BI3" s="15">
        <v>59</v>
      </c>
      <c r="BJ3" s="15">
        <v>60</v>
      </c>
      <c r="BK3" s="15">
        <v>61</v>
      </c>
      <c r="BL3" s="15">
        <v>62</v>
      </c>
      <c r="BM3" s="15">
        <v>63</v>
      </c>
      <c r="BN3" s="15">
        <v>64</v>
      </c>
      <c r="BO3" s="15">
        <v>65</v>
      </c>
      <c r="BP3" s="15">
        <v>66</v>
      </c>
      <c r="BQ3" s="15">
        <v>67</v>
      </c>
      <c r="BR3" s="15">
        <v>68</v>
      </c>
      <c r="BS3" s="15">
        <v>69</v>
      </c>
      <c r="BT3" s="15">
        <v>70</v>
      </c>
      <c r="BU3" s="15">
        <v>71</v>
      </c>
      <c r="BV3" s="15">
        <v>72</v>
      </c>
      <c r="BW3" s="15">
        <v>73</v>
      </c>
      <c r="BX3" s="15">
        <v>74</v>
      </c>
      <c r="BY3" s="15">
        <v>75</v>
      </c>
      <c r="BZ3" s="15">
        <v>76</v>
      </c>
      <c r="CA3" s="15">
        <v>77</v>
      </c>
      <c r="CB3" s="15">
        <v>78</v>
      </c>
      <c r="CC3" s="15">
        <v>79</v>
      </c>
      <c r="CD3" s="15">
        <v>80</v>
      </c>
      <c r="CE3" s="15">
        <v>81</v>
      </c>
      <c r="CF3" s="15">
        <v>82</v>
      </c>
      <c r="CG3" s="15">
        <v>83</v>
      </c>
      <c r="CH3" s="15">
        <v>84</v>
      </c>
      <c r="CI3" s="15">
        <v>85</v>
      </c>
      <c r="CJ3" s="15">
        <v>86</v>
      </c>
      <c r="CK3" s="15">
        <v>87</v>
      </c>
      <c r="CL3" s="15">
        <v>88</v>
      </c>
      <c r="CM3" s="15">
        <v>89</v>
      </c>
      <c r="CN3" s="15">
        <v>90</v>
      </c>
      <c r="CO3" s="15">
        <v>91</v>
      </c>
      <c r="CP3" s="15">
        <v>92</v>
      </c>
      <c r="CQ3" s="15">
        <v>93</v>
      </c>
      <c r="CR3" s="15">
        <v>94</v>
      </c>
      <c r="CS3" s="15">
        <v>95</v>
      </c>
      <c r="CT3" s="15">
        <v>96</v>
      </c>
      <c r="CU3" s="15">
        <v>97</v>
      </c>
      <c r="CV3" s="15">
        <v>98</v>
      </c>
      <c r="CW3" s="15">
        <v>99</v>
      </c>
      <c r="CX3" s="15">
        <v>100</v>
      </c>
      <c r="CY3" s="15">
        <v>101</v>
      </c>
      <c r="CZ3" s="15">
        <v>102</v>
      </c>
      <c r="DA3" s="15">
        <v>103</v>
      </c>
      <c r="DB3" s="15">
        <v>104</v>
      </c>
      <c r="DC3" s="15">
        <v>105</v>
      </c>
      <c r="DD3" s="15">
        <v>106</v>
      </c>
      <c r="DE3" s="15">
        <v>107</v>
      </c>
      <c r="DF3" s="15">
        <v>108</v>
      </c>
      <c r="DG3" s="15">
        <v>109</v>
      </c>
      <c r="DH3" s="15">
        <v>110</v>
      </c>
      <c r="DI3" s="15">
        <v>111</v>
      </c>
      <c r="DJ3" s="15">
        <v>112</v>
      </c>
      <c r="DK3" s="15">
        <v>113</v>
      </c>
      <c r="DL3" s="15">
        <v>114</v>
      </c>
      <c r="DM3" s="15">
        <v>115</v>
      </c>
      <c r="DN3" s="15">
        <v>116</v>
      </c>
      <c r="DO3" s="15">
        <v>117</v>
      </c>
      <c r="DP3" s="15">
        <v>118</v>
      </c>
      <c r="DQ3" s="15">
        <v>119</v>
      </c>
      <c r="DR3" s="15">
        <v>120</v>
      </c>
      <c r="DS3" s="15">
        <v>121</v>
      </c>
      <c r="DT3" s="15">
        <v>122</v>
      </c>
      <c r="DU3" s="15">
        <v>123</v>
      </c>
      <c r="DV3" s="15">
        <v>124</v>
      </c>
      <c r="DW3" s="15">
        <v>125</v>
      </c>
      <c r="DX3" s="15">
        <v>126</v>
      </c>
      <c r="DY3" s="15">
        <v>127</v>
      </c>
      <c r="DZ3" s="15">
        <v>128</v>
      </c>
      <c r="EA3" s="15">
        <v>129</v>
      </c>
      <c r="EB3" s="15">
        <v>130</v>
      </c>
      <c r="EC3" s="15">
        <v>131</v>
      </c>
      <c r="ED3" s="15">
        <v>132</v>
      </c>
      <c r="EE3" s="15">
        <v>133</v>
      </c>
      <c r="EF3" s="15">
        <v>134</v>
      </c>
      <c r="EG3" s="15">
        <v>135</v>
      </c>
      <c r="EH3" s="15">
        <v>136</v>
      </c>
      <c r="EI3" s="15">
        <v>137</v>
      </c>
      <c r="EJ3" s="15">
        <v>138</v>
      </c>
      <c r="EK3" s="15">
        <v>139</v>
      </c>
      <c r="EL3" s="15">
        <v>140</v>
      </c>
      <c r="EM3" s="15">
        <v>141</v>
      </c>
      <c r="EN3" s="15">
        <v>142</v>
      </c>
      <c r="EO3" s="15">
        <v>143</v>
      </c>
      <c r="EP3" s="15">
        <v>144</v>
      </c>
      <c r="EQ3" s="15">
        <v>145</v>
      </c>
      <c r="ER3" s="15">
        <v>146</v>
      </c>
      <c r="ES3" s="15">
        <v>147</v>
      </c>
      <c r="ET3" s="15">
        <v>148</v>
      </c>
      <c r="EU3" s="15">
        <v>149</v>
      </c>
      <c r="EV3" s="15">
        <v>150</v>
      </c>
      <c r="EW3" s="15">
        <v>151</v>
      </c>
      <c r="EX3" s="15">
        <v>152</v>
      </c>
      <c r="EY3" s="15">
        <v>153</v>
      </c>
      <c r="EZ3" s="15">
        <v>154</v>
      </c>
      <c r="FA3" s="15">
        <v>155</v>
      </c>
      <c r="FB3" s="15">
        <v>156</v>
      </c>
      <c r="FC3" s="15">
        <v>157</v>
      </c>
      <c r="FD3" s="15">
        <v>158</v>
      </c>
      <c r="FE3" s="15">
        <v>159</v>
      </c>
      <c r="FF3" s="15">
        <v>160</v>
      </c>
      <c r="FG3" s="15">
        <v>161</v>
      </c>
      <c r="FH3" s="15">
        <v>162</v>
      </c>
      <c r="FI3" s="15">
        <v>163</v>
      </c>
      <c r="FJ3" s="15">
        <v>164</v>
      </c>
    </row>
    <row r="4" spans="1:166" x14ac:dyDescent="0.25">
      <c r="A4" s="15">
        <v>2</v>
      </c>
      <c r="B4" s="15" t="s">
        <v>253</v>
      </c>
      <c r="C4" s="15">
        <v>88</v>
      </c>
    </row>
    <row r="5" spans="1:166" x14ac:dyDescent="0.25">
      <c r="A5" s="15">
        <v>3</v>
      </c>
      <c r="B5" s="15" t="s">
        <v>250</v>
      </c>
      <c r="C5" s="15">
        <v>89</v>
      </c>
    </row>
    <row r="6" spans="1:166" x14ac:dyDescent="0.25">
      <c r="A6" s="15">
        <v>4</v>
      </c>
      <c r="B6" s="15" t="s">
        <v>306</v>
      </c>
      <c r="C6" s="15">
        <v>87</v>
      </c>
    </row>
    <row r="7" spans="1:166" x14ac:dyDescent="0.25">
      <c r="A7" s="15">
        <v>5</v>
      </c>
      <c r="B7" s="15" t="s">
        <v>255</v>
      </c>
      <c r="C7" s="15">
        <v>93</v>
      </c>
    </row>
    <row r="8" spans="1:166" x14ac:dyDescent="0.25">
      <c r="A8" s="15">
        <v>6</v>
      </c>
      <c r="B8" s="15" t="s">
        <v>326</v>
      </c>
      <c r="C8" s="15">
        <v>86</v>
      </c>
      <c r="D8" s="15">
        <v>93</v>
      </c>
    </row>
    <row r="9" spans="1:166" x14ac:dyDescent="0.25">
      <c r="A9" s="15">
        <v>7</v>
      </c>
      <c r="B9" s="15" t="s">
        <v>257</v>
      </c>
      <c r="C9" s="15">
        <v>91</v>
      </c>
    </row>
    <row r="10" spans="1:166" x14ac:dyDescent="0.25">
      <c r="A10" s="15">
        <v>8</v>
      </c>
      <c r="B10" s="15" t="s">
        <v>263</v>
      </c>
      <c r="C10" s="15">
        <v>92</v>
      </c>
    </row>
    <row r="11" spans="1:166" x14ac:dyDescent="0.25">
      <c r="A11" s="15">
        <v>9</v>
      </c>
      <c r="B11" s="15" t="s">
        <v>330</v>
      </c>
      <c r="C11" s="15">
        <v>113</v>
      </c>
    </row>
    <row r="12" spans="1:166" x14ac:dyDescent="0.25">
      <c r="A12" s="15">
        <v>10</v>
      </c>
      <c r="B12" s="15" t="s">
        <v>706</v>
      </c>
      <c r="C12" s="15">
        <v>1</v>
      </c>
      <c r="D12" s="15">
        <v>2</v>
      </c>
      <c r="E12" s="15">
        <v>3</v>
      </c>
      <c r="F12" s="15">
        <v>4</v>
      </c>
      <c r="G12" s="15">
        <v>5</v>
      </c>
      <c r="H12" s="15">
        <v>6</v>
      </c>
      <c r="I12" s="15">
        <v>7</v>
      </c>
      <c r="J12" s="15">
        <v>8</v>
      </c>
      <c r="K12" s="15">
        <v>9</v>
      </c>
      <c r="L12" s="15">
        <v>10</v>
      </c>
      <c r="M12" s="15">
        <v>11</v>
      </c>
      <c r="N12" s="15">
        <v>12</v>
      </c>
      <c r="O12" s="15">
        <v>13</v>
      </c>
      <c r="P12" s="15">
        <v>14</v>
      </c>
      <c r="Q12" s="15">
        <v>15</v>
      </c>
      <c r="R12" s="15">
        <v>16</v>
      </c>
      <c r="S12" s="15">
        <v>17</v>
      </c>
      <c r="T12" s="15">
        <v>18</v>
      </c>
      <c r="U12" s="15">
        <v>19</v>
      </c>
      <c r="V12" s="15">
        <v>35</v>
      </c>
      <c r="W12" s="15">
        <v>36</v>
      </c>
      <c r="X12" s="15">
        <v>37</v>
      </c>
      <c r="Y12" s="15">
        <v>38</v>
      </c>
      <c r="Z12" s="15">
        <v>39</v>
      </c>
      <c r="AA12" s="15">
        <v>40</v>
      </c>
      <c r="AB12" s="15">
        <v>41</v>
      </c>
      <c r="AC12" s="15">
        <v>42</v>
      </c>
      <c r="AD12" s="15">
        <v>43</v>
      </c>
      <c r="AE12" s="15">
        <v>44</v>
      </c>
      <c r="AF12" s="15">
        <v>45</v>
      </c>
      <c r="AG12" s="15">
        <v>46</v>
      </c>
      <c r="AH12" s="15">
        <v>47</v>
      </c>
      <c r="AI12" s="15">
        <v>48</v>
      </c>
      <c r="AJ12" s="15">
        <v>49</v>
      </c>
      <c r="AK12" s="15">
        <v>50</v>
      </c>
      <c r="AL12" s="15">
        <v>51</v>
      </c>
      <c r="AM12" s="15">
        <v>52</v>
      </c>
      <c r="AN12" s="15">
        <v>53</v>
      </c>
      <c r="AO12" s="15">
        <v>54</v>
      </c>
      <c r="AP12" s="15">
        <v>55</v>
      </c>
      <c r="AQ12" s="15">
        <v>116</v>
      </c>
      <c r="AR12" s="15">
        <v>117</v>
      </c>
      <c r="AS12" s="15">
        <v>118</v>
      </c>
      <c r="AT12" s="15">
        <v>119</v>
      </c>
      <c r="AU12" s="15">
        <v>120</v>
      </c>
      <c r="AV12" s="15">
        <v>121</v>
      </c>
      <c r="AW12" s="15">
        <v>122</v>
      </c>
      <c r="AX12" s="15">
        <v>123</v>
      </c>
      <c r="AY12" s="15">
        <v>124</v>
      </c>
      <c r="AZ12" s="15">
        <v>125</v>
      </c>
      <c r="BA12" s="15">
        <v>126</v>
      </c>
      <c r="BB12" s="15">
        <v>127</v>
      </c>
      <c r="BC12" s="15">
        <v>135</v>
      </c>
      <c r="BD12" s="15">
        <v>136</v>
      </c>
      <c r="BE12" s="15">
        <v>137</v>
      </c>
      <c r="BF12" s="15">
        <v>138</v>
      </c>
      <c r="BG12" s="15">
        <v>159</v>
      </c>
      <c r="BH12" s="15">
        <v>160</v>
      </c>
      <c r="BI12" s="15">
        <v>161</v>
      </c>
      <c r="BJ12" s="15">
        <v>162</v>
      </c>
      <c r="BK12" s="15">
        <v>163</v>
      </c>
    </row>
    <row r="13" spans="1:166" x14ac:dyDescent="0.25">
      <c r="A13" s="15">
        <v>11</v>
      </c>
      <c r="B13" s="15" t="s">
        <v>272</v>
      </c>
      <c r="C13" s="15">
        <v>72</v>
      </c>
      <c r="D13" s="15">
        <v>73</v>
      </c>
      <c r="E13" s="15">
        <v>85</v>
      </c>
    </row>
    <row r="14" spans="1:166" x14ac:dyDescent="0.25">
      <c r="A14" s="15">
        <v>12</v>
      </c>
      <c r="B14" s="15" t="s">
        <v>273</v>
      </c>
      <c r="C14" s="15">
        <v>76</v>
      </c>
    </row>
    <row r="15" spans="1:166" x14ac:dyDescent="0.25">
      <c r="A15" s="15">
        <v>13</v>
      </c>
      <c r="B15" s="15" t="s">
        <v>277</v>
      </c>
      <c r="C15" s="15">
        <v>14</v>
      </c>
      <c r="D15" s="15">
        <v>39</v>
      </c>
      <c r="E15" s="15">
        <v>40</v>
      </c>
      <c r="F15" s="15">
        <v>41</v>
      </c>
      <c r="G15" s="15">
        <v>42</v>
      </c>
      <c r="H15" s="15">
        <v>43</v>
      </c>
      <c r="I15" s="15">
        <v>44</v>
      </c>
      <c r="J15" s="15">
        <v>45</v>
      </c>
      <c r="K15" s="15">
        <v>46</v>
      </c>
      <c r="L15" s="15">
        <v>118</v>
      </c>
      <c r="M15" s="15">
        <v>119</v>
      </c>
      <c r="N15" s="15">
        <v>135</v>
      </c>
      <c r="O15" s="15">
        <v>138</v>
      </c>
    </row>
    <row r="16" spans="1:166" x14ac:dyDescent="0.25">
      <c r="A16" s="15">
        <v>14</v>
      </c>
      <c r="B16" s="15" t="s">
        <v>275</v>
      </c>
      <c r="C16" s="15">
        <v>65</v>
      </c>
    </row>
    <row r="17" spans="1:143" x14ac:dyDescent="0.25">
      <c r="A17" s="15">
        <v>15</v>
      </c>
      <c r="B17" s="22" t="s">
        <v>501</v>
      </c>
      <c r="C17" s="15">
        <v>73</v>
      </c>
      <c r="D17" s="15">
        <v>77</v>
      </c>
    </row>
    <row r="18" spans="1:143" x14ac:dyDescent="0.25">
      <c r="A18" s="15">
        <v>16</v>
      </c>
      <c r="B18" s="15" t="s">
        <v>522</v>
      </c>
      <c r="C18" s="15">
        <v>77</v>
      </c>
    </row>
    <row r="19" spans="1:143" x14ac:dyDescent="0.25">
      <c r="A19" s="15">
        <v>17</v>
      </c>
      <c r="B19" s="15" t="s">
        <v>537</v>
      </c>
      <c r="C19" s="15">
        <v>48</v>
      </c>
    </row>
    <row r="20" spans="1:143" x14ac:dyDescent="0.25">
      <c r="A20" s="15">
        <v>18</v>
      </c>
      <c r="B20" s="15" t="s">
        <v>523</v>
      </c>
      <c r="C20" s="15">
        <v>73</v>
      </c>
    </row>
    <row r="21" spans="1:143" x14ac:dyDescent="0.25">
      <c r="A21" s="15">
        <v>19</v>
      </c>
      <c r="B21" s="15" t="s">
        <v>526</v>
      </c>
      <c r="C21" s="15">
        <v>1</v>
      </c>
      <c r="D21" s="15">
        <v>2</v>
      </c>
      <c r="E21" s="15">
        <v>3</v>
      </c>
      <c r="F21" s="15">
        <v>4</v>
      </c>
      <c r="G21" s="15">
        <v>5</v>
      </c>
      <c r="H21" s="15">
        <v>6</v>
      </c>
      <c r="I21" s="15">
        <v>7</v>
      </c>
      <c r="J21" s="15">
        <v>8</v>
      </c>
      <c r="K21" s="15">
        <v>9</v>
      </c>
      <c r="L21" s="15">
        <v>10</v>
      </c>
      <c r="M21" s="15">
        <v>11</v>
      </c>
      <c r="N21" s="15">
        <v>12</v>
      </c>
      <c r="O21" s="15">
        <v>13</v>
      </c>
      <c r="P21" s="15">
        <v>14</v>
      </c>
    </row>
    <row r="22" spans="1:143" x14ac:dyDescent="0.25">
      <c r="A22" s="15">
        <v>20</v>
      </c>
      <c r="B22" s="15" t="s">
        <v>335</v>
      </c>
      <c r="C22" s="15">
        <v>1</v>
      </c>
      <c r="D22" s="15">
        <v>2</v>
      </c>
      <c r="E22" s="15">
        <v>3</v>
      </c>
    </row>
    <row r="23" spans="1:143" x14ac:dyDescent="0.25">
      <c r="A23" s="15">
        <v>21</v>
      </c>
      <c r="B23" s="15" t="s">
        <v>88</v>
      </c>
      <c r="C23" s="15">
        <v>4</v>
      </c>
    </row>
    <row r="24" spans="1:143" x14ac:dyDescent="0.25">
      <c r="A24" s="15">
        <v>22</v>
      </c>
      <c r="B24" s="15" t="s">
        <v>87</v>
      </c>
      <c r="C24" s="15">
        <v>5</v>
      </c>
    </row>
    <row r="25" spans="1:143" x14ac:dyDescent="0.25">
      <c r="A25" s="15">
        <v>23</v>
      </c>
      <c r="B25" s="15" t="s">
        <v>86</v>
      </c>
      <c r="C25" s="15">
        <v>6</v>
      </c>
      <c r="D25" s="15">
        <v>7</v>
      </c>
      <c r="E25" s="15">
        <v>8</v>
      </c>
    </row>
    <row r="26" spans="1:143" x14ac:dyDescent="0.25">
      <c r="A26" s="15">
        <v>24</v>
      </c>
      <c r="B26" s="15" t="s">
        <v>83</v>
      </c>
      <c r="C26" s="15">
        <v>9</v>
      </c>
      <c r="D26" s="15">
        <v>10</v>
      </c>
      <c r="E26" s="15">
        <v>11</v>
      </c>
      <c r="F26" s="15">
        <v>12</v>
      </c>
      <c r="G26" s="15">
        <v>13</v>
      </c>
    </row>
    <row r="27" spans="1:143" x14ac:dyDescent="0.25">
      <c r="A27" s="15">
        <v>25</v>
      </c>
      <c r="B27" s="15" t="s">
        <v>84</v>
      </c>
      <c r="C27" s="15">
        <v>14</v>
      </c>
    </row>
    <row r="28" spans="1:143" x14ac:dyDescent="0.25">
      <c r="A28" s="15">
        <v>26</v>
      </c>
      <c r="B28" s="15" t="s">
        <v>89</v>
      </c>
      <c r="C28" s="15">
        <v>19</v>
      </c>
    </row>
    <row r="29" spans="1:143" x14ac:dyDescent="0.25">
      <c r="A29" s="15">
        <v>27</v>
      </c>
      <c r="B29" s="15" t="s">
        <v>387</v>
      </c>
      <c r="C29" s="15">
        <v>35</v>
      </c>
      <c r="D29" s="15">
        <v>36</v>
      </c>
      <c r="E29" s="15">
        <v>37</v>
      </c>
      <c r="F29" s="15">
        <v>38</v>
      </c>
    </row>
    <row r="30" spans="1:143" x14ac:dyDescent="0.25">
      <c r="A30" s="15">
        <v>28</v>
      </c>
      <c r="B30" s="15" t="s">
        <v>374</v>
      </c>
      <c r="C30" s="15">
        <v>39</v>
      </c>
      <c r="BL30" s="16"/>
      <c r="BM30" s="16"/>
      <c r="BN30" s="16"/>
      <c r="BO30" s="16"/>
      <c r="BP30" s="16"/>
      <c r="BQ30" s="16"/>
      <c r="BR30" s="16"/>
      <c r="BS30" s="16"/>
      <c r="BT30" s="16"/>
      <c r="BU30" s="16"/>
      <c r="BV30" s="16"/>
      <c r="BW30" s="16"/>
      <c r="BX30" s="25"/>
      <c r="BY30" s="25"/>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row>
    <row r="31" spans="1:143" x14ac:dyDescent="0.25">
      <c r="A31" s="15">
        <v>29</v>
      </c>
      <c r="B31" s="15" t="s">
        <v>375</v>
      </c>
      <c r="C31" s="85">
        <v>40</v>
      </c>
    </row>
    <row r="32" spans="1:143" x14ac:dyDescent="0.25">
      <c r="A32" s="15">
        <v>30</v>
      </c>
      <c r="B32" s="15" t="s">
        <v>376</v>
      </c>
      <c r="C32" s="85">
        <v>41</v>
      </c>
    </row>
    <row r="33" spans="1:166" x14ac:dyDescent="0.25">
      <c r="A33" s="15">
        <v>31</v>
      </c>
      <c r="B33" s="15" t="s">
        <v>377</v>
      </c>
      <c r="C33" s="85">
        <v>42</v>
      </c>
    </row>
    <row r="34" spans="1:166" x14ac:dyDescent="0.25">
      <c r="A34" s="15">
        <v>32</v>
      </c>
      <c r="B34" s="15" t="s">
        <v>378</v>
      </c>
      <c r="C34" s="85">
        <v>43</v>
      </c>
    </row>
    <row r="35" spans="1:166" x14ac:dyDescent="0.25">
      <c r="A35" s="15">
        <v>33</v>
      </c>
      <c r="B35" s="15" t="s">
        <v>379</v>
      </c>
      <c r="C35" s="85">
        <v>44</v>
      </c>
    </row>
    <row r="36" spans="1:166" x14ac:dyDescent="0.25">
      <c r="A36" s="15">
        <v>34</v>
      </c>
      <c r="B36" s="15" t="s">
        <v>380</v>
      </c>
      <c r="C36" s="85">
        <v>45</v>
      </c>
    </row>
    <row r="37" spans="1:166" x14ac:dyDescent="0.25">
      <c r="A37" s="15">
        <v>35</v>
      </c>
      <c r="B37" s="15" t="s">
        <v>550</v>
      </c>
      <c r="C37" s="85">
        <v>52</v>
      </c>
      <c r="D37" s="15">
        <v>53</v>
      </c>
      <c r="E37" s="15">
        <v>54</v>
      </c>
    </row>
    <row r="38" spans="1:166" x14ac:dyDescent="0.25">
      <c r="A38" s="15">
        <v>36</v>
      </c>
      <c r="B38" s="15" t="s">
        <v>556</v>
      </c>
      <c r="C38" s="85">
        <v>52</v>
      </c>
    </row>
    <row r="39" spans="1:166" x14ac:dyDescent="0.25">
      <c r="A39" s="15">
        <v>37</v>
      </c>
      <c r="B39" s="15" t="s">
        <v>557</v>
      </c>
      <c r="C39" s="15">
        <v>53</v>
      </c>
    </row>
    <row r="40" spans="1:166" x14ac:dyDescent="0.25">
      <c r="A40" s="15">
        <v>38</v>
      </c>
      <c r="B40" s="15" t="s">
        <v>539</v>
      </c>
      <c r="C40" s="15">
        <v>69</v>
      </c>
    </row>
    <row r="41" spans="1:166" x14ac:dyDescent="0.25">
      <c r="A41" s="15">
        <v>39</v>
      </c>
      <c r="B41" s="15" t="s">
        <v>560</v>
      </c>
      <c r="C41" s="15">
        <v>70</v>
      </c>
    </row>
    <row r="42" spans="1:166" x14ac:dyDescent="0.25">
      <c r="A42" s="15">
        <v>40</v>
      </c>
      <c r="B42" s="15" t="s">
        <v>331</v>
      </c>
      <c r="C42" s="15">
        <v>47</v>
      </c>
    </row>
    <row r="43" spans="1:166" x14ac:dyDescent="0.25">
      <c r="A43" s="15">
        <v>41</v>
      </c>
      <c r="B43" s="15" t="s">
        <v>618</v>
      </c>
      <c r="C43" s="15">
        <v>59</v>
      </c>
      <c r="D43" s="15">
        <v>60</v>
      </c>
    </row>
    <row r="44" spans="1:166" x14ac:dyDescent="0.25">
      <c r="A44" s="15">
        <v>42</v>
      </c>
      <c r="B44" s="15" t="s">
        <v>654</v>
      </c>
      <c r="C44" s="15">
        <v>139</v>
      </c>
      <c r="D44" s="15">
        <v>146</v>
      </c>
      <c r="E44" s="15">
        <v>149</v>
      </c>
      <c r="F44" s="15">
        <v>151</v>
      </c>
      <c r="G44" s="15">
        <v>153</v>
      </c>
    </row>
    <row r="45" spans="1:166" x14ac:dyDescent="0.25">
      <c r="A45" s="15">
        <v>43</v>
      </c>
      <c r="B45" s="15" t="s">
        <v>615</v>
      </c>
      <c r="C45" s="15">
        <v>1</v>
      </c>
      <c r="D45" s="15">
        <v>2</v>
      </c>
      <c r="E45" s="15">
        <v>3</v>
      </c>
      <c r="F45" s="15">
        <v>4</v>
      </c>
      <c r="G45" s="15">
        <v>5</v>
      </c>
      <c r="H45" s="15">
        <v>6</v>
      </c>
      <c r="I45" s="15">
        <v>7</v>
      </c>
      <c r="J45" s="15">
        <v>8</v>
      </c>
      <c r="K45" s="15">
        <v>9</v>
      </c>
      <c r="L45" s="15">
        <v>10</v>
      </c>
      <c r="M45" s="15">
        <v>11</v>
      </c>
      <c r="N45" s="15">
        <v>12</v>
      </c>
      <c r="O45" s="15">
        <v>13</v>
      </c>
      <c r="P45" s="15">
        <v>14</v>
      </c>
      <c r="Q45" s="15">
        <v>15</v>
      </c>
      <c r="R45" s="15">
        <v>16</v>
      </c>
      <c r="S45" s="15">
        <v>17</v>
      </c>
      <c r="T45" s="15">
        <v>18</v>
      </c>
      <c r="U45" s="15">
        <v>19</v>
      </c>
      <c r="V45" s="15">
        <v>20</v>
      </c>
      <c r="W45" s="15">
        <v>21</v>
      </c>
      <c r="X45" s="15">
        <v>22</v>
      </c>
      <c r="Y45" s="15">
        <v>23</v>
      </c>
      <c r="Z45" s="15">
        <v>24</v>
      </c>
      <c r="AA45" s="15">
        <v>25</v>
      </c>
      <c r="AB45" s="15">
        <v>26</v>
      </c>
      <c r="AC45" s="15">
        <v>27</v>
      </c>
      <c r="AD45" s="15">
        <v>28</v>
      </c>
      <c r="AE45" s="15">
        <v>29</v>
      </c>
      <c r="AF45" s="15">
        <v>30</v>
      </c>
      <c r="AG45" s="15">
        <v>31</v>
      </c>
      <c r="AH45" s="15">
        <v>32</v>
      </c>
      <c r="AI45" s="15">
        <v>33</v>
      </c>
      <c r="AJ45" s="15">
        <v>34</v>
      </c>
      <c r="AK45" s="15">
        <v>35</v>
      </c>
      <c r="AL45" s="15">
        <v>36</v>
      </c>
      <c r="AM45" s="15">
        <v>37</v>
      </c>
      <c r="AN45" s="15">
        <v>38</v>
      </c>
      <c r="AO45" s="15">
        <v>39</v>
      </c>
      <c r="AP45" s="15">
        <v>40</v>
      </c>
      <c r="AQ45" s="15">
        <v>41</v>
      </c>
      <c r="AR45" s="15">
        <v>42</v>
      </c>
      <c r="AS45" s="15">
        <v>43</v>
      </c>
      <c r="AT45" s="15">
        <v>44</v>
      </c>
      <c r="AU45" s="15">
        <v>45</v>
      </c>
      <c r="AV45" s="15">
        <v>46</v>
      </c>
      <c r="AW45" s="15">
        <v>47</v>
      </c>
      <c r="AX45" s="15">
        <v>48</v>
      </c>
      <c r="AY45" s="15">
        <v>49</v>
      </c>
      <c r="AZ45" s="15">
        <v>50</v>
      </c>
      <c r="BA45" s="15">
        <v>51</v>
      </c>
      <c r="BB45" s="15">
        <v>52</v>
      </c>
      <c r="BC45" s="15">
        <v>53</v>
      </c>
      <c r="BD45" s="15">
        <v>54</v>
      </c>
      <c r="BE45" s="15">
        <v>55</v>
      </c>
      <c r="BF45" s="15">
        <v>56</v>
      </c>
      <c r="BG45" s="15">
        <v>57</v>
      </c>
      <c r="BH45" s="15">
        <v>58</v>
      </c>
      <c r="BI45" s="15">
        <v>59</v>
      </c>
      <c r="BJ45" s="15">
        <v>60</v>
      </c>
      <c r="BK45" s="15">
        <v>61</v>
      </c>
      <c r="BL45" s="15">
        <v>62</v>
      </c>
      <c r="BM45" s="15">
        <v>63</v>
      </c>
      <c r="BN45" s="15">
        <v>64</v>
      </c>
      <c r="BO45" s="15">
        <v>65</v>
      </c>
      <c r="BP45" s="15">
        <v>66</v>
      </c>
      <c r="BQ45" s="15">
        <v>67</v>
      </c>
      <c r="BR45" s="15">
        <v>68</v>
      </c>
      <c r="BS45" s="15">
        <v>69</v>
      </c>
      <c r="BT45" s="15">
        <v>70</v>
      </c>
      <c r="BU45" s="15">
        <v>71</v>
      </c>
      <c r="BV45" s="15">
        <v>72</v>
      </c>
      <c r="BW45" s="15">
        <v>73</v>
      </c>
      <c r="BX45" s="15">
        <v>74</v>
      </c>
      <c r="BY45" s="15">
        <v>75</v>
      </c>
      <c r="BZ45" s="15">
        <v>76</v>
      </c>
      <c r="CA45" s="15">
        <v>77</v>
      </c>
      <c r="CB45" s="15">
        <v>78</v>
      </c>
      <c r="CC45" s="15">
        <v>79</v>
      </c>
      <c r="CD45" s="15">
        <v>80</v>
      </c>
      <c r="CE45" s="15">
        <v>81</v>
      </c>
      <c r="CF45" s="15">
        <v>82</v>
      </c>
      <c r="CG45" s="15">
        <v>83</v>
      </c>
      <c r="CH45" s="15">
        <v>84</v>
      </c>
      <c r="CI45" s="15">
        <v>85</v>
      </c>
      <c r="CJ45" s="15">
        <v>86</v>
      </c>
      <c r="CK45" s="15">
        <v>87</v>
      </c>
      <c r="CL45" s="15">
        <v>88</v>
      </c>
      <c r="CM45" s="15">
        <v>89</v>
      </c>
      <c r="CN45" s="15">
        <v>90</v>
      </c>
      <c r="CO45" s="15">
        <v>91</v>
      </c>
      <c r="CP45" s="15">
        <v>92</v>
      </c>
      <c r="CQ45" s="15">
        <v>93</v>
      </c>
      <c r="CR45" s="15">
        <v>94</v>
      </c>
      <c r="CS45" s="15">
        <v>95</v>
      </c>
      <c r="CT45" s="15">
        <v>96</v>
      </c>
      <c r="CU45" s="15">
        <v>97</v>
      </c>
      <c r="CV45" s="15">
        <v>98</v>
      </c>
      <c r="CW45" s="15">
        <v>99</v>
      </c>
      <c r="CX45" s="15">
        <v>100</v>
      </c>
      <c r="CY45" s="15">
        <v>101</v>
      </c>
      <c r="CZ45" s="15">
        <v>102</v>
      </c>
      <c r="DA45" s="15">
        <v>103</v>
      </c>
      <c r="DB45" s="15">
        <v>104</v>
      </c>
      <c r="DC45" s="15">
        <v>105</v>
      </c>
      <c r="DD45" s="15">
        <v>106</v>
      </c>
      <c r="DE45" s="15">
        <v>107</v>
      </c>
      <c r="DF45" s="15">
        <v>108</v>
      </c>
      <c r="DG45" s="15">
        <v>109</v>
      </c>
      <c r="DH45" s="15">
        <v>110</v>
      </c>
      <c r="DI45" s="15">
        <v>111</v>
      </c>
      <c r="DJ45" s="15">
        <v>112</v>
      </c>
      <c r="DK45" s="15">
        <v>113</v>
      </c>
      <c r="DL45" s="15">
        <v>114</v>
      </c>
      <c r="DM45" s="15">
        <v>115</v>
      </c>
      <c r="DN45" s="15">
        <v>116</v>
      </c>
      <c r="DO45" s="15">
        <v>117</v>
      </c>
      <c r="DP45" s="15">
        <v>118</v>
      </c>
      <c r="DQ45" s="15">
        <v>119</v>
      </c>
      <c r="DR45" s="15">
        <v>120</v>
      </c>
      <c r="DS45" s="15">
        <v>121</v>
      </c>
      <c r="DT45" s="15">
        <v>122</v>
      </c>
      <c r="DU45" s="15">
        <v>123</v>
      </c>
      <c r="DV45" s="15">
        <v>124</v>
      </c>
      <c r="DW45" s="15">
        <v>125</v>
      </c>
      <c r="DX45" s="15">
        <v>126</v>
      </c>
      <c r="DY45" s="15">
        <v>127</v>
      </c>
      <c r="DZ45" s="15">
        <v>128</v>
      </c>
      <c r="EA45" s="15">
        <v>129</v>
      </c>
      <c r="EB45" s="15">
        <v>130</v>
      </c>
      <c r="EC45" s="15">
        <v>131</v>
      </c>
      <c r="ED45" s="15">
        <v>132</v>
      </c>
      <c r="EE45" s="15">
        <v>133</v>
      </c>
      <c r="EF45" s="15">
        <v>134</v>
      </c>
      <c r="EG45" s="15">
        <v>135</v>
      </c>
      <c r="EH45" s="15">
        <v>136</v>
      </c>
      <c r="EI45" s="15">
        <v>137</v>
      </c>
      <c r="EJ45" s="15">
        <v>138</v>
      </c>
      <c r="EK45" s="15">
        <v>139</v>
      </c>
      <c r="EL45" s="15">
        <v>140</v>
      </c>
      <c r="EM45" s="15">
        <v>141</v>
      </c>
      <c r="EN45" s="15">
        <v>142</v>
      </c>
      <c r="EO45" s="15">
        <v>143</v>
      </c>
      <c r="EP45" s="15">
        <v>144</v>
      </c>
      <c r="EQ45" s="15">
        <v>145</v>
      </c>
      <c r="ER45" s="15">
        <v>146</v>
      </c>
      <c r="ES45" s="15">
        <v>147</v>
      </c>
      <c r="ET45" s="15">
        <v>148</v>
      </c>
      <c r="EU45" s="15">
        <v>149</v>
      </c>
      <c r="EV45" s="15">
        <v>150</v>
      </c>
      <c r="EW45" s="15">
        <v>151</v>
      </c>
      <c r="EX45" s="15">
        <v>152</v>
      </c>
      <c r="EY45" s="15">
        <v>153</v>
      </c>
      <c r="EZ45" s="15">
        <v>154</v>
      </c>
      <c r="FA45" s="15">
        <v>155</v>
      </c>
      <c r="FB45" s="15">
        <v>156</v>
      </c>
      <c r="FC45" s="15">
        <v>157</v>
      </c>
      <c r="FD45" s="15">
        <v>158</v>
      </c>
      <c r="FE45" s="15">
        <v>159</v>
      </c>
      <c r="FF45" s="15">
        <v>160</v>
      </c>
      <c r="FG45" s="15">
        <v>161</v>
      </c>
      <c r="FH45" s="15">
        <v>162</v>
      </c>
      <c r="FI45" s="15">
        <v>163</v>
      </c>
      <c r="FJ45" s="15">
        <v>164</v>
      </c>
    </row>
    <row r="46" spans="1:166" x14ac:dyDescent="0.25">
      <c r="A46" s="15">
        <v>44</v>
      </c>
    </row>
    <row r="47" spans="1:166" x14ac:dyDescent="0.25">
      <c r="A47" s="15">
        <v>45</v>
      </c>
    </row>
    <row r="48" spans="1:166" x14ac:dyDescent="0.25">
      <c r="A48" s="15">
        <v>46</v>
      </c>
    </row>
    <row r="49" spans="1:1" x14ac:dyDescent="0.25">
      <c r="A49" s="15">
        <v>47</v>
      </c>
    </row>
    <row r="50" spans="1:1" x14ac:dyDescent="0.25">
      <c r="A50" s="15">
        <v>48</v>
      </c>
    </row>
    <row r="51" spans="1:1" x14ac:dyDescent="0.25">
      <c r="A51" s="15">
        <v>49</v>
      </c>
    </row>
    <row r="52" spans="1:1" x14ac:dyDescent="0.25">
      <c r="A52" s="15">
        <v>50</v>
      </c>
    </row>
    <row r="53" spans="1:1" x14ac:dyDescent="0.25">
      <c r="A53" s="15">
        <v>51</v>
      </c>
    </row>
    <row r="54" spans="1:1" x14ac:dyDescent="0.25">
      <c r="A54" s="15">
        <v>52</v>
      </c>
    </row>
    <row r="55" spans="1:1" x14ac:dyDescent="0.25">
      <c r="A55" s="15">
        <v>53</v>
      </c>
    </row>
    <row r="56" spans="1:1" x14ac:dyDescent="0.25">
      <c r="A56" s="15">
        <v>54</v>
      </c>
    </row>
    <row r="57" spans="1:1" x14ac:dyDescent="0.25">
      <c r="A57" s="15">
        <v>55</v>
      </c>
    </row>
    <row r="58" spans="1:1" x14ac:dyDescent="0.25">
      <c r="A58" s="15">
        <v>56</v>
      </c>
    </row>
    <row r="59" spans="1:1" x14ac:dyDescent="0.25">
      <c r="A59" s="15">
        <v>57</v>
      </c>
    </row>
    <row r="60" spans="1:1" x14ac:dyDescent="0.25">
      <c r="A60" s="15">
        <v>58</v>
      </c>
    </row>
    <row r="61" spans="1:1" x14ac:dyDescent="0.25">
      <c r="A61" s="15">
        <v>59</v>
      </c>
    </row>
    <row r="62" spans="1:1" x14ac:dyDescent="0.25">
      <c r="A62" s="15">
        <v>60</v>
      </c>
    </row>
    <row r="63" spans="1:1" x14ac:dyDescent="0.25">
      <c r="A63" s="15">
        <v>61</v>
      </c>
    </row>
    <row r="64" spans="1:1" x14ac:dyDescent="0.25">
      <c r="A64" s="15">
        <v>62</v>
      </c>
    </row>
    <row r="65" spans="1:16" x14ac:dyDescent="0.25">
      <c r="A65" s="15">
        <v>63</v>
      </c>
    </row>
    <row r="66" spans="1:16" x14ac:dyDescent="0.25">
      <c r="A66" s="15">
        <v>64</v>
      </c>
    </row>
    <row r="67" spans="1:16" x14ac:dyDescent="0.25">
      <c r="A67" s="15">
        <v>65</v>
      </c>
    </row>
    <row r="68" spans="1:16" x14ac:dyDescent="0.25">
      <c r="A68" s="15">
        <v>66</v>
      </c>
    </row>
    <row r="69" spans="1:16" x14ac:dyDescent="0.25">
      <c r="A69" s="15">
        <v>67</v>
      </c>
    </row>
    <row r="70" spans="1:16" x14ac:dyDescent="0.25">
      <c r="A70" s="15">
        <v>68</v>
      </c>
    </row>
    <row r="71" spans="1:16" x14ac:dyDescent="0.25">
      <c r="A71" s="15">
        <v>69</v>
      </c>
    </row>
    <row r="72" spans="1:16" x14ac:dyDescent="0.25">
      <c r="A72" s="15">
        <v>70</v>
      </c>
    </row>
    <row r="73" spans="1:16" x14ac:dyDescent="0.25">
      <c r="A73" s="15">
        <v>71</v>
      </c>
    </row>
    <row r="74" spans="1:16" x14ac:dyDescent="0.25">
      <c r="A74" s="15">
        <v>72</v>
      </c>
      <c r="C74" s="27"/>
    </row>
    <row r="75" spans="1:16" x14ac:dyDescent="0.25">
      <c r="A75" s="15">
        <v>73</v>
      </c>
      <c r="C75" s="27"/>
      <c r="D75" s="27"/>
      <c r="E75" s="27"/>
      <c r="F75" s="27"/>
      <c r="G75" s="27"/>
      <c r="H75" s="27"/>
      <c r="I75" s="27"/>
      <c r="J75" s="27"/>
      <c r="K75" s="27"/>
      <c r="L75" s="27"/>
      <c r="M75" s="27"/>
      <c r="N75" s="27"/>
      <c r="O75" s="27"/>
      <c r="P75" s="27"/>
    </row>
    <row r="76" spans="1:16" x14ac:dyDescent="0.25">
      <c r="A76" s="15">
        <v>74</v>
      </c>
      <c r="C76" s="27"/>
    </row>
    <row r="77" spans="1:16" x14ac:dyDescent="0.25">
      <c r="A77" s="15">
        <v>75</v>
      </c>
      <c r="C77" s="27"/>
    </row>
    <row r="78" spans="1:16" x14ac:dyDescent="0.25">
      <c r="A78" s="15">
        <v>76</v>
      </c>
      <c r="B78" s="2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T82"/>
  <sheetViews>
    <sheetView workbookViewId="0"/>
  </sheetViews>
  <sheetFormatPr defaultRowHeight="15" x14ac:dyDescent="0.25"/>
  <cols>
    <col min="2" max="2" width="83" customWidth="1"/>
  </cols>
  <sheetData>
    <row r="1" spans="1:202" ht="18.75" x14ac:dyDescent="0.3">
      <c r="B1" s="97" t="s">
        <v>761</v>
      </c>
    </row>
    <row r="2" spans="1:202" x14ac:dyDescent="0.25">
      <c r="B2" s="122" t="s">
        <v>762</v>
      </c>
    </row>
    <row r="3" spans="1:202" x14ac:dyDescent="0.25">
      <c r="A3" s="9">
        <v>1</v>
      </c>
      <c r="B3" t="s">
        <v>492</v>
      </c>
      <c r="C3" s="15">
        <v>1</v>
      </c>
      <c r="D3" s="15">
        <v>2</v>
      </c>
      <c r="E3" s="15">
        <v>3</v>
      </c>
      <c r="F3" s="15">
        <v>4</v>
      </c>
      <c r="G3" s="15">
        <v>5</v>
      </c>
      <c r="H3" s="15">
        <v>6</v>
      </c>
      <c r="I3" s="15">
        <v>7</v>
      </c>
      <c r="J3" s="15">
        <v>8</v>
      </c>
      <c r="K3" s="15">
        <v>9</v>
      </c>
      <c r="L3" s="15">
        <v>10</v>
      </c>
      <c r="M3" s="15">
        <v>11</v>
      </c>
      <c r="N3" s="15">
        <v>12</v>
      </c>
      <c r="O3" s="15">
        <v>13</v>
      </c>
      <c r="P3" s="15">
        <v>14</v>
      </c>
      <c r="Q3" s="15">
        <v>15</v>
      </c>
      <c r="R3" s="15">
        <v>16</v>
      </c>
      <c r="S3" s="15">
        <v>17</v>
      </c>
      <c r="T3" s="15">
        <v>18</v>
      </c>
      <c r="U3" s="15">
        <v>19</v>
      </c>
      <c r="V3" s="15">
        <v>20</v>
      </c>
      <c r="W3" s="15">
        <v>21</v>
      </c>
      <c r="X3" s="15">
        <v>22</v>
      </c>
      <c r="Y3" s="15">
        <v>23</v>
      </c>
      <c r="Z3" s="15">
        <v>24</v>
      </c>
      <c r="AA3" s="15">
        <v>25</v>
      </c>
      <c r="AB3" s="15">
        <v>26</v>
      </c>
      <c r="AC3" s="15">
        <v>27</v>
      </c>
      <c r="AD3" s="15">
        <v>28</v>
      </c>
      <c r="AE3" s="15">
        <v>29</v>
      </c>
      <c r="AF3" s="15">
        <v>30</v>
      </c>
      <c r="AG3" s="15">
        <v>31</v>
      </c>
      <c r="AH3" s="15">
        <v>32</v>
      </c>
      <c r="AI3" s="15">
        <v>33</v>
      </c>
      <c r="AJ3" s="15">
        <v>34</v>
      </c>
      <c r="AK3" s="15">
        <v>35</v>
      </c>
      <c r="AL3" s="15">
        <v>36</v>
      </c>
      <c r="AM3" s="15">
        <v>37</v>
      </c>
      <c r="AN3" s="15">
        <v>38</v>
      </c>
      <c r="AO3" s="15">
        <v>39</v>
      </c>
      <c r="AP3" s="15">
        <v>40</v>
      </c>
      <c r="AQ3" s="15">
        <v>41</v>
      </c>
      <c r="AR3" s="15">
        <v>42</v>
      </c>
      <c r="AS3" s="15">
        <v>43</v>
      </c>
      <c r="AT3" s="15">
        <v>44</v>
      </c>
      <c r="AU3" s="15">
        <v>45</v>
      </c>
      <c r="AV3" s="15">
        <v>46</v>
      </c>
      <c r="AW3" s="15">
        <v>47</v>
      </c>
      <c r="AX3" s="15">
        <v>48</v>
      </c>
      <c r="AY3" s="15">
        <v>49</v>
      </c>
      <c r="AZ3" s="15">
        <v>50</v>
      </c>
      <c r="BA3" s="15">
        <v>51</v>
      </c>
      <c r="BB3" s="15">
        <v>52</v>
      </c>
      <c r="BC3" s="15">
        <v>53</v>
      </c>
      <c r="BD3" s="15">
        <v>54</v>
      </c>
      <c r="BE3" s="15">
        <v>55</v>
      </c>
      <c r="BF3" s="15">
        <v>56</v>
      </c>
      <c r="BG3" s="15">
        <v>57</v>
      </c>
      <c r="BH3" s="15">
        <v>58</v>
      </c>
      <c r="BI3" s="15">
        <v>59</v>
      </c>
      <c r="BJ3" s="15">
        <v>60</v>
      </c>
      <c r="BK3" s="15">
        <v>61</v>
      </c>
      <c r="BL3" s="15">
        <v>62</v>
      </c>
      <c r="BM3" s="15">
        <v>63</v>
      </c>
      <c r="BN3" s="15">
        <v>64</v>
      </c>
      <c r="BO3" s="15">
        <v>65</v>
      </c>
      <c r="BP3" s="15">
        <v>66</v>
      </c>
      <c r="BQ3" s="15">
        <v>67</v>
      </c>
      <c r="BR3" s="15">
        <v>68</v>
      </c>
      <c r="BS3" s="15">
        <v>69</v>
      </c>
      <c r="BT3" s="15">
        <v>70</v>
      </c>
      <c r="BU3" s="15">
        <v>71</v>
      </c>
      <c r="BV3" s="15">
        <v>72</v>
      </c>
      <c r="BW3" s="15">
        <v>73</v>
      </c>
      <c r="BX3" s="15">
        <v>74</v>
      </c>
      <c r="BY3" s="15">
        <v>75</v>
      </c>
      <c r="BZ3" s="15">
        <v>76</v>
      </c>
      <c r="CA3" s="15">
        <v>77</v>
      </c>
      <c r="CB3" s="15">
        <v>78</v>
      </c>
      <c r="CC3" s="15">
        <v>79</v>
      </c>
      <c r="CD3" s="15">
        <v>80</v>
      </c>
      <c r="CE3" s="15">
        <v>81</v>
      </c>
      <c r="CF3" s="15">
        <v>82</v>
      </c>
      <c r="CG3" s="15">
        <v>83</v>
      </c>
      <c r="CH3" s="15">
        <v>84</v>
      </c>
      <c r="CI3" s="15">
        <v>85</v>
      </c>
      <c r="CJ3" s="15">
        <v>86</v>
      </c>
      <c r="CK3" s="15">
        <v>87</v>
      </c>
      <c r="CL3" s="15">
        <v>88</v>
      </c>
      <c r="CM3" s="15">
        <v>89</v>
      </c>
      <c r="CN3" s="15">
        <v>90</v>
      </c>
      <c r="CO3" s="15">
        <v>91</v>
      </c>
      <c r="CP3" s="15">
        <v>92</v>
      </c>
      <c r="CQ3" s="15">
        <v>93</v>
      </c>
      <c r="CR3" s="15">
        <v>94</v>
      </c>
      <c r="CS3" s="15">
        <v>95</v>
      </c>
      <c r="CT3" s="15">
        <v>96</v>
      </c>
      <c r="CU3" s="15">
        <v>97</v>
      </c>
      <c r="CV3" s="15">
        <v>98</v>
      </c>
      <c r="CW3" s="15">
        <v>99</v>
      </c>
      <c r="CX3" s="15">
        <v>100</v>
      </c>
      <c r="CY3" s="15">
        <v>101</v>
      </c>
      <c r="CZ3" s="15">
        <v>102</v>
      </c>
      <c r="DA3" s="15">
        <v>103</v>
      </c>
      <c r="DB3" s="15">
        <v>104</v>
      </c>
      <c r="DC3" s="15">
        <v>105</v>
      </c>
      <c r="DD3" s="15">
        <v>106</v>
      </c>
      <c r="DE3" s="15">
        <v>107</v>
      </c>
      <c r="DF3" s="15">
        <v>108</v>
      </c>
      <c r="DG3" s="15">
        <v>109</v>
      </c>
      <c r="DH3" s="15">
        <v>110</v>
      </c>
      <c r="DI3" s="15">
        <v>111</v>
      </c>
      <c r="DJ3" s="15">
        <v>112</v>
      </c>
      <c r="DK3" s="15">
        <v>113</v>
      </c>
      <c r="DL3" s="15">
        <v>114</v>
      </c>
      <c r="DM3" s="15">
        <v>115</v>
      </c>
      <c r="DN3" s="15">
        <v>116</v>
      </c>
      <c r="DO3" s="15">
        <v>117</v>
      </c>
      <c r="DP3" s="15">
        <v>118</v>
      </c>
      <c r="DQ3" s="15">
        <v>119</v>
      </c>
      <c r="DR3" s="15">
        <v>120</v>
      </c>
      <c r="DS3" s="15">
        <v>121</v>
      </c>
      <c r="DT3" s="15">
        <v>122</v>
      </c>
      <c r="DU3" s="15">
        <v>123</v>
      </c>
      <c r="DV3" s="15">
        <v>124</v>
      </c>
      <c r="DW3" s="15">
        <v>125</v>
      </c>
      <c r="DX3" s="15">
        <v>126</v>
      </c>
      <c r="DY3" s="15">
        <v>127</v>
      </c>
      <c r="DZ3" s="15">
        <v>128</v>
      </c>
      <c r="EA3" s="15">
        <v>129</v>
      </c>
      <c r="EB3" s="15">
        <v>130</v>
      </c>
      <c r="EC3" s="15">
        <v>131</v>
      </c>
      <c r="ED3" s="15">
        <v>132</v>
      </c>
      <c r="EE3" s="15">
        <v>133</v>
      </c>
      <c r="EF3" s="15">
        <v>134</v>
      </c>
      <c r="EG3" s="15">
        <v>135</v>
      </c>
      <c r="EH3" s="15">
        <v>136</v>
      </c>
      <c r="EI3" s="15">
        <v>137</v>
      </c>
      <c r="EJ3" s="15">
        <v>138</v>
      </c>
      <c r="EK3" s="15">
        <v>139</v>
      </c>
      <c r="EL3" s="15">
        <v>140</v>
      </c>
      <c r="EM3" s="15">
        <v>141</v>
      </c>
      <c r="EN3" s="15">
        <v>142</v>
      </c>
      <c r="EO3" s="15">
        <v>143</v>
      </c>
      <c r="EP3" s="15">
        <v>144</v>
      </c>
      <c r="EQ3" s="15">
        <v>145</v>
      </c>
      <c r="ER3" s="15">
        <v>146</v>
      </c>
      <c r="ES3" s="15">
        <v>147</v>
      </c>
      <c r="ET3" s="15">
        <v>148</v>
      </c>
      <c r="EU3" s="15">
        <v>149</v>
      </c>
      <c r="EV3" s="15">
        <v>150</v>
      </c>
      <c r="EW3" s="15">
        <v>151</v>
      </c>
      <c r="EX3" s="15">
        <v>152</v>
      </c>
      <c r="EY3" s="15">
        <v>153</v>
      </c>
      <c r="EZ3" s="15">
        <v>154</v>
      </c>
      <c r="FA3" s="15">
        <v>155</v>
      </c>
      <c r="FB3" s="15">
        <v>156</v>
      </c>
      <c r="FC3" s="15">
        <v>157</v>
      </c>
      <c r="FD3" s="15">
        <v>158</v>
      </c>
      <c r="FE3" s="15">
        <v>159</v>
      </c>
      <c r="FF3" s="15">
        <v>160</v>
      </c>
      <c r="FG3" s="15">
        <v>161</v>
      </c>
      <c r="FH3" s="15">
        <v>162</v>
      </c>
      <c r="FI3" s="15">
        <v>163</v>
      </c>
      <c r="FJ3" s="15">
        <v>164</v>
      </c>
      <c r="FK3" s="15">
        <v>165</v>
      </c>
      <c r="FL3" s="15">
        <v>166</v>
      </c>
      <c r="FM3" s="15">
        <v>167</v>
      </c>
      <c r="FN3" s="15">
        <v>168</v>
      </c>
      <c r="FO3" s="15">
        <v>169</v>
      </c>
      <c r="FP3" s="15">
        <v>170</v>
      </c>
      <c r="FQ3" s="15">
        <v>171</v>
      </c>
      <c r="FR3" s="15">
        <v>172</v>
      </c>
      <c r="FS3" s="15">
        <v>173</v>
      </c>
      <c r="FT3" s="15">
        <v>174</v>
      </c>
      <c r="FU3" s="15">
        <v>175</v>
      </c>
      <c r="FV3" s="15">
        <v>176</v>
      </c>
      <c r="FW3" s="15">
        <v>177</v>
      </c>
      <c r="FX3" s="15">
        <v>178</v>
      </c>
      <c r="FY3" s="15">
        <v>179</v>
      </c>
      <c r="FZ3" s="15">
        <v>180</v>
      </c>
      <c r="GA3" s="15">
        <v>181</v>
      </c>
      <c r="GB3" s="15">
        <v>182</v>
      </c>
      <c r="GC3" s="15">
        <v>183</v>
      </c>
      <c r="GD3" s="15">
        <v>184</v>
      </c>
      <c r="GE3" s="15">
        <v>185</v>
      </c>
      <c r="GF3" s="15">
        <v>186</v>
      </c>
      <c r="GG3" s="15">
        <v>187</v>
      </c>
      <c r="GH3" s="15">
        <v>188</v>
      </c>
      <c r="GI3" s="15">
        <v>189</v>
      </c>
      <c r="GJ3" s="15">
        <v>190</v>
      </c>
      <c r="GK3" s="15">
        <v>191</v>
      </c>
      <c r="GL3" s="15">
        <v>192</v>
      </c>
      <c r="GM3" s="15">
        <v>193</v>
      </c>
      <c r="GN3" s="15">
        <v>194</v>
      </c>
      <c r="GO3" s="15">
        <v>195</v>
      </c>
      <c r="GP3" s="15">
        <v>196</v>
      </c>
      <c r="GQ3" s="15">
        <v>197</v>
      </c>
      <c r="GR3" s="15">
        <v>198</v>
      </c>
      <c r="GS3" s="15">
        <v>199</v>
      </c>
      <c r="GT3" s="15">
        <v>200</v>
      </c>
    </row>
    <row r="4" spans="1:202" x14ac:dyDescent="0.25">
      <c r="A4" s="9">
        <v>2</v>
      </c>
      <c r="B4" t="s">
        <v>249</v>
      </c>
      <c r="C4">
        <v>121</v>
      </c>
    </row>
    <row r="5" spans="1:202" x14ac:dyDescent="0.25">
      <c r="A5" s="9">
        <v>3</v>
      </c>
      <c r="B5" t="s">
        <v>251</v>
      </c>
      <c r="C5" s="15">
        <v>164</v>
      </c>
    </row>
    <row r="6" spans="1:202" x14ac:dyDescent="0.25">
      <c r="A6" s="9">
        <v>4</v>
      </c>
      <c r="B6" t="s">
        <v>252</v>
      </c>
      <c r="C6">
        <v>155</v>
      </c>
    </row>
    <row r="7" spans="1:202" x14ac:dyDescent="0.25">
      <c r="A7" s="9">
        <v>5</v>
      </c>
      <c r="B7" t="s">
        <v>112</v>
      </c>
      <c r="C7" s="15">
        <v>55</v>
      </c>
      <c r="D7" s="15">
        <v>58</v>
      </c>
      <c r="E7" s="15">
        <v>59</v>
      </c>
      <c r="F7" s="15">
        <v>60</v>
      </c>
      <c r="G7" s="15">
        <v>61</v>
      </c>
      <c r="H7" s="15">
        <v>62</v>
      </c>
      <c r="I7" s="15">
        <v>80</v>
      </c>
      <c r="J7" s="15">
        <v>81</v>
      </c>
      <c r="K7" s="15">
        <v>82</v>
      </c>
      <c r="L7" s="15">
        <v>86</v>
      </c>
      <c r="M7" s="15">
        <v>87</v>
      </c>
      <c r="N7" s="15">
        <v>88</v>
      </c>
      <c r="O7" s="15">
        <v>89</v>
      </c>
      <c r="P7" s="15">
        <v>90</v>
      </c>
      <c r="Q7" s="15">
        <v>92</v>
      </c>
      <c r="R7" s="15">
        <v>96</v>
      </c>
      <c r="S7" s="15">
        <v>97</v>
      </c>
      <c r="T7" s="15">
        <v>98</v>
      </c>
      <c r="U7" s="15">
        <v>99</v>
      </c>
      <c r="V7" s="15">
        <v>100</v>
      </c>
      <c r="W7" s="15">
        <v>101</v>
      </c>
      <c r="X7" s="15">
        <v>102</v>
      </c>
      <c r="Y7" s="15">
        <v>103</v>
      </c>
      <c r="Z7" s="15">
        <v>104</v>
      </c>
      <c r="AA7" s="15">
        <v>105</v>
      </c>
      <c r="AB7" s="15">
        <v>106</v>
      </c>
      <c r="AC7" s="15">
        <v>107</v>
      </c>
      <c r="AD7" s="15">
        <v>108</v>
      </c>
      <c r="AE7" s="15">
        <v>109</v>
      </c>
      <c r="AF7" s="15">
        <v>110</v>
      </c>
      <c r="AG7" s="15">
        <v>111</v>
      </c>
      <c r="AH7" s="15">
        <v>112</v>
      </c>
      <c r="AI7" s="15">
        <v>113</v>
      </c>
      <c r="AJ7" s="15">
        <v>114</v>
      </c>
      <c r="AK7" s="15">
        <v>115</v>
      </c>
      <c r="AL7" s="15">
        <v>116</v>
      </c>
      <c r="AM7" s="15">
        <v>117</v>
      </c>
      <c r="AN7" s="15">
        <v>126</v>
      </c>
      <c r="AO7" s="15">
        <v>127</v>
      </c>
    </row>
    <row r="8" spans="1:202" x14ac:dyDescent="0.25">
      <c r="A8" s="9">
        <v>6</v>
      </c>
      <c r="B8" t="s">
        <v>641</v>
      </c>
      <c r="C8">
        <v>21</v>
      </c>
      <c r="D8">
        <v>22</v>
      </c>
      <c r="E8">
        <v>23</v>
      </c>
      <c r="F8">
        <v>25</v>
      </c>
      <c r="G8">
        <v>28</v>
      </c>
      <c r="H8">
        <v>29</v>
      </c>
      <c r="I8">
        <v>30</v>
      </c>
      <c r="J8">
        <v>64</v>
      </c>
      <c r="K8">
        <v>67</v>
      </c>
      <c r="L8">
        <v>70</v>
      </c>
      <c r="M8">
        <v>72</v>
      </c>
      <c r="N8">
        <v>73</v>
      </c>
      <c r="O8">
        <v>75</v>
      </c>
      <c r="P8">
        <v>128</v>
      </c>
      <c r="Q8">
        <v>129</v>
      </c>
      <c r="R8">
        <v>130</v>
      </c>
      <c r="S8">
        <v>131</v>
      </c>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202" x14ac:dyDescent="0.25">
      <c r="A9" s="9">
        <v>7</v>
      </c>
      <c r="B9" t="s">
        <v>535</v>
      </c>
      <c r="C9">
        <v>171</v>
      </c>
    </row>
    <row r="10" spans="1:202" x14ac:dyDescent="0.25">
      <c r="A10" s="9">
        <v>8</v>
      </c>
      <c r="B10" t="s">
        <v>530</v>
      </c>
      <c r="C10">
        <v>120</v>
      </c>
    </row>
    <row r="11" spans="1:202" x14ac:dyDescent="0.25">
      <c r="A11" s="9">
        <v>9</v>
      </c>
      <c r="B11" t="s">
        <v>529</v>
      </c>
      <c r="C11">
        <v>158</v>
      </c>
    </row>
    <row r="12" spans="1:202" x14ac:dyDescent="0.25">
      <c r="A12" s="9">
        <v>10</v>
      </c>
      <c r="B12" t="s">
        <v>13</v>
      </c>
      <c r="C12">
        <v>104</v>
      </c>
      <c r="D12">
        <v>105</v>
      </c>
      <c r="E12">
        <v>117</v>
      </c>
    </row>
    <row r="13" spans="1:202" x14ac:dyDescent="0.25">
      <c r="A13" s="9">
        <v>11</v>
      </c>
      <c r="B13" t="s">
        <v>254</v>
      </c>
      <c r="C13">
        <v>125</v>
      </c>
    </row>
    <row r="14" spans="1:202" x14ac:dyDescent="0.25">
      <c r="A14" s="9">
        <v>12</v>
      </c>
      <c r="B14" t="s">
        <v>519</v>
      </c>
      <c r="C14">
        <v>104</v>
      </c>
      <c r="D14">
        <v>105</v>
      </c>
      <c r="E14">
        <v>117</v>
      </c>
      <c r="F14">
        <v>108</v>
      </c>
      <c r="G14">
        <v>109</v>
      </c>
    </row>
    <row r="15" spans="1:202" x14ac:dyDescent="0.25">
      <c r="A15" s="9">
        <v>13</v>
      </c>
      <c r="B15" t="s">
        <v>713</v>
      </c>
      <c r="C15">
        <v>105</v>
      </c>
    </row>
    <row r="16" spans="1:202" x14ac:dyDescent="0.25">
      <c r="A16" s="9">
        <v>14</v>
      </c>
      <c r="B16" s="22" t="s">
        <v>714</v>
      </c>
      <c r="C16">
        <v>109</v>
      </c>
    </row>
    <row r="17" spans="1:143" x14ac:dyDescent="0.25">
      <c r="A17" s="9">
        <v>15</v>
      </c>
      <c r="B17" t="s">
        <v>327</v>
      </c>
      <c r="C17">
        <v>118</v>
      </c>
      <c r="D17">
        <v>125</v>
      </c>
    </row>
    <row r="18" spans="1:143" x14ac:dyDescent="0.25">
      <c r="A18" s="9">
        <v>16</v>
      </c>
      <c r="B18" t="s">
        <v>271</v>
      </c>
      <c r="C18">
        <v>88</v>
      </c>
      <c r="D18">
        <v>89</v>
      </c>
    </row>
    <row r="19" spans="1:143" x14ac:dyDescent="0.25">
      <c r="A19" s="9">
        <v>17</v>
      </c>
      <c r="B19" t="s">
        <v>256</v>
      </c>
      <c r="C19">
        <v>123</v>
      </c>
    </row>
    <row r="20" spans="1:143" x14ac:dyDescent="0.25">
      <c r="A20" s="9">
        <v>18</v>
      </c>
      <c r="B20" t="s">
        <v>258</v>
      </c>
      <c r="C20">
        <v>152</v>
      </c>
    </row>
    <row r="21" spans="1:143" x14ac:dyDescent="0.25">
      <c r="A21" s="9">
        <v>19</v>
      </c>
      <c r="B21" t="s">
        <v>260</v>
      </c>
      <c r="C21">
        <v>169</v>
      </c>
    </row>
    <row r="22" spans="1:143" x14ac:dyDescent="0.25">
      <c r="A22" s="9">
        <v>20</v>
      </c>
      <c r="B22" t="s">
        <v>262</v>
      </c>
      <c r="C22">
        <v>108</v>
      </c>
      <c r="D22">
        <v>109</v>
      </c>
    </row>
    <row r="23" spans="1:143" x14ac:dyDescent="0.25">
      <c r="A23" s="9">
        <v>21</v>
      </c>
      <c r="B23" t="s">
        <v>276</v>
      </c>
      <c r="C23">
        <v>97</v>
      </c>
    </row>
    <row r="24" spans="1:143" x14ac:dyDescent="0.25">
      <c r="A24" s="9">
        <v>22</v>
      </c>
      <c r="B24" s="15" t="s">
        <v>306</v>
      </c>
      <c r="C24">
        <v>119</v>
      </c>
    </row>
    <row r="25" spans="1:143" x14ac:dyDescent="0.25">
      <c r="A25" s="9">
        <v>23</v>
      </c>
      <c r="B25" t="s">
        <v>331</v>
      </c>
      <c r="C25">
        <v>55</v>
      </c>
    </row>
    <row r="26" spans="1:143" x14ac:dyDescent="0.25">
      <c r="A26" s="9">
        <v>24</v>
      </c>
      <c r="B26" t="s">
        <v>528</v>
      </c>
      <c r="C26">
        <v>56</v>
      </c>
    </row>
    <row r="27" spans="1:143" x14ac:dyDescent="0.25">
      <c r="A27" s="9">
        <v>25</v>
      </c>
      <c r="B27" t="s">
        <v>527</v>
      </c>
      <c r="C27">
        <v>154</v>
      </c>
    </row>
    <row r="28" spans="1:143" x14ac:dyDescent="0.25">
      <c r="A28" s="9">
        <v>26</v>
      </c>
      <c r="B28" t="s">
        <v>334</v>
      </c>
      <c r="C28">
        <v>118</v>
      </c>
      <c r="D28">
        <v>123</v>
      </c>
    </row>
    <row r="29" spans="1:143" x14ac:dyDescent="0.25">
      <c r="A29" s="9">
        <v>27</v>
      </c>
      <c r="B29" t="s">
        <v>335</v>
      </c>
      <c r="C29">
        <v>1</v>
      </c>
      <c r="D29">
        <v>2</v>
      </c>
      <c r="E29">
        <v>3</v>
      </c>
      <c r="F29" s="15"/>
      <c r="G29" s="15"/>
      <c r="H29" s="15"/>
      <c r="I29" s="15"/>
      <c r="J29" s="15"/>
      <c r="K29" s="15"/>
      <c r="L29" s="15"/>
      <c r="M29" s="15"/>
      <c r="N29" s="15"/>
      <c r="O29" s="15"/>
      <c r="P29" s="15"/>
      <c r="Q29" s="15"/>
      <c r="R29" s="15"/>
      <c r="S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S29" s="15"/>
      <c r="AT29" s="15"/>
      <c r="AU29" s="15"/>
      <c r="AV29" s="15"/>
      <c r="AW29" s="15"/>
      <c r="AX29" s="15"/>
      <c r="AY29" s="15"/>
      <c r="AZ29" s="15"/>
      <c r="BA29" s="15"/>
      <c r="BB29" s="15"/>
      <c r="BC29" s="15"/>
      <c r="BD29" s="15"/>
      <c r="BE29" s="15"/>
      <c r="BF29" s="15"/>
      <c r="BG29" s="15"/>
      <c r="BH29" s="15"/>
      <c r="BI29" s="15"/>
      <c r="BJ29" s="15"/>
      <c r="BK29" s="15"/>
      <c r="BL29" s="16"/>
      <c r="BM29" s="16"/>
      <c r="BN29" s="16"/>
      <c r="BO29" s="16"/>
      <c r="BP29" s="16"/>
      <c r="BQ29" s="16"/>
      <c r="BR29" s="16"/>
      <c r="BS29" s="16"/>
      <c r="BT29" s="16"/>
      <c r="BU29" s="16"/>
      <c r="BV29" s="16"/>
      <c r="BW29" s="16"/>
      <c r="BX29" s="25"/>
      <c r="BY29" s="25"/>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row>
    <row r="30" spans="1:143" x14ac:dyDescent="0.25">
      <c r="A30" s="9">
        <v>28</v>
      </c>
      <c r="B30" s="15" t="s">
        <v>87</v>
      </c>
      <c r="C30">
        <v>5</v>
      </c>
    </row>
    <row r="31" spans="1:143" x14ac:dyDescent="0.25">
      <c r="A31" s="9">
        <v>29</v>
      </c>
      <c r="B31" t="s">
        <v>86</v>
      </c>
      <c r="C31">
        <v>6</v>
      </c>
      <c r="D31">
        <v>7</v>
      </c>
      <c r="E31">
        <v>8</v>
      </c>
      <c r="T31" s="15"/>
    </row>
    <row r="32" spans="1:143" x14ac:dyDescent="0.25">
      <c r="A32" s="9">
        <v>30</v>
      </c>
      <c r="B32" t="s">
        <v>83</v>
      </c>
      <c r="C32">
        <v>9</v>
      </c>
      <c r="D32">
        <v>10</v>
      </c>
      <c r="E32">
        <v>11</v>
      </c>
      <c r="F32">
        <v>12</v>
      </c>
      <c r="G32">
        <v>13</v>
      </c>
      <c r="S32" s="96"/>
      <c r="T32" s="96"/>
    </row>
    <row r="33" spans="1:62" x14ac:dyDescent="0.25">
      <c r="A33" s="9">
        <v>31</v>
      </c>
      <c r="B33" s="15" t="s">
        <v>84</v>
      </c>
      <c r="C33">
        <v>14</v>
      </c>
      <c r="S33" s="96"/>
      <c r="T33" s="96"/>
    </row>
    <row r="34" spans="1:62" x14ac:dyDescent="0.25">
      <c r="A34" s="9">
        <v>32</v>
      </c>
      <c r="B34" t="s">
        <v>89</v>
      </c>
      <c r="C34">
        <v>19</v>
      </c>
      <c r="E34" s="15"/>
      <c r="F34" s="15"/>
      <c r="G34" s="15"/>
      <c r="H34" s="15"/>
      <c r="I34" s="15"/>
      <c r="J34" s="15"/>
      <c r="K34" s="15"/>
      <c r="L34" s="15"/>
      <c r="M34" s="15"/>
      <c r="N34" s="15"/>
      <c r="O34" s="15"/>
      <c r="T34" s="15"/>
    </row>
    <row r="35" spans="1:62" x14ac:dyDescent="0.25">
      <c r="A35" s="9">
        <v>33</v>
      </c>
      <c r="B35" t="s">
        <v>396</v>
      </c>
      <c r="C35" s="27">
        <v>1</v>
      </c>
      <c r="D35" s="27">
        <v>2</v>
      </c>
      <c r="E35" s="27">
        <v>3</v>
      </c>
      <c r="F35" s="27">
        <v>4</v>
      </c>
      <c r="G35" s="27">
        <v>5</v>
      </c>
      <c r="H35" s="27">
        <v>6</v>
      </c>
      <c r="I35" s="27">
        <v>7</v>
      </c>
      <c r="J35" s="27">
        <v>8</v>
      </c>
      <c r="K35" s="27">
        <v>9</v>
      </c>
      <c r="L35" s="27">
        <v>10</v>
      </c>
      <c r="M35" s="27">
        <v>11</v>
      </c>
      <c r="N35" s="27">
        <v>12</v>
      </c>
      <c r="O35" s="27">
        <v>13</v>
      </c>
      <c r="P35" s="27">
        <v>14</v>
      </c>
      <c r="T35" s="15"/>
    </row>
    <row r="36" spans="1:62" x14ac:dyDescent="0.25">
      <c r="A36" s="9">
        <v>34</v>
      </c>
      <c r="B36" t="s">
        <v>435</v>
      </c>
      <c r="C36" s="27">
        <v>164</v>
      </c>
      <c r="D36">
        <v>172</v>
      </c>
      <c r="E36">
        <v>174</v>
      </c>
      <c r="T36" s="15"/>
    </row>
    <row r="37" spans="1:62" x14ac:dyDescent="0.25">
      <c r="A37" s="9">
        <v>35</v>
      </c>
      <c r="B37" t="s">
        <v>539</v>
      </c>
      <c r="C37">
        <v>101</v>
      </c>
      <c r="D37">
        <v>102</v>
      </c>
      <c r="T37" s="15"/>
    </row>
    <row r="38" spans="1:62" x14ac:dyDescent="0.25">
      <c r="A38" s="9">
        <v>36</v>
      </c>
      <c r="B38" t="s">
        <v>616</v>
      </c>
      <c r="C38">
        <v>150</v>
      </c>
    </row>
    <row r="39" spans="1:62" x14ac:dyDescent="0.25">
      <c r="A39" s="9">
        <v>37</v>
      </c>
      <c r="B39" t="s">
        <v>617</v>
      </c>
      <c r="C39">
        <v>171</v>
      </c>
      <c r="D39">
        <v>118</v>
      </c>
    </row>
    <row r="40" spans="1:62" x14ac:dyDescent="0.25">
      <c r="A40" s="9">
        <v>38</v>
      </c>
      <c r="B40" t="s">
        <v>578</v>
      </c>
      <c r="C40">
        <v>86</v>
      </c>
    </row>
    <row r="41" spans="1:62" x14ac:dyDescent="0.25">
      <c r="A41" s="9">
        <v>39</v>
      </c>
      <c r="B41" t="s">
        <v>614</v>
      </c>
      <c r="C41">
        <v>87</v>
      </c>
    </row>
    <row r="42" spans="1:62" x14ac:dyDescent="0.25">
      <c r="A42" s="9">
        <v>40</v>
      </c>
      <c r="B42" t="s">
        <v>556</v>
      </c>
      <c r="C42">
        <v>60</v>
      </c>
    </row>
    <row r="43" spans="1:62" x14ac:dyDescent="0.25">
      <c r="A43" s="9">
        <v>41</v>
      </c>
      <c r="B43" t="s">
        <v>619</v>
      </c>
      <c r="C43">
        <v>61</v>
      </c>
    </row>
    <row r="44" spans="1:62" x14ac:dyDescent="0.25">
      <c r="A44" s="9">
        <v>42</v>
      </c>
      <c r="B44" t="s">
        <v>623</v>
      </c>
      <c r="C44" s="15">
        <v>176</v>
      </c>
      <c r="D44" s="15">
        <v>186</v>
      </c>
      <c r="E44" s="15">
        <v>188</v>
      </c>
      <c r="F44">
        <v>190</v>
      </c>
    </row>
    <row r="45" spans="1:62" x14ac:dyDescent="0.25">
      <c r="A45" s="9">
        <v>43</v>
      </c>
      <c r="B45" t="s">
        <v>622</v>
      </c>
      <c r="C45">
        <v>183</v>
      </c>
    </row>
    <row r="46" spans="1:62" x14ac:dyDescent="0.25">
      <c r="A46" s="9">
        <v>44</v>
      </c>
      <c r="B46" t="s">
        <v>625</v>
      </c>
      <c r="C46">
        <v>29</v>
      </c>
      <c r="D46">
        <v>30</v>
      </c>
    </row>
    <row r="47" spans="1:62" x14ac:dyDescent="0.25">
      <c r="A47" s="15">
        <v>45</v>
      </c>
      <c r="B47" s="15" t="s">
        <v>640</v>
      </c>
      <c r="C47" s="15">
        <v>20</v>
      </c>
      <c r="D47" s="15">
        <v>21</v>
      </c>
      <c r="E47" s="15">
        <v>22</v>
      </c>
      <c r="F47" s="15">
        <v>23</v>
      </c>
      <c r="G47" s="15">
        <v>24</v>
      </c>
      <c r="H47" s="15">
        <v>25</v>
      </c>
      <c r="I47" s="15">
        <v>26</v>
      </c>
      <c r="J47" s="15">
        <v>27</v>
      </c>
      <c r="K47" s="15">
        <v>28</v>
      </c>
      <c r="L47" s="15">
        <v>29</v>
      </c>
      <c r="M47" s="15">
        <v>30</v>
      </c>
      <c r="N47" s="15">
        <v>31</v>
      </c>
      <c r="O47" s="15">
        <v>32</v>
      </c>
      <c r="P47" s="15">
        <v>64</v>
      </c>
      <c r="Q47" s="15">
        <v>65</v>
      </c>
      <c r="R47" s="15">
        <v>66</v>
      </c>
      <c r="S47" s="15">
        <v>67</v>
      </c>
      <c r="T47">
        <v>68</v>
      </c>
      <c r="U47">
        <v>69</v>
      </c>
      <c r="V47">
        <v>70</v>
      </c>
      <c r="W47">
        <v>71</v>
      </c>
      <c r="X47">
        <v>72</v>
      </c>
      <c r="Y47">
        <v>73</v>
      </c>
      <c r="Z47">
        <v>74</v>
      </c>
      <c r="AA47">
        <v>75</v>
      </c>
      <c r="AB47">
        <v>76</v>
      </c>
      <c r="AC47">
        <v>77</v>
      </c>
      <c r="AD47">
        <v>78</v>
      </c>
      <c r="AE47">
        <v>79</v>
      </c>
      <c r="AF47">
        <v>80</v>
      </c>
      <c r="AG47">
        <v>81</v>
      </c>
      <c r="AH47">
        <v>82</v>
      </c>
      <c r="AI47">
        <v>83</v>
      </c>
      <c r="AJ47">
        <v>84</v>
      </c>
      <c r="AK47">
        <v>85</v>
      </c>
      <c r="AL47">
        <v>91</v>
      </c>
      <c r="AM47">
        <v>93</v>
      </c>
      <c r="AN47">
        <v>94</v>
      </c>
      <c r="AO47">
        <v>95</v>
      </c>
      <c r="AP47">
        <v>128</v>
      </c>
      <c r="AQ47">
        <v>129</v>
      </c>
      <c r="AR47">
        <v>130</v>
      </c>
      <c r="AS47">
        <v>131</v>
      </c>
      <c r="AT47">
        <v>132</v>
      </c>
      <c r="AU47">
        <v>133</v>
      </c>
      <c r="AV47">
        <v>134</v>
      </c>
      <c r="AW47">
        <v>135</v>
      </c>
      <c r="AX47">
        <v>136</v>
      </c>
      <c r="AY47">
        <v>137</v>
      </c>
      <c r="AZ47">
        <v>138</v>
      </c>
      <c r="BA47">
        <v>139</v>
      </c>
      <c r="BB47">
        <v>140</v>
      </c>
      <c r="BC47">
        <v>141</v>
      </c>
      <c r="BD47">
        <v>142</v>
      </c>
      <c r="BE47">
        <v>143</v>
      </c>
      <c r="BF47">
        <v>144</v>
      </c>
      <c r="BG47">
        <v>145</v>
      </c>
      <c r="BH47">
        <v>146</v>
      </c>
      <c r="BI47">
        <v>147</v>
      </c>
      <c r="BJ47">
        <v>148</v>
      </c>
    </row>
    <row r="48" spans="1:62" x14ac:dyDescent="0.25">
      <c r="A48" s="15">
        <v>46</v>
      </c>
      <c r="B48" t="s">
        <v>686</v>
      </c>
      <c r="C48">
        <v>100</v>
      </c>
    </row>
    <row r="49" spans="1:143" x14ac:dyDescent="0.25">
      <c r="A49" s="15">
        <v>47</v>
      </c>
      <c r="B49" t="s">
        <v>688</v>
      </c>
      <c r="C49">
        <v>58</v>
      </c>
    </row>
    <row r="50" spans="1:143" x14ac:dyDescent="0.25">
      <c r="A50" s="15">
        <v>48</v>
      </c>
      <c r="B50" t="s">
        <v>689</v>
      </c>
      <c r="C50">
        <v>21</v>
      </c>
      <c r="D50">
        <v>22</v>
      </c>
      <c r="E50">
        <v>23</v>
      </c>
      <c r="F50">
        <v>25</v>
      </c>
      <c r="G50">
        <v>28</v>
      </c>
      <c r="H50">
        <v>29</v>
      </c>
      <c r="I50">
        <v>30</v>
      </c>
      <c r="J50">
        <v>64</v>
      </c>
      <c r="K50">
        <v>67</v>
      </c>
      <c r="L50">
        <v>70</v>
      </c>
      <c r="M50">
        <v>72</v>
      </c>
      <c r="N50">
        <v>73</v>
      </c>
      <c r="O50">
        <v>75</v>
      </c>
      <c r="P50" s="120">
        <v>118</v>
      </c>
      <c r="Q50" s="120">
        <v>119</v>
      </c>
      <c r="R50" s="120">
        <v>120</v>
      </c>
      <c r="S50" s="120">
        <v>121</v>
      </c>
      <c r="T50" s="120">
        <v>122</v>
      </c>
      <c r="U50" s="120">
        <v>123</v>
      </c>
      <c r="V50" s="120">
        <v>124</v>
      </c>
      <c r="W50">
        <v>128</v>
      </c>
      <c r="X50">
        <v>129</v>
      </c>
      <c r="Y50">
        <v>130</v>
      </c>
      <c r="Z50">
        <v>131</v>
      </c>
      <c r="AA50" s="121">
        <v>152</v>
      </c>
      <c r="AB50" s="121">
        <v>153</v>
      </c>
      <c r="AC50" s="121">
        <v>154</v>
      </c>
      <c r="AD50" s="121">
        <v>155</v>
      </c>
      <c r="AE50" s="121">
        <v>156</v>
      </c>
      <c r="AF50" s="121">
        <v>157</v>
      </c>
      <c r="AG50" s="121">
        <v>158</v>
      </c>
      <c r="AH50" s="121">
        <v>159</v>
      </c>
      <c r="AI50" s="121">
        <v>160</v>
      </c>
      <c r="AJ50" s="121">
        <v>161</v>
      </c>
      <c r="AK50" s="121">
        <v>162</v>
      </c>
      <c r="AL50" s="121">
        <v>163</v>
      </c>
      <c r="AM50" s="121">
        <v>164</v>
      </c>
      <c r="AN50" s="121">
        <v>165</v>
      </c>
      <c r="AO50" s="121">
        <v>166</v>
      </c>
      <c r="AP50" s="121">
        <v>167</v>
      </c>
      <c r="AQ50" s="121">
        <v>168</v>
      </c>
      <c r="AR50" s="121">
        <v>169</v>
      </c>
      <c r="AS50" s="121">
        <v>170</v>
      </c>
      <c r="AT50" s="121">
        <v>171</v>
      </c>
      <c r="AU50" s="121">
        <v>172</v>
      </c>
      <c r="AV50" s="121">
        <v>173</v>
      </c>
      <c r="AW50" s="121">
        <v>174</v>
      </c>
      <c r="AX50" s="121">
        <v>175</v>
      </c>
    </row>
    <row r="51" spans="1:143" x14ac:dyDescent="0.25">
      <c r="A51" s="15">
        <v>49</v>
      </c>
      <c r="B51" t="s">
        <v>703</v>
      </c>
      <c r="C51">
        <v>55</v>
      </c>
      <c r="D51">
        <v>56</v>
      </c>
      <c r="E51">
        <v>57</v>
      </c>
      <c r="F51">
        <v>58</v>
      </c>
      <c r="G51">
        <v>59</v>
      </c>
      <c r="H51">
        <v>60</v>
      </c>
      <c r="I51">
        <v>61</v>
      </c>
      <c r="J51">
        <v>62</v>
      </c>
      <c r="K51">
        <v>63</v>
      </c>
      <c r="L51">
        <v>64</v>
      </c>
      <c r="M51">
        <v>65</v>
      </c>
      <c r="N51">
        <v>66</v>
      </c>
      <c r="O51">
        <v>67</v>
      </c>
      <c r="P51">
        <v>68</v>
      </c>
      <c r="Q51">
        <v>69</v>
      </c>
      <c r="R51">
        <v>70</v>
      </c>
      <c r="S51">
        <v>71</v>
      </c>
      <c r="T51">
        <v>72</v>
      </c>
      <c r="U51">
        <v>73</v>
      </c>
      <c r="V51">
        <v>74</v>
      </c>
      <c r="W51">
        <v>75</v>
      </c>
      <c r="X51">
        <v>76</v>
      </c>
      <c r="Y51">
        <v>77</v>
      </c>
      <c r="Z51">
        <v>78</v>
      </c>
      <c r="AA51">
        <v>79</v>
      </c>
      <c r="AB51">
        <v>80</v>
      </c>
      <c r="AC51">
        <v>81</v>
      </c>
      <c r="AD51">
        <v>82</v>
      </c>
      <c r="AE51">
        <v>83</v>
      </c>
      <c r="AF51">
        <v>84</v>
      </c>
      <c r="AG51">
        <v>85</v>
      </c>
      <c r="AH51">
        <v>86</v>
      </c>
      <c r="AI51">
        <v>87</v>
      </c>
      <c r="AJ51">
        <v>88</v>
      </c>
      <c r="AK51">
        <v>89</v>
      </c>
      <c r="AL51">
        <v>90</v>
      </c>
      <c r="AM51">
        <v>91</v>
      </c>
      <c r="AN51">
        <v>92</v>
      </c>
      <c r="AO51">
        <v>93</v>
      </c>
      <c r="AP51">
        <v>94</v>
      </c>
      <c r="AQ51">
        <v>95</v>
      </c>
      <c r="AR51">
        <v>96</v>
      </c>
      <c r="AS51">
        <v>97</v>
      </c>
      <c r="AT51">
        <v>98</v>
      </c>
      <c r="AU51">
        <v>99</v>
      </c>
      <c r="AV51">
        <v>100</v>
      </c>
      <c r="AW51">
        <v>101</v>
      </c>
      <c r="AX51">
        <v>102</v>
      </c>
      <c r="AY51">
        <v>103</v>
      </c>
      <c r="AZ51">
        <v>104</v>
      </c>
      <c r="BA51">
        <v>105</v>
      </c>
      <c r="BB51">
        <v>106</v>
      </c>
      <c r="BC51">
        <v>107</v>
      </c>
      <c r="BD51">
        <v>108</v>
      </c>
      <c r="BE51">
        <v>109</v>
      </c>
      <c r="BF51">
        <v>110</v>
      </c>
      <c r="BG51">
        <v>111</v>
      </c>
      <c r="BH51">
        <v>112</v>
      </c>
      <c r="BI51">
        <v>113</v>
      </c>
      <c r="BJ51">
        <v>114</v>
      </c>
      <c r="BK51">
        <v>115</v>
      </c>
      <c r="BL51">
        <v>116</v>
      </c>
      <c r="BM51">
        <v>117</v>
      </c>
      <c r="BN51">
        <v>118</v>
      </c>
      <c r="BO51">
        <v>119</v>
      </c>
      <c r="BP51">
        <v>120</v>
      </c>
      <c r="BQ51">
        <v>121</v>
      </c>
      <c r="BR51">
        <v>122</v>
      </c>
      <c r="BS51">
        <v>123</v>
      </c>
      <c r="BT51">
        <v>124</v>
      </c>
      <c r="BU51">
        <v>125</v>
      </c>
      <c r="BV51">
        <v>126</v>
      </c>
      <c r="BW51">
        <v>127</v>
      </c>
      <c r="BX51">
        <v>128</v>
      </c>
      <c r="BY51">
        <v>129</v>
      </c>
      <c r="BZ51">
        <v>130</v>
      </c>
      <c r="CA51">
        <v>131</v>
      </c>
      <c r="CB51">
        <v>132</v>
      </c>
      <c r="CC51">
        <v>133</v>
      </c>
      <c r="CD51">
        <v>134</v>
      </c>
      <c r="CE51">
        <v>135</v>
      </c>
      <c r="CF51">
        <v>136</v>
      </c>
      <c r="CG51">
        <v>137</v>
      </c>
      <c r="CH51">
        <v>138</v>
      </c>
      <c r="CI51">
        <v>139</v>
      </c>
      <c r="CJ51">
        <v>140</v>
      </c>
      <c r="CK51">
        <v>141</v>
      </c>
      <c r="CL51">
        <v>142</v>
      </c>
      <c r="CM51">
        <v>143</v>
      </c>
      <c r="CN51">
        <v>144</v>
      </c>
      <c r="CO51">
        <v>145</v>
      </c>
      <c r="CP51">
        <v>146</v>
      </c>
      <c r="CQ51">
        <v>147</v>
      </c>
      <c r="CR51">
        <v>148</v>
      </c>
      <c r="CS51">
        <v>149</v>
      </c>
      <c r="CT51">
        <v>150</v>
      </c>
      <c r="CU51">
        <v>151</v>
      </c>
      <c r="CV51">
        <v>152</v>
      </c>
      <c r="CW51">
        <v>153</v>
      </c>
      <c r="CX51">
        <v>154</v>
      </c>
      <c r="CY51">
        <v>155</v>
      </c>
      <c r="CZ51">
        <v>156</v>
      </c>
      <c r="DA51">
        <v>157</v>
      </c>
      <c r="DB51">
        <v>158</v>
      </c>
      <c r="DC51">
        <v>159</v>
      </c>
      <c r="DD51">
        <v>160</v>
      </c>
      <c r="DE51">
        <v>161</v>
      </c>
      <c r="DF51">
        <v>162</v>
      </c>
      <c r="DG51">
        <v>163</v>
      </c>
      <c r="DH51">
        <v>164</v>
      </c>
      <c r="DI51">
        <v>165</v>
      </c>
      <c r="DJ51">
        <v>166</v>
      </c>
      <c r="DK51">
        <v>167</v>
      </c>
      <c r="DL51">
        <v>168</v>
      </c>
      <c r="DM51">
        <v>169</v>
      </c>
      <c r="DN51">
        <v>170</v>
      </c>
      <c r="DO51">
        <v>171</v>
      </c>
      <c r="DP51">
        <v>172</v>
      </c>
      <c r="DQ51">
        <v>173</v>
      </c>
      <c r="DR51">
        <v>174</v>
      </c>
      <c r="DS51">
        <v>175</v>
      </c>
      <c r="DT51">
        <v>176</v>
      </c>
      <c r="DU51">
        <v>177</v>
      </c>
      <c r="DV51">
        <v>178</v>
      </c>
      <c r="DW51">
        <v>179</v>
      </c>
      <c r="DX51">
        <v>180</v>
      </c>
      <c r="DY51">
        <v>181</v>
      </c>
      <c r="DZ51">
        <v>182</v>
      </c>
      <c r="EA51">
        <v>183</v>
      </c>
      <c r="EB51">
        <v>184</v>
      </c>
      <c r="EC51">
        <v>185</v>
      </c>
      <c r="ED51">
        <v>186</v>
      </c>
      <c r="EE51">
        <v>187</v>
      </c>
      <c r="EF51">
        <v>188</v>
      </c>
      <c r="EG51">
        <v>189</v>
      </c>
      <c r="EH51">
        <v>190</v>
      </c>
      <c r="EI51">
        <v>191</v>
      </c>
      <c r="EJ51">
        <v>192</v>
      </c>
      <c r="EK51">
        <v>193</v>
      </c>
      <c r="EL51">
        <v>194</v>
      </c>
      <c r="EM51">
        <v>195</v>
      </c>
    </row>
    <row r="52" spans="1:143" x14ac:dyDescent="0.25">
      <c r="A52" s="15">
        <v>50</v>
      </c>
      <c r="B52" t="s">
        <v>739</v>
      </c>
      <c r="C52" s="120">
        <v>104</v>
      </c>
      <c r="D52" s="15">
        <v>105</v>
      </c>
      <c r="E52" s="15"/>
      <c r="F52" s="15"/>
      <c r="G52" s="15"/>
    </row>
    <row r="53" spans="1:143" x14ac:dyDescent="0.25">
      <c r="A53" s="15">
        <v>51</v>
      </c>
      <c r="C53" s="120"/>
    </row>
    <row r="54" spans="1:143" x14ac:dyDescent="0.25">
      <c r="A54" s="15">
        <v>52</v>
      </c>
      <c r="C54" s="120"/>
      <c r="E54" s="121"/>
      <c r="T54" s="15"/>
    </row>
    <row r="55" spans="1:143" x14ac:dyDescent="0.25">
      <c r="A55" s="15">
        <v>53</v>
      </c>
      <c r="C55" s="120"/>
      <c r="E55" s="121"/>
      <c r="T55" s="15"/>
    </row>
    <row r="56" spans="1:143" x14ac:dyDescent="0.25">
      <c r="A56" s="15">
        <v>54</v>
      </c>
      <c r="B56" s="15"/>
      <c r="C56" s="120"/>
      <c r="E56" s="121"/>
      <c r="T56" s="15"/>
    </row>
    <row r="57" spans="1:143" x14ac:dyDescent="0.25">
      <c r="A57" s="15">
        <v>55</v>
      </c>
      <c r="E57" s="121"/>
      <c r="T57" s="15"/>
    </row>
    <row r="58" spans="1:143" x14ac:dyDescent="0.25">
      <c r="A58" s="15">
        <v>56</v>
      </c>
      <c r="E58" s="121"/>
    </row>
    <row r="59" spans="1:143" x14ac:dyDescent="0.25">
      <c r="A59" s="15">
        <v>57</v>
      </c>
      <c r="E59" s="121"/>
      <c r="T59" s="15"/>
    </row>
    <row r="60" spans="1:143" x14ac:dyDescent="0.25">
      <c r="A60" s="15">
        <v>58</v>
      </c>
      <c r="E60" s="121"/>
      <c r="T60" s="15"/>
    </row>
    <row r="61" spans="1:143" x14ac:dyDescent="0.25">
      <c r="A61" s="15">
        <v>59</v>
      </c>
      <c r="E61" s="121"/>
      <c r="T61" s="15"/>
    </row>
    <row r="62" spans="1:143" x14ac:dyDescent="0.25">
      <c r="A62" s="15">
        <v>60</v>
      </c>
      <c r="C62" s="27"/>
      <c r="E62" s="121"/>
      <c r="T62" s="15"/>
    </row>
    <row r="63" spans="1:143" x14ac:dyDescent="0.25">
      <c r="A63" s="15">
        <v>61</v>
      </c>
      <c r="C63" s="27"/>
      <c r="E63" s="121"/>
      <c r="T63" s="15"/>
    </row>
    <row r="64" spans="1:143" x14ac:dyDescent="0.25">
      <c r="A64" s="15">
        <v>62</v>
      </c>
      <c r="C64" s="27"/>
      <c r="E64" s="121"/>
      <c r="T64" s="15"/>
    </row>
    <row r="65" spans="1:20" x14ac:dyDescent="0.25">
      <c r="A65" s="15">
        <v>63</v>
      </c>
      <c r="C65" s="27"/>
      <c r="E65" s="121"/>
      <c r="T65" s="15"/>
    </row>
    <row r="66" spans="1:20" x14ac:dyDescent="0.25">
      <c r="A66" s="15">
        <v>64</v>
      </c>
      <c r="C66" s="27"/>
      <c r="E66" s="121"/>
      <c r="T66" s="15"/>
    </row>
    <row r="67" spans="1:20" x14ac:dyDescent="0.25">
      <c r="A67" s="15">
        <v>65</v>
      </c>
      <c r="C67" s="27"/>
      <c r="E67" s="121"/>
      <c r="T67" s="15"/>
    </row>
    <row r="68" spans="1:20" x14ac:dyDescent="0.25">
      <c r="A68" s="15">
        <v>66</v>
      </c>
      <c r="C68" s="27"/>
      <c r="E68" s="121"/>
      <c r="T68" s="15"/>
    </row>
    <row r="69" spans="1:20" x14ac:dyDescent="0.25">
      <c r="A69" s="15">
        <v>67</v>
      </c>
      <c r="C69" s="27"/>
      <c r="E69" s="121"/>
      <c r="T69" s="15"/>
    </row>
    <row r="70" spans="1:20" x14ac:dyDescent="0.25">
      <c r="A70" s="15">
        <v>68</v>
      </c>
      <c r="C70" s="27"/>
      <c r="E70" s="121"/>
      <c r="T70" s="15"/>
    </row>
    <row r="71" spans="1:20" x14ac:dyDescent="0.25">
      <c r="A71" s="15">
        <v>69</v>
      </c>
      <c r="C71" s="27"/>
      <c r="E71" s="121"/>
      <c r="T71" s="15"/>
    </row>
    <row r="72" spans="1:20" x14ac:dyDescent="0.25">
      <c r="A72" s="15">
        <v>70</v>
      </c>
      <c r="C72" s="27"/>
      <c r="E72" s="121"/>
      <c r="T72" s="15"/>
    </row>
    <row r="73" spans="1:20" x14ac:dyDescent="0.25">
      <c r="A73" s="15">
        <v>71</v>
      </c>
      <c r="C73" s="27"/>
      <c r="E73" s="121"/>
      <c r="T73" s="15"/>
    </row>
    <row r="74" spans="1:20" x14ac:dyDescent="0.25">
      <c r="A74" s="15">
        <v>72</v>
      </c>
      <c r="E74" s="121"/>
      <c r="T74" s="15"/>
    </row>
    <row r="75" spans="1:20" x14ac:dyDescent="0.25">
      <c r="A75" s="15">
        <v>73</v>
      </c>
      <c r="E75" s="121"/>
      <c r="T75" s="15"/>
    </row>
    <row r="76" spans="1:20" x14ac:dyDescent="0.25">
      <c r="A76" s="15">
        <v>74</v>
      </c>
      <c r="E76" s="121"/>
      <c r="T76" s="15"/>
    </row>
    <row r="77" spans="1:20" x14ac:dyDescent="0.25">
      <c r="A77" s="15">
        <v>75</v>
      </c>
      <c r="B77" s="27"/>
      <c r="E77" s="121"/>
      <c r="T77" s="15"/>
    </row>
    <row r="78" spans="1:20" x14ac:dyDescent="0.25">
      <c r="A78" s="15">
        <v>76</v>
      </c>
      <c r="T78" s="15"/>
    </row>
    <row r="79" spans="1:20" x14ac:dyDescent="0.25">
      <c r="T79" s="15"/>
    </row>
    <row r="80" spans="1:20" x14ac:dyDescent="0.25">
      <c r="T80" s="15"/>
    </row>
    <row r="81" spans="20:20" x14ac:dyDescent="0.25">
      <c r="T81" s="15"/>
    </row>
    <row r="82" spans="20:20" x14ac:dyDescent="0.25">
      <c r="T82" s="15"/>
    </row>
  </sheetData>
  <sortState ref="S17:S85">
    <sortCondition ref="S17"/>
  </sortState>
  <pageMargins left="0.7" right="0.7" top="0.75" bottom="0.75" header="0.3" footer="0.3"/>
  <pageSetup paperSize="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X72"/>
  <sheetViews>
    <sheetView workbookViewId="0">
      <selection activeCell="E7" sqref="E7"/>
    </sheetView>
  </sheetViews>
  <sheetFormatPr defaultRowHeight="15" x14ac:dyDescent="0.25"/>
  <cols>
    <col min="2" max="2" width="26" customWidth="1"/>
  </cols>
  <sheetData>
    <row r="1" spans="1:50" s="122" customFormat="1" ht="18.75" x14ac:dyDescent="0.3">
      <c r="B1" s="97" t="s">
        <v>754</v>
      </c>
    </row>
    <row r="2" spans="1:50" x14ac:dyDescent="0.25">
      <c r="B2" t="s">
        <v>756</v>
      </c>
    </row>
    <row r="3" spans="1:50" x14ac:dyDescent="0.25">
      <c r="A3" t="s">
        <v>167</v>
      </c>
      <c r="B3" t="s">
        <v>169</v>
      </c>
      <c r="C3" t="s">
        <v>168</v>
      </c>
    </row>
    <row r="4" spans="1:50" x14ac:dyDescent="0.25">
      <c r="A4">
        <v>1</v>
      </c>
      <c r="B4" s="41" t="s">
        <v>170</v>
      </c>
      <c r="C4">
        <v>1</v>
      </c>
      <c r="D4">
        <v>2</v>
      </c>
      <c r="E4">
        <v>3</v>
      </c>
      <c r="F4">
        <v>4</v>
      </c>
      <c r="G4">
        <v>5</v>
      </c>
      <c r="H4">
        <v>6</v>
      </c>
      <c r="I4">
        <v>7</v>
      </c>
      <c r="J4">
        <v>8</v>
      </c>
      <c r="K4">
        <v>9</v>
      </c>
      <c r="L4">
        <v>10</v>
      </c>
      <c r="M4">
        <v>11</v>
      </c>
      <c r="N4">
        <v>12</v>
      </c>
      <c r="O4">
        <v>13</v>
      </c>
      <c r="P4">
        <v>14</v>
      </c>
      <c r="Q4">
        <v>15</v>
      </c>
      <c r="R4">
        <v>16</v>
      </c>
      <c r="S4">
        <v>17</v>
      </c>
      <c r="T4">
        <v>18</v>
      </c>
      <c r="U4">
        <v>19</v>
      </c>
      <c r="V4">
        <v>20</v>
      </c>
      <c r="W4">
        <v>21</v>
      </c>
      <c r="X4">
        <v>22</v>
      </c>
      <c r="Y4">
        <v>23</v>
      </c>
      <c r="Z4">
        <v>24</v>
      </c>
      <c r="AA4">
        <v>25</v>
      </c>
      <c r="AB4">
        <v>26</v>
      </c>
      <c r="AC4">
        <v>27</v>
      </c>
      <c r="AD4">
        <v>28</v>
      </c>
      <c r="AE4">
        <v>29</v>
      </c>
      <c r="AF4">
        <v>30</v>
      </c>
      <c r="AG4">
        <v>31</v>
      </c>
      <c r="AH4">
        <v>32</v>
      </c>
      <c r="AI4">
        <v>33</v>
      </c>
      <c r="AJ4">
        <v>34</v>
      </c>
      <c r="AK4">
        <v>35</v>
      </c>
      <c r="AL4">
        <v>36</v>
      </c>
      <c r="AM4">
        <v>37</v>
      </c>
      <c r="AN4">
        <v>38</v>
      </c>
      <c r="AO4">
        <v>39</v>
      </c>
      <c r="AP4">
        <v>40</v>
      </c>
      <c r="AQ4">
        <v>41</v>
      </c>
      <c r="AR4">
        <v>42</v>
      </c>
      <c r="AS4">
        <v>43</v>
      </c>
      <c r="AT4">
        <v>44</v>
      </c>
      <c r="AU4">
        <v>45</v>
      </c>
      <c r="AV4">
        <v>46</v>
      </c>
      <c r="AW4">
        <v>47</v>
      </c>
      <c r="AX4">
        <v>48</v>
      </c>
    </row>
    <row r="5" spans="1:50" x14ac:dyDescent="0.25">
      <c r="A5">
        <v>2</v>
      </c>
      <c r="B5" s="5" t="s">
        <v>171</v>
      </c>
      <c r="C5">
        <v>27</v>
      </c>
    </row>
    <row r="6" spans="1:50" x14ac:dyDescent="0.25">
      <c r="A6">
        <v>3</v>
      </c>
      <c r="B6" s="21" t="s">
        <v>172</v>
      </c>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row>
    <row r="7" spans="1:50" x14ac:dyDescent="0.25">
      <c r="A7">
        <v>4</v>
      </c>
      <c r="B7" s="21" t="s">
        <v>173</v>
      </c>
      <c r="C7">
        <v>28</v>
      </c>
      <c r="D7">
        <v>31</v>
      </c>
      <c r="E7">
        <v>35</v>
      </c>
    </row>
    <row r="8" spans="1:50" x14ac:dyDescent="0.25">
      <c r="A8">
        <v>5</v>
      </c>
      <c r="B8" s="21" t="s">
        <v>177</v>
      </c>
      <c r="C8">
        <v>29</v>
      </c>
      <c r="D8">
        <v>30</v>
      </c>
      <c r="E8">
        <v>32</v>
      </c>
      <c r="F8">
        <v>33</v>
      </c>
      <c r="G8">
        <v>34</v>
      </c>
      <c r="H8">
        <v>36</v>
      </c>
      <c r="I8">
        <v>37</v>
      </c>
      <c r="J8">
        <v>38</v>
      </c>
      <c r="K8">
        <v>39</v>
      </c>
      <c r="L8">
        <v>40</v>
      </c>
      <c r="M8">
        <v>41</v>
      </c>
      <c r="N8">
        <v>42</v>
      </c>
      <c r="O8">
        <v>43</v>
      </c>
      <c r="P8">
        <v>44</v>
      </c>
      <c r="Q8">
        <v>45</v>
      </c>
      <c r="R8">
        <v>46</v>
      </c>
      <c r="S8">
        <v>47</v>
      </c>
      <c r="T8">
        <v>48</v>
      </c>
    </row>
    <row r="9" spans="1:50" x14ac:dyDescent="0.25">
      <c r="A9">
        <v>6</v>
      </c>
      <c r="B9" s="19" t="s">
        <v>248</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v>23</v>
      </c>
      <c r="Z9">
        <v>24</v>
      </c>
      <c r="AA9">
        <v>25</v>
      </c>
      <c r="AB9">
        <v>26</v>
      </c>
      <c r="AC9">
        <v>36</v>
      </c>
      <c r="AD9">
        <v>38</v>
      </c>
      <c r="AE9">
        <v>41</v>
      </c>
      <c r="AF9">
        <v>46</v>
      </c>
    </row>
    <row r="10" spans="1:50" x14ac:dyDescent="0.25">
      <c r="A10">
        <v>7</v>
      </c>
      <c r="B10" s="19" t="s">
        <v>174</v>
      </c>
      <c r="C10">
        <v>28</v>
      </c>
      <c r="D10">
        <v>31</v>
      </c>
      <c r="E10">
        <v>35</v>
      </c>
      <c r="F10">
        <v>37</v>
      </c>
    </row>
    <row r="11" spans="1:50" x14ac:dyDescent="0.25">
      <c r="A11">
        <v>8</v>
      </c>
      <c r="B11" s="19" t="s">
        <v>175</v>
      </c>
      <c r="C11">
        <v>29</v>
      </c>
      <c r="D11">
        <v>30</v>
      </c>
      <c r="E11">
        <v>32</v>
      </c>
    </row>
    <row r="12" spans="1:50" x14ac:dyDescent="0.25">
      <c r="A12">
        <v>9</v>
      </c>
      <c r="B12" s="19" t="s">
        <v>92</v>
      </c>
      <c r="C12">
        <v>43</v>
      </c>
      <c r="D12">
        <v>47</v>
      </c>
    </row>
    <row r="13" spans="1:50" x14ac:dyDescent="0.25">
      <c r="A13">
        <v>10</v>
      </c>
      <c r="B13" s="19" t="s">
        <v>176</v>
      </c>
      <c r="C13">
        <v>48</v>
      </c>
      <c r="D13">
        <v>39</v>
      </c>
    </row>
    <row r="14" spans="1:50" x14ac:dyDescent="0.25">
      <c r="A14">
        <v>11</v>
      </c>
      <c r="B14" s="19" t="s">
        <v>94</v>
      </c>
      <c r="C14">
        <v>34</v>
      </c>
      <c r="D14">
        <v>40</v>
      </c>
      <c r="E14">
        <v>42</v>
      </c>
      <c r="F14">
        <v>44</v>
      </c>
    </row>
    <row r="15" spans="1:50" x14ac:dyDescent="0.25">
      <c r="A15">
        <v>12</v>
      </c>
      <c r="B15" s="19" t="s">
        <v>95</v>
      </c>
      <c r="C15">
        <v>33</v>
      </c>
      <c r="D15">
        <v>45</v>
      </c>
    </row>
    <row r="16" spans="1:50" x14ac:dyDescent="0.25">
      <c r="A16">
        <v>13</v>
      </c>
      <c r="B16" s="19" t="s">
        <v>430</v>
      </c>
      <c r="C16">
        <v>27</v>
      </c>
      <c r="D16">
        <v>1</v>
      </c>
      <c r="E16">
        <v>2</v>
      </c>
      <c r="F16">
        <v>3</v>
      </c>
      <c r="G16">
        <v>4</v>
      </c>
      <c r="H16">
        <v>5</v>
      </c>
      <c r="I16">
        <v>6</v>
      </c>
      <c r="J16">
        <v>7</v>
      </c>
      <c r="K16">
        <v>8</v>
      </c>
      <c r="L16">
        <v>9</v>
      </c>
      <c r="M16">
        <v>10</v>
      </c>
      <c r="N16">
        <v>11</v>
      </c>
      <c r="O16">
        <v>12</v>
      </c>
      <c r="P16">
        <v>13</v>
      </c>
      <c r="Q16">
        <v>14</v>
      </c>
      <c r="R16">
        <v>15</v>
      </c>
      <c r="S16">
        <v>16</v>
      </c>
      <c r="T16">
        <v>17</v>
      </c>
      <c r="U16">
        <v>18</v>
      </c>
      <c r="V16">
        <v>19</v>
      </c>
      <c r="W16">
        <v>20</v>
      </c>
      <c r="X16">
        <v>21</v>
      </c>
      <c r="Y16">
        <v>22</v>
      </c>
      <c r="Z16">
        <v>23</v>
      </c>
      <c r="AA16">
        <v>24</v>
      </c>
      <c r="AB16">
        <v>25</v>
      </c>
      <c r="AC16">
        <v>26</v>
      </c>
      <c r="AD16">
        <v>36</v>
      </c>
      <c r="AE16">
        <v>38</v>
      </c>
      <c r="AF16">
        <v>41</v>
      </c>
      <c r="AG16">
        <v>46</v>
      </c>
    </row>
    <row r="17" spans="1:50" s="15" customFormat="1" x14ac:dyDescent="0.25">
      <c r="A17" s="15">
        <v>14</v>
      </c>
      <c r="B17" s="41" t="s">
        <v>524</v>
      </c>
      <c r="C17" s="15">
        <v>1</v>
      </c>
      <c r="D17" s="15">
        <v>2</v>
      </c>
      <c r="E17" s="15">
        <v>3</v>
      </c>
      <c r="F17" s="15">
        <v>4</v>
      </c>
      <c r="G17" s="15">
        <v>5</v>
      </c>
      <c r="H17" s="15">
        <v>6</v>
      </c>
      <c r="I17" s="15">
        <v>7</v>
      </c>
      <c r="J17" s="15">
        <v>8</v>
      </c>
      <c r="K17" s="15">
        <v>9</v>
      </c>
      <c r="L17" s="15">
        <v>10</v>
      </c>
      <c r="M17" s="15">
        <v>11</v>
      </c>
      <c r="N17" s="15">
        <v>12</v>
      </c>
      <c r="O17" s="15">
        <v>13</v>
      </c>
      <c r="P17" s="15">
        <v>14</v>
      </c>
      <c r="Q17" s="15">
        <v>15</v>
      </c>
      <c r="R17" s="15">
        <v>16</v>
      </c>
      <c r="S17" s="15">
        <v>17</v>
      </c>
      <c r="T17" s="15">
        <v>18</v>
      </c>
      <c r="U17" s="15">
        <v>19</v>
      </c>
      <c r="V17" s="15">
        <v>20</v>
      </c>
      <c r="W17" s="15">
        <v>21</v>
      </c>
      <c r="X17" s="15">
        <v>22</v>
      </c>
      <c r="Y17" s="15">
        <v>23</v>
      </c>
      <c r="Z17" s="15">
        <v>24</v>
      </c>
      <c r="AA17" s="15">
        <v>25</v>
      </c>
      <c r="AB17" s="15">
        <v>26</v>
      </c>
      <c r="AC17" s="15">
        <v>27</v>
      </c>
      <c r="AD17" s="15">
        <v>28</v>
      </c>
      <c r="AE17" s="15">
        <v>29</v>
      </c>
      <c r="AF17" s="15">
        <v>30</v>
      </c>
      <c r="AG17" s="15">
        <v>31</v>
      </c>
      <c r="AH17" s="15">
        <v>32</v>
      </c>
      <c r="AI17" s="15">
        <v>33</v>
      </c>
      <c r="AJ17" s="15">
        <v>34</v>
      </c>
      <c r="AK17" s="15">
        <v>35</v>
      </c>
      <c r="AL17" s="15">
        <v>36</v>
      </c>
      <c r="AM17" s="15">
        <v>37</v>
      </c>
      <c r="AN17" s="15">
        <v>38</v>
      </c>
      <c r="AO17" s="15">
        <v>39</v>
      </c>
      <c r="AP17" s="15">
        <v>40</v>
      </c>
      <c r="AQ17" s="15">
        <v>41</v>
      </c>
      <c r="AR17" s="15">
        <v>42</v>
      </c>
      <c r="AS17" s="15">
        <v>43</v>
      </c>
      <c r="AT17" s="15">
        <v>44</v>
      </c>
      <c r="AU17" s="15">
        <v>45</v>
      </c>
      <c r="AV17" s="15">
        <v>46</v>
      </c>
      <c r="AW17" s="15">
        <v>47</v>
      </c>
      <c r="AX17" s="15">
        <v>48</v>
      </c>
    </row>
    <row r="18" spans="1:50" s="15" customFormat="1" x14ac:dyDescent="0.25">
      <c r="A18" s="15">
        <v>15</v>
      </c>
      <c r="B18" s="98" t="s">
        <v>575</v>
      </c>
      <c r="C18" s="15">
        <v>1</v>
      </c>
      <c r="D18" s="15">
        <v>2</v>
      </c>
      <c r="E18" s="15">
        <v>3</v>
      </c>
      <c r="F18" s="15">
        <v>4</v>
      </c>
      <c r="G18" s="15">
        <v>5</v>
      </c>
      <c r="H18" s="15">
        <v>6</v>
      </c>
      <c r="I18" s="15">
        <v>7</v>
      </c>
      <c r="J18" s="15">
        <v>8</v>
      </c>
      <c r="K18" s="15">
        <v>9</v>
      </c>
      <c r="L18" s="15">
        <v>10</v>
      </c>
      <c r="M18" s="15">
        <v>11</v>
      </c>
      <c r="N18" s="15">
        <v>12</v>
      </c>
      <c r="O18" s="15">
        <v>13</v>
      </c>
      <c r="P18" s="15">
        <v>14</v>
      </c>
      <c r="Q18" s="15">
        <v>15</v>
      </c>
      <c r="R18" s="15">
        <v>16</v>
      </c>
      <c r="S18" s="15">
        <v>17</v>
      </c>
      <c r="T18" s="15">
        <v>18</v>
      </c>
      <c r="U18" s="15">
        <v>19</v>
      </c>
      <c r="V18" s="15">
        <v>20</v>
      </c>
      <c r="W18" s="15">
        <v>21</v>
      </c>
      <c r="X18" s="15">
        <v>22</v>
      </c>
      <c r="Y18" s="15">
        <v>23</v>
      </c>
      <c r="Z18" s="15">
        <v>24</v>
      </c>
      <c r="AA18" s="15">
        <v>25</v>
      </c>
      <c r="AB18" s="15">
        <v>26</v>
      </c>
      <c r="AC18" s="15">
        <v>27</v>
      </c>
    </row>
    <row r="19" spans="1:50" s="15" customFormat="1" x14ac:dyDescent="0.25">
      <c r="A19" s="15">
        <v>16</v>
      </c>
      <c r="B19" s="21" t="s">
        <v>229</v>
      </c>
      <c r="C19" s="15">
        <v>30</v>
      </c>
    </row>
    <row r="20" spans="1:50" s="15" customFormat="1" x14ac:dyDescent="0.25">
      <c r="A20" s="15">
        <v>17</v>
      </c>
      <c r="B20" s="41" t="s">
        <v>655</v>
      </c>
      <c r="C20" s="15">
        <v>1</v>
      </c>
      <c r="D20" s="15">
        <v>2</v>
      </c>
      <c r="E20" s="15">
        <v>3</v>
      </c>
      <c r="F20" s="15">
        <v>4</v>
      </c>
      <c r="G20" s="15">
        <v>5</v>
      </c>
      <c r="H20" s="15">
        <v>6</v>
      </c>
      <c r="I20" s="15">
        <v>7</v>
      </c>
      <c r="J20" s="15">
        <v>8</v>
      </c>
      <c r="K20" s="15">
        <v>9</v>
      </c>
      <c r="L20" s="15">
        <v>10</v>
      </c>
      <c r="M20" s="15">
        <v>11</v>
      </c>
      <c r="N20" s="15">
        <v>12</v>
      </c>
      <c r="O20" s="15">
        <v>13</v>
      </c>
      <c r="P20" s="15">
        <v>14</v>
      </c>
      <c r="Q20" s="15">
        <v>15</v>
      </c>
      <c r="R20" s="15">
        <v>16</v>
      </c>
      <c r="S20" s="15">
        <v>17</v>
      </c>
      <c r="T20" s="15">
        <v>18</v>
      </c>
      <c r="U20" s="15">
        <v>19</v>
      </c>
      <c r="V20" s="15">
        <v>20</v>
      </c>
      <c r="W20" s="15">
        <v>21</v>
      </c>
      <c r="X20" s="15">
        <v>22</v>
      </c>
      <c r="Y20" s="15">
        <v>23</v>
      </c>
      <c r="Z20" s="15">
        <v>24</v>
      </c>
      <c r="AA20" s="15">
        <v>25</v>
      </c>
      <c r="AB20" s="15">
        <v>26</v>
      </c>
      <c r="AC20" s="15">
        <v>28</v>
      </c>
      <c r="AD20" s="15">
        <v>29</v>
      </c>
      <c r="AE20" s="15">
        <v>30</v>
      </c>
      <c r="AF20" s="15">
        <v>31</v>
      </c>
      <c r="AG20" s="15">
        <v>32</v>
      </c>
      <c r="AH20" s="15">
        <v>33</v>
      </c>
      <c r="AI20" s="15">
        <v>34</v>
      </c>
      <c r="AJ20" s="15">
        <v>35</v>
      </c>
      <c r="AK20" s="15">
        <v>36</v>
      </c>
      <c r="AL20" s="15">
        <v>37</v>
      </c>
      <c r="AM20" s="15">
        <v>38</v>
      </c>
      <c r="AN20" s="15">
        <v>39</v>
      </c>
      <c r="AO20" s="15">
        <v>40</v>
      </c>
      <c r="AP20" s="15">
        <v>41</v>
      </c>
      <c r="AQ20" s="15">
        <v>42</v>
      </c>
      <c r="AR20" s="15">
        <v>43</v>
      </c>
      <c r="AS20" s="15">
        <v>44</v>
      </c>
      <c r="AT20" s="15">
        <v>45</v>
      </c>
      <c r="AU20" s="15">
        <v>46</v>
      </c>
      <c r="AV20" s="15">
        <v>47</v>
      </c>
      <c r="AW20" s="15">
        <v>48</v>
      </c>
    </row>
    <row r="21" spans="1:50" s="15" customFormat="1" x14ac:dyDescent="0.25"/>
    <row r="22" spans="1:50" s="15" customFormat="1" x14ac:dyDescent="0.25">
      <c r="B22" s="41" t="s">
        <v>525</v>
      </c>
    </row>
    <row r="24" spans="1:50" x14ac:dyDescent="0.25">
      <c r="B24" s="26" t="s">
        <v>320</v>
      </c>
    </row>
    <row r="25" spans="1:50" x14ac:dyDescent="0.25">
      <c r="A25">
        <v>1</v>
      </c>
      <c r="B25" s="18" t="s">
        <v>200</v>
      </c>
    </row>
    <row r="26" spans="1:50" x14ac:dyDescent="0.25">
      <c r="A26" s="15">
        <v>2</v>
      </c>
      <c r="B26" s="18" t="s">
        <v>201</v>
      </c>
    </row>
    <row r="27" spans="1:50" x14ac:dyDescent="0.25">
      <c r="A27" s="15">
        <v>3</v>
      </c>
      <c r="B27" s="18" t="s">
        <v>202</v>
      </c>
    </row>
    <row r="28" spans="1:50" x14ac:dyDescent="0.25">
      <c r="A28" s="15">
        <v>4</v>
      </c>
      <c r="B28" s="18" t="s">
        <v>203</v>
      </c>
    </row>
    <row r="29" spans="1:50" x14ac:dyDescent="0.25">
      <c r="A29" s="15">
        <v>5</v>
      </c>
      <c r="B29" s="18" t="s">
        <v>204</v>
      </c>
    </row>
    <row r="30" spans="1:50" x14ac:dyDescent="0.25">
      <c r="A30" s="15">
        <v>6</v>
      </c>
      <c r="B30" s="18" t="s">
        <v>205</v>
      </c>
    </row>
    <row r="31" spans="1:50" x14ac:dyDescent="0.25">
      <c r="A31" s="15">
        <v>7</v>
      </c>
      <c r="B31" s="18" t="s">
        <v>206</v>
      </c>
    </row>
    <row r="32" spans="1:50" x14ac:dyDescent="0.25">
      <c r="A32" s="15">
        <v>8</v>
      </c>
      <c r="B32" s="18" t="s">
        <v>207</v>
      </c>
    </row>
    <row r="33" spans="1:2" x14ac:dyDescent="0.25">
      <c r="A33" s="15">
        <v>9</v>
      </c>
      <c r="B33" s="18" t="s">
        <v>208</v>
      </c>
    </row>
    <row r="34" spans="1:2" x14ac:dyDescent="0.25">
      <c r="A34" s="15">
        <v>10</v>
      </c>
      <c r="B34" s="18" t="s">
        <v>209</v>
      </c>
    </row>
    <row r="35" spans="1:2" x14ac:dyDescent="0.25">
      <c r="A35" s="15">
        <v>11</v>
      </c>
      <c r="B35" s="18" t="s">
        <v>210</v>
      </c>
    </row>
    <row r="36" spans="1:2" x14ac:dyDescent="0.25">
      <c r="A36" s="15">
        <v>12</v>
      </c>
      <c r="B36" s="18" t="s">
        <v>211</v>
      </c>
    </row>
    <row r="37" spans="1:2" x14ac:dyDescent="0.25">
      <c r="A37" s="15">
        <v>13</v>
      </c>
      <c r="B37" s="18" t="s">
        <v>212</v>
      </c>
    </row>
    <row r="38" spans="1:2" x14ac:dyDescent="0.25">
      <c r="A38" s="15">
        <v>14</v>
      </c>
      <c r="B38" s="18" t="s">
        <v>213</v>
      </c>
    </row>
    <row r="39" spans="1:2" x14ac:dyDescent="0.25">
      <c r="A39" s="15">
        <v>15</v>
      </c>
      <c r="B39" s="18" t="s">
        <v>214</v>
      </c>
    </row>
    <row r="40" spans="1:2" x14ac:dyDescent="0.25">
      <c r="A40" s="15">
        <v>16</v>
      </c>
      <c r="B40" s="18" t="s">
        <v>215</v>
      </c>
    </row>
    <row r="41" spans="1:2" x14ac:dyDescent="0.25">
      <c r="A41" s="15">
        <v>17</v>
      </c>
      <c r="B41" s="18" t="s">
        <v>216</v>
      </c>
    </row>
    <row r="42" spans="1:2" x14ac:dyDescent="0.25">
      <c r="A42" s="15">
        <v>18</v>
      </c>
      <c r="B42" s="18" t="s">
        <v>217</v>
      </c>
    </row>
    <row r="43" spans="1:2" x14ac:dyDescent="0.25">
      <c r="A43" s="15">
        <v>19</v>
      </c>
      <c r="B43" s="18" t="s">
        <v>218</v>
      </c>
    </row>
    <row r="44" spans="1:2" x14ac:dyDescent="0.25">
      <c r="A44" s="15">
        <v>20</v>
      </c>
      <c r="B44" s="18" t="s">
        <v>219</v>
      </c>
    </row>
    <row r="45" spans="1:2" x14ac:dyDescent="0.25">
      <c r="A45" s="15">
        <v>21</v>
      </c>
      <c r="B45" s="18" t="s">
        <v>220</v>
      </c>
    </row>
    <row r="46" spans="1:2" x14ac:dyDescent="0.25">
      <c r="A46" s="15">
        <v>22</v>
      </c>
      <c r="B46" s="18" t="s">
        <v>221</v>
      </c>
    </row>
    <row r="47" spans="1:2" x14ac:dyDescent="0.25">
      <c r="A47" s="15">
        <v>23</v>
      </c>
      <c r="B47" s="18" t="s">
        <v>222</v>
      </c>
    </row>
    <row r="48" spans="1:2" x14ac:dyDescent="0.25">
      <c r="A48" s="15">
        <v>24</v>
      </c>
      <c r="B48" s="18" t="s">
        <v>223</v>
      </c>
    </row>
    <row r="49" spans="1:2" x14ac:dyDescent="0.25">
      <c r="A49" s="15">
        <v>25</v>
      </c>
      <c r="B49" s="18" t="s">
        <v>224</v>
      </c>
    </row>
    <row r="50" spans="1:2" x14ac:dyDescent="0.25">
      <c r="A50" s="15">
        <v>26</v>
      </c>
      <c r="B50" s="18" t="s">
        <v>225</v>
      </c>
    </row>
    <row r="51" spans="1:2" x14ac:dyDescent="0.25">
      <c r="A51" s="15">
        <v>27</v>
      </c>
      <c r="B51" s="17" t="s">
        <v>226</v>
      </c>
    </row>
    <row r="52" spans="1:2" x14ac:dyDescent="0.25">
      <c r="A52" s="15">
        <v>28</v>
      </c>
      <c r="B52" s="18" t="s">
        <v>227</v>
      </c>
    </row>
    <row r="53" spans="1:2" x14ac:dyDescent="0.25">
      <c r="A53" s="15">
        <v>29</v>
      </c>
      <c r="B53" s="18" t="s">
        <v>228</v>
      </c>
    </row>
    <row r="54" spans="1:2" x14ac:dyDescent="0.25">
      <c r="A54" s="15">
        <v>30</v>
      </c>
      <c r="B54" s="18" t="s">
        <v>229</v>
      </c>
    </row>
    <row r="55" spans="1:2" x14ac:dyDescent="0.25">
      <c r="A55" s="15">
        <v>31</v>
      </c>
      <c r="B55" s="18" t="s">
        <v>230</v>
      </c>
    </row>
    <row r="56" spans="1:2" x14ac:dyDescent="0.25">
      <c r="A56" s="15">
        <v>32</v>
      </c>
      <c r="B56" s="18" t="s">
        <v>231</v>
      </c>
    </row>
    <row r="57" spans="1:2" x14ac:dyDescent="0.25">
      <c r="A57" s="15">
        <v>33</v>
      </c>
      <c r="B57" s="18" t="s">
        <v>232</v>
      </c>
    </row>
    <row r="58" spans="1:2" x14ac:dyDescent="0.25">
      <c r="A58" s="15">
        <v>34</v>
      </c>
      <c r="B58" s="18" t="s">
        <v>233</v>
      </c>
    </row>
    <row r="59" spans="1:2" x14ac:dyDescent="0.25">
      <c r="A59" s="15">
        <v>35</v>
      </c>
      <c r="B59" s="18" t="s">
        <v>234</v>
      </c>
    </row>
    <row r="60" spans="1:2" x14ac:dyDescent="0.25">
      <c r="A60" s="15">
        <v>36</v>
      </c>
      <c r="B60" s="18" t="s">
        <v>235</v>
      </c>
    </row>
    <row r="61" spans="1:2" x14ac:dyDescent="0.25">
      <c r="A61" s="15">
        <v>37</v>
      </c>
      <c r="B61" s="18" t="s">
        <v>236</v>
      </c>
    </row>
    <row r="62" spans="1:2" x14ac:dyDescent="0.25">
      <c r="A62" s="15">
        <v>38</v>
      </c>
      <c r="B62" s="18" t="s">
        <v>237</v>
      </c>
    </row>
    <row r="63" spans="1:2" x14ac:dyDescent="0.25">
      <c r="A63" s="15">
        <v>39</v>
      </c>
      <c r="B63" s="18" t="s">
        <v>238</v>
      </c>
    </row>
    <row r="64" spans="1:2" x14ac:dyDescent="0.25">
      <c r="A64" s="15">
        <v>40</v>
      </c>
      <c r="B64" s="18" t="s">
        <v>239</v>
      </c>
    </row>
    <row r="65" spans="1:2" x14ac:dyDescent="0.25">
      <c r="A65" s="15">
        <v>41</v>
      </c>
      <c r="B65" s="18" t="s">
        <v>240</v>
      </c>
    </row>
    <row r="66" spans="1:2" x14ac:dyDescent="0.25">
      <c r="A66" s="15">
        <v>42</v>
      </c>
      <c r="B66" s="18" t="s">
        <v>241</v>
      </c>
    </row>
    <row r="67" spans="1:2" x14ac:dyDescent="0.25">
      <c r="A67" s="15">
        <v>43</v>
      </c>
      <c r="B67" s="18" t="s">
        <v>242</v>
      </c>
    </row>
    <row r="68" spans="1:2" x14ac:dyDescent="0.25">
      <c r="A68" s="15">
        <v>44</v>
      </c>
      <c r="B68" s="18" t="s">
        <v>243</v>
      </c>
    </row>
    <row r="69" spans="1:2" x14ac:dyDescent="0.25">
      <c r="A69" s="15">
        <v>45</v>
      </c>
      <c r="B69" s="18" t="s">
        <v>244</v>
      </c>
    </row>
    <row r="70" spans="1:2" x14ac:dyDescent="0.25">
      <c r="A70" s="15">
        <v>46</v>
      </c>
      <c r="B70" s="18" t="s">
        <v>245</v>
      </c>
    </row>
    <row r="71" spans="1:2" x14ac:dyDescent="0.25">
      <c r="A71" s="15">
        <v>47</v>
      </c>
      <c r="B71" s="18" t="s">
        <v>246</v>
      </c>
    </row>
    <row r="72" spans="1:2" x14ac:dyDescent="0.25">
      <c r="A72" s="15">
        <v>48</v>
      </c>
      <c r="B72" s="18" t="s">
        <v>247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61"/>
  <sheetViews>
    <sheetView workbookViewId="0"/>
  </sheetViews>
  <sheetFormatPr defaultRowHeight="15" x14ac:dyDescent="0.25"/>
  <sheetData>
    <row r="1" spans="1:2" s="122" customFormat="1" ht="18.75" x14ac:dyDescent="0.3">
      <c r="B1" s="97" t="s">
        <v>763</v>
      </c>
    </row>
    <row r="2" spans="1:2" x14ac:dyDescent="0.25">
      <c r="A2">
        <v>1</v>
      </c>
      <c r="B2" t="s">
        <v>178</v>
      </c>
    </row>
    <row r="3" spans="1:2" x14ac:dyDescent="0.25">
      <c r="A3">
        <v>2</v>
      </c>
      <c r="B3" t="s">
        <v>179</v>
      </c>
    </row>
    <row r="4" spans="1:2" x14ac:dyDescent="0.25">
      <c r="A4">
        <v>3</v>
      </c>
      <c r="B4" t="s">
        <v>182</v>
      </c>
    </row>
    <row r="5" spans="1:2" x14ac:dyDescent="0.25">
      <c r="A5">
        <v>4</v>
      </c>
      <c r="B5" t="s">
        <v>183</v>
      </c>
    </row>
    <row r="6" spans="1:2" x14ac:dyDescent="0.25">
      <c r="A6">
        <v>5</v>
      </c>
      <c r="B6" t="s">
        <v>307</v>
      </c>
    </row>
    <row r="7" spans="1:2" x14ac:dyDescent="0.25">
      <c r="A7">
        <v>6</v>
      </c>
      <c r="B7" t="s">
        <v>181</v>
      </c>
    </row>
    <row r="8" spans="1:2" x14ac:dyDescent="0.25">
      <c r="A8">
        <v>7</v>
      </c>
      <c r="B8" t="s">
        <v>121</v>
      </c>
    </row>
    <row r="9" spans="1:2" x14ac:dyDescent="0.25">
      <c r="A9">
        <v>8</v>
      </c>
      <c r="B9" t="s">
        <v>427</v>
      </c>
    </row>
    <row r="10" spans="1:2" x14ac:dyDescent="0.25">
      <c r="A10">
        <v>9</v>
      </c>
      <c r="B10" t="s">
        <v>185</v>
      </c>
    </row>
    <row r="11" spans="1:2" x14ac:dyDescent="0.25">
      <c r="A11">
        <v>10</v>
      </c>
      <c r="B11" t="s">
        <v>428</v>
      </c>
    </row>
    <row r="12" spans="1:2" x14ac:dyDescent="0.25">
      <c r="A12">
        <v>11</v>
      </c>
      <c r="B12" t="s">
        <v>186</v>
      </c>
    </row>
    <row r="13" spans="1:2" x14ac:dyDescent="0.25">
      <c r="A13">
        <v>12</v>
      </c>
      <c r="B13" t="s">
        <v>187</v>
      </c>
    </row>
    <row r="14" spans="1:2" x14ac:dyDescent="0.25">
      <c r="A14">
        <v>13</v>
      </c>
      <c r="B14" t="s">
        <v>134</v>
      </c>
    </row>
    <row r="15" spans="1:2" x14ac:dyDescent="0.25">
      <c r="A15">
        <v>14</v>
      </c>
      <c r="B15" t="s">
        <v>502</v>
      </c>
    </row>
    <row r="16" spans="1:2" x14ac:dyDescent="0.25">
      <c r="A16">
        <v>15</v>
      </c>
      <c r="B16" t="s">
        <v>189</v>
      </c>
    </row>
    <row r="17" spans="1:2" x14ac:dyDescent="0.25">
      <c r="A17">
        <v>16</v>
      </c>
      <c r="B17" t="s">
        <v>190</v>
      </c>
    </row>
    <row r="18" spans="1:2" x14ac:dyDescent="0.25">
      <c r="A18">
        <v>17</v>
      </c>
      <c r="B18" t="s">
        <v>191</v>
      </c>
    </row>
    <row r="19" spans="1:2" x14ac:dyDescent="0.25">
      <c r="A19">
        <v>18</v>
      </c>
      <c r="B19" t="s">
        <v>193</v>
      </c>
    </row>
    <row r="20" spans="1:2" x14ac:dyDescent="0.25">
      <c r="A20">
        <v>19</v>
      </c>
      <c r="B20" t="s">
        <v>194</v>
      </c>
    </row>
    <row r="21" spans="1:2" x14ac:dyDescent="0.25">
      <c r="A21">
        <v>20</v>
      </c>
      <c r="B21" t="s">
        <v>195</v>
      </c>
    </row>
    <row r="22" spans="1:2" x14ac:dyDescent="0.25">
      <c r="A22">
        <v>21</v>
      </c>
      <c r="B22" t="s">
        <v>82</v>
      </c>
    </row>
    <row r="23" spans="1:2" x14ac:dyDescent="0.25">
      <c r="A23">
        <v>22</v>
      </c>
      <c r="B23" t="s">
        <v>196</v>
      </c>
    </row>
    <row r="24" spans="1:2" x14ac:dyDescent="0.25">
      <c r="A24">
        <v>23</v>
      </c>
      <c r="B24" t="s">
        <v>197</v>
      </c>
    </row>
    <row r="25" spans="1:2" x14ac:dyDescent="0.25">
      <c r="A25">
        <v>24</v>
      </c>
      <c r="B25" t="s">
        <v>569</v>
      </c>
    </row>
    <row r="26" spans="1:2" x14ac:dyDescent="0.25">
      <c r="A26">
        <v>25</v>
      </c>
      <c r="B26" t="s">
        <v>160</v>
      </c>
    </row>
    <row r="27" spans="1:2" x14ac:dyDescent="0.25">
      <c r="A27">
        <v>26</v>
      </c>
      <c r="B27" t="s">
        <v>198</v>
      </c>
    </row>
    <row r="28" spans="1:2" x14ac:dyDescent="0.25">
      <c r="A28">
        <v>27</v>
      </c>
      <c r="B28" t="s">
        <v>97</v>
      </c>
    </row>
    <row r="29" spans="1:2" x14ac:dyDescent="0.25">
      <c r="A29">
        <v>28</v>
      </c>
      <c r="B29" t="s">
        <v>264</v>
      </c>
    </row>
    <row r="30" spans="1:2" x14ac:dyDescent="0.25">
      <c r="A30">
        <v>29</v>
      </c>
      <c r="B30" t="s">
        <v>341</v>
      </c>
    </row>
    <row r="31" spans="1:2" x14ac:dyDescent="0.25">
      <c r="A31">
        <v>30</v>
      </c>
      <c r="B31" t="s">
        <v>342</v>
      </c>
    </row>
    <row r="32" spans="1:2" x14ac:dyDescent="0.25">
      <c r="A32" s="15">
        <v>31</v>
      </c>
      <c r="B32" t="s">
        <v>345</v>
      </c>
    </row>
    <row r="33" spans="1:2" x14ac:dyDescent="0.25">
      <c r="A33" s="15">
        <v>32</v>
      </c>
      <c r="B33" t="s">
        <v>369</v>
      </c>
    </row>
    <row r="34" spans="1:2" x14ac:dyDescent="0.25">
      <c r="A34" s="15">
        <v>33</v>
      </c>
      <c r="B34" t="s">
        <v>371</v>
      </c>
    </row>
    <row r="35" spans="1:2" x14ac:dyDescent="0.25">
      <c r="A35" s="15">
        <v>34</v>
      </c>
      <c r="B35" t="s">
        <v>372</v>
      </c>
    </row>
    <row r="36" spans="1:2" x14ac:dyDescent="0.25">
      <c r="A36" s="15">
        <v>35</v>
      </c>
      <c r="B36" t="s">
        <v>467</v>
      </c>
    </row>
    <row r="37" spans="1:2" x14ac:dyDescent="0.25">
      <c r="A37" s="15">
        <v>36</v>
      </c>
      <c r="B37" t="s">
        <v>479</v>
      </c>
    </row>
    <row r="38" spans="1:2" x14ac:dyDescent="0.25">
      <c r="A38" s="15">
        <v>37</v>
      </c>
      <c r="B38" t="s">
        <v>488</v>
      </c>
    </row>
    <row r="39" spans="1:2" x14ac:dyDescent="0.25">
      <c r="A39" s="15">
        <v>38</v>
      </c>
      <c r="B39" t="s">
        <v>489</v>
      </c>
    </row>
    <row r="40" spans="1:2" x14ac:dyDescent="0.25">
      <c r="A40" s="15">
        <v>39</v>
      </c>
      <c r="B40" t="s">
        <v>490</v>
      </c>
    </row>
    <row r="41" spans="1:2" x14ac:dyDescent="0.25">
      <c r="A41" s="15">
        <v>40</v>
      </c>
      <c r="B41" t="s">
        <v>491</v>
      </c>
    </row>
    <row r="42" spans="1:2" x14ac:dyDescent="0.25">
      <c r="A42" s="15">
        <v>41</v>
      </c>
      <c r="B42" t="s">
        <v>553</v>
      </c>
    </row>
    <row r="43" spans="1:2" x14ac:dyDescent="0.25">
      <c r="A43" s="15">
        <v>42</v>
      </c>
      <c r="B43" t="s">
        <v>554</v>
      </c>
    </row>
    <row r="44" spans="1:2" x14ac:dyDescent="0.25">
      <c r="A44" s="15">
        <v>43</v>
      </c>
      <c r="B44" t="s">
        <v>564</v>
      </c>
    </row>
    <row r="45" spans="1:2" x14ac:dyDescent="0.25">
      <c r="A45" s="15">
        <v>44</v>
      </c>
      <c r="B45" t="s">
        <v>563</v>
      </c>
    </row>
    <row r="46" spans="1:2" x14ac:dyDescent="0.25">
      <c r="A46" s="15">
        <v>45</v>
      </c>
      <c r="B46" t="s">
        <v>565</v>
      </c>
    </row>
    <row r="47" spans="1:2" x14ac:dyDescent="0.25">
      <c r="A47" s="15">
        <v>46</v>
      </c>
      <c r="B47" t="s">
        <v>566</v>
      </c>
    </row>
    <row r="48" spans="1:2" x14ac:dyDescent="0.25">
      <c r="A48" s="15">
        <v>47</v>
      </c>
      <c r="B48" t="s">
        <v>567</v>
      </c>
    </row>
    <row r="49" spans="1:2" x14ac:dyDescent="0.25">
      <c r="A49" s="15">
        <v>48</v>
      </c>
      <c r="B49" t="s">
        <v>571</v>
      </c>
    </row>
    <row r="50" spans="1:2" x14ac:dyDescent="0.25">
      <c r="A50" s="15">
        <v>49</v>
      </c>
      <c r="B50" t="s">
        <v>570</v>
      </c>
    </row>
    <row r="51" spans="1:2" x14ac:dyDescent="0.25">
      <c r="A51" s="15">
        <v>50</v>
      </c>
      <c r="B51" t="s">
        <v>576</v>
      </c>
    </row>
    <row r="52" spans="1:2" x14ac:dyDescent="0.25">
      <c r="A52" s="15">
        <v>51</v>
      </c>
      <c r="B52" t="s">
        <v>581</v>
      </c>
    </row>
    <row r="53" spans="1:2" x14ac:dyDescent="0.25">
      <c r="A53" s="15">
        <v>52</v>
      </c>
      <c r="B53" t="s">
        <v>583</v>
      </c>
    </row>
    <row r="54" spans="1:2" x14ac:dyDescent="0.25">
      <c r="A54" s="15">
        <v>53</v>
      </c>
      <c r="B54" t="s">
        <v>593</v>
      </c>
    </row>
    <row r="55" spans="1:2" x14ac:dyDescent="0.25">
      <c r="A55" s="15">
        <v>54</v>
      </c>
      <c r="B55" t="s">
        <v>626</v>
      </c>
    </row>
    <row r="56" spans="1:2" x14ac:dyDescent="0.25">
      <c r="A56" s="15">
        <v>55</v>
      </c>
      <c r="B56" t="s">
        <v>658</v>
      </c>
    </row>
    <row r="57" spans="1:2" x14ac:dyDescent="0.25">
      <c r="A57" s="15">
        <v>56</v>
      </c>
      <c r="B57" t="s">
        <v>720</v>
      </c>
    </row>
    <row r="58" spans="1:2" x14ac:dyDescent="0.25">
      <c r="A58">
        <v>57</v>
      </c>
      <c r="B58" t="s">
        <v>696</v>
      </c>
    </row>
    <row r="59" spans="1:2" x14ac:dyDescent="0.25">
      <c r="A59" s="122">
        <v>58</v>
      </c>
      <c r="B59" t="s">
        <v>719</v>
      </c>
    </row>
    <row r="60" spans="1:2" x14ac:dyDescent="0.25">
      <c r="A60" s="122">
        <v>59</v>
      </c>
      <c r="B60" t="s">
        <v>784</v>
      </c>
    </row>
    <row r="61" spans="1:2" x14ac:dyDescent="0.25">
      <c r="A61" s="122">
        <v>60</v>
      </c>
      <c r="B61" t="s">
        <v>785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Notes</vt:lpstr>
      <vt:lpstr>Approaches Details</vt:lpstr>
      <vt:lpstr>Approaches Groups</vt:lpstr>
      <vt:lpstr>Additional information</vt:lpstr>
      <vt:lpstr>Secondary Flows</vt:lpstr>
      <vt:lpstr>Industry Table</vt:lpstr>
      <vt:lpstr>Product Table</vt:lpstr>
      <vt:lpstr>Region Table</vt:lpstr>
      <vt:lpstr>References</vt:lpstr>
      <vt:lpstr>advancedEstimate</vt:lpstr>
      <vt:lpstr>extremeEstimate</vt:lpstr>
      <vt:lpstr>intermediateEstimate</vt:lpstr>
    </vt:vector>
  </TitlesOfParts>
  <Company>University of Bath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Cooper</dc:creator>
  <cp:lastModifiedBy>Samuel Cooper</cp:lastModifiedBy>
  <cp:lastPrinted>2016-01-21T15:15:53Z</cp:lastPrinted>
  <dcterms:created xsi:type="dcterms:W3CDTF">2015-12-16T14:37:50Z</dcterms:created>
  <dcterms:modified xsi:type="dcterms:W3CDTF">2017-05-08T09:00:12Z</dcterms:modified>
</cp:coreProperties>
</file>