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4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5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m294/Dropbox/Publications/Luz - Iron NP/APSUSC/Dataset data/"/>
    </mc:Choice>
  </mc:AlternateContent>
  <xr:revisionPtr revIDLastSave="0" documentId="8_{47F670EF-2D41-0746-BEA3-3B6CD1C0C8EA}" xr6:coauthVersionLast="34" xr6:coauthVersionMax="34" xr10:uidLastSave="{00000000-0000-0000-0000-000000000000}"/>
  <bookViews>
    <workbookView xWindow="600" yWindow="460" windowWidth="20120" windowHeight="8000" tabRatio="785" firstSheet="4" activeTab="8" xr2:uid="{00000000-000D-0000-FFFF-FFFF00000000}"/>
  </bookViews>
  <sheets>
    <sheet name="250 rpm" sheetId="3" r:id="rId1"/>
    <sheet name="500 rpm" sheetId="4" r:id="rId2"/>
    <sheet name=" 750 rpm" sheetId="5" r:id="rId3"/>
    <sheet name="1000 rpm" sheetId="6" r:id="rId4"/>
    <sheet name="1250 rpm" sheetId="7" r:id="rId5"/>
    <sheet name="Shear stress profiel" sheetId="12" r:id="rId6"/>
    <sheet name="KPL  model " sheetId="13" r:id="rId7"/>
    <sheet name="Other models" sheetId="15" r:id="rId8"/>
    <sheet name="Eu number" sheetId="14" r:id="rId9"/>
    <sheet name="Forces" sheetId="16" r:id="rId10"/>
  </sheets>
  <calcPr calcId="162913"/>
</workbook>
</file>

<file path=xl/calcChain.xml><?xml version="1.0" encoding="utf-8"?>
<calcChain xmlns="http://schemas.openxmlformats.org/spreadsheetml/2006/main">
  <c r="F11" i="14" l="1"/>
  <c r="H14" i="14"/>
  <c r="H15" i="14"/>
  <c r="H16" i="14"/>
  <c r="H17" i="14"/>
  <c r="H18" i="14"/>
  <c r="G15" i="14" l="1"/>
  <c r="G16" i="14"/>
  <c r="G17" i="14"/>
  <c r="G18" i="14"/>
  <c r="G14" i="14"/>
  <c r="S12" i="16" l="1"/>
  <c r="S13" i="16"/>
  <c r="S14" i="16"/>
  <c r="S15" i="16"/>
  <c r="S16" i="16"/>
  <c r="Q13" i="16"/>
  <c r="Q14" i="16"/>
  <c r="Q15" i="16"/>
  <c r="Q16" i="16"/>
  <c r="Q12" i="16"/>
  <c r="Q20" i="16" l="1"/>
  <c r="Q34" i="16"/>
  <c r="Q32" i="16"/>
  <c r="Q30" i="16"/>
  <c r="Q28" i="16"/>
  <c r="Q26" i="16"/>
  <c r="Q23" i="16"/>
  <c r="O13" i="16" l="1"/>
  <c r="O14" i="16"/>
  <c r="O15" i="16"/>
  <c r="O16" i="16"/>
  <c r="O12" i="16"/>
  <c r="M13" i="16"/>
  <c r="M14" i="16"/>
  <c r="M15" i="16"/>
  <c r="M16" i="16"/>
  <c r="M12" i="16"/>
  <c r="K16" i="16"/>
  <c r="K13" i="16"/>
  <c r="K14" i="16"/>
  <c r="K15" i="16"/>
  <c r="K12" i="16"/>
  <c r="G13" i="16"/>
  <c r="G14" i="16"/>
  <c r="G15" i="16"/>
  <c r="G16" i="16"/>
  <c r="G12" i="16"/>
  <c r="I13" i="16"/>
  <c r="I14" i="16"/>
  <c r="I15" i="16"/>
  <c r="I16" i="16"/>
  <c r="I12" i="16"/>
  <c r="D16" i="16"/>
  <c r="D15" i="16"/>
  <c r="D14" i="16"/>
  <c r="D13" i="16"/>
  <c r="D12" i="16"/>
  <c r="D5" i="16"/>
  <c r="D3" i="16"/>
  <c r="P11" i="15"/>
  <c r="P12" i="15"/>
  <c r="P13" i="15"/>
  <c r="P14" i="15"/>
  <c r="P10" i="15"/>
  <c r="L11" i="15"/>
  <c r="L12" i="15"/>
  <c r="L13" i="15"/>
  <c r="L14" i="15"/>
  <c r="L10" i="15"/>
  <c r="D14" i="15" l="1"/>
  <c r="D13" i="15"/>
  <c r="D12" i="15"/>
  <c r="D11" i="15"/>
  <c r="D10" i="15"/>
  <c r="D3" i="15"/>
  <c r="D5" i="15"/>
  <c r="I10" i="15" l="1"/>
  <c r="N10" i="15"/>
  <c r="O10" i="15" s="1"/>
  <c r="G10" i="15"/>
  <c r="H10" i="15" s="1"/>
  <c r="G11" i="15"/>
  <c r="H11" i="15" s="1"/>
  <c r="N11" i="15"/>
  <c r="O11" i="15" s="1"/>
  <c r="I12" i="15"/>
  <c r="G12" i="15"/>
  <c r="H12" i="15" s="1"/>
  <c r="N12" i="15"/>
  <c r="O12" i="15" s="1"/>
  <c r="N13" i="15"/>
  <c r="O13" i="15" s="1"/>
  <c r="I13" i="15"/>
  <c r="G13" i="15"/>
  <c r="H13" i="15" s="1"/>
  <c r="G14" i="15"/>
  <c r="H14" i="15" s="1"/>
  <c r="N14" i="15"/>
  <c r="O14" i="15" s="1"/>
  <c r="P23" i="13"/>
  <c r="P24" i="13"/>
  <c r="P25" i="13"/>
  <c r="P26" i="13"/>
  <c r="P22" i="13"/>
  <c r="J13" i="15" l="1"/>
  <c r="K13" i="15" s="1"/>
  <c r="J12" i="15"/>
  <c r="K12" i="15" s="1"/>
  <c r="I11" i="15"/>
  <c r="J11" i="15" s="1"/>
  <c r="K11" i="15" s="1"/>
  <c r="J10" i="15"/>
  <c r="K10" i="15" s="1"/>
  <c r="I14" i="15"/>
  <c r="J14" i="15" s="1"/>
  <c r="K14" i="15" s="1"/>
  <c r="N22" i="13"/>
  <c r="C26" i="13"/>
  <c r="E26" i="13"/>
  <c r="C25" i="13"/>
  <c r="C24" i="13"/>
  <c r="C23" i="13"/>
  <c r="E23" i="13"/>
  <c r="C22" i="13"/>
  <c r="E22" i="13" s="1"/>
  <c r="N10" i="3"/>
  <c r="M10" i="3"/>
  <c r="L10" i="3"/>
  <c r="K10" i="3"/>
  <c r="J10" i="3"/>
  <c r="I10" i="3"/>
  <c r="G10" i="3"/>
  <c r="F10" i="3"/>
  <c r="C18" i="13" l="1"/>
  <c r="D22" i="13" s="1"/>
  <c r="I15" i="14" l="1"/>
  <c r="I16" i="14" l="1"/>
  <c r="I18" i="14"/>
  <c r="I17" i="14"/>
  <c r="I14" i="14"/>
  <c r="E39" i="5" l="1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38" i="7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22" i="3"/>
  <c r="I10" i="7" l="1"/>
  <c r="J10" i="7"/>
  <c r="L23" i="13" l="1"/>
  <c r="O23" i="13" s="1"/>
  <c r="L22" i="13"/>
  <c r="O22" i="13" s="1"/>
  <c r="H22" i="13"/>
  <c r="G11" i="13"/>
  <c r="I22" i="13"/>
  <c r="N26" i="13"/>
  <c r="L26" i="13"/>
  <c r="O26" i="13" s="1"/>
  <c r="N25" i="13"/>
  <c r="L25" i="13"/>
  <c r="O25" i="13" s="1"/>
  <c r="N24" i="13"/>
  <c r="L24" i="13"/>
  <c r="O24" i="13" s="1"/>
  <c r="N23" i="13"/>
  <c r="G22" i="13"/>
  <c r="F22" i="13"/>
  <c r="F18" i="13"/>
  <c r="H10" i="3" l="1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H10" i="7"/>
  <c r="F10" i="7"/>
  <c r="B4" i="7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J10" i="6"/>
  <c r="I10" i="6"/>
  <c r="H10" i="6"/>
  <c r="F10" i="6"/>
  <c r="B4" i="6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J10" i="5"/>
  <c r="I10" i="5"/>
  <c r="H10" i="5"/>
  <c r="F10" i="5"/>
  <c r="B4" i="5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J10" i="4"/>
  <c r="I10" i="4"/>
  <c r="H10" i="4"/>
  <c r="F10" i="4"/>
  <c r="B4" i="4"/>
  <c r="G10" i="6" l="1"/>
  <c r="K10" i="6" s="1"/>
  <c r="G10" i="7"/>
  <c r="K10" i="7" s="1"/>
  <c r="L10" i="7" s="1"/>
  <c r="I50" i="7" s="1"/>
  <c r="G10" i="4"/>
  <c r="K10" i="4" s="1"/>
  <c r="R11" i="5"/>
  <c r="T11" i="5" s="1"/>
  <c r="R11" i="7"/>
  <c r="R13" i="7"/>
  <c r="N10" i="7"/>
  <c r="O10" i="7" s="1"/>
  <c r="R12" i="7"/>
  <c r="L10" i="6"/>
  <c r="M10" i="6" s="1"/>
  <c r="R11" i="6"/>
  <c r="R13" i="6"/>
  <c r="N10" i="6"/>
  <c r="O10" i="6" s="1"/>
  <c r="R12" i="6"/>
  <c r="G10" i="5"/>
  <c r="K10" i="5" s="1"/>
  <c r="L10" i="5" s="1"/>
  <c r="E24" i="13" s="1"/>
  <c r="R12" i="5"/>
  <c r="N10" i="5"/>
  <c r="O10" i="5" s="1"/>
  <c r="R13" i="5"/>
  <c r="F26" i="5"/>
  <c r="L10" i="4"/>
  <c r="M10" i="4" s="1"/>
  <c r="R11" i="4"/>
  <c r="R13" i="4"/>
  <c r="N10" i="4"/>
  <c r="O10" i="4" s="1"/>
  <c r="R12" i="4"/>
  <c r="J50" i="7" l="1"/>
  <c r="K50" i="7"/>
  <c r="F27" i="5"/>
  <c r="I55" i="5"/>
  <c r="F36" i="5"/>
  <c r="F41" i="5"/>
  <c r="F32" i="5"/>
  <c r="I48" i="5"/>
  <c r="I62" i="5"/>
  <c r="I46" i="5"/>
  <c r="F33" i="7"/>
  <c r="F45" i="7"/>
  <c r="F41" i="7"/>
  <c r="F44" i="7"/>
  <c r="F31" i="7"/>
  <c r="J31" i="7" s="1"/>
  <c r="F35" i="7"/>
  <c r="F46" i="7"/>
  <c r="I62" i="7"/>
  <c r="F31" i="4"/>
  <c r="F38" i="4"/>
  <c r="F35" i="4"/>
  <c r="I50" i="4"/>
  <c r="I55" i="4"/>
  <c r="F33" i="4"/>
  <c r="I54" i="4"/>
  <c r="F40" i="4"/>
  <c r="I61" i="4"/>
  <c r="I53" i="4"/>
  <c r="F37" i="6"/>
  <c r="I62" i="6"/>
  <c r="F41" i="6"/>
  <c r="I48" i="6"/>
  <c r="F32" i="6"/>
  <c r="F39" i="6"/>
  <c r="I55" i="6"/>
  <c r="I52" i="5"/>
  <c r="F45" i="5"/>
  <c r="I58" i="5"/>
  <c r="F33" i="5"/>
  <c r="I61" i="5"/>
  <c r="F43" i="5"/>
  <c r="I59" i="5"/>
  <c r="F42" i="5"/>
  <c r="I49" i="7"/>
  <c r="F37" i="7"/>
  <c r="I57" i="7"/>
  <c r="F36" i="7"/>
  <c r="I47" i="7"/>
  <c r="I59" i="7"/>
  <c r="F42" i="7"/>
  <c r="I58" i="7"/>
  <c r="I60" i="4"/>
  <c r="F30" i="4"/>
  <c r="J30" i="4" s="1"/>
  <c r="F27" i="4"/>
  <c r="F42" i="4"/>
  <c r="I46" i="4"/>
  <c r="F29" i="4"/>
  <c r="I49" i="4"/>
  <c r="F36" i="4"/>
  <c r="I57" i="4"/>
  <c r="F45" i="6"/>
  <c r="I56" i="6"/>
  <c r="F34" i="6"/>
  <c r="F33" i="6"/>
  <c r="F44" i="6"/>
  <c r="I58" i="6"/>
  <c r="F35" i="6"/>
  <c r="I52" i="6"/>
  <c r="F22" i="5"/>
  <c r="J22" i="5" s="1"/>
  <c r="I57" i="5"/>
  <c r="I50" i="5"/>
  <c r="I49" i="5"/>
  <c r="I60" i="5"/>
  <c r="I56" i="5"/>
  <c r="F39" i="5"/>
  <c r="I54" i="5"/>
  <c r="F38" i="5"/>
  <c r="F40" i="7"/>
  <c r="I61" i="7"/>
  <c r="F32" i="7"/>
  <c r="I60" i="7"/>
  <c r="F43" i="7"/>
  <c r="I55" i="7"/>
  <c r="F38" i="7"/>
  <c r="I54" i="7"/>
  <c r="F39" i="4"/>
  <c r="I59" i="4"/>
  <c r="I56" i="4"/>
  <c r="F34" i="4"/>
  <c r="F41" i="4"/>
  <c r="I62" i="4"/>
  <c r="I45" i="4"/>
  <c r="F32" i="4"/>
  <c r="I52" i="4"/>
  <c r="I51" i="6"/>
  <c r="I61" i="6"/>
  <c r="F42" i="6"/>
  <c r="I59" i="6"/>
  <c r="F40" i="6"/>
  <c r="I50" i="6"/>
  <c r="I60" i="6"/>
  <c r="I49" i="6"/>
  <c r="F37" i="5"/>
  <c r="F44" i="5"/>
  <c r="I47" i="5"/>
  <c r="F40" i="5"/>
  <c r="I53" i="5"/>
  <c r="F35" i="5"/>
  <c r="I51" i="5"/>
  <c r="F34" i="5"/>
  <c r="I56" i="7"/>
  <c r="I53" i="7"/>
  <c r="I48" i="7"/>
  <c r="I52" i="7"/>
  <c r="F39" i="7"/>
  <c r="I51" i="7"/>
  <c r="F34" i="7"/>
  <c r="I51" i="4"/>
  <c r="F43" i="4"/>
  <c r="I47" i="4"/>
  <c r="I44" i="4"/>
  <c r="F37" i="4"/>
  <c r="I58" i="4"/>
  <c r="F26" i="4"/>
  <c r="F28" i="4"/>
  <c r="I48" i="4"/>
  <c r="F38" i="6"/>
  <c r="F46" i="6"/>
  <c r="I54" i="6"/>
  <c r="I53" i="6"/>
  <c r="F36" i="6"/>
  <c r="F43" i="6"/>
  <c r="I57" i="6"/>
  <c r="I47" i="6"/>
  <c r="M10" i="7"/>
  <c r="S11" i="5"/>
  <c r="U11" i="5" s="1"/>
  <c r="V11" i="5" s="1"/>
  <c r="F31" i="5"/>
  <c r="F24" i="5"/>
  <c r="J24" i="5" s="1"/>
  <c r="F29" i="5"/>
  <c r="K29" i="5" s="1"/>
  <c r="F31" i="6"/>
  <c r="J31" i="6" s="1"/>
  <c r="T12" i="7"/>
  <c r="S12" i="7"/>
  <c r="F29" i="7"/>
  <c r="F27" i="7"/>
  <c r="F25" i="7"/>
  <c r="F23" i="7"/>
  <c r="S13" i="7"/>
  <c r="T13" i="7"/>
  <c r="R10" i="7"/>
  <c r="F30" i="7"/>
  <c r="J30" i="7" s="1"/>
  <c r="F28" i="7"/>
  <c r="F26" i="7"/>
  <c r="F24" i="7"/>
  <c r="F22" i="7"/>
  <c r="S11" i="7"/>
  <c r="T11" i="7"/>
  <c r="T12" i="6"/>
  <c r="S12" i="6"/>
  <c r="F29" i="6"/>
  <c r="F27" i="6"/>
  <c r="F25" i="6"/>
  <c r="F23" i="6"/>
  <c r="S13" i="6"/>
  <c r="T13" i="6"/>
  <c r="E25" i="13"/>
  <c r="R10" i="6"/>
  <c r="F30" i="6"/>
  <c r="J30" i="6" s="1"/>
  <c r="F28" i="6"/>
  <c r="F26" i="6"/>
  <c r="F24" i="6"/>
  <c r="F22" i="6"/>
  <c r="S11" i="6"/>
  <c r="T11" i="6"/>
  <c r="M10" i="5"/>
  <c r="K24" i="5"/>
  <c r="K22" i="5"/>
  <c r="J27" i="5"/>
  <c r="K27" i="5"/>
  <c r="J29" i="5"/>
  <c r="T12" i="5"/>
  <c r="S12" i="5"/>
  <c r="J26" i="5"/>
  <c r="K26" i="5"/>
  <c r="F25" i="5"/>
  <c r="F23" i="5"/>
  <c r="S13" i="5"/>
  <c r="T13" i="5"/>
  <c r="F28" i="5"/>
  <c r="F30" i="5"/>
  <c r="R10" i="5"/>
  <c r="T12" i="4"/>
  <c r="S12" i="4"/>
  <c r="F25" i="4"/>
  <c r="F23" i="4"/>
  <c r="S13" i="4"/>
  <c r="U13" i="4" s="1"/>
  <c r="V13" i="4" s="1"/>
  <c r="T13" i="4"/>
  <c r="R10" i="4"/>
  <c r="F24" i="4"/>
  <c r="F22" i="4"/>
  <c r="S11" i="4"/>
  <c r="T11" i="4"/>
  <c r="L50" i="7" l="1"/>
  <c r="M50" i="7" s="1"/>
  <c r="J54" i="6"/>
  <c r="K54" i="6"/>
  <c r="J34" i="7"/>
  <c r="L34" i="7" s="1"/>
  <c r="M34" i="7" s="1"/>
  <c r="K34" i="7"/>
  <c r="J51" i="5"/>
  <c r="K51" i="5"/>
  <c r="K60" i="6"/>
  <c r="J60" i="6"/>
  <c r="J42" i="6"/>
  <c r="K42" i="6"/>
  <c r="K34" i="4"/>
  <c r="J34" i="4"/>
  <c r="J38" i="5"/>
  <c r="K38" i="5"/>
  <c r="K43" i="6"/>
  <c r="J43" i="6"/>
  <c r="J46" i="6"/>
  <c r="K46" i="6"/>
  <c r="J47" i="4"/>
  <c r="K47" i="4"/>
  <c r="J51" i="7"/>
  <c r="K51" i="7"/>
  <c r="J53" i="7"/>
  <c r="L53" i="7" s="1"/>
  <c r="M53" i="7" s="1"/>
  <c r="K53" i="7"/>
  <c r="J35" i="5"/>
  <c r="K35" i="5"/>
  <c r="J44" i="5"/>
  <c r="K44" i="5"/>
  <c r="J50" i="6"/>
  <c r="K50" i="6"/>
  <c r="K61" i="6"/>
  <c r="J61" i="6"/>
  <c r="J45" i="4"/>
  <c r="K45" i="4"/>
  <c r="J56" i="4"/>
  <c r="K56" i="4"/>
  <c r="J38" i="7"/>
  <c r="K38" i="7"/>
  <c r="J32" i="7"/>
  <c r="L32" i="7" s="1"/>
  <c r="M32" i="7" s="1"/>
  <c r="K32" i="7"/>
  <c r="J54" i="5"/>
  <c r="K54" i="5"/>
  <c r="J49" i="5"/>
  <c r="K49" i="5"/>
  <c r="K52" i="6"/>
  <c r="J52" i="6"/>
  <c r="K33" i="6"/>
  <c r="J33" i="6"/>
  <c r="K57" i="4"/>
  <c r="J57" i="4"/>
  <c r="K46" i="4"/>
  <c r="J46" i="4"/>
  <c r="J60" i="4"/>
  <c r="K60" i="4"/>
  <c r="J47" i="7"/>
  <c r="L47" i="7" s="1"/>
  <c r="M47" i="7" s="1"/>
  <c r="K47" i="7"/>
  <c r="J49" i="7"/>
  <c r="K49" i="7"/>
  <c r="J61" i="5"/>
  <c r="K61" i="5"/>
  <c r="J52" i="5"/>
  <c r="K52" i="5"/>
  <c r="K48" i="6"/>
  <c r="J48" i="6"/>
  <c r="J53" i="4"/>
  <c r="L53" i="4" s="1"/>
  <c r="M53" i="4" s="1"/>
  <c r="K53" i="4"/>
  <c r="J33" i="4"/>
  <c r="K33" i="4"/>
  <c r="K38" i="4"/>
  <c r="J38" i="4"/>
  <c r="K35" i="7"/>
  <c r="J35" i="7"/>
  <c r="K45" i="7"/>
  <c r="J45" i="7"/>
  <c r="J48" i="5"/>
  <c r="K48" i="5"/>
  <c r="J55" i="5"/>
  <c r="K55" i="5"/>
  <c r="J36" i="6"/>
  <c r="K36" i="6"/>
  <c r="J58" i="4"/>
  <c r="L58" i="4" s="1"/>
  <c r="M58" i="4" s="1"/>
  <c r="K58" i="4"/>
  <c r="J56" i="7"/>
  <c r="L56" i="7" s="1"/>
  <c r="M56" i="7" s="1"/>
  <c r="K56" i="7"/>
  <c r="J37" i="5"/>
  <c r="K37" i="5"/>
  <c r="J51" i="6"/>
  <c r="K51" i="6"/>
  <c r="J59" i="4"/>
  <c r="L59" i="4" s="1"/>
  <c r="M59" i="4" s="1"/>
  <c r="K59" i="4"/>
  <c r="J55" i="7"/>
  <c r="L55" i="7" s="1"/>
  <c r="M55" i="7" s="1"/>
  <c r="K55" i="7"/>
  <c r="J39" i="5"/>
  <c r="K39" i="5"/>
  <c r="J50" i="5"/>
  <c r="K50" i="5"/>
  <c r="K35" i="6"/>
  <c r="J35" i="6"/>
  <c r="J34" i="6"/>
  <c r="K34" i="6"/>
  <c r="K36" i="4"/>
  <c r="J36" i="4"/>
  <c r="K42" i="4"/>
  <c r="J42" i="4"/>
  <c r="J58" i="7"/>
  <c r="K58" i="7"/>
  <c r="J36" i="7"/>
  <c r="L36" i="7" s="1"/>
  <c r="M36" i="7" s="1"/>
  <c r="K36" i="7"/>
  <c r="J42" i="5"/>
  <c r="K42" i="5"/>
  <c r="J33" i="5"/>
  <c r="K33" i="5"/>
  <c r="J55" i="6"/>
  <c r="K55" i="6"/>
  <c r="K41" i="6"/>
  <c r="J41" i="6"/>
  <c r="J61" i="4"/>
  <c r="L61" i="4" s="1"/>
  <c r="M61" i="4" s="1"/>
  <c r="K61" i="4"/>
  <c r="J55" i="4"/>
  <c r="K55" i="4"/>
  <c r="J31" i="4"/>
  <c r="L31" i="4" s="1"/>
  <c r="M31" i="4" s="1"/>
  <c r="K31" i="4"/>
  <c r="K33" i="7"/>
  <c r="J33" i="7"/>
  <c r="J32" i="5"/>
  <c r="K32" i="5"/>
  <c r="J38" i="6"/>
  <c r="K38" i="6"/>
  <c r="J43" i="4"/>
  <c r="L43" i="4" s="1"/>
  <c r="M43" i="4" s="1"/>
  <c r="K43" i="4"/>
  <c r="K39" i="7"/>
  <c r="J39" i="7"/>
  <c r="J53" i="5"/>
  <c r="K53" i="5"/>
  <c r="J40" i="6"/>
  <c r="K40" i="6"/>
  <c r="J62" i="4"/>
  <c r="L62" i="4" s="1"/>
  <c r="M62" i="4" s="1"/>
  <c r="K62" i="4"/>
  <c r="J61" i="7"/>
  <c r="L61" i="7" s="1"/>
  <c r="M61" i="7" s="1"/>
  <c r="K61" i="7"/>
  <c r="J47" i="6"/>
  <c r="K47" i="6"/>
  <c r="K53" i="6"/>
  <c r="J53" i="6"/>
  <c r="J48" i="4"/>
  <c r="K48" i="4"/>
  <c r="J37" i="4"/>
  <c r="K37" i="4"/>
  <c r="J51" i="4"/>
  <c r="L51" i="4" s="1"/>
  <c r="M51" i="4" s="1"/>
  <c r="K51" i="4"/>
  <c r="J52" i="7"/>
  <c r="L52" i="7" s="1"/>
  <c r="M52" i="7" s="1"/>
  <c r="K52" i="7"/>
  <c r="J34" i="5"/>
  <c r="K34" i="5"/>
  <c r="J40" i="5"/>
  <c r="K40" i="5"/>
  <c r="K49" i="6"/>
  <c r="J49" i="6"/>
  <c r="J59" i="6"/>
  <c r="K59" i="6"/>
  <c r="J52" i="4"/>
  <c r="K52" i="4"/>
  <c r="J41" i="4"/>
  <c r="K41" i="4"/>
  <c r="J39" i="4"/>
  <c r="L39" i="4" s="1"/>
  <c r="M39" i="4" s="1"/>
  <c r="K39" i="4"/>
  <c r="K43" i="7"/>
  <c r="J43" i="7"/>
  <c r="J40" i="7"/>
  <c r="K40" i="7"/>
  <c r="J56" i="5"/>
  <c r="K56" i="5"/>
  <c r="J57" i="5"/>
  <c r="K57" i="5"/>
  <c r="J58" i="6"/>
  <c r="K58" i="6"/>
  <c r="K56" i="6"/>
  <c r="J56" i="6"/>
  <c r="J49" i="4"/>
  <c r="K49" i="4"/>
  <c r="J42" i="7"/>
  <c r="K42" i="7"/>
  <c r="J57" i="7"/>
  <c r="L57" i="7" s="1"/>
  <c r="M57" i="7" s="1"/>
  <c r="K57" i="7"/>
  <c r="J59" i="5"/>
  <c r="K59" i="5"/>
  <c r="J58" i="5"/>
  <c r="K58" i="5"/>
  <c r="K39" i="6"/>
  <c r="J39" i="6"/>
  <c r="J62" i="6"/>
  <c r="K62" i="6"/>
  <c r="K40" i="4"/>
  <c r="J40" i="4"/>
  <c r="J50" i="4"/>
  <c r="K50" i="4"/>
  <c r="J62" i="7"/>
  <c r="K62" i="7"/>
  <c r="J44" i="7"/>
  <c r="L44" i="7" s="1"/>
  <c r="M44" i="7" s="1"/>
  <c r="K44" i="7"/>
  <c r="J46" i="5"/>
  <c r="K46" i="5"/>
  <c r="J41" i="5"/>
  <c r="K41" i="5"/>
  <c r="K57" i="6"/>
  <c r="J57" i="6"/>
  <c r="J44" i="4"/>
  <c r="K44" i="4"/>
  <c r="J48" i="7"/>
  <c r="K48" i="7"/>
  <c r="J47" i="5"/>
  <c r="K47" i="5"/>
  <c r="K32" i="4"/>
  <c r="J32" i="4"/>
  <c r="J54" i="7"/>
  <c r="L54" i="7" s="1"/>
  <c r="M54" i="7" s="1"/>
  <c r="K54" i="7"/>
  <c r="J60" i="7"/>
  <c r="K60" i="7"/>
  <c r="J60" i="5"/>
  <c r="K60" i="5"/>
  <c r="J44" i="6"/>
  <c r="K44" i="6"/>
  <c r="K45" i="6"/>
  <c r="J45" i="6"/>
  <c r="J59" i="7"/>
  <c r="K59" i="7"/>
  <c r="K37" i="7"/>
  <c r="J37" i="7"/>
  <c r="J43" i="5"/>
  <c r="K43" i="5"/>
  <c r="J45" i="5"/>
  <c r="K45" i="5"/>
  <c r="J32" i="6"/>
  <c r="K32" i="6"/>
  <c r="K37" i="6"/>
  <c r="J37" i="6"/>
  <c r="J54" i="4"/>
  <c r="L54" i="4" s="1"/>
  <c r="M54" i="4" s="1"/>
  <c r="K54" i="4"/>
  <c r="J35" i="4"/>
  <c r="K35" i="4"/>
  <c r="K46" i="7"/>
  <c r="J46" i="7"/>
  <c r="K41" i="7"/>
  <c r="J41" i="7"/>
  <c r="J62" i="5"/>
  <c r="K62" i="5"/>
  <c r="J36" i="5"/>
  <c r="K36" i="5"/>
  <c r="K31" i="7"/>
  <c r="U13" i="6"/>
  <c r="V13" i="6" s="1"/>
  <c r="K31" i="6"/>
  <c r="K31" i="5"/>
  <c r="J31" i="5"/>
  <c r="U11" i="7"/>
  <c r="V11" i="7" s="1"/>
  <c r="U13" i="7"/>
  <c r="V13" i="7" s="1"/>
  <c r="U11" i="6"/>
  <c r="V11" i="6" s="1"/>
  <c r="U12" i="5"/>
  <c r="V12" i="5" s="1"/>
  <c r="U11" i="4"/>
  <c r="V11" i="4" s="1"/>
  <c r="J28" i="7"/>
  <c r="K28" i="7"/>
  <c r="J22" i="7"/>
  <c r="K22" i="7"/>
  <c r="J26" i="7"/>
  <c r="K26" i="7"/>
  <c r="K30" i="7"/>
  <c r="J23" i="7"/>
  <c r="K23" i="7"/>
  <c r="J27" i="7"/>
  <c r="K27" i="7"/>
  <c r="U12" i="7"/>
  <c r="V12" i="7" s="1"/>
  <c r="J24" i="7"/>
  <c r="K24" i="7"/>
  <c r="T10" i="7"/>
  <c r="S10" i="7"/>
  <c r="J25" i="7"/>
  <c r="K25" i="7"/>
  <c r="J29" i="7"/>
  <c r="K29" i="7"/>
  <c r="J22" i="6"/>
  <c r="K22" i="6"/>
  <c r="J26" i="6"/>
  <c r="K26" i="6"/>
  <c r="K30" i="6"/>
  <c r="L30" i="6" s="1"/>
  <c r="M30" i="6" s="1"/>
  <c r="J23" i="6"/>
  <c r="K23" i="6"/>
  <c r="J27" i="6"/>
  <c r="K27" i="6"/>
  <c r="U12" i="6"/>
  <c r="V12" i="6" s="1"/>
  <c r="J24" i="6"/>
  <c r="K24" i="6"/>
  <c r="J28" i="6"/>
  <c r="K28" i="6"/>
  <c r="T10" i="6"/>
  <c r="S10" i="6"/>
  <c r="J25" i="6"/>
  <c r="K25" i="6"/>
  <c r="J29" i="6"/>
  <c r="K29" i="6"/>
  <c r="K30" i="5"/>
  <c r="J30" i="5"/>
  <c r="J23" i="5"/>
  <c r="K23" i="5"/>
  <c r="T10" i="5"/>
  <c r="S10" i="5"/>
  <c r="J28" i="5"/>
  <c r="K28" i="5"/>
  <c r="U13" i="5"/>
  <c r="V13" i="5" s="1"/>
  <c r="J25" i="5"/>
  <c r="K25" i="5"/>
  <c r="L26" i="5"/>
  <c r="M26" i="5" s="1"/>
  <c r="L29" i="5"/>
  <c r="M29" i="5" s="1"/>
  <c r="L27" i="5"/>
  <c r="M27" i="5" s="1"/>
  <c r="L22" i="5"/>
  <c r="M22" i="5" s="1"/>
  <c r="L24" i="5"/>
  <c r="M24" i="5" s="1"/>
  <c r="J28" i="4"/>
  <c r="K28" i="4"/>
  <c r="T10" i="4"/>
  <c r="S10" i="4"/>
  <c r="J22" i="4"/>
  <c r="K22" i="4"/>
  <c r="J26" i="4"/>
  <c r="K26" i="4"/>
  <c r="K30" i="4"/>
  <c r="J23" i="4"/>
  <c r="K23" i="4"/>
  <c r="J27" i="4"/>
  <c r="K27" i="4"/>
  <c r="U12" i="4"/>
  <c r="V12" i="4" s="1"/>
  <c r="J24" i="4"/>
  <c r="K24" i="4"/>
  <c r="J25" i="4"/>
  <c r="K25" i="4"/>
  <c r="J29" i="4"/>
  <c r="K29" i="4"/>
  <c r="L59" i="7" l="1"/>
  <c r="M59" i="7" s="1"/>
  <c r="L60" i="7"/>
  <c r="M60" i="7" s="1"/>
  <c r="L48" i="7"/>
  <c r="M48" i="7" s="1"/>
  <c r="L62" i="7"/>
  <c r="M62" i="7" s="1"/>
  <c r="L42" i="7"/>
  <c r="M42" i="7" s="1"/>
  <c r="L40" i="7"/>
  <c r="M40" i="7" s="1"/>
  <c r="L58" i="7"/>
  <c r="M58" i="7" s="1"/>
  <c r="L49" i="7"/>
  <c r="M49" i="7" s="1"/>
  <c r="L38" i="7"/>
  <c r="M38" i="7" s="1"/>
  <c r="L51" i="7"/>
  <c r="M51" i="7" s="1"/>
  <c r="L62" i="6"/>
  <c r="M62" i="6" s="1"/>
  <c r="L59" i="6"/>
  <c r="M59" i="6" s="1"/>
  <c r="L40" i="6"/>
  <c r="M40" i="6" s="1"/>
  <c r="L38" i="6"/>
  <c r="M38" i="6" s="1"/>
  <c r="L34" i="6"/>
  <c r="M34" i="6" s="1"/>
  <c r="L51" i="6"/>
  <c r="M51" i="6" s="1"/>
  <c r="L36" i="6"/>
  <c r="M36" i="6" s="1"/>
  <c r="L32" i="6"/>
  <c r="M32" i="6" s="1"/>
  <c r="L44" i="6"/>
  <c r="M44" i="6" s="1"/>
  <c r="L47" i="6"/>
  <c r="M47" i="6" s="1"/>
  <c r="L55" i="6"/>
  <c r="M55" i="6" s="1"/>
  <c r="L46" i="6"/>
  <c r="M46" i="6" s="1"/>
  <c r="L42" i="6"/>
  <c r="M42" i="6" s="1"/>
  <c r="L36" i="5"/>
  <c r="M36" i="5" s="1"/>
  <c r="L45" i="5"/>
  <c r="M45" i="5" s="1"/>
  <c r="L47" i="5"/>
  <c r="M47" i="5" s="1"/>
  <c r="L41" i="5"/>
  <c r="M41" i="5" s="1"/>
  <c r="L40" i="5"/>
  <c r="M40" i="5" s="1"/>
  <c r="L33" i="5"/>
  <c r="M33" i="5" s="1"/>
  <c r="L61" i="5"/>
  <c r="M61" i="5" s="1"/>
  <c r="L49" i="5"/>
  <c r="M49" i="5" s="1"/>
  <c r="L44" i="5"/>
  <c r="M44" i="5" s="1"/>
  <c r="L43" i="5"/>
  <c r="M43" i="5" s="1"/>
  <c r="L59" i="5"/>
  <c r="M59" i="5" s="1"/>
  <c r="L57" i="5"/>
  <c r="M57" i="5" s="1"/>
  <c r="L34" i="5"/>
  <c r="M34" i="5" s="1"/>
  <c r="L53" i="5"/>
  <c r="M53" i="5" s="1"/>
  <c r="L32" i="5"/>
  <c r="M32" i="5" s="1"/>
  <c r="L42" i="5"/>
  <c r="M42" i="5" s="1"/>
  <c r="L39" i="5"/>
  <c r="M39" i="5" s="1"/>
  <c r="L37" i="5"/>
  <c r="M37" i="5" s="1"/>
  <c r="L55" i="5"/>
  <c r="M55" i="5" s="1"/>
  <c r="L35" i="5"/>
  <c r="M35" i="5" s="1"/>
  <c r="L38" i="5"/>
  <c r="M38" i="5" s="1"/>
  <c r="L51" i="5"/>
  <c r="M51" i="5" s="1"/>
  <c r="L35" i="4"/>
  <c r="M35" i="4" s="1"/>
  <c r="L50" i="4"/>
  <c r="M50" i="4" s="1"/>
  <c r="L49" i="4"/>
  <c r="M49" i="4" s="1"/>
  <c r="L41" i="4"/>
  <c r="M41" i="4" s="1"/>
  <c r="L37" i="4"/>
  <c r="M37" i="4" s="1"/>
  <c r="L55" i="4"/>
  <c r="M55" i="4" s="1"/>
  <c r="L33" i="4"/>
  <c r="M33" i="4" s="1"/>
  <c r="L47" i="4"/>
  <c r="M47" i="4" s="1"/>
  <c r="L45" i="4"/>
  <c r="M45" i="4" s="1"/>
  <c r="L41" i="7"/>
  <c r="M41" i="7" s="1"/>
  <c r="L37" i="6"/>
  <c r="M37" i="6" s="1"/>
  <c r="L37" i="7"/>
  <c r="M37" i="7" s="1"/>
  <c r="L45" i="6"/>
  <c r="M45" i="6" s="1"/>
  <c r="L60" i="5"/>
  <c r="M60" i="5" s="1"/>
  <c r="L44" i="4"/>
  <c r="M44" i="4" s="1"/>
  <c r="L58" i="5"/>
  <c r="M58" i="5" s="1"/>
  <c r="L58" i="6"/>
  <c r="M58" i="6" s="1"/>
  <c r="L56" i="5"/>
  <c r="M56" i="5" s="1"/>
  <c r="L43" i="7"/>
  <c r="M43" i="7" s="1"/>
  <c r="L53" i="6"/>
  <c r="M53" i="6" s="1"/>
  <c r="L39" i="7"/>
  <c r="M39" i="7" s="1"/>
  <c r="L33" i="7"/>
  <c r="M33" i="7" s="1"/>
  <c r="L41" i="6"/>
  <c r="M41" i="6" s="1"/>
  <c r="L42" i="4"/>
  <c r="M42" i="4" s="1"/>
  <c r="L50" i="5"/>
  <c r="M50" i="5" s="1"/>
  <c r="L48" i="5"/>
  <c r="M48" i="5" s="1"/>
  <c r="L35" i="7"/>
  <c r="M35" i="7" s="1"/>
  <c r="L48" i="6"/>
  <c r="M48" i="6" s="1"/>
  <c r="L46" i="4"/>
  <c r="M46" i="4" s="1"/>
  <c r="L33" i="6"/>
  <c r="M33" i="6" s="1"/>
  <c r="L56" i="4"/>
  <c r="M56" i="4" s="1"/>
  <c r="L61" i="6"/>
  <c r="M61" i="6" s="1"/>
  <c r="L43" i="6"/>
  <c r="M43" i="6" s="1"/>
  <c r="L34" i="4"/>
  <c r="M34" i="4" s="1"/>
  <c r="L60" i="6"/>
  <c r="M60" i="6" s="1"/>
  <c r="L62" i="5"/>
  <c r="M62" i="5" s="1"/>
  <c r="L46" i="7"/>
  <c r="M46" i="7" s="1"/>
  <c r="L32" i="4"/>
  <c r="M32" i="4" s="1"/>
  <c r="L57" i="6"/>
  <c r="M57" i="6" s="1"/>
  <c r="L46" i="5"/>
  <c r="M46" i="5" s="1"/>
  <c r="L40" i="4"/>
  <c r="M40" i="4" s="1"/>
  <c r="L39" i="6"/>
  <c r="M39" i="6" s="1"/>
  <c r="L56" i="6"/>
  <c r="M56" i="6" s="1"/>
  <c r="L52" i="4"/>
  <c r="M52" i="4" s="1"/>
  <c r="L49" i="6"/>
  <c r="M49" i="6" s="1"/>
  <c r="L48" i="4"/>
  <c r="M48" i="4" s="1"/>
  <c r="L36" i="4"/>
  <c r="M36" i="4" s="1"/>
  <c r="L35" i="6"/>
  <c r="M35" i="6" s="1"/>
  <c r="L45" i="7"/>
  <c r="M45" i="7" s="1"/>
  <c r="L38" i="4"/>
  <c r="M38" i="4" s="1"/>
  <c r="L52" i="5"/>
  <c r="M52" i="5" s="1"/>
  <c r="L60" i="4"/>
  <c r="M60" i="4" s="1"/>
  <c r="L57" i="4"/>
  <c r="M57" i="4" s="1"/>
  <c r="L52" i="6"/>
  <c r="M52" i="6" s="1"/>
  <c r="L54" i="5"/>
  <c r="M54" i="5" s="1"/>
  <c r="L50" i="6"/>
  <c r="M50" i="6" s="1"/>
  <c r="L54" i="6"/>
  <c r="M54" i="6" s="1"/>
  <c r="L31" i="5"/>
  <c r="M31" i="5" s="1"/>
  <c r="L31" i="6"/>
  <c r="M31" i="6" s="1"/>
  <c r="L25" i="4"/>
  <c r="M25" i="4" s="1"/>
  <c r="L26" i="4"/>
  <c r="M26" i="4" s="1"/>
  <c r="L31" i="7"/>
  <c r="M31" i="7" s="1"/>
  <c r="L29" i="7"/>
  <c r="M29" i="7" s="1"/>
  <c r="L25" i="7"/>
  <c r="M25" i="7" s="1"/>
  <c r="L24" i="7"/>
  <c r="M24" i="7" s="1"/>
  <c r="L25" i="6"/>
  <c r="M25" i="6" s="1"/>
  <c r="L24" i="6"/>
  <c r="M24" i="6" s="1"/>
  <c r="L29" i="6"/>
  <c r="M29" i="6" s="1"/>
  <c r="L28" i="6"/>
  <c r="M28" i="6" s="1"/>
  <c r="L28" i="5"/>
  <c r="M28" i="5" s="1"/>
  <c r="L23" i="5"/>
  <c r="M23" i="5" s="1"/>
  <c r="L24" i="4"/>
  <c r="M24" i="4" s="1"/>
  <c r="L22" i="4"/>
  <c r="M22" i="4" s="1"/>
  <c r="L29" i="4"/>
  <c r="M29" i="4" s="1"/>
  <c r="L26" i="7"/>
  <c r="M26" i="7" s="1"/>
  <c r="L22" i="7"/>
  <c r="M22" i="7" s="1"/>
  <c r="L28" i="7"/>
  <c r="M28" i="7" s="1"/>
  <c r="U10" i="7"/>
  <c r="V10" i="7" s="1"/>
  <c r="L27" i="7"/>
  <c r="M27" i="7" s="1"/>
  <c r="L23" i="7"/>
  <c r="M23" i="7" s="1"/>
  <c r="L30" i="7"/>
  <c r="M30" i="7" s="1"/>
  <c r="U10" i="6"/>
  <c r="V10" i="6" s="1"/>
  <c r="L27" i="6"/>
  <c r="M27" i="6" s="1"/>
  <c r="L23" i="6"/>
  <c r="M23" i="6" s="1"/>
  <c r="L26" i="6"/>
  <c r="M26" i="6" s="1"/>
  <c r="L22" i="6"/>
  <c r="M22" i="6" s="1"/>
  <c r="L25" i="5"/>
  <c r="M25" i="5" s="1"/>
  <c r="U10" i="5"/>
  <c r="V10" i="5" s="1"/>
  <c r="L30" i="5"/>
  <c r="M30" i="5" s="1"/>
  <c r="L27" i="4"/>
  <c r="M27" i="4" s="1"/>
  <c r="L23" i="4"/>
  <c r="M23" i="4" s="1"/>
  <c r="L30" i="4"/>
  <c r="M30" i="4" s="1"/>
  <c r="U10" i="4"/>
  <c r="V10" i="4" s="1"/>
  <c r="L28" i="4"/>
  <c r="M28" i="4" s="1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B4" i="3"/>
  <c r="O10" i="3" l="1"/>
  <c r="R11" i="3"/>
  <c r="R12" i="3"/>
  <c r="R13" i="3"/>
  <c r="F28" i="3" l="1"/>
  <c r="J28" i="3" s="1"/>
  <c r="F32" i="3"/>
  <c r="F31" i="3"/>
  <c r="F35" i="3"/>
  <c r="I49" i="3"/>
  <c r="I57" i="3"/>
  <c r="I48" i="3"/>
  <c r="I62" i="3"/>
  <c r="I46" i="3"/>
  <c r="I42" i="3"/>
  <c r="I51" i="3"/>
  <c r="F37" i="3"/>
  <c r="I45" i="3"/>
  <c r="I44" i="3"/>
  <c r="F38" i="3"/>
  <c r="I47" i="3"/>
  <c r="F33" i="3"/>
  <c r="R10" i="3"/>
  <c r="I41" i="3"/>
  <c r="I60" i="3"/>
  <c r="I58" i="3"/>
  <c r="F22" i="3"/>
  <c r="F36" i="3"/>
  <c r="I61" i="3"/>
  <c r="F40" i="3"/>
  <c r="I56" i="3"/>
  <c r="F39" i="3"/>
  <c r="I54" i="3"/>
  <c r="F34" i="3"/>
  <c r="I59" i="3"/>
  <c r="I43" i="3"/>
  <c r="F29" i="3"/>
  <c r="J29" i="3" s="1"/>
  <c r="F24" i="3"/>
  <c r="K24" i="3" s="1"/>
  <c r="I53" i="3"/>
  <c r="I52" i="3"/>
  <c r="I50" i="3"/>
  <c r="F30" i="3"/>
  <c r="I55" i="3"/>
  <c r="F27" i="3"/>
  <c r="J27" i="3" s="1"/>
  <c r="F25" i="3"/>
  <c r="K28" i="3"/>
  <c r="J24" i="3"/>
  <c r="F26" i="3"/>
  <c r="F23" i="3"/>
  <c r="S11" i="3"/>
  <c r="S12" i="3"/>
  <c r="T12" i="3"/>
  <c r="T10" i="3"/>
  <c r="S10" i="3"/>
  <c r="T13" i="3"/>
  <c r="S13" i="3"/>
  <c r="K27" i="3" l="1"/>
  <c r="L27" i="3" s="1"/>
  <c r="M27" i="3" s="1"/>
  <c r="J30" i="3"/>
  <c r="K30" i="3"/>
  <c r="J34" i="3"/>
  <c r="K34" i="3"/>
  <c r="J40" i="3"/>
  <c r="K40" i="3"/>
  <c r="K58" i="3"/>
  <c r="J58" i="3"/>
  <c r="L58" i="3" s="1"/>
  <c r="M58" i="3" s="1"/>
  <c r="K33" i="3"/>
  <c r="J33" i="3"/>
  <c r="L33" i="3" s="1"/>
  <c r="M33" i="3" s="1"/>
  <c r="J45" i="3"/>
  <c r="K45" i="3"/>
  <c r="K46" i="3"/>
  <c r="J46" i="3"/>
  <c r="L46" i="3" s="1"/>
  <c r="M46" i="3" s="1"/>
  <c r="J49" i="3"/>
  <c r="K49" i="3"/>
  <c r="K50" i="3"/>
  <c r="J50" i="3"/>
  <c r="L50" i="3" s="1"/>
  <c r="M50" i="3" s="1"/>
  <c r="J54" i="3"/>
  <c r="K54" i="3"/>
  <c r="J61" i="3"/>
  <c r="K61" i="3"/>
  <c r="J60" i="3"/>
  <c r="K60" i="3"/>
  <c r="L60" i="3" s="1"/>
  <c r="M60" i="3" s="1"/>
  <c r="K47" i="3"/>
  <c r="J47" i="3"/>
  <c r="L47" i="3" s="1"/>
  <c r="M47" i="3" s="1"/>
  <c r="J37" i="3"/>
  <c r="K37" i="3"/>
  <c r="J62" i="3"/>
  <c r="K62" i="3"/>
  <c r="K35" i="3"/>
  <c r="J35" i="3"/>
  <c r="L35" i="3" s="1"/>
  <c r="M35" i="3" s="1"/>
  <c r="J52" i="3"/>
  <c r="K52" i="3"/>
  <c r="L52" i="3" s="1"/>
  <c r="M52" i="3" s="1"/>
  <c r="K43" i="3"/>
  <c r="J43" i="3"/>
  <c r="L43" i="3" s="1"/>
  <c r="M43" i="3" s="1"/>
  <c r="K39" i="3"/>
  <c r="J39" i="3"/>
  <c r="L39" i="3" s="1"/>
  <c r="M39" i="3" s="1"/>
  <c r="K36" i="3"/>
  <c r="J36" i="3"/>
  <c r="L36" i="3" s="1"/>
  <c r="M36" i="3" s="1"/>
  <c r="J41" i="3"/>
  <c r="K41" i="3"/>
  <c r="L41" i="3" s="1"/>
  <c r="M41" i="3" s="1"/>
  <c r="K38" i="3"/>
  <c r="J38" i="3"/>
  <c r="L38" i="3" s="1"/>
  <c r="M38" i="3" s="1"/>
  <c r="K51" i="3"/>
  <c r="J51" i="3"/>
  <c r="L51" i="3" s="1"/>
  <c r="M51" i="3" s="1"/>
  <c r="J48" i="3"/>
  <c r="K48" i="3"/>
  <c r="L48" i="3" s="1"/>
  <c r="M48" i="3" s="1"/>
  <c r="K31" i="3"/>
  <c r="J31" i="3"/>
  <c r="L31" i="3" s="1"/>
  <c r="M31" i="3" s="1"/>
  <c r="K55" i="3"/>
  <c r="J55" i="3"/>
  <c r="L55" i="3" s="1"/>
  <c r="M55" i="3" s="1"/>
  <c r="J53" i="3"/>
  <c r="K53" i="3"/>
  <c r="K59" i="3"/>
  <c r="J59" i="3"/>
  <c r="L59" i="3" s="1"/>
  <c r="M59" i="3" s="1"/>
  <c r="J56" i="3"/>
  <c r="K56" i="3"/>
  <c r="L56" i="3" s="1"/>
  <c r="M56" i="3" s="1"/>
  <c r="J44" i="3"/>
  <c r="K44" i="3"/>
  <c r="L44" i="3" s="1"/>
  <c r="M44" i="3" s="1"/>
  <c r="K42" i="3"/>
  <c r="J42" i="3"/>
  <c r="L42" i="3" s="1"/>
  <c r="M42" i="3" s="1"/>
  <c r="J57" i="3"/>
  <c r="K57" i="3"/>
  <c r="J32" i="3"/>
  <c r="K32" i="3"/>
  <c r="L28" i="3"/>
  <c r="M28" i="3" s="1"/>
  <c r="K29" i="3"/>
  <c r="K25" i="3"/>
  <c r="J25" i="3"/>
  <c r="K26" i="3"/>
  <c r="J26" i="3"/>
  <c r="K22" i="3"/>
  <c r="J22" i="3"/>
  <c r="L24" i="3"/>
  <c r="M24" i="3" s="1"/>
  <c r="U13" i="3"/>
  <c r="V13" i="3" s="1"/>
  <c r="U10" i="3"/>
  <c r="V10" i="3" s="1"/>
  <c r="K23" i="3"/>
  <c r="J23" i="3"/>
  <c r="T11" i="3"/>
  <c r="U11" i="3" s="1"/>
  <c r="V11" i="3" s="1"/>
  <c r="U12" i="3"/>
  <c r="V12" i="3" s="1"/>
  <c r="L57" i="3" l="1"/>
  <c r="M57" i="3" s="1"/>
  <c r="L37" i="3"/>
  <c r="M37" i="3" s="1"/>
  <c r="L54" i="3"/>
  <c r="M54" i="3" s="1"/>
  <c r="L49" i="3"/>
  <c r="M49" i="3" s="1"/>
  <c r="L45" i="3"/>
  <c r="M45" i="3" s="1"/>
  <c r="L34" i="3"/>
  <c r="M34" i="3" s="1"/>
  <c r="L32" i="3"/>
  <c r="M32" i="3" s="1"/>
  <c r="L53" i="3"/>
  <c r="M53" i="3" s="1"/>
  <c r="L62" i="3"/>
  <c r="M62" i="3" s="1"/>
  <c r="L61" i="3"/>
  <c r="M61" i="3" s="1"/>
  <c r="L40" i="3"/>
  <c r="M40" i="3" s="1"/>
  <c r="L30" i="3"/>
  <c r="M30" i="3" s="1"/>
  <c r="L22" i="3"/>
  <c r="M22" i="3" s="1"/>
  <c r="L25" i="3"/>
  <c r="M25" i="3" s="1"/>
  <c r="L26" i="3"/>
  <c r="M26" i="3" s="1"/>
  <c r="L29" i="3"/>
  <c r="M29" i="3" s="1"/>
  <c r="L23" i="3"/>
  <c r="M23" i="3" s="1"/>
  <c r="I20" i="12"/>
  <c r="I23" i="12"/>
  <c r="I30" i="12"/>
  <c r="I28" i="12"/>
  <c r="I7" i="12"/>
  <c r="I12" i="12"/>
  <c r="H20" i="12"/>
  <c r="I26" i="12"/>
  <c r="I25" i="12"/>
  <c r="I21" i="12"/>
  <c r="H29" i="12"/>
  <c r="I29" i="12"/>
  <c r="I24" i="12"/>
  <c r="H12" i="12"/>
  <c r="I31" i="12"/>
  <c r="I17" i="12"/>
  <c r="E16" i="12"/>
  <c r="F16" i="12"/>
  <c r="G16" i="12"/>
  <c r="H16" i="12"/>
  <c r="I16" i="12"/>
  <c r="H11" i="12"/>
  <c r="I11" i="12"/>
  <c r="I9" i="12"/>
  <c r="H8" i="12"/>
  <c r="I8" i="12"/>
  <c r="G17" i="12"/>
  <c r="H17" i="12"/>
  <c r="I22" i="12"/>
  <c r="G29" i="12"/>
  <c r="I18" i="12"/>
  <c r="H22" i="12"/>
  <c r="E25" i="12"/>
  <c r="F25" i="12"/>
  <c r="G25" i="12"/>
  <c r="H25" i="12"/>
  <c r="E19" i="12"/>
  <c r="F19" i="12"/>
  <c r="G19" i="12"/>
  <c r="H19" i="12"/>
  <c r="I19" i="12"/>
  <c r="E23" i="12"/>
  <c r="F23" i="12"/>
  <c r="G23" i="12"/>
  <c r="H23" i="12"/>
  <c r="G15" i="12"/>
  <c r="H15" i="12"/>
  <c r="I15" i="12"/>
  <c r="I10" i="12"/>
  <c r="H10" i="12"/>
  <c r="H31" i="12"/>
  <c r="E24" i="12"/>
  <c r="F24" i="12"/>
  <c r="G24" i="12"/>
  <c r="H24" i="12"/>
  <c r="F28" i="12"/>
  <c r="G28" i="12"/>
  <c r="H28" i="12"/>
  <c r="E12" i="12"/>
  <c r="F12" i="12"/>
  <c r="G12" i="12"/>
  <c r="E8" i="12"/>
  <c r="F8" i="12"/>
  <c r="G8" i="12"/>
  <c r="E22" i="12"/>
  <c r="F22" i="12"/>
  <c r="G22" i="12"/>
  <c r="H26" i="12"/>
  <c r="E18" i="12"/>
  <c r="F18" i="12"/>
  <c r="G18" i="12"/>
  <c r="H18" i="12"/>
  <c r="E13" i="12"/>
  <c r="F13" i="12"/>
  <c r="G13" i="12"/>
  <c r="H13" i="12"/>
  <c r="I13" i="12"/>
  <c r="E15" i="12"/>
  <c r="F15" i="12"/>
  <c r="E14" i="12"/>
  <c r="F14" i="12"/>
  <c r="G14" i="12"/>
  <c r="H14" i="12"/>
  <c r="I14" i="12"/>
  <c r="F26" i="12"/>
  <c r="G26" i="12"/>
  <c r="F27" i="12"/>
  <c r="G27" i="12"/>
  <c r="H27" i="12"/>
  <c r="I27" i="12"/>
  <c r="F10" i="12"/>
  <c r="G10" i="12"/>
  <c r="G30" i="12"/>
  <c r="H30" i="12"/>
  <c r="E11" i="12"/>
  <c r="F11" i="12"/>
  <c r="G11" i="12"/>
  <c r="E9" i="12"/>
  <c r="F9" i="12"/>
  <c r="G9" i="12"/>
  <c r="H9" i="12"/>
  <c r="E17" i="12"/>
  <c r="F17" i="12"/>
  <c r="E7" i="12"/>
  <c r="F7" i="12"/>
  <c r="G7" i="12"/>
  <c r="H7" i="12"/>
  <c r="E20" i="12"/>
  <c r="F20" i="12"/>
  <c r="G20" i="12"/>
  <c r="E10" i="12"/>
  <c r="E21" i="12"/>
  <c r="F21" i="12"/>
  <c r="G21" i="12"/>
  <c r="H21" i="12"/>
</calcChain>
</file>

<file path=xl/sharedStrings.xml><?xml version="1.0" encoding="utf-8"?>
<sst xmlns="http://schemas.openxmlformats.org/spreadsheetml/2006/main" count="343" uniqueCount="106">
  <si>
    <t>Re</t>
  </si>
  <si>
    <t>Di (m)</t>
  </si>
  <si>
    <t>Dt (m)</t>
  </si>
  <si>
    <t>Hc (m)</t>
  </si>
  <si>
    <t>Rc (m)</t>
  </si>
  <si>
    <t>τ ( Pa)</t>
  </si>
  <si>
    <t>Rp (m)</t>
  </si>
  <si>
    <t>Hi (m)</t>
  </si>
  <si>
    <t>Nblades</t>
  </si>
  <si>
    <t>Agitation</t>
  </si>
  <si>
    <t>N (rpm)</t>
  </si>
  <si>
    <t>N( rps)</t>
  </si>
  <si>
    <t>Rc</t>
  </si>
  <si>
    <t>A</t>
  </si>
  <si>
    <t>B</t>
  </si>
  <si>
    <t>C</t>
  </si>
  <si>
    <t>D</t>
  </si>
  <si>
    <t>δ (m)</t>
  </si>
  <si>
    <t>Dd (m)</t>
  </si>
  <si>
    <t>distance between the membrane and the impeller</t>
  </si>
  <si>
    <t>Dd(m)</t>
  </si>
  <si>
    <t>γ (N m-1)</t>
  </si>
  <si>
    <r>
      <rPr>
        <b/>
        <sz val="11"/>
        <color theme="1"/>
        <rFont val="Times New Roman"/>
        <family val="1"/>
      </rPr>
      <t>ρ</t>
    </r>
    <r>
      <rPr>
        <b/>
        <sz val="11"/>
        <color theme="1"/>
        <rFont val="Calibri"/>
        <family val="2"/>
        <scheme val="minor"/>
      </rPr>
      <t xml:space="preserve"> (kgm-3)</t>
    </r>
  </si>
  <si>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 xml:space="preserve"> (Pa s)</t>
    </r>
  </si>
  <si>
    <t>Rc (mm)</t>
  </si>
  <si>
    <t>δ (mm)</t>
  </si>
  <si>
    <t>at R &lt;Rc</t>
  </si>
  <si>
    <t>r(m)</t>
  </si>
  <si>
    <t>r (mm)</t>
  </si>
  <si>
    <t>at R &gt; Rc</t>
  </si>
  <si>
    <t>1 %tween20/docusate</t>
  </si>
  <si>
    <t>considering a 60 V membrane</t>
  </si>
  <si>
    <t>D impeller</t>
  </si>
  <si>
    <t>D tank</t>
  </si>
  <si>
    <t>height impeller</t>
  </si>
  <si>
    <t xml:space="preserve">height of the tank </t>
  </si>
  <si>
    <t>Dimsiond of the membrane</t>
  </si>
  <si>
    <t>Dcentre</t>
  </si>
  <si>
    <t>9.8 mm</t>
  </si>
  <si>
    <t>Dd (nm)</t>
  </si>
  <si>
    <t>ρ (kgm-3)</t>
  </si>
  <si>
    <t>μ (Pa s)</t>
  </si>
  <si>
    <t>shear stress</t>
  </si>
  <si>
    <t xml:space="preserve">this is using KPL model </t>
  </si>
  <si>
    <t>40 V membrane</t>
  </si>
  <si>
    <t>Conditions</t>
  </si>
  <si>
    <t>Initial values</t>
  </si>
  <si>
    <t xml:space="preserve">Results </t>
  </si>
  <si>
    <t>To Graph</t>
  </si>
  <si>
    <t>rpm</t>
  </si>
  <si>
    <t>E</t>
  </si>
  <si>
    <t>F</t>
  </si>
  <si>
    <t>rd(m)</t>
  </si>
  <si>
    <t>rd(nm)</t>
  </si>
  <si>
    <t>h(m)</t>
  </si>
  <si>
    <t>h(nm)</t>
  </si>
  <si>
    <t>Ddroplet(nm)</t>
  </si>
  <si>
    <r>
      <t>r</t>
    </r>
    <r>
      <rPr>
        <b/>
        <sz val="8"/>
        <color theme="1"/>
        <rFont val="Calibri"/>
        <family val="2"/>
        <scheme val="minor"/>
      </rPr>
      <t>p</t>
    </r>
  </si>
  <si>
    <r>
      <t>g/m s</t>
    </r>
    <r>
      <rPr>
        <b/>
        <vertAlign val="superscript"/>
        <sz val="11"/>
        <color theme="1"/>
        <rFont val="Calibri"/>
        <family val="2"/>
        <scheme val="minor"/>
      </rPr>
      <t>-2</t>
    </r>
  </si>
  <si>
    <r>
      <t>ρcont/kg m</t>
    </r>
    <r>
      <rPr>
        <b/>
        <vertAlign val="superscript"/>
        <sz val="11"/>
        <color theme="1"/>
        <rFont val="Times New Roman"/>
        <family val="1"/>
      </rPr>
      <t>-3</t>
    </r>
  </si>
  <si>
    <r>
      <rPr>
        <b/>
        <sz val="11"/>
        <color theme="1"/>
        <rFont val="Times New Roman"/>
        <family val="1"/>
      </rPr>
      <t>κ</t>
    </r>
    <r>
      <rPr>
        <b/>
        <sz val="8"/>
        <color theme="1"/>
        <rFont val="Calibri"/>
        <family val="2"/>
      </rPr>
      <t>p</t>
    </r>
  </si>
  <si>
    <r>
      <t>ρdispt/kg m</t>
    </r>
    <r>
      <rPr>
        <b/>
        <vertAlign val="superscript"/>
        <sz val="11"/>
        <color theme="1"/>
        <rFont val="Calibri"/>
        <family val="2"/>
        <scheme val="minor"/>
      </rPr>
      <t>-3</t>
    </r>
  </si>
  <si>
    <r>
      <rPr>
        <b/>
        <sz val="11"/>
        <rFont val="Times New Roman"/>
        <family val="1"/>
      </rPr>
      <t>τ</t>
    </r>
    <r>
      <rPr>
        <b/>
        <sz val="11"/>
        <rFont val="Calibri"/>
        <family val="2"/>
      </rPr>
      <t xml:space="preserve"> (at the critical radius)</t>
    </r>
  </si>
  <si>
    <t>datos from the continuous phase</t>
  </si>
  <si>
    <t>Dp</t>
  </si>
  <si>
    <t xml:space="preserve"> nm </t>
  </si>
  <si>
    <t>Euler number</t>
  </si>
  <si>
    <t xml:space="preserve"> kPa</t>
  </si>
  <si>
    <t>Dd</t>
  </si>
  <si>
    <t xml:space="preserve">Eu </t>
  </si>
  <si>
    <t>N(rps)</t>
  </si>
  <si>
    <t>Pcrit</t>
  </si>
  <si>
    <t>Dimpeller</t>
  </si>
  <si>
    <t>77 nm</t>
  </si>
  <si>
    <t xml:space="preserve">Dd experimental </t>
  </si>
  <si>
    <t xml:space="preserve">77 nm </t>
  </si>
  <si>
    <t>Torque balance</t>
  </si>
  <si>
    <t xml:space="preserve">Holdich </t>
  </si>
  <si>
    <t>Dd/m</t>
  </si>
  <si>
    <t>Dd/nm</t>
  </si>
  <si>
    <t xml:space="preserve">Pazos </t>
  </si>
  <si>
    <t>DbsDB</t>
  </si>
  <si>
    <t>Rp^2*t^2</t>
  </si>
  <si>
    <t>% overestimation</t>
  </si>
  <si>
    <t xml:space="preserve">% overestimation </t>
  </si>
  <si>
    <t xml:space="preserve">Drag </t>
  </si>
  <si>
    <t xml:space="preserve">Interfacial </t>
  </si>
  <si>
    <t>Static pressure</t>
  </si>
  <si>
    <t xml:space="preserve">dynamic lift </t>
  </si>
  <si>
    <t xml:space="preserve">Bouyancy </t>
  </si>
  <si>
    <t>Inertial</t>
  </si>
  <si>
    <t>Jd</t>
  </si>
  <si>
    <t>Vdispersed</t>
  </si>
  <si>
    <t>flow rate</t>
  </si>
  <si>
    <t>2.5 ml/min</t>
  </si>
  <si>
    <t>m^3/s</t>
  </si>
  <si>
    <t>area</t>
  </si>
  <si>
    <t>503 mm^2</t>
  </si>
  <si>
    <t>m^2</t>
  </si>
  <si>
    <t xml:space="preserve">Pore density </t>
  </si>
  <si>
    <t>pores/m^2</t>
  </si>
  <si>
    <t>number of pores</t>
  </si>
  <si>
    <t xml:space="preserve">pores </t>
  </si>
  <si>
    <t xml:space="preserve">Flow rate single pores </t>
  </si>
  <si>
    <t xml:space="preserve">are of a single pore </t>
  </si>
  <si>
    <t>Finterfacial/Fdrag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</si>
</sst>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0.0000E+00"/>
    <numFmt numFmtId="167" formatCode="0.0000"/>
    <numFmt numFmtId="168" formatCode="_-* #,##0.0_-;\-* #,##0.0_-;_-* &quot;-&quot;??_-;_-@_-"/>
    <numFmt numFmtId="169" formatCode="0.0E+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  <font>
      <b/>
      <sz val="8"/>
      <color theme="1"/>
      <name val="Calibri"/>
      <family val="2"/>
    </font>
    <font>
      <b/>
      <sz val="11"/>
      <name val="Calibri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0" fillId="3" borderId="0" xfId="0" applyFill="1"/>
    <xf numFmtId="0" fontId="1" fillId="4" borderId="0" xfId="0" applyFont="1" applyFill="1"/>
    <xf numFmtId="0" fontId="1" fillId="3" borderId="0" xfId="0" applyFont="1" applyFill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" fillId="5" borderId="0" xfId="0" applyFont="1" applyFill="1"/>
    <xf numFmtId="0" fontId="0" fillId="5" borderId="0" xfId="0" applyFill="1"/>
    <xf numFmtId="11" fontId="0" fillId="0" borderId="0" xfId="0" applyNumberFormat="1"/>
    <xf numFmtId="0" fontId="4" fillId="0" borderId="0" xfId="0" applyFont="1"/>
    <xf numFmtId="11" fontId="0" fillId="0" borderId="0" xfId="0" applyNumberFormat="1" applyFill="1"/>
    <xf numFmtId="1" fontId="0" fillId="0" borderId="0" xfId="0" applyNumberFormat="1"/>
    <xf numFmtId="1" fontId="0" fillId="0" borderId="0" xfId="0" applyNumberFormat="1" applyFont="1"/>
    <xf numFmtId="11" fontId="0" fillId="3" borderId="0" xfId="0" applyNumberFormat="1" applyFill="1"/>
    <xf numFmtId="0" fontId="1" fillId="6" borderId="0" xfId="0" applyFont="1" applyFill="1"/>
    <xf numFmtId="0" fontId="0" fillId="6" borderId="0" xfId="0" applyFill="1"/>
    <xf numFmtId="0" fontId="0" fillId="7" borderId="0" xfId="0" applyFill="1"/>
    <xf numFmtId="0" fontId="1" fillId="7" borderId="0" xfId="0" applyFont="1" applyFill="1"/>
    <xf numFmtId="0" fontId="6" fillId="0" borderId="0" xfId="0" applyFont="1"/>
    <xf numFmtId="0" fontId="6" fillId="0" borderId="0" xfId="0" applyFont="1" applyFill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7" fillId="0" borderId="0" xfId="0" applyFont="1"/>
    <xf numFmtId="0" fontId="0" fillId="8" borderId="0" xfId="0" applyFill="1"/>
    <xf numFmtId="0" fontId="8" fillId="0" borderId="0" xfId="0" applyFont="1"/>
    <xf numFmtId="0" fontId="3" fillId="0" borderId="0" xfId="0" applyFont="1"/>
    <xf numFmtId="0" fontId="2" fillId="0" borderId="0" xfId="0" applyFont="1"/>
    <xf numFmtId="0" fontId="13" fillId="7" borderId="0" xfId="0" applyFont="1" applyFill="1"/>
    <xf numFmtId="0" fontId="5" fillId="7" borderId="0" xfId="0" applyFont="1" applyFill="1"/>
    <xf numFmtId="0" fontId="6" fillId="7" borderId="0" xfId="0" applyFont="1" applyFill="1"/>
    <xf numFmtId="0" fontId="1" fillId="9" borderId="0" xfId="0" applyFont="1" applyFill="1"/>
    <xf numFmtId="165" fontId="0" fillId="9" borderId="0" xfId="0" applyNumberFormat="1" applyFill="1"/>
    <xf numFmtId="0" fontId="0" fillId="9" borderId="0" xfId="0" applyFill="1"/>
    <xf numFmtId="0" fontId="5" fillId="9" borderId="0" xfId="0" applyFont="1" applyFill="1"/>
    <xf numFmtId="165" fontId="1" fillId="9" borderId="0" xfId="0" applyNumberFormat="1" applyFont="1" applyFill="1"/>
    <xf numFmtId="165" fontId="5" fillId="9" borderId="0" xfId="0" applyNumberFormat="1" applyFont="1" applyFill="1"/>
    <xf numFmtId="0" fontId="1" fillId="10" borderId="0" xfId="0" applyFont="1" applyFill="1"/>
    <xf numFmtId="1" fontId="0" fillId="0" borderId="0" xfId="0" applyNumberFormat="1" applyFont="1" applyFill="1" applyBorder="1"/>
    <xf numFmtId="1" fontId="6" fillId="0" borderId="0" xfId="0" applyNumberFormat="1" applyFont="1"/>
    <xf numFmtId="165" fontId="0" fillId="6" borderId="0" xfId="0" applyNumberFormat="1" applyFill="1"/>
    <xf numFmtId="0" fontId="1" fillId="11" borderId="0" xfId="0" applyFont="1" applyFill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 applyFill="1"/>
    <xf numFmtId="165" fontId="0" fillId="0" borderId="0" xfId="0" applyNumberFormat="1" applyFill="1"/>
    <xf numFmtId="165" fontId="0" fillId="0" borderId="0" xfId="0" applyNumberFormat="1" applyFont="1" applyFill="1"/>
    <xf numFmtId="165" fontId="1" fillId="11" borderId="0" xfId="0" applyNumberFormat="1" applyFont="1" applyFill="1"/>
    <xf numFmtId="2" fontId="1" fillId="0" borderId="0" xfId="0" applyNumberFormat="1" applyFont="1" applyFill="1"/>
    <xf numFmtId="165" fontId="1" fillId="0" borderId="0" xfId="0" applyNumberFormat="1" applyFont="1" applyFill="1"/>
    <xf numFmtId="2" fontId="4" fillId="0" borderId="0" xfId="0" applyNumberFormat="1" applyFont="1"/>
    <xf numFmtId="2" fontId="0" fillId="6" borderId="0" xfId="0" applyNumberFormat="1" applyFill="1"/>
    <xf numFmtId="11" fontId="0" fillId="6" borderId="0" xfId="0" applyNumberFormat="1" applyFill="1"/>
    <xf numFmtId="1" fontId="0" fillId="6" borderId="0" xfId="0" applyNumberFormat="1" applyFill="1"/>
    <xf numFmtId="165" fontId="1" fillId="6" borderId="0" xfId="0" applyNumberFormat="1" applyFont="1" applyFill="1"/>
    <xf numFmtId="168" fontId="0" fillId="0" borderId="0" xfId="1" applyNumberFormat="1" applyFont="1"/>
    <xf numFmtId="168" fontId="1" fillId="2" borderId="0" xfId="1" applyNumberFormat="1" applyFont="1" applyFill="1"/>
    <xf numFmtId="168" fontId="1" fillId="4" borderId="0" xfId="1" applyNumberFormat="1" applyFont="1" applyFill="1"/>
    <xf numFmtId="168" fontId="0" fillId="0" borderId="0" xfId="1" applyNumberFormat="1" applyFont="1" applyFill="1"/>
    <xf numFmtId="168" fontId="1" fillId="0" borderId="0" xfId="1" applyNumberFormat="1" applyFont="1" applyFill="1"/>
    <xf numFmtId="168" fontId="1" fillId="6" borderId="0" xfId="1" applyNumberFormat="1" applyFont="1" applyFill="1"/>
    <xf numFmtId="0" fontId="5" fillId="10" borderId="0" xfId="0" applyFont="1" applyFill="1"/>
    <xf numFmtId="0" fontId="1" fillId="12" borderId="0" xfId="0" applyFont="1" applyFill="1" applyAlignment="1">
      <alignment horizontal="center"/>
    </xf>
    <xf numFmtId="0" fontId="1" fillId="12" borderId="0" xfId="0" applyFont="1" applyFill="1"/>
    <xf numFmtId="11" fontId="1" fillId="0" borderId="0" xfId="0" applyNumberFormat="1" applyFont="1"/>
    <xf numFmtId="167" fontId="0" fillId="0" borderId="0" xfId="0" applyNumberFormat="1" applyFill="1"/>
    <xf numFmtId="0" fontId="5" fillId="0" borderId="0" xfId="0" applyFont="1" applyFill="1"/>
    <xf numFmtId="167" fontId="5" fillId="6" borderId="0" xfId="0" applyNumberFormat="1" applyFont="1" applyFill="1"/>
    <xf numFmtId="166" fontId="5" fillId="6" borderId="0" xfId="0" applyNumberFormat="1" applyFont="1" applyFill="1"/>
    <xf numFmtId="0" fontId="5" fillId="6" borderId="0" xfId="0" applyFont="1" applyFill="1"/>
    <xf numFmtId="0" fontId="1" fillId="13" borderId="0" xfId="0" applyFont="1" applyFill="1"/>
    <xf numFmtId="16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'Shear stress profiel'!$C$7:$C$47</c:f>
              <c:numCache>
                <c:formatCode>General</c:formatCode>
                <c:ptCount val="41"/>
                <c:pt idx="0">
                  <c:v>6</c:v>
                </c:pt>
                <c:pt idx="1">
                  <c:v>6.2</c:v>
                </c:pt>
                <c:pt idx="2">
                  <c:v>6.4</c:v>
                </c:pt>
                <c:pt idx="3">
                  <c:v>6.6</c:v>
                </c:pt>
                <c:pt idx="4">
                  <c:v>6.8</c:v>
                </c:pt>
                <c:pt idx="5">
                  <c:v>7</c:v>
                </c:pt>
                <c:pt idx="6">
                  <c:v>7.2</c:v>
                </c:pt>
                <c:pt idx="7">
                  <c:v>7.4</c:v>
                </c:pt>
                <c:pt idx="8">
                  <c:v>7.6</c:v>
                </c:pt>
                <c:pt idx="9">
                  <c:v>7.8</c:v>
                </c:pt>
                <c:pt idx="10">
                  <c:v>8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</c:v>
                </c:pt>
                <c:pt idx="16">
                  <c:v>9.1999999999999993</c:v>
                </c:pt>
                <c:pt idx="17">
                  <c:v>9.4</c:v>
                </c:pt>
                <c:pt idx="18">
                  <c:v>9.6</c:v>
                </c:pt>
                <c:pt idx="19">
                  <c:v>9.8000000000000007</c:v>
                </c:pt>
                <c:pt idx="20">
                  <c:v>10</c:v>
                </c:pt>
                <c:pt idx="21">
                  <c:v>10.199999999999999</c:v>
                </c:pt>
                <c:pt idx="22">
                  <c:v>10.4</c:v>
                </c:pt>
                <c:pt idx="23">
                  <c:v>10.6</c:v>
                </c:pt>
                <c:pt idx="24">
                  <c:v>10.8</c:v>
                </c:pt>
                <c:pt idx="25">
                  <c:v>11</c:v>
                </c:pt>
                <c:pt idx="26">
                  <c:v>11.2</c:v>
                </c:pt>
                <c:pt idx="27">
                  <c:v>11.4</c:v>
                </c:pt>
                <c:pt idx="28">
                  <c:v>11.6</c:v>
                </c:pt>
                <c:pt idx="29">
                  <c:v>11.8</c:v>
                </c:pt>
                <c:pt idx="30">
                  <c:v>12</c:v>
                </c:pt>
                <c:pt idx="31">
                  <c:v>12.2</c:v>
                </c:pt>
                <c:pt idx="32">
                  <c:v>12.4</c:v>
                </c:pt>
                <c:pt idx="33">
                  <c:v>12.6</c:v>
                </c:pt>
                <c:pt idx="34">
                  <c:v>12.8</c:v>
                </c:pt>
                <c:pt idx="35">
                  <c:v>13</c:v>
                </c:pt>
                <c:pt idx="36">
                  <c:v>13.2</c:v>
                </c:pt>
                <c:pt idx="37">
                  <c:v>13.4</c:v>
                </c:pt>
                <c:pt idx="38">
                  <c:v>13.6</c:v>
                </c:pt>
                <c:pt idx="39">
                  <c:v>13.8</c:v>
                </c:pt>
                <c:pt idx="40">
                  <c:v>14</c:v>
                </c:pt>
              </c:numCache>
            </c:numRef>
          </c:xVal>
          <c:yVal>
            <c:numRef>
              <c:f>'Shear stress profiel'!$E$7:$E$47</c:f>
              <c:numCache>
                <c:formatCode>0.00</c:formatCode>
                <c:ptCount val="41"/>
                <c:pt idx="0">
                  <c:v>0.65640393629828664</c:v>
                </c:pt>
                <c:pt idx="1">
                  <c:v>0.67828406750822956</c:v>
                </c:pt>
                <c:pt idx="2">
                  <c:v>0.70016419871817237</c:v>
                </c:pt>
                <c:pt idx="3">
                  <c:v>0.72204432992811529</c:v>
                </c:pt>
                <c:pt idx="4">
                  <c:v>0.74392446113805821</c:v>
                </c:pt>
                <c:pt idx="5">
                  <c:v>0.76580459234800091</c:v>
                </c:pt>
                <c:pt idx="6">
                  <c:v>0.78768472355794406</c:v>
                </c:pt>
                <c:pt idx="7">
                  <c:v>0.80956485476788698</c:v>
                </c:pt>
                <c:pt idx="8">
                  <c:v>0.83144498597782956</c:v>
                </c:pt>
                <c:pt idx="9">
                  <c:v>0.85332511718777249</c:v>
                </c:pt>
                <c:pt idx="10">
                  <c:v>0.87520524839771552</c:v>
                </c:pt>
                <c:pt idx="11">
                  <c:v>0.89708537960765833</c:v>
                </c:pt>
                <c:pt idx="12">
                  <c:v>0.91896551081760136</c:v>
                </c:pt>
                <c:pt idx="13">
                  <c:v>0.94084564202754417</c:v>
                </c:pt>
                <c:pt idx="14">
                  <c:v>0.96272577323748709</c:v>
                </c:pt>
                <c:pt idx="15">
                  <c:v>0.98460590444743012</c:v>
                </c:pt>
                <c:pt idx="16">
                  <c:v>1.0064860356573728</c:v>
                </c:pt>
                <c:pt idx="17">
                  <c:v>1.0283661668673156</c:v>
                </c:pt>
                <c:pt idx="18">
                  <c:v>1.0502462980772587</c:v>
                </c:pt>
                <c:pt idx="19">
                  <c:v>1.0757172230949368</c:v>
                </c:pt>
                <c:pt idx="20">
                  <c:v>1.0627564942068961</c:v>
                </c:pt>
                <c:pt idx="21">
                  <c:v>1.0502039911831091</c:v>
                </c:pt>
                <c:pt idx="22">
                  <c:v>1.0380392229820232</c:v>
                </c:pt>
                <c:pt idx="23">
                  <c:v>1.0262430957581536</c:v>
                </c:pt>
                <c:pt idx="24">
                  <c:v>1.0147977933911656</c:v>
                </c:pt>
                <c:pt idx="25">
                  <c:v>1.0036866702246114</c:v>
                </c:pt>
                <c:pt idx="26">
                  <c:v>0.99289415457003682</c:v>
                </c:pt>
                <c:pt idx="27">
                  <c:v>0.98240566172545241</c:v>
                </c:pt>
                <c:pt idx="28">
                  <c:v>0.97220751542166284</c:v>
                </c:pt>
                <c:pt idx="29">
                  <c:v>0.96228687675040014</c:v>
                </c:pt>
                <c:pt idx="30">
                  <c:v>0.95263167974844565</c:v>
                </c:pt>
                <c:pt idx="31">
                  <c:v>0.9432305729151641</c:v>
                </c:pt>
                <c:pt idx="32">
                  <c:v>0.93407286602973827</c:v>
                </c:pt>
                <c:pt idx="33">
                  <c:v>0.92514848171109587</c:v>
                </c:pt>
                <c:pt idx="34">
                  <c:v>0.91644791122986768</c:v>
                </c:pt>
                <c:pt idx="35">
                  <c:v>0.90796217413927505</c:v>
                </c:pt>
                <c:pt idx="36">
                  <c:v>0.89968278134187074</c:v>
                </c:pt>
                <c:pt idx="37">
                  <c:v>0.89160170125263749</c:v>
                </c:pt>
                <c:pt idx="38">
                  <c:v>0.88371132875701819</c:v>
                </c:pt>
                <c:pt idx="39">
                  <c:v>0.87600445669573723</c:v>
                </c:pt>
                <c:pt idx="40">
                  <c:v>0.86847424963748254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C2-4302-800A-4491E1F697A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'Shear stress profiel'!$C$7:$C$47</c:f>
              <c:numCache>
                <c:formatCode>General</c:formatCode>
                <c:ptCount val="41"/>
                <c:pt idx="0">
                  <c:v>6</c:v>
                </c:pt>
                <c:pt idx="1">
                  <c:v>6.2</c:v>
                </c:pt>
                <c:pt idx="2">
                  <c:v>6.4</c:v>
                </c:pt>
                <c:pt idx="3">
                  <c:v>6.6</c:v>
                </c:pt>
                <c:pt idx="4">
                  <c:v>6.8</c:v>
                </c:pt>
                <c:pt idx="5">
                  <c:v>7</c:v>
                </c:pt>
                <c:pt idx="6">
                  <c:v>7.2</c:v>
                </c:pt>
                <c:pt idx="7">
                  <c:v>7.4</c:v>
                </c:pt>
                <c:pt idx="8">
                  <c:v>7.6</c:v>
                </c:pt>
                <c:pt idx="9">
                  <c:v>7.8</c:v>
                </c:pt>
                <c:pt idx="10">
                  <c:v>8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</c:v>
                </c:pt>
                <c:pt idx="16">
                  <c:v>9.1999999999999993</c:v>
                </c:pt>
                <c:pt idx="17">
                  <c:v>9.4</c:v>
                </c:pt>
                <c:pt idx="18">
                  <c:v>9.6</c:v>
                </c:pt>
                <c:pt idx="19">
                  <c:v>9.8000000000000007</c:v>
                </c:pt>
                <c:pt idx="20">
                  <c:v>10</c:v>
                </c:pt>
                <c:pt idx="21">
                  <c:v>10.199999999999999</c:v>
                </c:pt>
                <c:pt idx="22">
                  <c:v>10.4</c:v>
                </c:pt>
                <c:pt idx="23">
                  <c:v>10.6</c:v>
                </c:pt>
                <c:pt idx="24">
                  <c:v>10.8</c:v>
                </c:pt>
                <c:pt idx="25">
                  <c:v>11</c:v>
                </c:pt>
                <c:pt idx="26">
                  <c:v>11.2</c:v>
                </c:pt>
                <c:pt idx="27">
                  <c:v>11.4</c:v>
                </c:pt>
                <c:pt idx="28">
                  <c:v>11.6</c:v>
                </c:pt>
                <c:pt idx="29">
                  <c:v>11.8</c:v>
                </c:pt>
                <c:pt idx="30">
                  <c:v>12</c:v>
                </c:pt>
                <c:pt idx="31">
                  <c:v>12.2</c:v>
                </c:pt>
                <c:pt idx="32">
                  <c:v>12.4</c:v>
                </c:pt>
                <c:pt idx="33">
                  <c:v>12.6</c:v>
                </c:pt>
                <c:pt idx="34">
                  <c:v>12.8</c:v>
                </c:pt>
                <c:pt idx="35">
                  <c:v>13</c:v>
                </c:pt>
                <c:pt idx="36">
                  <c:v>13.2</c:v>
                </c:pt>
                <c:pt idx="37">
                  <c:v>13.4</c:v>
                </c:pt>
                <c:pt idx="38">
                  <c:v>13.6</c:v>
                </c:pt>
                <c:pt idx="39">
                  <c:v>13.8</c:v>
                </c:pt>
                <c:pt idx="40">
                  <c:v>14</c:v>
                </c:pt>
              </c:numCache>
            </c:numRef>
          </c:xVal>
          <c:yVal>
            <c:numRef>
              <c:f>'Shear stress profiel'!$F$7:$F$47</c:f>
              <c:numCache>
                <c:formatCode>_-* #,##0.0_-;\-* #,##0.0_-;_-* "-"??_-;_-@_-</c:formatCode>
                <c:ptCount val="41"/>
                <c:pt idx="0">
                  <c:v>1.8565906982162443</c:v>
                </c:pt>
                <c:pt idx="1">
                  <c:v>1.9184770548234527</c:v>
                </c:pt>
                <c:pt idx="2">
                  <c:v>1.9803634114306603</c:v>
                </c:pt>
                <c:pt idx="3">
                  <c:v>2.0422497680378688</c:v>
                </c:pt>
                <c:pt idx="4">
                  <c:v>2.1041361246450769</c:v>
                </c:pt>
                <c:pt idx="5">
                  <c:v>2.1660224812522846</c:v>
                </c:pt>
                <c:pt idx="6">
                  <c:v>2.2279088378594931</c:v>
                </c:pt>
                <c:pt idx="7">
                  <c:v>2.2897951944667017</c:v>
                </c:pt>
                <c:pt idx="8">
                  <c:v>2.3516815510739089</c:v>
                </c:pt>
                <c:pt idx="9">
                  <c:v>2.4135679076811174</c:v>
                </c:pt>
                <c:pt idx="10">
                  <c:v>2.4754542642883259</c:v>
                </c:pt>
                <c:pt idx="11">
                  <c:v>2.5373406208955336</c:v>
                </c:pt>
                <c:pt idx="12">
                  <c:v>2.5992269775027421</c:v>
                </c:pt>
                <c:pt idx="13">
                  <c:v>2.6611133341099502</c:v>
                </c:pt>
                <c:pt idx="14">
                  <c:v>2.7229996907171583</c:v>
                </c:pt>
                <c:pt idx="15">
                  <c:v>2.7848860473243668</c:v>
                </c:pt>
                <c:pt idx="16">
                  <c:v>2.8467724039315745</c:v>
                </c:pt>
                <c:pt idx="17">
                  <c:v>2.9086587605387826</c:v>
                </c:pt>
                <c:pt idx="18">
                  <c:v>2.9705451171459907</c:v>
                </c:pt>
                <c:pt idx="19">
                  <c:v>3.0324314737531992</c:v>
                </c:pt>
                <c:pt idx="20">
                  <c:v>3.0943178303604073</c:v>
                </c:pt>
                <c:pt idx="21">
                  <c:v>3.156204186967615</c:v>
                </c:pt>
                <c:pt idx="22">
                  <c:v>3.314997208574757</c:v>
                </c:pt>
                <c:pt idx="23">
                  <c:v>3.2773260609404842</c:v>
                </c:pt>
                <c:pt idx="24">
                  <c:v>3.2407752788911663</c:v>
                </c:pt>
                <c:pt idx="25">
                  <c:v>3.2052917042190607</c:v>
                </c:pt>
                <c:pt idx="26">
                  <c:v>3.1708256084528186</c:v>
                </c:pt>
                <c:pt idx="27">
                  <c:v>3.1373304150803847</c:v>
                </c:pt>
                <c:pt idx="28">
                  <c:v>3.1047624486864165</c:v>
                </c:pt>
                <c:pt idx="29">
                  <c:v>3.0730807079829789</c:v>
                </c:pt>
                <c:pt idx="30">
                  <c:v>3.0422466600962617</c:v>
                </c:pt>
                <c:pt idx="31">
                  <c:v>3.012224053801758</c:v>
                </c:pt>
                <c:pt idx="32">
                  <c:v>2.9829787496841327</c:v>
                </c:pt>
                <c:pt idx="33">
                  <c:v>2.9544785654429639</c:v>
                </c:pt>
                <c:pt idx="34">
                  <c:v>2.9266931347774223</c:v>
                </c:pt>
                <c:pt idx="35">
                  <c:v>2.8995937784667789</c:v>
                </c:pt>
                <c:pt idx="36">
                  <c:v>2.8731533864233607</c:v>
                </c:pt>
                <c:pt idx="37">
                  <c:v>2.8473463096337963</c:v>
                </c:pt>
                <c:pt idx="38">
                  <c:v>2.8221482610259105</c:v>
                </c:pt>
                <c:pt idx="39">
                  <c:v>2.7975362244049866</c:v>
                </c:pt>
                <c:pt idx="40">
                  <c:v>2.7734883706963442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C2-4302-800A-4491E1F697A2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'Shear stress profiel'!$C$7:$C$47</c:f>
              <c:numCache>
                <c:formatCode>General</c:formatCode>
                <c:ptCount val="41"/>
                <c:pt idx="0">
                  <c:v>6</c:v>
                </c:pt>
                <c:pt idx="1">
                  <c:v>6.2</c:v>
                </c:pt>
                <c:pt idx="2">
                  <c:v>6.4</c:v>
                </c:pt>
                <c:pt idx="3">
                  <c:v>6.6</c:v>
                </c:pt>
                <c:pt idx="4">
                  <c:v>6.8</c:v>
                </c:pt>
                <c:pt idx="5">
                  <c:v>7</c:v>
                </c:pt>
                <c:pt idx="6">
                  <c:v>7.2</c:v>
                </c:pt>
                <c:pt idx="7">
                  <c:v>7.4</c:v>
                </c:pt>
                <c:pt idx="8">
                  <c:v>7.6</c:v>
                </c:pt>
                <c:pt idx="9">
                  <c:v>7.8</c:v>
                </c:pt>
                <c:pt idx="10">
                  <c:v>8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</c:v>
                </c:pt>
                <c:pt idx="16">
                  <c:v>9.1999999999999993</c:v>
                </c:pt>
                <c:pt idx="17">
                  <c:v>9.4</c:v>
                </c:pt>
                <c:pt idx="18">
                  <c:v>9.6</c:v>
                </c:pt>
                <c:pt idx="19">
                  <c:v>9.8000000000000007</c:v>
                </c:pt>
                <c:pt idx="20">
                  <c:v>10</c:v>
                </c:pt>
                <c:pt idx="21">
                  <c:v>10.199999999999999</c:v>
                </c:pt>
                <c:pt idx="22">
                  <c:v>10.4</c:v>
                </c:pt>
                <c:pt idx="23">
                  <c:v>10.6</c:v>
                </c:pt>
                <c:pt idx="24">
                  <c:v>10.8</c:v>
                </c:pt>
                <c:pt idx="25">
                  <c:v>11</c:v>
                </c:pt>
                <c:pt idx="26">
                  <c:v>11.2</c:v>
                </c:pt>
                <c:pt idx="27">
                  <c:v>11.4</c:v>
                </c:pt>
                <c:pt idx="28">
                  <c:v>11.6</c:v>
                </c:pt>
                <c:pt idx="29">
                  <c:v>11.8</c:v>
                </c:pt>
                <c:pt idx="30">
                  <c:v>12</c:v>
                </c:pt>
                <c:pt idx="31">
                  <c:v>12.2</c:v>
                </c:pt>
                <c:pt idx="32">
                  <c:v>12.4</c:v>
                </c:pt>
                <c:pt idx="33">
                  <c:v>12.6</c:v>
                </c:pt>
                <c:pt idx="34">
                  <c:v>12.8</c:v>
                </c:pt>
                <c:pt idx="35">
                  <c:v>13</c:v>
                </c:pt>
                <c:pt idx="36">
                  <c:v>13.2</c:v>
                </c:pt>
                <c:pt idx="37">
                  <c:v>13.4</c:v>
                </c:pt>
                <c:pt idx="38">
                  <c:v>13.6</c:v>
                </c:pt>
                <c:pt idx="39">
                  <c:v>13.8</c:v>
                </c:pt>
                <c:pt idx="40">
                  <c:v>14</c:v>
                </c:pt>
              </c:numCache>
            </c:numRef>
          </c:xVal>
          <c:yVal>
            <c:numRef>
              <c:f>'Shear stress profiel'!$G$7:$G$47</c:f>
              <c:numCache>
                <c:formatCode>0.0</c:formatCode>
                <c:ptCount val="41"/>
                <c:pt idx="0">
                  <c:v>3.4107749038705109</c:v>
                </c:pt>
                <c:pt idx="1">
                  <c:v>3.5244674006661953</c:v>
                </c:pt>
                <c:pt idx="2">
                  <c:v>3.6381598974618781</c:v>
                </c:pt>
                <c:pt idx="3">
                  <c:v>3.7518523942575617</c:v>
                </c:pt>
                <c:pt idx="4">
                  <c:v>3.8655448910532453</c:v>
                </c:pt>
                <c:pt idx="5">
                  <c:v>3.9792373878489289</c:v>
                </c:pt>
                <c:pt idx="6">
                  <c:v>4.0929298846446134</c:v>
                </c:pt>
                <c:pt idx="7">
                  <c:v>4.2066223814402974</c:v>
                </c:pt>
                <c:pt idx="8">
                  <c:v>4.3203148782359806</c:v>
                </c:pt>
                <c:pt idx="9">
                  <c:v>4.4340073750316638</c:v>
                </c:pt>
                <c:pt idx="10">
                  <c:v>4.5476998718273487</c:v>
                </c:pt>
                <c:pt idx="11">
                  <c:v>4.661392368623031</c:v>
                </c:pt>
                <c:pt idx="12">
                  <c:v>4.7750848654187159</c:v>
                </c:pt>
                <c:pt idx="13">
                  <c:v>4.8887773622143991</c:v>
                </c:pt>
                <c:pt idx="14">
                  <c:v>5.0024698590100831</c:v>
                </c:pt>
                <c:pt idx="15">
                  <c:v>5.1161623558057681</c:v>
                </c:pt>
                <c:pt idx="16">
                  <c:v>5.2298548526014503</c:v>
                </c:pt>
                <c:pt idx="17">
                  <c:v>5.3435473493971344</c:v>
                </c:pt>
                <c:pt idx="18">
                  <c:v>5.4572398461928175</c:v>
                </c:pt>
                <c:pt idx="19">
                  <c:v>5.5709323429885025</c:v>
                </c:pt>
                <c:pt idx="20">
                  <c:v>5.6846248397841856</c:v>
                </c:pt>
                <c:pt idx="21">
                  <c:v>5.7983173365798688</c:v>
                </c:pt>
                <c:pt idx="22">
                  <c:v>5.9120098333755537</c:v>
                </c:pt>
                <c:pt idx="23">
                  <c:v>6.0257023301712369</c:v>
                </c:pt>
                <c:pt idx="24">
                  <c:v>6.2128194040349793</c:v>
                </c:pt>
                <c:pt idx="25">
                  <c:v>6.1447946191375804</c:v>
                </c:pt>
                <c:pt idx="26">
                  <c:v>6.0787204207960341</c:v>
                </c:pt>
                <c:pt idx="27">
                  <c:v>6.0145075181978127</c:v>
                </c:pt>
                <c:pt idx="28">
                  <c:v>5.9520721821594442</c:v>
                </c:pt>
                <c:pt idx="29">
                  <c:v>5.8913358100086208</c:v>
                </c:pt>
                <c:pt idx="30">
                  <c:v>5.8322245312157621</c:v>
                </c:pt>
                <c:pt idx="31">
                  <c:v>5.7746688493512623</c:v>
                </c:pt>
                <c:pt idx="32">
                  <c:v>5.7186033164886902</c:v>
                </c:pt>
                <c:pt idx="33">
                  <c:v>5.6639662366438053</c:v>
                </c:pt>
                <c:pt idx="34">
                  <c:v>5.6106993952454687</c:v>
                </c:pt>
                <c:pt idx="35">
                  <c:v>5.5587478119869003</c:v>
                </c:pt>
                <c:pt idx="36">
                  <c:v>5.5080595147119826</c:v>
                </c:pt>
                <c:pt idx="37">
                  <c:v>5.4585853322581821</c:v>
                </c:pt>
                <c:pt idx="38">
                  <c:v>5.4102787044106471</c:v>
                </c:pt>
                <c:pt idx="39">
                  <c:v>5.3630955073259008</c:v>
                </c:pt>
                <c:pt idx="40">
                  <c:v>5.3169938929623255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C2-4302-800A-4491E1F697A2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'Shear stress profiel'!$C$7:$C$47</c:f>
              <c:numCache>
                <c:formatCode>General</c:formatCode>
                <c:ptCount val="41"/>
                <c:pt idx="0">
                  <c:v>6</c:v>
                </c:pt>
                <c:pt idx="1">
                  <c:v>6.2</c:v>
                </c:pt>
                <c:pt idx="2">
                  <c:v>6.4</c:v>
                </c:pt>
                <c:pt idx="3">
                  <c:v>6.6</c:v>
                </c:pt>
                <c:pt idx="4">
                  <c:v>6.8</c:v>
                </c:pt>
                <c:pt idx="5">
                  <c:v>7</c:v>
                </c:pt>
                <c:pt idx="6">
                  <c:v>7.2</c:v>
                </c:pt>
                <c:pt idx="7">
                  <c:v>7.4</c:v>
                </c:pt>
                <c:pt idx="8">
                  <c:v>7.6</c:v>
                </c:pt>
                <c:pt idx="9">
                  <c:v>7.8</c:v>
                </c:pt>
                <c:pt idx="10">
                  <c:v>8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</c:v>
                </c:pt>
                <c:pt idx="16">
                  <c:v>9.1999999999999993</c:v>
                </c:pt>
                <c:pt idx="17">
                  <c:v>9.4</c:v>
                </c:pt>
                <c:pt idx="18">
                  <c:v>9.6</c:v>
                </c:pt>
                <c:pt idx="19">
                  <c:v>9.8000000000000007</c:v>
                </c:pt>
                <c:pt idx="20">
                  <c:v>10</c:v>
                </c:pt>
                <c:pt idx="21">
                  <c:v>10.199999999999999</c:v>
                </c:pt>
                <c:pt idx="22">
                  <c:v>10.4</c:v>
                </c:pt>
                <c:pt idx="23">
                  <c:v>10.6</c:v>
                </c:pt>
                <c:pt idx="24">
                  <c:v>10.8</c:v>
                </c:pt>
                <c:pt idx="25">
                  <c:v>11</c:v>
                </c:pt>
                <c:pt idx="26">
                  <c:v>11.2</c:v>
                </c:pt>
                <c:pt idx="27">
                  <c:v>11.4</c:v>
                </c:pt>
                <c:pt idx="28">
                  <c:v>11.6</c:v>
                </c:pt>
                <c:pt idx="29">
                  <c:v>11.8</c:v>
                </c:pt>
                <c:pt idx="30">
                  <c:v>12</c:v>
                </c:pt>
                <c:pt idx="31">
                  <c:v>12.2</c:v>
                </c:pt>
                <c:pt idx="32">
                  <c:v>12.4</c:v>
                </c:pt>
                <c:pt idx="33">
                  <c:v>12.6</c:v>
                </c:pt>
                <c:pt idx="34">
                  <c:v>12.8</c:v>
                </c:pt>
                <c:pt idx="35">
                  <c:v>13</c:v>
                </c:pt>
                <c:pt idx="36">
                  <c:v>13.2</c:v>
                </c:pt>
                <c:pt idx="37">
                  <c:v>13.4</c:v>
                </c:pt>
                <c:pt idx="38">
                  <c:v>13.6</c:v>
                </c:pt>
                <c:pt idx="39">
                  <c:v>13.8</c:v>
                </c:pt>
                <c:pt idx="40">
                  <c:v>14</c:v>
                </c:pt>
              </c:numCache>
            </c:numRef>
          </c:xVal>
          <c:yVal>
            <c:numRef>
              <c:f>'Shear stress profiel'!$H$7:$H$47</c:f>
              <c:numCache>
                <c:formatCode>0.0</c:formatCode>
                <c:ptCount val="41"/>
                <c:pt idx="0">
                  <c:v>5.2512314903862931</c:v>
                </c:pt>
                <c:pt idx="1">
                  <c:v>5.4262725400658365</c:v>
                </c:pt>
                <c:pt idx="2">
                  <c:v>5.601313589745379</c:v>
                </c:pt>
                <c:pt idx="3">
                  <c:v>5.7763546394249223</c:v>
                </c:pt>
                <c:pt idx="4">
                  <c:v>5.9513956891044657</c:v>
                </c:pt>
                <c:pt idx="5">
                  <c:v>6.1264367387840073</c:v>
                </c:pt>
                <c:pt idx="6">
                  <c:v>6.3014777884635524</c:v>
                </c:pt>
                <c:pt idx="7">
                  <c:v>6.4765188381430958</c:v>
                </c:pt>
                <c:pt idx="8">
                  <c:v>6.6515598878226365</c:v>
                </c:pt>
                <c:pt idx="9">
                  <c:v>6.8266009375021799</c:v>
                </c:pt>
                <c:pt idx="10">
                  <c:v>7.0016419871817241</c:v>
                </c:pt>
                <c:pt idx="11">
                  <c:v>7.1766830368612666</c:v>
                </c:pt>
                <c:pt idx="12">
                  <c:v>7.3517240865408109</c:v>
                </c:pt>
                <c:pt idx="13">
                  <c:v>7.5267651362203534</c:v>
                </c:pt>
                <c:pt idx="14">
                  <c:v>7.7018061858998967</c:v>
                </c:pt>
                <c:pt idx="15">
                  <c:v>7.876847235579441</c:v>
                </c:pt>
                <c:pt idx="16">
                  <c:v>8.0518882852589826</c:v>
                </c:pt>
                <c:pt idx="17">
                  <c:v>8.2269293349385251</c:v>
                </c:pt>
                <c:pt idx="18">
                  <c:v>8.4019703846180693</c:v>
                </c:pt>
                <c:pt idx="19">
                  <c:v>8.5770114342976136</c:v>
                </c:pt>
                <c:pt idx="20">
                  <c:v>8.7520524839771561</c:v>
                </c:pt>
                <c:pt idx="21">
                  <c:v>8.9270935336566986</c:v>
                </c:pt>
                <c:pt idx="22">
                  <c:v>9.1021345833362428</c:v>
                </c:pt>
                <c:pt idx="23">
                  <c:v>9.2771756330157835</c:v>
                </c:pt>
                <c:pt idx="24">
                  <c:v>9.4522166826953278</c:v>
                </c:pt>
                <c:pt idx="25" formatCode="0.00">
                  <c:v>9.6684095688933738</c:v>
                </c:pt>
                <c:pt idx="26" formatCode="0.00">
                  <c:v>9.5644463852398864</c:v>
                </c:pt>
                <c:pt idx="27" formatCode="0.00">
                  <c:v>9.4634118217748195</c:v>
                </c:pt>
                <c:pt idx="28" formatCode="0.00">
                  <c:v>9.3651741364158347</c:v>
                </c:pt>
                <c:pt idx="29" formatCode="0.00">
                  <c:v>9.2696096532915284</c:v>
                </c:pt>
                <c:pt idx="30" formatCode="0.00">
                  <c:v>9.1766021422299779</c:v>
                </c:pt>
                <c:pt idx="31" formatCode="0.00">
                  <c:v>9.0860422554031963</c:v>
                </c:pt>
                <c:pt idx="32" formatCode="0.00">
                  <c:v>8.9978270150230912</c:v>
                </c:pt>
                <c:pt idx="33" formatCode="0.00">
                  <c:v>8.9118593467232472</c:v>
                </c:pt>
                <c:pt idx="34" formatCode="0.00">
                  <c:v>8.8280476539001143</c:v>
                </c:pt>
                <c:pt idx="35" formatCode="0.00">
                  <c:v>8.7463054288415325</c:v>
                </c:pt>
                <c:pt idx="36" formatCode="0.00">
                  <c:v>8.666550896952474</c:v>
                </c:pt>
                <c:pt idx="37" formatCode="0.00">
                  <c:v>8.5887066908076903</c:v>
                </c:pt>
                <c:pt idx="38" formatCode="0.00">
                  <c:v>8.5126995511276302</c:v>
                </c:pt>
                <c:pt idx="39" formatCode="0.00">
                  <c:v>8.438460052094678</c:v>
                </c:pt>
                <c:pt idx="40" formatCode="0.00">
                  <c:v>8.3659223487081373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C2-4302-800A-4491E1F697A2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'Shear stress profiel'!$C$7:$C$47</c:f>
              <c:numCache>
                <c:formatCode>General</c:formatCode>
                <c:ptCount val="41"/>
                <c:pt idx="0">
                  <c:v>6</c:v>
                </c:pt>
                <c:pt idx="1">
                  <c:v>6.2</c:v>
                </c:pt>
                <c:pt idx="2">
                  <c:v>6.4</c:v>
                </c:pt>
                <c:pt idx="3">
                  <c:v>6.6</c:v>
                </c:pt>
                <c:pt idx="4">
                  <c:v>6.8</c:v>
                </c:pt>
                <c:pt idx="5">
                  <c:v>7</c:v>
                </c:pt>
                <c:pt idx="6">
                  <c:v>7.2</c:v>
                </c:pt>
                <c:pt idx="7">
                  <c:v>7.4</c:v>
                </c:pt>
                <c:pt idx="8">
                  <c:v>7.6</c:v>
                </c:pt>
                <c:pt idx="9">
                  <c:v>7.8</c:v>
                </c:pt>
                <c:pt idx="10">
                  <c:v>8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</c:v>
                </c:pt>
                <c:pt idx="16">
                  <c:v>9.1999999999999993</c:v>
                </c:pt>
                <c:pt idx="17">
                  <c:v>9.4</c:v>
                </c:pt>
                <c:pt idx="18">
                  <c:v>9.6</c:v>
                </c:pt>
                <c:pt idx="19">
                  <c:v>9.8000000000000007</c:v>
                </c:pt>
                <c:pt idx="20">
                  <c:v>10</c:v>
                </c:pt>
                <c:pt idx="21">
                  <c:v>10.199999999999999</c:v>
                </c:pt>
                <c:pt idx="22">
                  <c:v>10.4</c:v>
                </c:pt>
                <c:pt idx="23">
                  <c:v>10.6</c:v>
                </c:pt>
                <c:pt idx="24">
                  <c:v>10.8</c:v>
                </c:pt>
                <c:pt idx="25">
                  <c:v>11</c:v>
                </c:pt>
                <c:pt idx="26">
                  <c:v>11.2</c:v>
                </c:pt>
                <c:pt idx="27">
                  <c:v>11.4</c:v>
                </c:pt>
                <c:pt idx="28">
                  <c:v>11.6</c:v>
                </c:pt>
                <c:pt idx="29">
                  <c:v>11.8</c:v>
                </c:pt>
                <c:pt idx="30">
                  <c:v>12</c:v>
                </c:pt>
                <c:pt idx="31">
                  <c:v>12.2</c:v>
                </c:pt>
                <c:pt idx="32">
                  <c:v>12.4</c:v>
                </c:pt>
                <c:pt idx="33">
                  <c:v>12.6</c:v>
                </c:pt>
                <c:pt idx="34">
                  <c:v>12.8</c:v>
                </c:pt>
                <c:pt idx="35">
                  <c:v>13</c:v>
                </c:pt>
                <c:pt idx="36">
                  <c:v>13.2</c:v>
                </c:pt>
                <c:pt idx="37">
                  <c:v>13.4</c:v>
                </c:pt>
                <c:pt idx="38">
                  <c:v>13.6</c:v>
                </c:pt>
                <c:pt idx="39">
                  <c:v>13.8</c:v>
                </c:pt>
                <c:pt idx="40">
                  <c:v>14</c:v>
                </c:pt>
              </c:numCache>
            </c:numRef>
          </c:xVal>
          <c:yVal>
            <c:numRef>
              <c:f>'Shear stress profiel'!$I$7:$I$47</c:f>
              <c:numCache>
                <c:formatCode>0.0</c:formatCode>
                <c:ptCount val="41"/>
                <c:pt idx="0">
                  <c:v>7.3388191113070516</c:v>
                </c:pt>
                <c:pt idx="1">
                  <c:v>7.5834464150172884</c:v>
                </c:pt>
                <c:pt idx="2">
                  <c:v>7.8280737187275218</c:v>
                </c:pt>
                <c:pt idx="3">
                  <c:v>8.0727010224377569</c:v>
                </c:pt>
                <c:pt idx="4">
                  <c:v>8.3173283261479902</c:v>
                </c:pt>
                <c:pt idx="5">
                  <c:v>8.5619556298582253</c:v>
                </c:pt>
                <c:pt idx="6">
                  <c:v>8.8065829335684622</c:v>
                </c:pt>
                <c:pt idx="7">
                  <c:v>9.0512102372786973</c:v>
                </c:pt>
                <c:pt idx="8">
                  <c:v>9.2958375409889307</c:v>
                </c:pt>
                <c:pt idx="9">
                  <c:v>9.5404648446991658</c:v>
                </c:pt>
                <c:pt idx="10">
                  <c:v>9.7850921484094027</c:v>
                </c:pt>
                <c:pt idx="11">
                  <c:v>10.029719452119636</c:v>
                </c:pt>
                <c:pt idx="12">
                  <c:v>10.274346755829873</c:v>
                </c:pt>
                <c:pt idx="13">
                  <c:v>10.518974059540106</c:v>
                </c:pt>
                <c:pt idx="14">
                  <c:v>10.763601363250341</c:v>
                </c:pt>
                <c:pt idx="15">
                  <c:v>11.008228666960578</c:v>
                </c:pt>
                <c:pt idx="16">
                  <c:v>11.252855970670812</c:v>
                </c:pt>
                <c:pt idx="17">
                  <c:v>11.497483274381047</c:v>
                </c:pt>
                <c:pt idx="18">
                  <c:v>11.742110578091282</c:v>
                </c:pt>
                <c:pt idx="19">
                  <c:v>11.986737881801519</c:v>
                </c:pt>
                <c:pt idx="20">
                  <c:v>12.231365185511754</c:v>
                </c:pt>
                <c:pt idx="21">
                  <c:v>12.475992489221985</c:v>
                </c:pt>
                <c:pt idx="22">
                  <c:v>12.720619792932224</c:v>
                </c:pt>
                <c:pt idx="23">
                  <c:v>12.965247096642459</c:v>
                </c:pt>
                <c:pt idx="24">
                  <c:v>13.209874400352694</c:v>
                </c:pt>
                <c:pt idx="25">
                  <c:v>13.691340398308267</c:v>
                </c:pt>
                <c:pt idx="26">
                  <c:v>13.544119148923951</c:v>
                </c:pt>
                <c:pt idx="27">
                  <c:v>13.401045089996487</c:v>
                </c:pt>
                <c:pt idx="28">
                  <c:v>13.261931662849262</c:v>
                </c:pt>
                <c:pt idx="29">
                  <c:v>13.126603731288228</c:v>
                </c:pt>
                <c:pt idx="30">
                  <c:v>12.994896702901668</c:v>
                </c:pt>
                <c:pt idx="31">
                  <c:v>12.866655731297936</c:v>
                </c:pt>
                <c:pt idx="32">
                  <c:v>12.741734990636671</c:v>
                </c:pt>
                <c:pt idx="33">
                  <c:v>12.619997014855331</c:v>
                </c:pt>
                <c:pt idx="34">
                  <c:v>12.50131209489788</c:v>
                </c:pt>
                <c:pt idx="35">
                  <c:v>12.385557728037702</c:v>
                </c:pt>
                <c:pt idx="36">
                  <c:v>12.272618114069131</c:v>
                </c:pt>
                <c:pt idx="37">
                  <c:v>12.162383693736617</c:v>
                </c:pt>
                <c:pt idx="38">
                  <c:v>12.054750725289603</c:v>
                </c:pt>
                <c:pt idx="39">
                  <c:v>11.949620895505578</c:v>
                </c:pt>
                <c:pt idx="40">
                  <c:v>11.846900961921886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C2-4302-800A-4491E1F6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85888"/>
        <c:axId val="155186280"/>
      </c:scatterChart>
      <c:valAx>
        <c:axId val="155185888"/>
        <c:scaling>
          <c:orientation val="minMax"/>
          <c:max val="14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86280"/>
        <c:crosses val="autoZero"/>
        <c:crossBetween val="midCat"/>
      </c:valAx>
      <c:valAx>
        <c:axId val="15518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85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256999125109352E-2"/>
          <c:y val="0.17171296296296298"/>
          <c:w val="0.84459711286089234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10438451443569553"/>
                  <c:y val="0.173293598716827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'Eu number'!$I$14:$I$18</c:f>
              <c:numCache>
                <c:formatCode>0.00E+00</c:formatCode>
                <c:ptCount val="5"/>
                <c:pt idx="0">
                  <c:v>723.9212400502721</c:v>
                </c:pt>
                <c:pt idx="1">
                  <c:v>361.96062002513605</c:v>
                </c:pt>
                <c:pt idx="2">
                  <c:v>241.30708001675742</c:v>
                </c:pt>
                <c:pt idx="3">
                  <c:v>180.98031001256803</c:v>
                </c:pt>
                <c:pt idx="4">
                  <c:v>144.78424801005445</c:v>
                </c:pt>
              </c:numCache>
            </c:numRef>
          </c:xVal>
          <c:yVal>
            <c:numRef>
              <c:f>'Eu number'!$G$14:$G$18</c:f>
              <c:numCache>
                <c:formatCode>0.0</c:formatCode>
                <c:ptCount val="5"/>
                <c:pt idx="0">
                  <c:v>4.1785714285714288</c:v>
                </c:pt>
                <c:pt idx="1">
                  <c:v>3.1623376623376624</c:v>
                </c:pt>
                <c:pt idx="2">
                  <c:v>2.6785714285714284</c:v>
                </c:pt>
                <c:pt idx="3">
                  <c:v>2.5887445887445888</c:v>
                </c:pt>
                <c:pt idx="4">
                  <c:v>2.8787878787878785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50-48E9-970E-5BED8EC00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973023"/>
        <c:axId val="1302815007"/>
      </c:scatterChart>
      <c:valAx>
        <c:axId val="1378973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815007"/>
        <c:crosses val="autoZero"/>
        <c:crossBetween val="midCat"/>
      </c:valAx>
      <c:valAx>
        <c:axId val="130281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973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13</xdr:row>
          <xdr:rowOff>63500</xdr:rowOff>
        </xdr:from>
        <xdr:to>
          <xdr:col>6</xdr:col>
          <xdr:colOff>215900</xdr:colOff>
          <xdr:row>15</xdr:row>
          <xdr:rowOff>76200</xdr:rowOff>
        </xdr:to>
        <xdr:sp macro="" textlink="">
          <xdr:nvSpPr>
            <xdr:cNvPr id="1028" name="2 Objeto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381000</xdr:colOff>
          <xdr:row>13</xdr:row>
          <xdr:rowOff>63500</xdr:rowOff>
        </xdr:from>
        <xdr:to>
          <xdr:col>9</xdr:col>
          <xdr:colOff>520700</xdr:colOff>
          <xdr:row>15</xdr:row>
          <xdr:rowOff>114300</xdr:rowOff>
        </xdr:to>
        <xdr:sp macro="" textlink="">
          <xdr:nvSpPr>
            <xdr:cNvPr id="1029" name="1 Objeto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13</xdr:row>
          <xdr:rowOff>63500</xdr:rowOff>
        </xdr:from>
        <xdr:to>
          <xdr:col>6</xdr:col>
          <xdr:colOff>215900</xdr:colOff>
          <xdr:row>15</xdr:row>
          <xdr:rowOff>76200</xdr:rowOff>
        </xdr:to>
        <xdr:sp macro="" textlink="">
          <xdr:nvSpPr>
            <xdr:cNvPr id="4097" name="2 Objeto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381000</xdr:colOff>
          <xdr:row>13</xdr:row>
          <xdr:rowOff>63500</xdr:rowOff>
        </xdr:from>
        <xdr:to>
          <xdr:col>9</xdr:col>
          <xdr:colOff>520700</xdr:colOff>
          <xdr:row>15</xdr:row>
          <xdr:rowOff>114300</xdr:rowOff>
        </xdr:to>
        <xdr:sp macro="" textlink="">
          <xdr:nvSpPr>
            <xdr:cNvPr id="4098" name="1 Objeto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13</xdr:row>
          <xdr:rowOff>38100</xdr:rowOff>
        </xdr:from>
        <xdr:to>
          <xdr:col>6</xdr:col>
          <xdr:colOff>215900</xdr:colOff>
          <xdr:row>15</xdr:row>
          <xdr:rowOff>50800</xdr:rowOff>
        </xdr:to>
        <xdr:sp macro="" textlink="">
          <xdr:nvSpPr>
            <xdr:cNvPr id="5121" name="2 Objeto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381000</xdr:colOff>
          <xdr:row>13</xdr:row>
          <xdr:rowOff>63500</xdr:rowOff>
        </xdr:from>
        <xdr:to>
          <xdr:col>9</xdr:col>
          <xdr:colOff>520700</xdr:colOff>
          <xdr:row>15</xdr:row>
          <xdr:rowOff>114300</xdr:rowOff>
        </xdr:to>
        <xdr:sp macro="" textlink="">
          <xdr:nvSpPr>
            <xdr:cNvPr id="5122" name="1 Objeto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13</xdr:row>
          <xdr:rowOff>38100</xdr:rowOff>
        </xdr:from>
        <xdr:to>
          <xdr:col>6</xdr:col>
          <xdr:colOff>215900</xdr:colOff>
          <xdr:row>15</xdr:row>
          <xdr:rowOff>50800</xdr:rowOff>
        </xdr:to>
        <xdr:sp macro="" textlink="">
          <xdr:nvSpPr>
            <xdr:cNvPr id="6145" name="2 Objeto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381000</xdr:colOff>
          <xdr:row>13</xdr:row>
          <xdr:rowOff>63500</xdr:rowOff>
        </xdr:from>
        <xdr:to>
          <xdr:col>9</xdr:col>
          <xdr:colOff>520700</xdr:colOff>
          <xdr:row>15</xdr:row>
          <xdr:rowOff>114300</xdr:rowOff>
        </xdr:to>
        <xdr:sp macro="" textlink="">
          <xdr:nvSpPr>
            <xdr:cNvPr id="6146" name="1 Objeto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13</xdr:row>
          <xdr:rowOff>38100</xdr:rowOff>
        </xdr:from>
        <xdr:to>
          <xdr:col>6</xdr:col>
          <xdr:colOff>215900</xdr:colOff>
          <xdr:row>15</xdr:row>
          <xdr:rowOff>50800</xdr:rowOff>
        </xdr:to>
        <xdr:sp macro="" textlink="">
          <xdr:nvSpPr>
            <xdr:cNvPr id="7169" name="2 Objeto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381000</xdr:colOff>
          <xdr:row>13</xdr:row>
          <xdr:rowOff>63500</xdr:rowOff>
        </xdr:from>
        <xdr:to>
          <xdr:col>9</xdr:col>
          <xdr:colOff>520700</xdr:colOff>
          <xdr:row>15</xdr:row>
          <xdr:rowOff>114300</xdr:rowOff>
        </xdr:to>
        <xdr:sp macro="" textlink="">
          <xdr:nvSpPr>
            <xdr:cNvPr id="7170" name="1 Objeto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5</xdr:row>
      <xdr:rowOff>42862</xdr:rowOff>
    </xdr:from>
    <xdr:to>
      <xdr:col>17</xdr:col>
      <xdr:colOff>438150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209551</xdr:colOff>
      <xdr:row>5</xdr:row>
      <xdr:rowOff>95251</xdr:rowOff>
    </xdr:from>
    <xdr:to>
      <xdr:col>13</xdr:col>
      <xdr:colOff>495301</xdr:colOff>
      <xdr:row>7</xdr:row>
      <xdr:rowOff>57151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315701" y="1428751"/>
          <a:ext cx="2857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" b="1"/>
            <a:t>C</a:t>
          </a:r>
        </a:p>
      </xdr:txBody>
    </xdr:sp>
    <xdr:clientData/>
  </xdr:twoCellAnchor>
  <xdr:twoCellAnchor>
    <xdr:from>
      <xdr:col>10</xdr:col>
      <xdr:colOff>28575</xdr:colOff>
      <xdr:row>16</xdr:row>
      <xdr:rowOff>57150</xdr:rowOff>
    </xdr:from>
    <xdr:to>
      <xdr:col>10</xdr:col>
      <xdr:colOff>323850</xdr:colOff>
      <xdr:row>17</xdr:row>
      <xdr:rowOff>142875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848725" y="3486150"/>
          <a:ext cx="2952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" b="1"/>
            <a:t>D</a:t>
          </a:r>
        </a:p>
      </xdr:txBody>
    </xdr:sp>
    <xdr:clientData/>
  </xdr:twoCellAnchor>
  <xdr:twoCellAnchor>
    <xdr:from>
      <xdr:col>10</xdr:col>
      <xdr:colOff>628650</xdr:colOff>
      <xdr:row>16</xdr:row>
      <xdr:rowOff>104775</xdr:rowOff>
    </xdr:from>
    <xdr:to>
      <xdr:col>11</xdr:col>
      <xdr:colOff>257175</xdr:colOff>
      <xdr:row>18</xdr:row>
      <xdr:rowOff>19050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448800" y="3533775"/>
          <a:ext cx="39052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" b="1"/>
            <a:t>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736600</xdr:colOff>
          <xdr:row>7</xdr:row>
          <xdr:rowOff>76200</xdr:rowOff>
        </xdr:from>
        <xdr:to>
          <xdr:col>14</xdr:col>
          <xdr:colOff>482600</xdr:colOff>
          <xdr:row>16</xdr:row>
          <xdr:rowOff>101600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123825</xdr:colOff>
      <xdr:row>6</xdr:row>
      <xdr:rowOff>76200</xdr:rowOff>
    </xdr:from>
    <xdr:to>
      <xdr:col>10</xdr:col>
      <xdr:colOff>419100</xdr:colOff>
      <xdr:row>7</xdr:row>
      <xdr:rowOff>161925</xdr:rowOff>
    </xdr:to>
    <xdr:sp macro="" textlink="">
      <xdr:nvSpPr>
        <xdr:cNvPr id="6" name="10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8943975" y="1600200"/>
          <a:ext cx="29527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" b="1"/>
            <a:t>A</a:t>
          </a:r>
        </a:p>
      </xdr:txBody>
    </xdr:sp>
    <xdr:clientData/>
  </xdr:twoCellAnchor>
  <xdr:twoCellAnchor>
    <xdr:from>
      <xdr:col>11</xdr:col>
      <xdr:colOff>438150</xdr:colOff>
      <xdr:row>5</xdr:row>
      <xdr:rowOff>133351</xdr:rowOff>
    </xdr:from>
    <xdr:to>
      <xdr:col>11</xdr:col>
      <xdr:colOff>733425</xdr:colOff>
      <xdr:row>7</xdr:row>
      <xdr:rowOff>133351</xdr:rowOff>
    </xdr:to>
    <xdr:sp macro="" textlink="">
      <xdr:nvSpPr>
        <xdr:cNvPr id="7" name="11 CuadroText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0020300" y="1466851"/>
          <a:ext cx="29527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" b="1"/>
            <a:t>B</a:t>
          </a:r>
        </a:p>
      </xdr:txBody>
    </xdr:sp>
    <xdr:clientData/>
  </xdr:twoCellAnchor>
  <xdr:twoCellAnchor>
    <xdr:from>
      <xdr:col>9</xdr:col>
      <xdr:colOff>666750</xdr:colOff>
      <xdr:row>7</xdr:row>
      <xdr:rowOff>142875</xdr:rowOff>
    </xdr:from>
    <xdr:to>
      <xdr:col>10</xdr:col>
      <xdr:colOff>685800</xdr:colOff>
      <xdr:row>11</xdr:row>
      <xdr:rowOff>171450</xdr:rowOff>
    </xdr:to>
    <xdr:sp macro="" textlink="">
      <xdr:nvSpPr>
        <xdr:cNvPr id="8" name="12 Elipse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8724900" y="1857375"/>
          <a:ext cx="781050" cy="7905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95250</xdr:colOff>
      <xdr:row>7</xdr:row>
      <xdr:rowOff>161925</xdr:rowOff>
    </xdr:from>
    <xdr:to>
      <xdr:col>12</xdr:col>
      <xdr:colOff>190500</xdr:colOff>
      <xdr:row>12</xdr:row>
      <xdr:rowOff>0</xdr:rowOff>
    </xdr:to>
    <xdr:sp macro="" textlink="">
      <xdr:nvSpPr>
        <xdr:cNvPr id="9" name="13 Elipse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9677400" y="1876425"/>
          <a:ext cx="857250" cy="7905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609600</xdr:colOff>
      <xdr:row>12</xdr:row>
      <xdr:rowOff>57150</xdr:rowOff>
    </xdr:from>
    <xdr:to>
      <xdr:col>10</xdr:col>
      <xdr:colOff>511175</xdr:colOff>
      <xdr:row>18</xdr:row>
      <xdr:rowOff>64294</xdr:rowOff>
    </xdr:to>
    <xdr:sp macro="" textlink="">
      <xdr:nvSpPr>
        <xdr:cNvPr id="10" name="14 Elipse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8667750" y="2724150"/>
          <a:ext cx="663575" cy="117871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568325</xdr:colOff>
      <xdr:row>12</xdr:row>
      <xdr:rowOff>66675</xdr:rowOff>
    </xdr:from>
    <xdr:to>
      <xdr:col>11</xdr:col>
      <xdr:colOff>342900</xdr:colOff>
      <xdr:row>18</xdr:row>
      <xdr:rowOff>73819</xdr:rowOff>
    </xdr:to>
    <xdr:sp macro="" textlink="">
      <xdr:nvSpPr>
        <xdr:cNvPr id="11" name="15 Elipse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9388475" y="2733675"/>
          <a:ext cx="536575" cy="117871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323849</xdr:colOff>
      <xdr:row>12</xdr:row>
      <xdr:rowOff>57150</xdr:rowOff>
    </xdr:from>
    <xdr:to>
      <xdr:col>12</xdr:col>
      <xdr:colOff>105568</xdr:colOff>
      <xdr:row>18</xdr:row>
      <xdr:rowOff>64294</xdr:rowOff>
    </xdr:to>
    <xdr:sp macro="" textlink="">
      <xdr:nvSpPr>
        <xdr:cNvPr id="12" name="16 Elipse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9905999" y="2724150"/>
          <a:ext cx="543719" cy="117871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371475</xdr:colOff>
      <xdr:row>16</xdr:row>
      <xdr:rowOff>47625</xdr:rowOff>
    </xdr:from>
    <xdr:to>
      <xdr:col>12</xdr:col>
      <xdr:colOff>0</xdr:colOff>
      <xdr:row>17</xdr:row>
      <xdr:rowOff>152400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9953625" y="3476625"/>
          <a:ext cx="3905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" b="1"/>
            <a:t>F</a:t>
          </a:r>
        </a:p>
      </xdr:txBody>
    </xdr:sp>
    <xdr:clientData/>
  </xdr:twoCellAnchor>
  <xdr:twoCellAnchor>
    <xdr:from>
      <xdr:col>12</xdr:col>
      <xdr:colOff>190500</xdr:colOff>
      <xdr:row>6</xdr:row>
      <xdr:rowOff>152400</xdr:rowOff>
    </xdr:from>
    <xdr:to>
      <xdr:col>14</xdr:col>
      <xdr:colOff>190500</xdr:colOff>
      <xdr:row>11</xdr:row>
      <xdr:rowOff>142875</xdr:rowOff>
    </xdr:to>
    <xdr:sp macro="" textlink="">
      <xdr:nvSpPr>
        <xdr:cNvPr id="14" name="18 Elipse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10534650" y="1676400"/>
          <a:ext cx="1524000" cy="9429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7</xdr:row>
          <xdr:rowOff>101600</xdr:rowOff>
        </xdr:from>
        <xdr:to>
          <xdr:col>4</xdr:col>
          <xdr:colOff>660400</xdr:colOff>
          <xdr:row>16</xdr:row>
          <xdr:rowOff>63500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6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622300</xdr:colOff>
          <xdr:row>0</xdr:row>
          <xdr:rowOff>152400</xdr:rowOff>
        </xdr:from>
        <xdr:to>
          <xdr:col>10</xdr:col>
          <xdr:colOff>673100</xdr:colOff>
          <xdr:row>1</xdr:row>
          <xdr:rowOff>215900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6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2</xdr:row>
          <xdr:rowOff>76200</xdr:rowOff>
        </xdr:from>
        <xdr:to>
          <xdr:col>2</xdr:col>
          <xdr:colOff>1079500</xdr:colOff>
          <xdr:row>3</xdr:row>
          <xdr:rowOff>139700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6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1344662" cy="4512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9315450" y="190500"/>
              <a:ext cx="1344662" cy="4512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e>
                      <m:sub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𝑑𝑠𝐷𝐵</m:t>
                        </m:r>
                      </m:sub>
                    </m:sSub>
                    <m:r>
                      <a:rPr lang="en-GB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m:rPr>
                                    <m:sty m:val="p"/>
                                  </m:rPr>
                                  <a:rPr lang="el-G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σ</m:t>
                                </m:r>
                              </m:num>
                              <m:den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  <m:sSub>
                                  <m:sSub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𝑘</m:t>
                                    </m:r>
                                  </m:e>
                                  <m:sub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𝑥</m:t>
                                    </m:r>
                                  </m:sub>
                                </m:sSub>
                                <m:sSub>
                                  <m:sSub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𝐷</m:t>
                                    </m:r>
                                  </m:e>
                                  <m:sub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sub>
                                </m:sSub>
                                <m:r>
                                  <m:rPr>
                                    <m:sty m:val="p"/>
                                  </m:rPr>
                                  <a:rPr lang="el-G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τ</m:t>
                                </m:r>
                              </m:den>
                            </m:f>
                          </m:e>
                        </m:d>
                      </m:e>
                      <m:sup>
                        <m:f>
                          <m:fPr>
                            <m:type m:val="skw"/>
                            <m:ctrlPr>
                              <a:rPr lang="en-GB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9691D67-57AF-430C-91DA-C548CE42961B}"/>
                </a:ext>
              </a:extLst>
            </xdr:cNvPr>
            <xdr:cNvSpPr txBox="1"/>
          </xdr:nvSpPr>
          <xdr:spPr>
            <a:xfrm>
              <a:off x="9315450" y="190500"/>
              <a:ext cx="1344662" cy="4512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b="0" i="0">
                  <a:latin typeface="Cambria Math" panose="02040503050406030204" pitchFamily="18" charset="0"/>
                </a:rPr>
                <a:t>𝐷_𝑑𝑠𝐷𝐵=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(2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σ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/(3𝑘_𝑥 𝐷_𝑝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τ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^(</a:t>
              </a:r>
              <a:r>
                <a:rPr lang="en-GB" sz="1100" b="0" i="0">
                  <a:latin typeface="Cambria Math" panose="02040503050406030204" pitchFamily="18" charset="0"/>
                </a:rPr>
                <a:t>1⁄3)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</xdr:row>
      <xdr:rowOff>23812</xdr:rowOff>
    </xdr:from>
    <xdr:to>
      <xdr:col>16</xdr:col>
      <xdr:colOff>609600</xdr:colOff>
      <xdr:row>16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6.bin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8.bin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0.bin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3" Type="http://schemas.openxmlformats.org/officeDocument/2006/relationships/vmlDrawing" Target="../drawings/vmlDrawing6.vml"/><Relationship Id="rId7" Type="http://schemas.openxmlformats.org/officeDocument/2006/relationships/image" Target="../media/image4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oleObject" Target="../embeddings/oleObject14.bin"/><Relationship Id="rId4" Type="http://schemas.openxmlformats.org/officeDocument/2006/relationships/oleObject" Target="../embeddings/oleObject11.bin"/><Relationship Id="rId9" Type="http://schemas.openxmlformats.org/officeDocument/2006/relationships/image" Target="../media/image5.emf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64"/>
  <sheetViews>
    <sheetView topLeftCell="A28" workbookViewId="0">
      <selection activeCell="I41" sqref="I41"/>
    </sheetView>
  </sheetViews>
  <sheetFormatPr baseColWidth="10" defaultColWidth="11.5" defaultRowHeight="15" x14ac:dyDescent="0.2"/>
  <cols>
    <col min="2" max="2" width="12" bestFit="1" customWidth="1"/>
    <col min="10" max="12" width="12" bestFit="1" customWidth="1"/>
    <col min="13" max="13" width="11.5" customWidth="1"/>
  </cols>
  <sheetData>
    <row r="3" spans="1:22" x14ac:dyDescent="0.2">
      <c r="A3" s="3" t="s">
        <v>22</v>
      </c>
      <c r="B3">
        <v>1000</v>
      </c>
    </row>
    <row r="4" spans="1:22" x14ac:dyDescent="0.2">
      <c r="A4" s="3" t="s">
        <v>23</v>
      </c>
      <c r="B4">
        <f>9.8*POWER(10,-4)</f>
        <v>9.8000000000000019E-4</v>
      </c>
    </row>
    <row r="5" spans="1:22" x14ac:dyDescent="0.2">
      <c r="A5" s="3" t="s">
        <v>21</v>
      </c>
      <c r="B5" s="13">
        <v>1.8E-3</v>
      </c>
      <c r="D5" t="s">
        <v>30</v>
      </c>
    </row>
    <row r="6" spans="1:22" x14ac:dyDescent="0.2">
      <c r="A6" s="3" t="s">
        <v>6</v>
      </c>
      <c r="B6" s="13">
        <v>9.2999999999999999E-8</v>
      </c>
      <c r="C6" t="s">
        <v>31</v>
      </c>
      <c r="I6" t="s">
        <v>19</v>
      </c>
    </row>
    <row r="7" spans="1:22" x14ac:dyDescent="0.2">
      <c r="A7" s="3"/>
      <c r="D7" s="1"/>
      <c r="E7" s="1" t="s">
        <v>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</row>
    <row r="8" spans="1:22" x14ac:dyDescent="0.2">
      <c r="A8" s="3"/>
      <c r="D8" s="1"/>
      <c r="E8" s="1" t="s">
        <v>10</v>
      </c>
      <c r="F8" s="1" t="s">
        <v>11</v>
      </c>
      <c r="G8" s="1" t="s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 t="s">
        <v>5</v>
      </c>
      <c r="S8" s="1" t="s">
        <v>18</v>
      </c>
      <c r="T8" s="1"/>
      <c r="U8" s="2"/>
      <c r="V8" s="2"/>
    </row>
    <row r="9" spans="1:22" x14ac:dyDescent="0.2">
      <c r="A9" s="3"/>
      <c r="E9" s="1"/>
      <c r="F9" s="1"/>
      <c r="G9" s="1"/>
      <c r="H9" s="1" t="s">
        <v>13</v>
      </c>
      <c r="I9" s="1" t="s">
        <v>14</v>
      </c>
      <c r="J9" s="1" t="s">
        <v>15</v>
      </c>
      <c r="K9" s="1" t="s">
        <v>16</v>
      </c>
      <c r="L9" s="1" t="s">
        <v>4</v>
      </c>
      <c r="M9" s="1" t="s">
        <v>24</v>
      </c>
      <c r="N9" s="1" t="s">
        <v>17</v>
      </c>
      <c r="O9" s="1" t="s">
        <v>25</v>
      </c>
      <c r="P9" s="1"/>
      <c r="Q9" s="1"/>
      <c r="R9" s="1"/>
      <c r="S9" s="1" t="s">
        <v>13</v>
      </c>
      <c r="T9" s="1" t="s">
        <v>14</v>
      </c>
      <c r="U9" s="1" t="s">
        <v>15</v>
      </c>
      <c r="V9" s="1" t="s">
        <v>20</v>
      </c>
    </row>
    <row r="10" spans="1:22" x14ac:dyDescent="0.2">
      <c r="A10" s="3" t="s">
        <v>1</v>
      </c>
      <c r="B10" s="13">
        <v>3.1E-2</v>
      </c>
      <c r="C10" s="14" t="s">
        <v>32</v>
      </c>
      <c r="E10">
        <v>250</v>
      </c>
      <c r="F10">
        <f>E10/60</f>
        <v>4.166666666666667</v>
      </c>
      <c r="G10">
        <f>(B$3*F10*B$10^2)/B$4</f>
        <v>4085.8843537414955</v>
      </c>
      <c r="H10" s="13">
        <f>B$10*1.23/2</f>
        <v>1.9064999999999999E-2</v>
      </c>
      <c r="I10">
        <f>(0.57+0.35*(B$10/B$11))</f>
        <v>0.83463414634146327</v>
      </c>
      <c r="J10">
        <f>((B$13/B$11)^0.036)*(B$14)^0.116</f>
        <v>1.033592614249617</v>
      </c>
      <c r="K10">
        <f>(G10/(1000+1.43*G10))</f>
        <v>0.59710580764618526</v>
      </c>
      <c r="L10" s="13">
        <f>H10*I10*J10*K10</f>
        <v>9.820501147145843E-3</v>
      </c>
      <c r="M10" s="18">
        <f>L10*1000</f>
        <v>9.8205011471458423</v>
      </c>
      <c r="N10">
        <f>(B$4/(2*PI()*B$3*F10))^0.5</f>
        <v>1.9347672370394789E-4</v>
      </c>
      <c r="O10" s="4">
        <f>N10*1000</f>
        <v>0.19347672370394789</v>
      </c>
      <c r="R10">
        <f>(0.825*2*PI()*E10*B$4*Q10)/N10</f>
        <v>0</v>
      </c>
      <c r="S10">
        <f>18*R10^2*B$6^2</f>
        <v>0</v>
      </c>
      <c r="T10">
        <f>2*(81*R10^4*B$6^4+4*B$6^2*R10^2*B$5^2)^0.5</f>
        <v>0</v>
      </c>
      <c r="U10">
        <f>(S10+T10)^0.5</f>
        <v>0</v>
      </c>
      <c r="V10" t="e">
        <f>U10/(3*R10)</f>
        <v>#DIV/0!</v>
      </c>
    </row>
    <row r="11" spans="1:22" x14ac:dyDescent="0.2">
      <c r="A11" s="3" t="s">
        <v>2</v>
      </c>
      <c r="B11" s="13">
        <v>4.1000000000000002E-2</v>
      </c>
      <c r="C11" s="14" t="s">
        <v>33</v>
      </c>
      <c r="M11" s="4"/>
      <c r="O11" s="4"/>
      <c r="R11" t="e">
        <f>(0.825*2*PI()*E11*B$4*Q11)/N11</f>
        <v>#DIV/0!</v>
      </c>
      <c r="S11" t="e">
        <f>18*R11^2*B$6^2</f>
        <v>#DIV/0!</v>
      </c>
      <c r="T11" t="e">
        <f>2*(81*R11^4*B$6^4+4*B$6^2*R11^2*B$5^2)^0.5</f>
        <v>#DIV/0!</v>
      </c>
      <c r="U11" t="e">
        <f t="shared" ref="U11:U13" si="0">(S11+T11)^0.5</f>
        <v>#DIV/0!</v>
      </c>
      <c r="V11" t="e">
        <f t="shared" ref="V11:V13" si="1">U11/(3*R11)</f>
        <v>#DIV/0!</v>
      </c>
    </row>
    <row r="12" spans="1:22" x14ac:dyDescent="0.2">
      <c r="A12" s="3" t="s">
        <v>3</v>
      </c>
      <c r="B12" s="13">
        <v>9.0999999999999998E-2</v>
      </c>
      <c r="C12" s="14" t="s">
        <v>35</v>
      </c>
      <c r="R12" t="e">
        <f>(0.825*2*PI()*E12*B$4*Q12)/N12</f>
        <v>#DIV/0!</v>
      </c>
      <c r="S12" t="e">
        <f>18*R12^2*B$6^2</f>
        <v>#DIV/0!</v>
      </c>
      <c r="T12" t="e">
        <f>2*(81*R12^4*B$6^4+4*B$6^2*R12^2*B$5^2)^0.5</f>
        <v>#DIV/0!</v>
      </c>
      <c r="U12" t="e">
        <f t="shared" si="0"/>
        <v>#DIV/0!</v>
      </c>
      <c r="V12" t="e">
        <f t="shared" si="1"/>
        <v>#DIV/0!</v>
      </c>
    </row>
    <row r="13" spans="1:22" x14ac:dyDescent="0.2">
      <c r="A13" s="3" t="s">
        <v>7</v>
      </c>
      <c r="B13" s="13">
        <v>1.0999999999999999E-2</v>
      </c>
      <c r="C13" s="14" t="s">
        <v>34</v>
      </c>
      <c r="R13" t="e">
        <f>(0.825*2*PI()*E13*B$4*Q13)/N13</f>
        <v>#DIV/0!</v>
      </c>
      <c r="S13" t="e">
        <f>18*R13^2*B$6^2</f>
        <v>#DIV/0!</v>
      </c>
      <c r="T13" t="e">
        <f>2*(81*R13^4*B$6^4+4*B$6^2*R13^2*B$5^2)^0.5</f>
        <v>#DIV/0!</v>
      </c>
      <c r="U13" t="e">
        <f t="shared" si="0"/>
        <v>#DIV/0!</v>
      </c>
      <c r="V13" t="e">
        <f t="shared" si="1"/>
        <v>#DIV/0!</v>
      </c>
    </row>
    <row r="14" spans="1:22" x14ac:dyDescent="0.2">
      <c r="A14" s="3" t="s">
        <v>8</v>
      </c>
      <c r="B14">
        <v>2</v>
      </c>
    </row>
    <row r="15" spans="1:22" x14ac:dyDescent="0.2">
      <c r="A15" s="3"/>
    </row>
    <row r="17" spans="1:13" x14ac:dyDescent="0.2">
      <c r="F17" s="5" t="s">
        <v>26</v>
      </c>
      <c r="I17" s="5" t="s">
        <v>29</v>
      </c>
    </row>
    <row r="18" spans="1:13" x14ac:dyDescent="0.2">
      <c r="F18" s="1" t="s">
        <v>5</v>
      </c>
      <c r="G18" s="1"/>
      <c r="H18" s="1"/>
      <c r="I18" s="1" t="s">
        <v>5</v>
      </c>
      <c r="J18" s="1" t="s">
        <v>18</v>
      </c>
      <c r="K18" s="1"/>
      <c r="L18" s="2"/>
      <c r="M18" s="2"/>
    </row>
    <row r="19" spans="1:13" x14ac:dyDescent="0.2">
      <c r="A19" t="s">
        <v>36</v>
      </c>
      <c r="D19" s="3" t="s">
        <v>28</v>
      </c>
      <c r="E19" s="3" t="s">
        <v>27</v>
      </c>
      <c r="F19" s="1"/>
      <c r="G19" s="1"/>
      <c r="H19" s="1"/>
      <c r="I19" s="1"/>
      <c r="J19" s="1" t="s">
        <v>13</v>
      </c>
      <c r="K19" s="1" t="s">
        <v>14</v>
      </c>
      <c r="L19" s="1" t="s">
        <v>20</v>
      </c>
      <c r="M19" s="1" t="s">
        <v>39</v>
      </c>
    </row>
    <row r="20" spans="1:13" x14ac:dyDescent="0.2">
      <c r="J20" s="13"/>
      <c r="M20" s="16"/>
    </row>
    <row r="21" spans="1:13" x14ac:dyDescent="0.2">
      <c r="A21" t="s">
        <v>37</v>
      </c>
      <c r="M21" s="16"/>
    </row>
    <row r="22" spans="1:13" x14ac:dyDescent="0.2">
      <c r="D22" s="7">
        <v>6</v>
      </c>
      <c r="E22" s="8">
        <f>D22*0.001</f>
        <v>6.0000000000000001E-3</v>
      </c>
      <c r="F22" s="48">
        <f>0.825*B$4*E22*2*PI()*F$10*(1/N$10)</f>
        <v>0.65640393629828664</v>
      </c>
      <c r="G22" s="48"/>
      <c r="H22" s="48"/>
      <c r="I22" s="48"/>
      <c r="J22" s="15">
        <f>18*F22^2*B$6^2</f>
        <v>6.7078100475137125E-14</v>
      </c>
      <c r="K22" s="8">
        <f>(81*F22^4*B$6^4+4*B$6^2*F22^2*B$5^2)^0.5</f>
        <v>2.1976404043192924E-10</v>
      </c>
      <c r="L22" s="8">
        <f>(J22+K22)^0.5/(3*F22)</f>
        <v>7.5292575542875499E-6</v>
      </c>
      <c r="M22" s="16">
        <f>L22*1000000000</f>
        <v>7529.2575542875502</v>
      </c>
    </row>
    <row r="23" spans="1:13" x14ac:dyDescent="0.2">
      <c r="D23" s="7">
        <v>6.2</v>
      </c>
      <c r="E23" s="9">
        <f t="shared" ref="E23:E62" si="2">D23*0.001</f>
        <v>6.2000000000000006E-3</v>
      </c>
      <c r="F23" s="49">
        <f t="shared" ref="F23:F26" si="3">0.825*B$4*E23*2*PI()*F$10*(1/N$10)</f>
        <v>0.67828406750822956</v>
      </c>
      <c r="G23" s="53"/>
      <c r="H23" s="53"/>
      <c r="I23" s="53"/>
      <c r="J23" s="9">
        <f>18*F23^2*B$6^2</f>
        <v>7.1624505062896428E-14</v>
      </c>
      <c r="K23" s="9">
        <f>(81*F23^4*B$6^4+4*B$6^2*F23^2*B$5^2)^0.5</f>
        <v>2.2708950862557006E-10</v>
      </c>
      <c r="L23" s="9">
        <f t="shared" ref="L23" si="4">(J23+K23)^0.5/(3*F23)</f>
        <v>7.4068601133609993E-6</v>
      </c>
      <c r="M23" s="17">
        <f t="shared" ref="M23" si="5">L23*1000000000</f>
        <v>7406.8601133609991</v>
      </c>
    </row>
    <row r="24" spans="1:13" x14ac:dyDescent="0.2">
      <c r="D24" s="8">
        <v>6.4</v>
      </c>
      <c r="E24" s="9">
        <f t="shared" si="2"/>
        <v>6.4000000000000003E-3</v>
      </c>
      <c r="F24" s="49">
        <f>0.825*B$4*E24*2*PI()*F$10*(1/N$10)</f>
        <v>0.70016419871817237</v>
      </c>
      <c r="G24" s="48"/>
      <c r="H24" s="48"/>
      <c r="I24" s="48"/>
      <c r="J24" s="15">
        <f>18*F24^2*B$6^2</f>
        <v>7.6319972096156025E-14</v>
      </c>
      <c r="K24" s="8">
        <f>(81*F24^4*B$6^4+4*B$6^2*F24^2*B$5^2)^0.5</f>
        <v>2.3441497683684136E-10</v>
      </c>
      <c r="L24" s="8">
        <f>(J24+K24)^0.5/(3*F24)</f>
        <v>7.2902464342173425E-6</v>
      </c>
      <c r="M24" s="16">
        <f>L24*1000000000</f>
        <v>7290.2464342173425</v>
      </c>
    </row>
    <row r="25" spans="1:13" x14ac:dyDescent="0.2">
      <c r="D25" s="7">
        <v>6.6</v>
      </c>
      <c r="E25" s="9">
        <f t="shared" si="2"/>
        <v>6.6E-3</v>
      </c>
      <c r="F25" s="49">
        <f>0.825*B$4*E25*2*PI()*F$10*(1/N$10)</f>
        <v>0.72204432992811529</v>
      </c>
      <c r="G25" s="48"/>
      <c r="H25" s="48"/>
      <c r="I25" s="48"/>
      <c r="J25" s="15">
        <f t="shared" ref="J25:J28" si="6">18*F25^2*B$6^2</f>
        <v>8.1164501574915942E-14</v>
      </c>
      <c r="K25" s="8">
        <f t="shared" ref="K25:K29" si="7">(81*F25^4*B$6^4+4*B$6^2*F25^2*B$5^2)^0.5</f>
        <v>2.4174044506631187E-10</v>
      </c>
      <c r="L25" s="8">
        <f t="shared" ref="L25:L29" si="8">(J25+K25)^0.5/(3*F25)</f>
        <v>7.1789749367916979E-6</v>
      </c>
      <c r="M25" s="16">
        <f t="shared" ref="M25:M29" si="9">L25*1000000000</f>
        <v>7178.9749367916975</v>
      </c>
    </row>
    <row r="26" spans="1:13" x14ac:dyDescent="0.2">
      <c r="D26" s="7">
        <v>6.8</v>
      </c>
      <c r="E26" s="9">
        <f t="shared" si="2"/>
        <v>6.7999999999999996E-3</v>
      </c>
      <c r="F26" s="49">
        <f t="shared" si="3"/>
        <v>0.74392446113805821</v>
      </c>
      <c r="G26" s="48"/>
      <c r="H26" s="48"/>
      <c r="I26" s="48"/>
      <c r="J26" s="15">
        <f t="shared" si="6"/>
        <v>8.615809349917614E-14</v>
      </c>
      <c r="K26" s="8">
        <f t="shared" si="7"/>
        <v>2.4906591331455033E-10</v>
      </c>
      <c r="L26" s="8">
        <f t="shared" si="8"/>
        <v>7.0726498428717401E-6</v>
      </c>
      <c r="M26" s="16">
        <f t="shared" si="9"/>
        <v>7072.6498428717405</v>
      </c>
    </row>
    <row r="27" spans="1:13" x14ac:dyDescent="0.2">
      <c r="D27" s="8">
        <v>7</v>
      </c>
      <c r="E27" s="9">
        <f t="shared" si="2"/>
        <v>7.0000000000000001E-3</v>
      </c>
      <c r="F27" s="49">
        <f>0.825*B$4*E27*2*PI()*F$10*(1/N$10)</f>
        <v>0.76580459234800091</v>
      </c>
      <c r="G27" s="48"/>
      <c r="H27" s="48"/>
      <c r="I27" s="48"/>
      <c r="J27" s="15">
        <f t="shared" si="6"/>
        <v>9.1300747868936608E-14</v>
      </c>
      <c r="K27" s="8">
        <f t="shared" si="7"/>
        <v>2.5639138158212533E-10</v>
      </c>
      <c r="L27" s="8">
        <f t="shared" si="8"/>
        <v>6.9709152436875806E-6</v>
      </c>
      <c r="M27" s="16">
        <f t="shared" si="9"/>
        <v>6970.9152436875811</v>
      </c>
    </row>
    <row r="28" spans="1:13" x14ac:dyDescent="0.2">
      <c r="D28" s="7">
        <v>7.2</v>
      </c>
      <c r="E28" s="9">
        <f t="shared" si="2"/>
        <v>7.2000000000000007E-3</v>
      </c>
      <c r="F28" s="49">
        <f t="shared" ref="F28:F40" si="10">0.825*B$4*E28*2*PI()*F$10*(1/N$10)</f>
        <v>0.78768472355794406</v>
      </c>
      <c r="G28" s="48"/>
      <c r="H28" s="48"/>
      <c r="I28" s="48"/>
      <c r="J28" s="15">
        <f t="shared" si="6"/>
        <v>9.6592464684197497E-14</v>
      </c>
      <c r="K28" s="8">
        <f t="shared" si="7"/>
        <v>2.6371684986960591E-10</v>
      </c>
      <c r="L28" s="8">
        <f t="shared" si="8"/>
        <v>6.8734500803930848E-6</v>
      </c>
      <c r="M28" s="16">
        <f t="shared" si="9"/>
        <v>6873.450080393085</v>
      </c>
    </row>
    <row r="29" spans="1:13" x14ac:dyDescent="0.2">
      <c r="D29" s="7">
        <v>7.4</v>
      </c>
      <c r="E29" s="9">
        <f t="shared" si="2"/>
        <v>7.4000000000000003E-3</v>
      </c>
      <c r="F29" s="49">
        <f t="shared" si="10"/>
        <v>0.80956485476788698</v>
      </c>
      <c r="G29" s="48"/>
      <c r="H29" s="48"/>
      <c r="I29" s="48"/>
      <c r="J29" s="15">
        <f>18*F29^2*B$6^2</f>
        <v>1.0203324394495862E-13</v>
      </c>
      <c r="K29" s="8">
        <f t="shared" si="7"/>
        <v>2.7104231817756045E-10</v>
      </c>
      <c r="L29" s="8">
        <f t="shared" si="8"/>
        <v>6.779963875933331E-6</v>
      </c>
      <c r="M29" s="16">
        <f t="shared" si="9"/>
        <v>6779.9638759333311</v>
      </c>
    </row>
    <row r="30" spans="1:13" x14ac:dyDescent="0.2">
      <c r="D30" s="8">
        <v>7.6</v>
      </c>
      <c r="E30" s="14">
        <f t="shared" si="2"/>
        <v>7.6E-3</v>
      </c>
      <c r="F30" s="49">
        <f t="shared" si="10"/>
        <v>0.83144498597782956</v>
      </c>
      <c r="G30" s="55"/>
      <c r="H30" s="55"/>
      <c r="I30" s="55"/>
      <c r="J30" s="15">
        <f t="shared" ref="J30:J40" si="11">18*F30^2*B$6^2</f>
        <v>1.0762308565121998E-13</v>
      </c>
      <c r="K30" s="8">
        <f t="shared" ref="K30:K40" si="12">(81*F30^4*B$6^4+4*B$6^2*F30^2*B$5^2)^0.5</f>
        <v>2.783677865065578E-10</v>
      </c>
      <c r="L30" s="8">
        <f t="shared" ref="L30:L40" si="13">(J30+K30)^0.5/(3*F30)</f>
        <v>6.690193088889024E-6</v>
      </c>
      <c r="M30" s="16">
        <f t="shared" ref="M30:M40" si="14">L30*1000000000</f>
        <v>6690.1930888890238</v>
      </c>
    </row>
    <row r="31" spans="1:13" x14ac:dyDescent="0.2">
      <c r="D31" s="7">
        <v>7.8</v>
      </c>
      <c r="E31">
        <f t="shared" si="2"/>
        <v>7.7999999999999996E-3</v>
      </c>
      <c r="F31" s="49">
        <f t="shared" si="10"/>
        <v>0.85332511718777249</v>
      </c>
      <c r="G31" s="47"/>
      <c r="H31" s="47"/>
      <c r="I31" s="47"/>
      <c r="J31" s="15">
        <f t="shared" si="11"/>
        <v>1.1336198980298173E-13</v>
      </c>
      <c r="K31" s="8">
        <f t="shared" si="12"/>
        <v>2.8569325485716674E-10</v>
      </c>
      <c r="L31" s="8">
        <f t="shared" si="13"/>
        <v>6.6038979849422486E-6</v>
      </c>
      <c r="M31" s="16">
        <f t="shared" si="14"/>
        <v>6603.8979849422485</v>
      </c>
    </row>
    <row r="32" spans="1:13" x14ac:dyDescent="0.2">
      <c r="D32" s="7">
        <v>8</v>
      </c>
      <c r="E32">
        <f t="shared" si="2"/>
        <v>8.0000000000000002E-3</v>
      </c>
      <c r="F32" s="49">
        <f t="shared" si="10"/>
        <v>0.87520524839771552</v>
      </c>
      <c r="G32" s="47"/>
      <c r="H32" s="47"/>
      <c r="I32" s="47"/>
      <c r="J32" s="15">
        <f t="shared" si="11"/>
        <v>1.1924995640024379E-13</v>
      </c>
      <c r="K32" s="8">
        <f t="shared" si="12"/>
        <v>2.9301872322995601E-10</v>
      </c>
      <c r="L32" s="8">
        <f t="shared" si="13"/>
        <v>6.5208599413025872E-6</v>
      </c>
      <c r="M32" s="16">
        <f t="shared" si="14"/>
        <v>6520.8599413025877</v>
      </c>
    </row>
    <row r="33" spans="3:13" x14ac:dyDescent="0.2">
      <c r="D33" s="8">
        <v>8.1999999999999993</v>
      </c>
      <c r="E33">
        <f t="shared" si="2"/>
        <v>8.199999999999999E-3</v>
      </c>
      <c r="F33" s="49">
        <f t="shared" si="10"/>
        <v>0.89708537960765833</v>
      </c>
      <c r="G33" s="47"/>
      <c r="H33" s="47"/>
      <c r="I33" s="47"/>
      <c r="J33" s="15">
        <f t="shared" si="11"/>
        <v>1.252869854430061E-13</v>
      </c>
      <c r="K33" s="8">
        <f t="shared" si="12"/>
        <v>3.0034419162549419E-10</v>
      </c>
      <c r="L33" s="8">
        <f t="shared" si="13"/>
        <v>6.4408791150181089E-6</v>
      </c>
      <c r="M33" s="16">
        <f t="shared" si="14"/>
        <v>6440.8791150181087</v>
      </c>
    </row>
    <row r="34" spans="3:13" x14ac:dyDescent="0.2">
      <c r="D34" s="7">
        <v>8.4</v>
      </c>
      <c r="E34">
        <f t="shared" si="2"/>
        <v>8.4000000000000012E-3</v>
      </c>
      <c r="F34" s="49">
        <f t="shared" si="10"/>
        <v>0.91896551081760136</v>
      </c>
      <c r="G34" s="47"/>
      <c r="H34" s="47"/>
      <c r="I34" s="47"/>
      <c r="J34" s="15">
        <f t="shared" si="11"/>
        <v>1.314730769312688E-13</v>
      </c>
      <c r="K34" s="8">
        <f t="shared" si="12"/>
        <v>3.0766966004435019E-10</v>
      </c>
      <c r="L34" s="8">
        <f t="shared" si="13"/>
        <v>6.3637724185072944E-6</v>
      </c>
      <c r="M34" s="16">
        <f t="shared" si="14"/>
        <v>6363.7724185072948</v>
      </c>
    </row>
    <row r="35" spans="3:13" x14ac:dyDescent="0.2">
      <c r="D35" s="7">
        <v>8.6</v>
      </c>
      <c r="E35">
        <f t="shared" si="2"/>
        <v>8.6E-3</v>
      </c>
      <c r="F35" s="49">
        <f t="shared" si="10"/>
        <v>0.94084564202754417</v>
      </c>
      <c r="G35" s="47"/>
      <c r="H35" s="47"/>
      <c r="I35" s="47"/>
      <c r="J35" s="15">
        <f t="shared" si="11"/>
        <v>1.3780823086503172E-13</v>
      </c>
      <c r="K35" s="8">
        <f t="shared" si="12"/>
        <v>3.1499512848709257E-10</v>
      </c>
      <c r="L35" s="8">
        <f t="shared" si="13"/>
        <v>6.2893717555911955E-6</v>
      </c>
      <c r="M35" s="16">
        <f t="shared" si="14"/>
        <v>6289.3717555911953</v>
      </c>
    </row>
    <row r="36" spans="3:13" x14ac:dyDescent="0.2">
      <c r="D36" s="8">
        <v>8.8000000000000007</v>
      </c>
      <c r="E36">
        <f t="shared" si="2"/>
        <v>8.8000000000000005E-3</v>
      </c>
      <c r="F36" s="49">
        <f t="shared" si="10"/>
        <v>0.96272577323748709</v>
      </c>
      <c r="G36" s="47"/>
      <c r="H36" s="47"/>
      <c r="I36" s="47"/>
      <c r="J36" s="15">
        <f t="shared" si="11"/>
        <v>1.44292447244295E-13</v>
      </c>
      <c r="K36" s="8">
        <f t="shared" si="12"/>
        <v>3.2232059695429019E-10</v>
      </c>
      <c r="L36" s="8">
        <f t="shared" si="13"/>
        <v>6.2175224793159349E-6</v>
      </c>
      <c r="M36" s="16">
        <f t="shared" si="14"/>
        <v>6217.522479315935</v>
      </c>
    </row>
    <row r="37" spans="3:13" x14ac:dyDescent="0.2">
      <c r="D37" s="7">
        <v>9</v>
      </c>
      <c r="E37">
        <f t="shared" si="2"/>
        <v>9.0000000000000011E-3</v>
      </c>
      <c r="F37" s="49">
        <f t="shared" si="10"/>
        <v>0.98460590444743012</v>
      </c>
      <c r="G37" s="47"/>
      <c r="H37" s="47"/>
      <c r="I37" s="47"/>
      <c r="J37" s="15">
        <f t="shared" si="11"/>
        <v>1.5092572606905859E-13</v>
      </c>
      <c r="K37" s="8">
        <f t="shared" si="12"/>
        <v>3.2964606544651172E-10</v>
      </c>
      <c r="L37" s="8">
        <f t="shared" si="13"/>
        <v>6.1480820393447215E-6</v>
      </c>
      <c r="M37" s="16">
        <f t="shared" si="14"/>
        <v>6148.0820393447211</v>
      </c>
    </row>
    <row r="38" spans="3:13" x14ac:dyDescent="0.2">
      <c r="D38" s="7">
        <v>9.1999999999999993</v>
      </c>
      <c r="E38">
        <f t="shared" si="2"/>
        <v>9.1999999999999998E-3</v>
      </c>
      <c r="F38" s="49">
        <f t="shared" si="10"/>
        <v>1.0064860356573728</v>
      </c>
      <c r="G38" s="47"/>
      <c r="H38" s="47"/>
      <c r="I38" s="47"/>
      <c r="J38" s="15">
        <f t="shared" si="11"/>
        <v>1.5770806733932239E-13</v>
      </c>
      <c r="K38" s="8">
        <f t="shared" si="12"/>
        <v>3.3697153396432576E-10</v>
      </c>
      <c r="L38" s="8">
        <f t="shared" si="13"/>
        <v>6.0809187919815636E-6</v>
      </c>
      <c r="M38" s="16">
        <f t="shared" si="14"/>
        <v>6080.9187919815631</v>
      </c>
    </row>
    <row r="39" spans="3:13" x14ac:dyDescent="0.2">
      <c r="D39" s="8">
        <v>9.4</v>
      </c>
      <c r="E39">
        <f t="shared" si="2"/>
        <v>9.4000000000000004E-3</v>
      </c>
      <c r="F39" s="49">
        <f t="shared" si="10"/>
        <v>1.0283661668673156</v>
      </c>
      <c r="I39" s="47"/>
      <c r="J39" s="15">
        <f t="shared" si="11"/>
        <v>1.6463947105508654E-13</v>
      </c>
      <c r="K39" s="8">
        <f t="shared" si="12"/>
        <v>3.442970025083012E-10</v>
      </c>
      <c r="L39" s="8">
        <f t="shared" si="13"/>
        <v>6.0159109502112428E-6</v>
      </c>
      <c r="M39" s="16">
        <f t="shared" si="14"/>
        <v>6015.9109502112424</v>
      </c>
    </row>
    <row r="40" spans="3:13" x14ac:dyDescent="0.2">
      <c r="C40" s="11" t="s">
        <v>12</v>
      </c>
      <c r="D40" s="7">
        <v>9.6</v>
      </c>
      <c r="E40">
        <f t="shared" si="2"/>
        <v>9.5999999999999992E-3</v>
      </c>
      <c r="F40" s="49">
        <f t="shared" si="10"/>
        <v>1.0502462980772587</v>
      </c>
      <c r="I40" s="47"/>
      <c r="J40" s="15">
        <f t="shared" si="11"/>
        <v>1.7171993721635108E-13</v>
      </c>
      <c r="K40" s="8">
        <f t="shared" si="12"/>
        <v>3.5162247107900682E-10</v>
      </c>
      <c r="L40" s="8">
        <f t="shared" si="13"/>
        <v>5.9529456546928916E-6</v>
      </c>
      <c r="M40" s="16">
        <f t="shared" si="14"/>
        <v>5952.9456546928914</v>
      </c>
    </row>
    <row r="41" spans="3:13" x14ac:dyDescent="0.2">
      <c r="C41" s="12" t="s">
        <v>38</v>
      </c>
      <c r="D41" s="19">
        <v>9.8000000000000007</v>
      </c>
      <c r="E41" s="20">
        <f t="shared" si="2"/>
        <v>9.8000000000000014E-3</v>
      </c>
      <c r="F41" s="49">
        <v>1.0757172230949368</v>
      </c>
      <c r="G41" s="20"/>
      <c r="H41" s="20"/>
      <c r="I41" s="56">
        <f>0.825*B$4*L$10*(2*PI()*F$10)*((L$10/E41)^0.6)*(1/N$10)</f>
        <v>1.0757172230949368</v>
      </c>
      <c r="J41" s="57">
        <f t="shared" ref="J41:J62" si="15">18*I41^2*B$6^2</f>
        <v>1.8015015759482872E-13</v>
      </c>
      <c r="K41" s="20">
        <f t="shared" ref="K41:K62" si="16">(81*I41^4*B$6^4+4*B$6^2*I41^2*B$5^2)^0.5</f>
        <v>3.6015013755626486E-10</v>
      </c>
      <c r="L41" s="20">
        <f t="shared" ref="L41:L62" si="17">(J41+K41)^0.5/(3*I41)</f>
        <v>5.8820810908008694E-6</v>
      </c>
      <c r="M41" s="58">
        <f t="shared" ref="M41:M62" si="18">L41*1000000000</f>
        <v>5882.0810908008698</v>
      </c>
    </row>
    <row r="42" spans="3:13" x14ac:dyDescent="0.2">
      <c r="D42" s="8">
        <v>10</v>
      </c>
      <c r="E42">
        <f t="shared" si="2"/>
        <v>0.01</v>
      </c>
      <c r="F42" s="49">
        <v>1.0627564942068961</v>
      </c>
      <c r="I42" s="47">
        <f>0.825*B$4*L$10*(2*PI()*F$10)*((L$10/E42)^0.6)*(1/N$10)</f>
        <v>1.0627564942068961</v>
      </c>
      <c r="J42" s="13">
        <f t="shared" si="15"/>
        <v>1.7583524755833216E-13</v>
      </c>
      <c r="K42">
        <f t="shared" si="16"/>
        <v>3.5581088512229038E-10</v>
      </c>
      <c r="L42">
        <f t="shared" si="17"/>
        <v>5.9178217067860365E-6</v>
      </c>
      <c r="M42" s="16">
        <f t="shared" si="18"/>
        <v>5917.8217067860369</v>
      </c>
    </row>
    <row r="43" spans="3:13" x14ac:dyDescent="0.2">
      <c r="D43" s="7">
        <v>10.199999999999999</v>
      </c>
      <c r="E43">
        <f t="shared" si="2"/>
        <v>1.0199999999999999E-2</v>
      </c>
      <c r="F43" s="49">
        <v>1.0502039911831091</v>
      </c>
      <c r="I43" s="47">
        <f t="shared" ref="I43:I62" si="19">0.825*B$4*L$10*(2*PI()*F$10)*((L$10/E43)^0.6)*(1/N$10)</f>
        <v>1.0502039911831091</v>
      </c>
      <c r="J43" s="13">
        <f t="shared" si="15"/>
        <v>1.7170610276457658E-13</v>
      </c>
      <c r="K43">
        <f t="shared" si="16"/>
        <v>3.5160830672957876E-10</v>
      </c>
      <c r="L43">
        <f t="shared" si="17"/>
        <v>5.9530655005323784E-6</v>
      </c>
      <c r="M43" s="16">
        <f t="shared" si="18"/>
        <v>5953.0655005323788</v>
      </c>
    </row>
    <row r="44" spans="3:13" x14ac:dyDescent="0.2">
      <c r="D44" s="7">
        <v>10.4</v>
      </c>
      <c r="E44">
        <f t="shared" si="2"/>
        <v>1.0400000000000001E-2</v>
      </c>
      <c r="F44" s="49">
        <v>1.0380392229820232</v>
      </c>
      <c r="I44" s="47">
        <f t="shared" si="19"/>
        <v>1.0380392229820232</v>
      </c>
      <c r="J44" s="13">
        <f t="shared" si="15"/>
        <v>1.677513137518163E-13</v>
      </c>
      <c r="K44">
        <f t="shared" si="16"/>
        <v>3.4753554197582947E-10</v>
      </c>
      <c r="L44">
        <f t="shared" si="17"/>
        <v>5.9878289191551096E-6</v>
      </c>
      <c r="M44" s="16">
        <f t="shared" si="18"/>
        <v>5987.8289191551094</v>
      </c>
    </row>
    <row r="45" spans="3:13" x14ac:dyDescent="0.2">
      <c r="D45" s="8">
        <v>10.6</v>
      </c>
      <c r="E45">
        <f t="shared" si="2"/>
        <v>1.06E-2</v>
      </c>
      <c r="F45" s="49">
        <v>1.0262430957581536</v>
      </c>
      <c r="I45" s="47">
        <f t="shared" si="19"/>
        <v>1.0262430957581536</v>
      </c>
      <c r="J45" s="13">
        <f t="shared" si="15"/>
        <v>1.6396037347271349E-13</v>
      </c>
      <c r="K45">
        <f t="shared" si="16"/>
        <v>3.4358619824012825E-10</v>
      </c>
      <c r="L45">
        <f t="shared" si="17"/>
        <v>6.0221275614794069E-6</v>
      </c>
      <c r="M45" s="16">
        <f t="shared" si="18"/>
        <v>6022.1275614794067</v>
      </c>
    </row>
    <row r="46" spans="3:13" x14ac:dyDescent="0.2">
      <c r="D46" s="7">
        <v>10.8</v>
      </c>
      <c r="E46">
        <f t="shared" si="2"/>
        <v>1.0800000000000001E-2</v>
      </c>
      <c r="F46" s="49">
        <v>1.0147977933911656</v>
      </c>
      <c r="I46" s="47">
        <f t="shared" si="19"/>
        <v>1.0147977933911656</v>
      </c>
      <c r="J46" s="13">
        <f t="shared" si="15"/>
        <v>1.6032359055901833E-13</v>
      </c>
      <c r="K46">
        <f t="shared" si="16"/>
        <v>3.397543106840686E-10</v>
      </c>
      <c r="L46">
        <f t="shared" si="17"/>
        <v>6.0559762368762174E-6</v>
      </c>
      <c r="M46" s="16">
        <f t="shared" si="18"/>
        <v>6055.9762368762176</v>
      </c>
    </row>
    <row r="47" spans="3:13" x14ac:dyDescent="0.2">
      <c r="D47" s="7">
        <v>11</v>
      </c>
      <c r="E47">
        <f t="shared" si="2"/>
        <v>1.0999999999999999E-2</v>
      </c>
      <c r="F47" s="49">
        <v>1.0036866702246114</v>
      </c>
      <c r="I47" s="47">
        <f t="shared" si="19"/>
        <v>1.0036866702246114</v>
      </c>
      <c r="J47" s="13">
        <f t="shared" si="15"/>
        <v>1.5683201234553286E-13</v>
      </c>
      <c r="K47">
        <f t="shared" si="16"/>
        <v>3.3603430634066769E-10</v>
      </c>
      <c r="L47">
        <f t="shared" si="17"/>
        <v>6.0893890190095255E-6</v>
      </c>
      <c r="M47" s="16">
        <f t="shared" si="18"/>
        <v>6089.3890190095253</v>
      </c>
    </row>
    <row r="48" spans="3:13" x14ac:dyDescent="0.2">
      <c r="D48" s="8">
        <v>11.2</v>
      </c>
      <c r="E48">
        <f t="shared" si="2"/>
        <v>1.12E-2</v>
      </c>
      <c r="F48" s="49">
        <v>0.99289415457003682</v>
      </c>
      <c r="I48" s="47">
        <f t="shared" si="19"/>
        <v>0.99289415457003682</v>
      </c>
      <c r="J48" s="13">
        <f t="shared" si="15"/>
        <v>1.5347735640088529E-13</v>
      </c>
      <c r="K48">
        <f t="shared" si="16"/>
        <v>3.3242097180752918E-10</v>
      </c>
      <c r="L48">
        <f t="shared" si="17"/>
        <v>6.1223792950192573E-6</v>
      </c>
      <c r="M48" s="16">
        <f t="shared" si="18"/>
        <v>6122.3792950192574</v>
      </c>
    </row>
    <row r="49" spans="4:13" x14ac:dyDescent="0.2">
      <c r="D49" s="7">
        <v>11.4</v>
      </c>
      <c r="E49">
        <f t="shared" si="2"/>
        <v>1.14E-2</v>
      </c>
      <c r="F49" s="49">
        <v>0.98240566172545241</v>
      </c>
      <c r="I49" s="47">
        <f t="shared" si="19"/>
        <v>0.98240566172545241</v>
      </c>
      <c r="J49" s="13">
        <f t="shared" si="15"/>
        <v>1.5025194949250246E-13</v>
      </c>
      <c r="K49">
        <f t="shared" si="16"/>
        <v>3.2890942412541762E-10</v>
      </c>
      <c r="L49">
        <f t="shared" si="17"/>
        <v>6.1549598106015485E-6</v>
      </c>
      <c r="M49" s="16">
        <f t="shared" si="18"/>
        <v>6154.9598106015483</v>
      </c>
    </row>
    <row r="50" spans="4:13" x14ac:dyDescent="0.2">
      <c r="D50" s="7">
        <v>11.6</v>
      </c>
      <c r="E50">
        <f t="shared" si="2"/>
        <v>1.1599999999999999E-2</v>
      </c>
      <c r="F50" s="49">
        <v>0.97220751542166284</v>
      </c>
      <c r="I50" s="47">
        <f t="shared" si="19"/>
        <v>0.97220751542166284</v>
      </c>
      <c r="J50" s="13">
        <f t="shared" si="15"/>
        <v>1.4714867306454113E-13</v>
      </c>
      <c r="K50">
        <f t="shared" si="16"/>
        <v>3.2549508447847962E-10</v>
      </c>
      <c r="L50">
        <f t="shared" si="17"/>
        <v>6.1871427113942151E-6</v>
      </c>
      <c r="M50" s="16">
        <f t="shared" si="18"/>
        <v>6187.1427113942154</v>
      </c>
    </row>
    <row r="51" spans="4:13" x14ac:dyDescent="0.2">
      <c r="D51" s="8">
        <v>11.8</v>
      </c>
      <c r="E51">
        <f t="shared" si="2"/>
        <v>1.1800000000000001E-2</v>
      </c>
      <c r="F51" s="49">
        <v>0.96228687675040014</v>
      </c>
      <c r="I51" s="47">
        <f t="shared" si="19"/>
        <v>0.96228687675040014</v>
      </c>
      <c r="J51" s="13">
        <f t="shared" si="15"/>
        <v>1.4416091443535541E-13</v>
      </c>
      <c r="K51">
        <f t="shared" si="16"/>
        <v>3.2217365439937545E-10</v>
      </c>
      <c r="L51">
        <f t="shared" si="17"/>
        <v>6.2189395810283902E-6</v>
      </c>
      <c r="M51" s="16">
        <f t="shared" si="18"/>
        <v>6218.9395810283904</v>
      </c>
    </row>
    <row r="52" spans="4:13" x14ac:dyDescent="0.2">
      <c r="D52" s="7">
        <v>12</v>
      </c>
      <c r="E52">
        <f t="shared" si="2"/>
        <v>1.2E-2</v>
      </c>
      <c r="F52" s="49">
        <v>0.95263167974844565</v>
      </c>
      <c r="I52" s="47">
        <f t="shared" si="19"/>
        <v>0.95263167974844565</v>
      </c>
      <c r="J52" s="13">
        <f t="shared" si="15"/>
        <v>1.4128252302932506E-13</v>
      </c>
      <c r="K52">
        <f t="shared" si="16"/>
        <v>3.1894109420283529E-10</v>
      </c>
      <c r="L52">
        <f t="shared" si="17"/>
        <v>6.2503614761665495E-6</v>
      </c>
      <c r="M52" s="16">
        <f t="shared" si="18"/>
        <v>6250.3614761665494</v>
      </c>
    </row>
    <row r="53" spans="4:13" x14ac:dyDescent="0.2">
      <c r="D53" s="7">
        <v>12.2</v>
      </c>
      <c r="E53">
        <f t="shared" si="2"/>
        <v>1.2199999999999999E-2</v>
      </c>
      <c r="F53" s="49">
        <v>0.9432305729151641</v>
      </c>
      <c r="I53" s="47">
        <f t="shared" si="19"/>
        <v>0.9432305729151641</v>
      </c>
      <c r="J53" s="13">
        <f t="shared" si="15"/>
        <v>1.3850777104982068E-13</v>
      </c>
      <c r="K53">
        <f t="shared" si="16"/>
        <v>3.1579360340572376E-10</v>
      </c>
      <c r="L53">
        <f t="shared" si="17"/>
        <v>6.2814189588116092E-6</v>
      </c>
      <c r="M53" s="16">
        <f t="shared" si="18"/>
        <v>6281.4189588116096</v>
      </c>
    </row>
    <row r="54" spans="4:13" x14ac:dyDescent="0.2">
      <c r="D54" s="8">
        <v>12.4</v>
      </c>
      <c r="E54">
        <f t="shared" si="2"/>
        <v>1.2400000000000001E-2</v>
      </c>
      <c r="F54" s="49">
        <v>0.93407286602973827</v>
      </c>
      <c r="I54" s="47">
        <f t="shared" si="19"/>
        <v>0.93407286602973827</v>
      </c>
      <c r="J54" s="13">
        <f t="shared" si="15"/>
        <v>1.3583131807841062E-13</v>
      </c>
      <c r="K54">
        <f t="shared" si="16"/>
        <v>3.1272760292144401E-10</v>
      </c>
      <c r="L54">
        <f t="shared" si="17"/>
        <v>6.3121221261406533E-6</v>
      </c>
      <c r="M54" s="16">
        <f t="shared" si="18"/>
        <v>6312.1221261406536</v>
      </c>
    </row>
    <row r="55" spans="4:13" x14ac:dyDescent="0.2">
      <c r="D55" s="7">
        <v>12.6</v>
      </c>
      <c r="E55">
        <f t="shared" si="2"/>
        <v>1.26E-2</v>
      </c>
      <c r="F55" s="49">
        <v>0.92514848171109587</v>
      </c>
      <c r="I55" s="47">
        <f t="shared" si="19"/>
        <v>0.92514848171109587</v>
      </c>
      <c r="J55" s="13">
        <f t="shared" si="15"/>
        <v>1.3324817915232444E-13</v>
      </c>
      <c r="K55">
        <f t="shared" si="16"/>
        <v>3.0973971884219644E-10</v>
      </c>
      <c r="L55">
        <f t="shared" si="17"/>
        <v>6.3424806380896069E-6</v>
      </c>
      <c r="M55" s="16">
        <f t="shared" si="18"/>
        <v>6342.4806380896071</v>
      </c>
    </row>
    <row r="56" spans="4:13" x14ac:dyDescent="0.2">
      <c r="D56" s="7">
        <v>12.8</v>
      </c>
      <c r="E56">
        <f t="shared" si="2"/>
        <v>1.2800000000000001E-2</v>
      </c>
      <c r="F56" s="49">
        <v>0.91644791122986768</v>
      </c>
      <c r="I56" s="47">
        <f t="shared" si="19"/>
        <v>0.91644791122986768</v>
      </c>
      <c r="J56" s="13">
        <f t="shared" si="15"/>
        <v>1.3075369592949241E-13</v>
      </c>
      <c r="K56">
        <f t="shared" si="16"/>
        <v>3.0682676764481744E-10</v>
      </c>
      <c r="L56">
        <f t="shared" si="17"/>
        <v>6.3725037428912487E-6</v>
      </c>
      <c r="M56" s="16">
        <f t="shared" si="18"/>
        <v>6372.5037428912483</v>
      </c>
    </row>
    <row r="57" spans="4:13" x14ac:dyDescent="0.2">
      <c r="D57" s="8">
        <v>13</v>
      </c>
      <c r="E57">
        <f t="shared" si="2"/>
        <v>1.3000000000000001E-2</v>
      </c>
      <c r="F57" s="49">
        <v>0.90796217413927505</v>
      </c>
      <c r="I57" s="47">
        <f t="shared" si="19"/>
        <v>0.90796217413927505</v>
      </c>
      <c r="J57" s="13">
        <f t="shared" si="15"/>
        <v>1.2834351059968986E-13</v>
      </c>
      <c r="K57">
        <f t="shared" si="16"/>
        <v>3.0398574267519666E-10</v>
      </c>
      <c r="L57">
        <f t="shared" si="17"/>
        <v>6.4022003007478709E-6</v>
      </c>
      <c r="M57" s="16">
        <f t="shared" si="18"/>
        <v>6402.2003007478706</v>
      </c>
    </row>
    <row r="58" spans="4:13" x14ac:dyDescent="0.2">
      <c r="D58" s="7">
        <v>13.2</v>
      </c>
      <c r="E58">
        <f t="shared" si="2"/>
        <v>1.32E-2</v>
      </c>
      <c r="F58" s="49">
        <v>0.89968278134187074</v>
      </c>
      <c r="I58" s="47">
        <f t="shared" si="19"/>
        <v>0.89968278134187074</v>
      </c>
      <c r="J58" s="13">
        <f t="shared" si="15"/>
        <v>1.2601354224267524E-13</v>
      </c>
      <c r="K58">
        <f t="shared" si="16"/>
        <v>3.0121380178301817E-10</v>
      </c>
      <c r="L58">
        <f t="shared" si="17"/>
        <v>6.4315788058012894E-6</v>
      </c>
      <c r="M58" s="16">
        <f t="shared" si="18"/>
        <v>6431.5788058012895</v>
      </c>
    </row>
    <row r="59" spans="4:13" x14ac:dyDescent="0.2">
      <c r="D59" s="7">
        <v>13.4</v>
      </c>
      <c r="E59">
        <f t="shared" si="2"/>
        <v>1.34E-2</v>
      </c>
      <c r="F59" s="49">
        <v>0.89160170125263749</v>
      </c>
      <c r="I59" s="47">
        <f t="shared" si="19"/>
        <v>0.89160170125263749</v>
      </c>
      <c r="J59" s="13">
        <f t="shared" si="15"/>
        <v>1.2375996537076005E-13</v>
      </c>
      <c r="K59">
        <f t="shared" si="16"/>
        <v>2.9850825599316259E-10</v>
      </c>
      <c r="L59">
        <f t="shared" si="17"/>
        <v>6.4606474065464979E-6</v>
      </c>
      <c r="M59" s="16">
        <f t="shared" si="18"/>
        <v>6460.6474065464981</v>
      </c>
    </row>
    <row r="60" spans="4:13" x14ac:dyDescent="0.2">
      <c r="D60" s="8">
        <v>13.6</v>
      </c>
      <c r="E60">
        <f t="shared" si="2"/>
        <v>1.3599999999999999E-2</v>
      </c>
      <c r="F60" s="49">
        <v>0.88371132875701819</v>
      </c>
      <c r="I60" s="47">
        <f t="shared" si="19"/>
        <v>0.88371132875701819</v>
      </c>
      <c r="J60" s="13">
        <f t="shared" si="15"/>
        <v>1.2157919042486678E-13</v>
      </c>
      <c r="K60">
        <f t="shared" si="16"/>
        <v>2.9586655911285237E-10</v>
      </c>
      <c r="L60">
        <f t="shared" si="17"/>
        <v>6.4894139248206845E-6</v>
      </c>
      <c r="M60" s="16">
        <f t="shared" si="18"/>
        <v>6489.4139248206848</v>
      </c>
    </row>
    <row r="61" spans="4:13" x14ac:dyDescent="0.2">
      <c r="D61" s="7">
        <v>13.8</v>
      </c>
      <c r="E61">
        <f t="shared" si="2"/>
        <v>1.3800000000000002E-2</v>
      </c>
      <c r="F61" s="49">
        <v>0.87600445669573723</v>
      </c>
      <c r="I61" s="47">
        <f t="shared" si="19"/>
        <v>0.87600445669573723</v>
      </c>
      <c r="J61" s="13">
        <f t="shared" si="15"/>
        <v>1.1946784602053188E-13</v>
      </c>
      <c r="K61">
        <f t="shared" si="16"/>
        <v>2.9328629818476775E-10</v>
      </c>
      <c r="L61">
        <f t="shared" si="17"/>
        <v>6.5178858734864567E-6</v>
      </c>
      <c r="M61" s="16">
        <f t="shared" si="18"/>
        <v>6517.8858734864571</v>
      </c>
    </row>
    <row r="62" spans="4:13" x14ac:dyDescent="0.2">
      <c r="D62" s="7">
        <v>14</v>
      </c>
      <c r="E62">
        <f t="shared" si="2"/>
        <v>1.4E-2</v>
      </c>
      <c r="F62" s="49">
        <v>0.86847424963748254</v>
      </c>
      <c r="I62" s="47">
        <f t="shared" si="19"/>
        <v>0.86847424963748254</v>
      </c>
      <c r="J62" s="13">
        <f t="shared" si="15"/>
        <v>1.1742276276412247E-13</v>
      </c>
      <c r="K62">
        <f t="shared" si="16"/>
        <v>2.9076518470613786E-10</v>
      </c>
      <c r="L62">
        <f t="shared" si="17"/>
        <v>6.5460704729165561E-6</v>
      </c>
      <c r="M62" s="16">
        <f t="shared" si="18"/>
        <v>6546.0704729165564</v>
      </c>
    </row>
    <row r="63" spans="4:13" x14ac:dyDescent="0.2">
      <c r="I63" s="47"/>
      <c r="J63" s="13"/>
      <c r="M63" s="16"/>
    </row>
    <row r="64" spans="4:13" x14ac:dyDescent="0.2">
      <c r="I64" s="47"/>
      <c r="J64" s="13"/>
      <c r="M64" s="16"/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028" r:id="rId4">
          <objectPr defaultSize="0" autoPict="0" r:id="rId5">
            <anchor moveWithCells="1" sizeWithCells="1">
              <from>
                <xdr:col>4</xdr:col>
                <xdr:colOff>419100</xdr:colOff>
                <xdr:row>13</xdr:row>
                <xdr:rowOff>63500</xdr:rowOff>
              </from>
              <to>
                <xdr:col>6</xdr:col>
                <xdr:colOff>215900</xdr:colOff>
                <xdr:row>15</xdr:row>
                <xdr:rowOff>76200</xdr:rowOff>
              </to>
            </anchor>
          </objectPr>
        </oleObject>
      </mc:Choice>
      <mc:Fallback>
        <oleObject progId="Equation.DSMT4" shapeId="1028" r:id="rId4"/>
      </mc:Fallback>
    </mc:AlternateContent>
    <mc:AlternateContent xmlns:mc="http://schemas.openxmlformats.org/markup-compatibility/2006">
      <mc:Choice Requires="x14">
        <oleObject progId="Equation.DSMT4" shapeId="1029" r:id="rId6">
          <objectPr defaultSize="0" autoPict="0" r:id="rId7">
            <anchor moveWithCells="1" sizeWithCells="1">
              <from>
                <xdr:col>7</xdr:col>
                <xdr:colOff>381000</xdr:colOff>
                <xdr:row>13</xdr:row>
                <xdr:rowOff>63500</xdr:rowOff>
              </from>
              <to>
                <xdr:col>9</xdr:col>
                <xdr:colOff>520700</xdr:colOff>
                <xdr:row>15</xdr:row>
                <xdr:rowOff>114300</xdr:rowOff>
              </to>
            </anchor>
          </objectPr>
        </oleObject>
      </mc:Choice>
      <mc:Fallback>
        <oleObject progId="Equation.DSMT4" shapeId="1029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2E44-BC95-4203-A9C0-412DCF24E0BD}">
  <dimension ref="B2:S34"/>
  <sheetViews>
    <sheetView topLeftCell="A7" workbookViewId="0">
      <selection activeCell="M23" sqref="M23"/>
    </sheetView>
  </sheetViews>
  <sheetFormatPr baseColWidth="10" defaultRowHeight="15" x14ac:dyDescent="0.2"/>
  <cols>
    <col min="4" max="4" width="21.5" bestFit="1" customWidth="1"/>
    <col min="5" max="5" width="6.33203125" customWidth="1"/>
    <col min="6" max="6" width="6" customWidth="1"/>
    <col min="8" max="8" width="4.33203125" customWidth="1"/>
    <col min="10" max="10" width="5.6640625" customWidth="1"/>
    <col min="12" max="12" width="4.83203125" customWidth="1"/>
    <col min="13" max="13" width="12" bestFit="1" customWidth="1"/>
    <col min="14" max="14" width="5.5" customWidth="1"/>
    <col min="15" max="15" width="12" bestFit="1" customWidth="1"/>
    <col min="16" max="16" width="5.33203125" customWidth="1"/>
    <col min="17" max="17" width="12" bestFit="1" customWidth="1"/>
    <col min="19" max="19" width="16.83203125" bestFit="1" customWidth="1"/>
  </cols>
  <sheetData>
    <row r="2" spans="2:19" ht="17" x14ac:dyDescent="0.2">
      <c r="C2" s="3" t="s">
        <v>58</v>
      </c>
      <c r="D2">
        <v>9.81</v>
      </c>
    </row>
    <row r="3" spans="2:19" x14ac:dyDescent="0.2">
      <c r="C3" s="3" t="s">
        <v>23</v>
      </c>
      <c r="D3">
        <f>9.8*POWER(10,-4)</f>
        <v>9.8000000000000019E-4</v>
      </c>
    </row>
    <row r="4" spans="2:19" x14ac:dyDescent="0.2">
      <c r="C4" s="3" t="s">
        <v>21</v>
      </c>
      <c r="D4" s="13">
        <v>1.8E-3</v>
      </c>
    </row>
    <row r="5" spans="2:19" x14ac:dyDescent="0.2">
      <c r="C5" s="3" t="s">
        <v>57</v>
      </c>
      <c r="D5" s="13">
        <f>(0.000000077)/2</f>
        <v>3.8500000000000001E-8</v>
      </c>
      <c r="E5" t="s">
        <v>75</v>
      </c>
    </row>
    <row r="6" spans="2:19" x14ac:dyDescent="0.2">
      <c r="C6" s="32" t="s">
        <v>60</v>
      </c>
      <c r="D6" s="8">
        <v>3.4925999999999999</v>
      </c>
    </row>
    <row r="7" spans="2:19" ht="16" x14ac:dyDescent="0.2">
      <c r="C7" s="31" t="s">
        <v>59</v>
      </c>
      <c r="D7">
        <v>1000</v>
      </c>
    </row>
    <row r="8" spans="2:19" ht="17" x14ac:dyDescent="0.2">
      <c r="C8" s="3" t="s">
        <v>61</v>
      </c>
      <c r="D8">
        <v>655</v>
      </c>
      <c r="F8" s="71"/>
    </row>
    <row r="9" spans="2:19" x14ac:dyDescent="0.2">
      <c r="C9" s="3"/>
      <c r="F9" s="71"/>
    </row>
    <row r="10" spans="2:19" x14ac:dyDescent="0.2">
      <c r="B10" s="22"/>
      <c r="C10" s="33" t="s">
        <v>46</v>
      </c>
      <c r="D10" s="34"/>
      <c r="E10" s="34"/>
      <c r="F10" s="7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2:19" x14ac:dyDescent="0.2">
      <c r="B11" s="22" t="s">
        <v>74</v>
      </c>
      <c r="C11" s="34" t="s">
        <v>49</v>
      </c>
      <c r="D11" s="33" t="s">
        <v>62</v>
      </c>
      <c r="E11" s="34"/>
      <c r="F11" s="27"/>
      <c r="G11" s="22" t="s">
        <v>85</v>
      </c>
      <c r="H11" s="22"/>
      <c r="I11" s="22" t="s">
        <v>86</v>
      </c>
      <c r="J11" s="22"/>
      <c r="K11" s="22" t="s">
        <v>87</v>
      </c>
      <c r="L11" s="22"/>
      <c r="M11" s="22" t="s">
        <v>88</v>
      </c>
      <c r="N11" s="22"/>
      <c r="O11" s="22" t="s">
        <v>89</v>
      </c>
      <c r="P11" s="22"/>
      <c r="Q11" s="22" t="s">
        <v>90</v>
      </c>
      <c r="R11" s="22"/>
      <c r="S11" s="22" t="s">
        <v>105</v>
      </c>
    </row>
    <row r="12" spans="2:19" x14ac:dyDescent="0.2">
      <c r="B12" s="25">
        <v>321.75</v>
      </c>
      <c r="C12" s="3">
        <v>250</v>
      </c>
      <c r="D12" s="48">
        <f>'250 rpm'!$I$41</f>
        <v>1.0757172230949368</v>
      </c>
      <c r="E12" s="26"/>
      <c r="F12" s="27"/>
      <c r="G12" s="76">
        <f>(3/2)*D$6*PI()*D12*(B12*0.000000001)^2</f>
        <v>1.8328427866614106E-12</v>
      </c>
      <c r="I12" s="13">
        <f>PI()*2*D$5*D$4</f>
        <v>4.3542474178754532E-10</v>
      </c>
      <c r="K12" s="13">
        <f>(D$4/(B12*0.000000001))*PI()*(2*D$5)^2</f>
        <v>1.0420421170983989E-10</v>
      </c>
      <c r="M12" s="76">
        <f>(0.761*D12^1.5*D$7^0.5*(B12*0.000000001)^3)/D$3</f>
        <v>9.1256000502928664E-16</v>
      </c>
      <c r="O12" s="13">
        <f>(1/6)*(PI()*D$2*(D$7-D$8)*(B12*0.000000001)^3)</f>
        <v>5.9025869252270277E-17</v>
      </c>
      <c r="Q12" s="13">
        <f>D$8*PI()*D$5^2*Q$20</f>
        <v>2.477330929632207E-21</v>
      </c>
      <c r="S12" s="47">
        <f>I12/G12</f>
        <v>237.56797089001137</v>
      </c>
    </row>
    <row r="13" spans="2:19" x14ac:dyDescent="0.2">
      <c r="B13" s="25">
        <v>243.5</v>
      </c>
      <c r="C13" s="3">
        <v>500</v>
      </c>
      <c r="D13" s="70">
        <f>'500 rpm'!$I$44</f>
        <v>3.314997208574757</v>
      </c>
      <c r="F13" s="27"/>
      <c r="G13" s="76">
        <f t="shared" ref="G13:G16" si="0">(3/2)*D$6*PI()*D13*(B13*0.000000001)^2</f>
        <v>3.2349761231609652E-12</v>
      </c>
      <c r="I13" s="13">
        <f t="shared" ref="I13:I16" si="1">PI()*2*D$5*D$4</f>
        <v>4.3542474178754532E-10</v>
      </c>
      <c r="K13" s="13">
        <f t="shared" ref="K13:K15" si="2">(D$4/(B13*0.000000001))*PI()*(2*D$5)^2</f>
        <v>1.3769078077059955E-10</v>
      </c>
      <c r="M13" s="76">
        <f t="shared" ref="M13:M16" si="3">(0.761*D13^1.5*D$7^0.5*(B13*0.000000001)^3)/D$3</f>
        <v>2.1398347120211822E-15</v>
      </c>
      <c r="O13" s="13">
        <f t="shared" ref="O13:O16" si="4">(1/6)*(PI()*D$2*(D$7-D$8)*(B13*0.000000001)^3)</f>
        <v>2.5584893965603581E-17</v>
      </c>
      <c r="Q13" s="13">
        <f t="shared" ref="Q13:Q16" si="5">D$8*PI()*D$5^2*Q$20</f>
        <v>2.477330929632207E-21</v>
      </c>
      <c r="S13" s="47">
        <f t="shared" ref="S13:S16" si="6">I13/G13</f>
        <v>134.59905891425325</v>
      </c>
    </row>
    <row r="14" spans="2:19" x14ac:dyDescent="0.2">
      <c r="B14" s="25">
        <v>206.25</v>
      </c>
      <c r="C14" s="3">
        <v>750</v>
      </c>
      <c r="D14" s="70">
        <f>' 750 rpm'!$I$46</f>
        <v>6.2128194040349793</v>
      </c>
      <c r="F14" s="27"/>
      <c r="G14" s="76">
        <f t="shared" si="0"/>
        <v>4.3497733233666615E-12</v>
      </c>
      <c r="I14" s="13">
        <f t="shared" si="1"/>
        <v>4.3542474178754532E-10</v>
      </c>
      <c r="K14" s="13">
        <f t="shared" si="2"/>
        <v>1.6255857026735022E-10</v>
      </c>
      <c r="M14" s="76">
        <f t="shared" si="3"/>
        <v>3.3363649274103775E-15</v>
      </c>
      <c r="O14" s="13">
        <f t="shared" si="4"/>
        <v>1.5547787505971488E-17</v>
      </c>
      <c r="Q14" s="13">
        <f t="shared" si="5"/>
        <v>2.477330929632207E-21</v>
      </c>
      <c r="S14" s="47">
        <f t="shared" si="6"/>
        <v>100.10285810722037</v>
      </c>
    </row>
    <row r="15" spans="2:19" x14ac:dyDescent="0.2">
      <c r="B15" s="25">
        <v>199.33333333333334</v>
      </c>
      <c r="C15" s="3">
        <v>1000</v>
      </c>
      <c r="D15" s="70">
        <f>'1000 rpm'!$I$47</f>
        <v>9.6684095688933738</v>
      </c>
      <c r="F15" s="27"/>
      <c r="G15" s="76">
        <f t="shared" si="0"/>
        <v>6.3227335373356072E-12</v>
      </c>
      <c r="I15" s="13">
        <f t="shared" si="1"/>
        <v>4.3542474178754532E-10</v>
      </c>
      <c r="K15" s="13">
        <f t="shared" si="2"/>
        <v>1.6819918955338286E-10</v>
      </c>
      <c r="M15" s="76">
        <f t="shared" si="3"/>
        <v>5.846970843075354E-15</v>
      </c>
      <c r="O15" s="13">
        <f t="shared" si="4"/>
        <v>1.4035455531805511E-17</v>
      </c>
      <c r="Q15" s="13">
        <f t="shared" si="5"/>
        <v>2.477330929632207E-21</v>
      </c>
      <c r="S15" s="47">
        <f t="shared" si="6"/>
        <v>68.866533630805648</v>
      </c>
    </row>
    <row r="16" spans="2:19" x14ac:dyDescent="0.2">
      <c r="B16" s="25">
        <v>221.66666666666666</v>
      </c>
      <c r="C16" s="7">
        <v>1250</v>
      </c>
      <c r="D16" s="70">
        <f>'1250 rpm'!$I$48</f>
        <v>13.544119148923951</v>
      </c>
      <c r="G16" s="76">
        <f t="shared" si="0"/>
        <v>1.0953212874903637E-11</v>
      </c>
      <c r="I16" s="13">
        <f t="shared" si="1"/>
        <v>4.3542474178754532E-10</v>
      </c>
      <c r="K16" s="13">
        <f>(D$4/(B16*0.000000001))*PI()*(2*D$5)^2</f>
        <v>1.512528050419894E-10</v>
      </c>
      <c r="M16" s="76">
        <f t="shared" si="3"/>
        <v>1.3331711328110293E-14</v>
      </c>
      <c r="O16" s="13">
        <f t="shared" si="4"/>
        <v>1.9301359353353305E-17</v>
      </c>
      <c r="Q16" s="13">
        <f t="shared" si="5"/>
        <v>2.477330929632207E-21</v>
      </c>
      <c r="S16" s="47">
        <f t="shared" si="6"/>
        <v>39.753152500596869</v>
      </c>
    </row>
    <row r="20" spans="9:18" x14ac:dyDescent="0.2">
      <c r="I20" t="s">
        <v>91</v>
      </c>
      <c r="P20" s="3" t="s">
        <v>92</v>
      </c>
      <c r="Q20" s="13">
        <f>Q32/Q26</f>
        <v>8.1221572449642619E-10</v>
      </c>
    </row>
    <row r="21" spans="9:18" x14ac:dyDescent="0.2">
      <c r="P21" s="3"/>
    </row>
    <row r="22" spans="9:18" x14ac:dyDescent="0.2">
      <c r="P22" s="3" t="s">
        <v>93</v>
      </c>
    </row>
    <row r="23" spans="9:18" x14ac:dyDescent="0.2">
      <c r="P23" s="3" t="s">
        <v>94</v>
      </c>
      <c r="Q23" s="16">
        <f>2.5*100^3/60</f>
        <v>41666.666666666664</v>
      </c>
      <c r="R23" t="s">
        <v>95</v>
      </c>
    </row>
    <row r="24" spans="9:18" x14ac:dyDescent="0.2">
      <c r="P24" s="3"/>
    </row>
    <row r="25" spans="9:18" x14ac:dyDescent="0.2">
      <c r="P25" s="3" t="s">
        <v>96</v>
      </c>
    </row>
    <row r="26" spans="9:18" x14ac:dyDescent="0.2">
      <c r="P26" s="3" t="s">
        <v>97</v>
      </c>
      <c r="Q26">
        <f>0.503</f>
        <v>0.503</v>
      </c>
      <c r="R26" t="s">
        <v>98</v>
      </c>
    </row>
    <row r="27" spans="9:18" x14ac:dyDescent="0.2">
      <c r="P27" s="3"/>
    </row>
    <row r="28" spans="9:18" x14ac:dyDescent="0.2">
      <c r="P28" s="3" t="s">
        <v>99</v>
      </c>
      <c r="Q28">
        <f>5.13*10^13</f>
        <v>51300000000000</v>
      </c>
      <c r="R28" t="s">
        <v>100</v>
      </c>
    </row>
    <row r="29" spans="9:18" x14ac:dyDescent="0.2">
      <c r="P29" s="3"/>
    </row>
    <row r="30" spans="9:18" x14ac:dyDescent="0.2">
      <c r="P30" s="3" t="s">
        <v>101</v>
      </c>
      <c r="Q30" s="13">
        <f>Q28/Q26</f>
        <v>101988071570576.55</v>
      </c>
      <c r="R30" t="s">
        <v>102</v>
      </c>
    </row>
    <row r="32" spans="9:18" x14ac:dyDescent="0.2">
      <c r="P32" s="3" t="s">
        <v>103</v>
      </c>
      <c r="Q32" s="13">
        <f>Q23/Q30</f>
        <v>4.0854450942170237E-10</v>
      </c>
    </row>
    <row r="34" spans="16:17" x14ac:dyDescent="0.2">
      <c r="P34" t="s">
        <v>104</v>
      </c>
      <c r="Q34" s="13">
        <f>PI()*(D5^2)</f>
        <v>4.6566257107834707E-15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V62"/>
  <sheetViews>
    <sheetView topLeftCell="A28" workbookViewId="0">
      <selection activeCell="I44" sqref="I44"/>
    </sheetView>
  </sheetViews>
  <sheetFormatPr baseColWidth="10" defaultColWidth="11.5" defaultRowHeight="15" x14ac:dyDescent="0.2"/>
  <cols>
    <col min="6" max="6" width="11.5" style="60"/>
    <col min="10" max="12" width="12" bestFit="1" customWidth="1"/>
  </cols>
  <sheetData>
    <row r="3" spans="1:22" x14ac:dyDescent="0.2">
      <c r="A3" s="3" t="s">
        <v>40</v>
      </c>
      <c r="B3">
        <v>1000</v>
      </c>
    </row>
    <row r="4" spans="1:22" x14ac:dyDescent="0.2">
      <c r="A4" s="3" t="s">
        <v>41</v>
      </c>
      <c r="B4">
        <f>9.8*POWER(10,-4)</f>
        <v>9.8000000000000019E-4</v>
      </c>
    </row>
    <row r="5" spans="1:22" x14ac:dyDescent="0.2">
      <c r="A5" s="3" t="s">
        <v>21</v>
      </c>
      <c r="B5" s="13">
        <v>1.8E-3</v>
      </c>
      <c r="D5" t="s">
        <v>30</v>
      </c>
    </row>
    <row r="6" spans="1:22" x14ac:dyDescent="0.2">
      <c r="A6" s="3" t="s">
        <v>6</v>
      </c>
      <c r="B6">
        <v>9.2999999999999999E-8</v>
      </c>
      <c r="C6" t="s">
        <v>31</v>
      </c>
      <c r="I6" t="s">
        <v>19</v>
      </c>
    </row>
    <row r="7" spans="1:22" x14ac:dyDescent="0.2">
      <c r="A7" s="3"/>
      <c r="D7" s="1"/>
      <c r="E7" s="1" t="s">
        <v>9</v>
      </c>
      <c r="F7" s="6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</row>
    <row r="8" spans="1:22" x14ac:dyDescent="0.2">
      <c r="A8" s="3"/>
      <c r="D8" s="1"/>
      <c r="E8" s="1" t="s">
        <v>10</v>
      </c>
      <c r="F8" s="61" t="s">
        <v>11</v>
      </c>
      <c r="G8" s="1" t="s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 t="s">
        <v>5</v>
      </c>
      <c r="S8" s="1" t="s">
        <v>18</v>
      </c>
      <c r="T8" s="1"/>
      <c r="U8" s="2"/>
      <c r="V8" s="2"/>
    </row>
    <row r="9" spans="1:22" x14ac:dyDescent="0.2">
      <c r="A9" s="3"/>
      <c r="E9" s="1"/>
      <c r="F9" s="61"/>
      <c r="G9" s="1"/>
      <c r="H9" s="1" t="s">
        <v>13</v>
      </c>
      <c r="I9" s="1" t="s">
        <v>14</v>
      </c>
      <c r="J9" s="1" t="s">
        <v>15</v>
      </c>
      <c r="K9" s="1" t="s">
        <v>16</v>
      </c>
      <c r="L9" s="1" t="s">
        <v>4</v>
      </c>
      <c r="M9" s="1" t="s">
        <v>24</v>
      </c>
      <c r="N9" s="1" t="s">
        <v>17</v>
      </c>
      <c r="O9" s="1" t="s">
        <v>25</v>
      </c>
      <c r="P9" s="1"/>
      <c r="Q9" s="1"/>
      <c r="R9" s="1"/>
      <c r="S9" s="1" t="s">
        <v>13</v>
      </c>
      <c r="T9" s="1" t="s">
        <v>14</v>
      </c>
      <c r="U9" s="1" t="s">
        <v>15</v>
      </c>
      <c r="V9" s="1" t="s">
        <v>20</v>
      </c>
    </row>
    <row r="10" spans="1:22" x14ac:dyDescent="0.2">
      <c r="A10" s="3" t="s">
        <v>1</v>
      </c>
      <c r="B10">
        <v>3.1E-2</v>
      </c>
      <c r="C10" t="s">
        <v>32</v>
      </c>
      <c r="E10">
        <v>500</v>
      </c>
      <c r="F10" s="60">
        <f>E10/60</f>
        <v>8.3333333333333339</v>
      </c>
      <c r="G10">
        <f>(B$3*F10*B$10^2)/B$4</f>
        <v>8171.768707482991</v>
      </c>
      <c r="H10">
        <f>B$10*1.23/2</f>
        <v>1.9064999999999999E-2</v>
      </c>
      <c r="I10">
        <f>(0.57+0.35*(B$10/B$11))</f>
        <v>0.83463414634146327</v>
      </c>
      <c r="J10">
        <f>((B$13/B$11)^0.036)*(B$14)^0.116</f>
        <v>1.033592614249617</v>
      </c>
      <c r="K10">
        <f>(G10/(1000+1.43*G10))</f>
        <v>0.64417527466266267</v>
      </c>
      <c r="L10">
        <f>H10*I10*J10*K10</f>
        <v>1.0594644940275323E-2</v>
      </c>
      <c r="M10" s="4">
        <f>L10*1000</f>
        <v>10.594644940275323</v>
      </c>
      <c r="N10">
        <f>(B$4/(2*PI()*B$3*F10))^0.5</f>
        <v>1.3680870333281759E-4</v>
      </c>
      <c r="O10" s="4">
        <f>N10*1000</f>
        <v>0.13680870333281758</v>
      </c>
      <c r="R10">
        <f>(0.825*2*PI()*E10*B$4*Q10)/N10</f>
        <v>0</v>
      </c>
      <c r="S10">
        <f>18*R10^2*B$6^2</f>
        <v>0</v>
      </c>
      <c r="T10">
        <f>2*(81*R10^4*B$6^4+4*B$6^2*R10^2*B$5^2)^0.5</f>
        <v>0</v>
      </c>
      <c r="U10">
        <f>(S10+T10)^0.5</f>
        <v>0</v>
      </c>
      <c r="V10" t="e">
        <f>U10/(3*R10)</f>
        <v>#DIV/0!</v>
      </c>
    </row>
    <row r="11" spans="1:22" x14ac:dyDescent="0.2">
      <c r="A11" s="3" t="s">
        <v>2</v>
      </c>
      <c r="B11">
        <v>4.1000000000000002E-2</v>
      </c>
      <c r="C11" t="s">
        <v>33</v>
      </c>
      <c r="M11" s="4"/>
      <c r="O11" s="4"/>
      <c r="R11" t="e">
        <f>(0.825*2*PI()*E11*B$4*Q11)/N11</f>
        <v>#DIV/0!</v>
      </c>
      <c r="S11" t="e">
        <f>18*R11^2*B$6^2</f>
        <v>#DIV/0!</v>
      </c>
      <c r="T11" t="e">
        <f>2*(81*R11^4*B$6^4+4*B$6^2*R11^2*B$5^2)^0.5</f>
        <v>#DIV/0!</v>
      </c>
      <c r="U11" t="e">
        <f t="shared" ref="U11:U13" si="0">(S11+T11)^0.5</f>
        <v>#DIV/0!</v>
      </c>
      <c r="V11" t="e">
        <f t="shared" ref="V11:V13" si="1">U11/(3*R11)</f>
        <v>#DIV/0!</v>
      </c>
    </row>
    <row r="12" spans="1:22" x14ac:dyDescent="0.2">
      <c r="A12" s="3" t="s">
        <v>3</v>
      </c>
      <c r="B12">
        <v>9.0999999999999998E-2</v>
      </c>
      <c r="C12" t="s">
        <v>35</v>
      </c>
      <c r="R12" t="e">
        <f>(0.825*2*PI()*E12*B$4*Q12)/N12</f>
        <v>#DIV/0!</v>
      </c>
      <c r="S12" t="e">
        <f>18*R12^2*B$6^2</f>
        <v>#DIV/0!</v>
      </c>
      <c r="T12" t="e">
        <f>2*(81*R12^4*B$6^4+4*B$6^2*R12^2*B$5^2)^0.5</f>
        <v>#DIV/0!</v>
      </c>
      <c r="U12" t="e">
        <f t="shared" si="0"/>
        <v>#DIV/0!</v>
      </c>
      <c r="V12" t="e">
        <f t="shared" si="1"/>
        <v>#DIV/0!</v>
      </c>
    </row>
    <row r="13" spans="1:22" x14ac:dyDescent="0.2">
      <c r="A13" s="3" t="s">
        <v>7</v>
      </c>
      <c r="B13">
        <v>1.0999999999999999E-2</v>
      </c>
      <c r="C13" t="s">
        <v>34</v>
      </c>
      <c r="R13" t="e">
        <f>(0.825*2*PI()*E13*B$4*Q13)/N13</f>
        <v>#DIV/0!</v>
      </c>
      <c r="S13" t="e">
        <f>18*R13^2*B$6^2</f>
        <v>#DIV/0!</v>
      </c>
      <c r="T13" t="e">
        <f>2*(81*R13^4*B$6^4+4*B$6^2*R13^2*B$5^2)^0.5</f>
        <v>#DIV/0!</v>
      </c>
      <c r="U13" t="e">
        <f t="shared" si="0"/>
        <v>#DIV/0!</v>
      </c>
      <c r="V13" t="e">
        <f t="shared" si="1"/>
        <v>#DIV/0!</v>
      </c>
    </row>
    <row r="14" spans="1:22" x14ac:dyDescent="0.2">
      <c r="A14" s="3" t="s">
        <v>8</v>
      </c>
      <c r="B14">
        <v>2</v>
      </c>
    </row>
    <row r="15" spans="1:22" x14ac:dyDescent="0.2">
      <c r="A15" s="3"/>
    </row>
    <row r="17" spans="1:14" x14ac:dyDescent="0.2">
      <c r="F17" s="62" t="s">
        <v>26</v>
      </c>
      <c r="I17" s="5" t="s">
        <v>29</v>
      </c>
    </row>
    <row r="18" spans="1:14" x14ac:dyDescent="0.2">
      <c r="F18" s="61" t="s">
        <v>5</v>
      </c>
      <c r="G18" s="1"/>
      <c r="H18" s="1"/>
      <c r="I18" s="1" t="s">
        <v>5</v>
      </c>
      <c r="J18" s="1" t="s">
        <v>18</v>
      </c>
      <c r="K18" s="1"/>
      <c r="L18" s="2"/>
      <c r="M18" s="2"/>
    </row>
    <row r="19" spans="1:14" x14ac:dyDescent="0.2">
      <c r="A19" t="s">
        <v>36</v>
      </c>
      <c r="D19" s="6" t="s">
        <v>28</v>
      </c>
      <c r="E19" s="3" t="s">
        <v>27</v>
      </c>
      <c r="F19" s="61"/>
      <c r="G19" s="1"/>
      <c r="H19" s="1"/>
      <c r="I19" s="1"/>
      <c r="J19" s="1" t="s">
        <v>13</v>
      </c>
      <c r="K19" s="1" t="s">
        <v>14</v>
      </c>
      <c r="L19" s="1" t="s">
        <v>20</v>
      </c>
      <c r="M19" s="1" t="s">
        <v>39</v>
      </c>
    </row>
    <row r="20" spans="1:14" x14ac:dyDescent="0.2">
      <c r="D20" s="4"/>
    </row>
    <row r="21" spans="1:14" x14ac:dyDescent="0.2">
      <c r="A21" t="s">
        <v>37</v>
      </c>
      <c r="D21" s="4"/>
    </row>
    <row r="22" spans="1:14" x14ac:dyDescent="0.2">
      <c r="D22" s="7">
        <v>6</v>
      </c>
      <c r="E22" s="8">
        <f t="shared" ref="E22:E62" si="2">D22*0.001</f>
        <v>6.0000000000000001E-3</v>
      </c>
      <c r="F22" s="63">
        <f>0.825*B$4*E22*2*PI()*F$10*(1/N$10)</f>
        <v>1.8565906982162443</v>
      </c>
      <c r="G22" s="50"/>
      <c r="H22" s="50"/>
      <c r="I22" s="50"/>
      <c r="J22">
        <f>18*F22^2*B$6^2</f>
        <v>5.366248038010972E-13</v>
      </c>
      <c r="K22">
        <f>(81*F22^4*B$6^4+4*B$6^2*F22^2*B$5^2)^0.5</f>
        <v>6.2158662367230437E-10</v>
      </c>
      <c r="L22">
        <f>(J22+K22)^0.5/(3*F22)</f>
        <v>4.4781722101494949E-6</v>
      </c>
      <c r="M22" s="8">
        <f>L22*1000000000</f>
        <v>4478.1722101494952</v>
      </c>
    </row>
    <row r="23" spans="1:14" x14ac:dyDescent="0.2">
      <c r="D23" s="7">
        <v>6.2</v>
      </c>
      <c r="E23" s="8">
        <f t="shared" si="2"/>
        <v>6.2000000000000006E-3</v>
      </c>
      <c r="F23" s="63">
        <f t="shared" ref="F23:F25" si="3">0.825*B$4*E23*2*PI()*F$10*(1/N$10)</f>
        <v>1.9184770548234527</v>
      </c>
      <c r="G23" s="50"/>
      <c r="H23" s="50"/>
      <c r="I23" s="50"/>
      <c r="J23">
        <f>18*F23^2*B$6^2</f>
        <v>5.7299604050317172E-13</v>
      </c>
      <c r="K23">
        <f>(81*F23^4*B$6^4+4*B$6^2*F23^2*B$5^2)^0.5</f>
        <v>6.4230618185052459E-10</v>
      </c>
      <c r="L23">
        <f t="shared" ref="L23" si="4">(J23+K23)^0.5/(3*F23)</f>
        <v>4.4054148942624907E-6</v>
      </c>
      <c r="M23" s="8">
        <f t="shared" ref="M23" si="5">L23*1000000000</f>
        <v>4405.4148942624906</v>
      </c>
    </row>
    <row r="24" spans="1:14" x14ac:dyDescent="0.2">
      <c r="D24" s="8">
        <v>6.4</v>
      </c>
      <c r="E24" s="8">
        <f t="shared" si="2"/>
        <v>6.4000000000000003E-3</v>
      </c>
      <c r="F24" s="63">
        <f>0.825*B$4*E24*2*PI()*F$10*(1/N$10)</f>
        <v>1.9803634114306603</v>
      </c>
      <c r="G24" s="50"/>
      <c r="H24" s="50"/>
      <c r="I24" s="50"/>
      <c r="J24">
        <f>18*F24^2*B$6^2</f>
        <v>6.105597767692481E-13</v>
      </c>
      <c r="K24">
        <f>(81*F24^4*B$6^4+4*B$6^2*F24^2*B$5^2)^0.5</f>
        <v>6.6302574042767666E-10</v>
      </c>
      <c r="L24">
        <f>(J24+K24)^0.5/(3*F24)</f>
        <v>4.3360962931404312E-6</v>
      </c>
      <c r="M24" s="8">
        <f>L24*1000000000</f>
        <v>4336.096293140431</v>
      </c>
    </row>
    <row r="25" spans="1:14" x14ac:dyDescent="0.2">
      <c r="D25" s="7">
        <v>6.6</v>
      </c>
      <c r="E25" s="8">
        <f t="shared" si="2"/>
        <v>6.6E-3</v>
      </c>
      <c r="F25" s="63">
        <f t="shared" si="3"/>
        <v>2.0422497680378688</v>
      </c>
      <c r="G25" s="50"/>
      <c r="H25" s="50"/>
      <c r="I25" s="50"/>
      <c r="J25">
        <f t="shared" ref="J25:J29" si="6">18*F25^2*B$6^2</f>
        <v>6.4931601259932763E-13</v>
      </c>
      <c r="K25">
        <f t="shared" ref="K25:K29" si="7">(81*F25^4*B$6^4+4*B$6^2*F25^2*B$5^2)^0.5</f>
        <v>6.8374529941662993E-10</v>
      </c>
      <c r="L25">
        <f t="shared" ref="L25:L30" si="8">(J25+K25)^0.5/(3*F25)</f>
        <v>4.2699538570811724E-6</v>
      </c>
      <c r="M25" s="8">
        <f t="shared" ref="M25:M29" si="9">L25*1000000000</f>
        <v>4269.9538570811728</v>
      </c>
    </row>
    <row r="26" spans="1:14" x14ac:dyDescent="0.2">
      <c r="C26" s="3"/>
      <c r="D26" s="7">
        <v>6.8</v>
      </c>
      <c r="E26" s="7">
        <f t="shared" si="2"/>
        <v>6.7999999999999996E-3</v>
      </c>
      <c r="F26" s="64">
        <f>0.825*B$4*E26*2*PI()*F$10*(1/N$10)</f>
        <v>2.1041361246450769</v>
      </c>
      <c r="G26" s="54"/>
      <c r="H26" s="54"/>
      <c r="I26" s="54"/>
      <c r="J26" s="7">
        <f t="shared" si="6"/>
        <v>6.8926474799340922E-13</v>
      </c>
      <c r="K26" s="7">
        <f t="shared" si="7"/>
        <v>7.0446485883025267E-10</v>
      </c>
      <c r="L26" s="7">
        <f t="shared" si="8"/>
        <v>4.2067522691705946E-6</v>
      </c>
      <c r="M26" s="7">
        <f t="shared" si="9"/>
        <v>4206.7522691705944</v>
      </c>
      <c r="N26" s="8"/>
    </row>
    <row r="27" spans="1:14" x14ac:dyDescent="0.2">
      <c r="D27" s="8">
        <v>7</v>
      </c>
      <c r="E27" s="8">
        <f t="shared" si="2"/>
        <v>7.0000000000000001E-3</v>
      </c>
      <c r="F27" s="64">
        <f t="shared" ref="F27:F43" si="10">0.825*B$4*E27*2*PI()*F$10*(1/N$10)</f>
        <v>2.1660224812522846</v>
      </c>
      <c r="G27" s="50"/>
      <c r="H27" s="50"/>
      <c r="I27" s="50"/>
      <c r="J27" s="8">
        <f t="shared" si="6"/>
        <v>7.3040598295149297E-13</v>
      </c>
      <c r="K27" s="8">
        <f t="shared" si="7"/>
        <v>7.2518441868141373E-10</v>
      </c>
      <c r="L27" s="8">
        <f t="shared" si="8"/>
        <v>4.1462799179686731E-6</v>
      </c>
      <c r="M27" s="8">
        <f t="shared" si="9"/>
        <v>4146.2799179686735</v>
      </c>
    </row>
    <row r="28" spans="1:14" x14ac:dyDescent="0.2">
      <c r="D28" s="7">
        <v>7.2</v>
      </c>
      <c r="E28" s="8">
        <f t="shared" si="2"/>
        <v>7.2000000000000007E-3</v>
      </c>
      <c r="F28" s="64">
        <f t="shared" si="10"/>
        <v>2.2279088378594931</v>
      </c>
      <c r="G28" s="50"/>
      <c r="H28" s="50"/>
      <c r="I28" s="50"/>
      <c r="J28" s="8">
        <f t="shared" si="6"/>
        <v>7.7273971747357998E-13</v>
      </c>
      <c r="K28" s="8">
        <f t="shared" si="7"/>
        <v>7.4590397898298229E-10</v>
      </c>
      <c r="L28" s="8">
        <f t="shared" si="8"/>
        <v>4.0883459129889423E-6</v>
      </c>
      <c r="M28" s="8">
        <f t="shared" si="9"/>
        <v>4088.3459129889425</v>
      </c>
    </row>
    <row r="29" spans="1:14" x14ac:dyDescent="0.2">
      <c r="D29" s="7">
        <v>7.4</v>
      </c>
      <c r="E29" s="8">
        <f t="shared" si="2"/>
        <v>7.4000000000000003E-3</v>
      </c>
      <c r="F29" s="64">
        <f t="shared" si="10"/>
        <v>2.2897951944667017</v>
      </c>
      <c r="G29" s="50"/>
      <c r="H29" s="50"/>
      <c r="I29" s="50"/>
      <c r="J29" s="8">
        <f t="shared" si="6"/>
        <v>8.1626595155966914E-13</v>
      </c>
      <c r="K29" s="8">
        <f t="shared" si="7"/>
        <v>7.6662353974782669E-10</v>
      </c>
      <c r="L29" s="8">
        <f t="shared" si="8"/>
        <v>4.0327775469420237E-6</v>
      </c>
      <c r="M29" s="8">
        <f t="shared" si="9"/>
        <v>4032.7775469420235</v>
      </c>
    </row>
    <row r="30" spans="1:14" x14ac:dyDescent="0.2">
      <c r="D30" s="8">
        <v>7.6</v>
      </c>
      <c r="E30" s="8">
        <f t="shared" si="2"/>
        <v>7.6E-3</v>
      </c>
      <c r="F30" s="64">
        <f t="shared" si="10"/>
        <v>2.3516815510739089</v>
      </c>
      <c r="G30" s="50"/>
      <c r="H30" s="50"/>
      <c r="I30" s="50"/>
      <c r="J30" s="8">
        <f>18*F30^2*B$6^2</f>
        <v>8.6098468520975985E-13</v>
      </c>
      <c r="K30" s="8">
        <f>(81*F30^4*B$6^4+4*B$6^2*F30^2*B$5^2)^0.5</f>
        <v>7.8734310098881548E-10</v>
      </c>
      <c r="L30" s="8">
        <f t="shared" si="8"/>
        <v>3.9794181277979531E-6</v>
      </c>
      <c r="M30" s="8">
        <f>L30*1000000000</f>
        <v>3979.4181277979533</v>
      </c>
    </row>
    <row r="31" spans="1:14" x14ac:dyDescent="0.2">
      <c r="D31" s="7">
        <v>7.8</v>
      </c>
      <c r="E31" s="7">
        <f t="shared" si="2"/>
        <v>7.7999999999999996E-3</v>
      </c>
      <c r="F31" s="64">
        <f t="shared" si="10"/>
        <v>2.4135679076811174</v>
      </c>
      <c r="G31" s="54"/>
      <c r="H31" s="54"/>
      <c r="I31" s="54"/>
      <c r="J31" s="8">
        <f t="shared" ref="J31:J43" si="11">18*F31^2*B$6^2</f>
        <v>9.0689591842385402E-13</v>
      </c>
      <c r="K31" s="8">
        <f t="shared" ref="K31:K43" si="12">(81*F31^4*B$6^4+4*B$6^2*F31^2*B$5^2)^0.5</f>
        <v>8.0806266271881824E-10</v>
      </c>
      <c r="L31" s="8">
        <f t="shared" ref="L31:L43" si="13">(J31+K31)^0.5/(3*F31)</f>
        <v>3.9281251186186419E-6</v>
      </c>
      <c r="M31" s="8">
        <f t="shared" ref="M31:M44" si="14">L31*1000000000</f>
        <v>3928.1251186186419</v>
      </c>
    </row>
    <row r="32" spans="1:14" x14ac:dyDescent="0.2">
      <c r="D32" s="7">
        <v>8</v>
      </c>
      <c r="E32" s="8">
        <f t="shared" si="2"/>
        <v>8.0000000000000002E-3</v>
      </c>
      <c r="F32" s="64">
        <f t="shared" si="10"/>
        <v>2.4754542642883259</v>
      </c>
      <c r="G32" s="50"/>
      <c r="H32" s="50"/>
      <c r="I32" s="50"/>
      <c r="J32" s="8">
        <f t="shared" si="11"/>
        <v>9.5399965120195056E-13</v>
      </c>
      <c r="K32" s="8">
        <f t="shared" si="12"/>
        <v>8.2878222495070323E-10</v>
      </c>
      <c r="L32" s="8">
        <f t="shared" si="13"/>
        <v>3.878768534822084E-6</v>
      </c>
      <c r="M32" s="8">
        <f t="shared" si="14"/>
        <v>3878.7685348220839</v>
      </c>
    </row>
    <row r="33" spans="3:14" x14ac:dyDescent="0.2">
      <c r="D33" s="8">
        <v>8.1999999999999993</v>
      </c>
      <c r="E33" s="8">
        <f t="shared" si="2"/>
        <v>8.199999999999999E-3</v>
      </c>
      <c r="F33" s="64">
        <f t="shared" si="10"/>
        <v>2.5373406208955336</v>
      </c>
      <c r="G33" s="50"/>
      <c r="H33" s="50"/>
      <c r="I33" s="50"/>
      <c r="J33" s="8">
        <f t="shared" si="11"/>
        <v>1.002295883544049E-12</v>
      </c>
      <c r="K33" s="8">
        <f t="shared" si="12"/>
        <v>8.4950178769733899E-10</v>
      </c>
      <c r="L33" s="8">
        <f t="shared" si="13"/>
        <v>3.831229557806855E-6</v>
      </c>
      <c r="M33" s="8">
        <f t="shared" si="14"/>
        <v>3831.2295578068552</v>
      </c>
      <c r="N33" s="8"/>
    </row>
    <row r="34" spans="3:14" x14ac:dyDescent="0.2">
      <c r="D34" s="7">
        <v>8.4</v>
      </c>
      <c r="E34">
        <f t="shared" si="2"/>
        <v>8.4000000000000012E-3</v>
      </c>
      <c r="F34" s="64">
        <f t="shared" si="10"/>
        <v>2.5992269775027421</v>
      </c>
      <c r="G34" s="25"/>
      <c r="H34" s="25"/>
      <c r="I34" s="50"/>
      <c r="J34" s="8">
        <f t="shared" si="11"/>
        <v>1.0517846154501504E-12</v>
      </c>
      <c r="K34" s="8">
        <f t="shared" si="12"/>
        <v>8.702213509715947E-10</v>
      </c>
      <c r="L34" s="8">
        <f t="shared" si="13"/>
        <v>3.7853993312452732E-6</v>
      </c>
      <c r="M34" s="8">
        <f t="shared" si="14"/>
        <v>3785.3993312452731</v>
      </c>
    </row>
    <row r="35" spans="3:14" x14ac:dyDescent="0.2">
      <c r="D35" s="7">
        <v>8.6</v>
      </c>
      <c r="E35">
        <f t="shared" si="2"/>
        <v>8.6E-3</v>
      </c>
      <c r="F35" s="64">
        <f t="shared" si="10"/>
        <v>2.6611133341099502</v>
      </c>
      <c r="G35" s="25"/>
      <c r="H35" s="25"/>
      <c r="I35" s="50"/>
      <c r="J35" s="8">
        <f t="shared" si="11"/>
        <v>1.102465846920254E-12</v>
      </c>
      <c r="K35" s="8">
        <f t="shared" si="12"/>
        <v>8.9094091478633911E-10</v>
      </c>
      <c r="L35" s="8">
        <f t="shared" si="13"/>
        <v>3.7411779122656865E-6</v>
      </c>
      <c r="M35" s="8">
        <f t="shared" si="14"/>
        <v>3741.1779122656867</v>
      </c>
    </row>
    <row r="36" spans="3:14" x14ac:dyDescent="0.2">
      <c r="D36" s="8">
        <v>8.8000000000000007</v>
      </c>
      <c r="E36">
        <f t="shared" si="2"/>
        <v>8.8000000000000005E-3</v>
      </c>
      <c r="F36" s="64">
        <f t="shared" si="10"/>
        <v>2.7229996907171583</v>
      </c>
      <c r="G36" s="25"/>
      <c r="H36" s="25"/>
      <c r="I36" s="50"/>
      <c r="J36" s="8">
        <f t="shared" si="11"/>
        <v>1.15433957795436E-12</v>
      </c>
      <c r="K36" s="8">
        <f t="shared" si="12"/>
        <v>9.1166047915444078E-10</v>
      </c>
      <c r="L36" s="8">
        <f t="shared" si="13"/>
        <v>3.6984733545075256E-6</v>
      </c>
      <c r="M36" s="8">
        <f t="shared" si="14"/>
        <v>3698.4733545075255</v>
      </c>
    </row>
    <row r="37" spans="3:14" x14ac:dyDescent="0.2">
      <c r="D37" s="7">
        <v>9</v>
      </c>
      <c r="E37">
        <f t="shared" si="2"/>
        <v>9.0000000000000011E-3</v>
      </c>
      <c r="F37" s="64">
        <f t="shared" si="10"/>
        <v>2.7848860473243668</v>
      </c>
      <c r="G37" s="25"/>
      <c r="H37" s="25"/>
      <c r="I37" s="50"/>
      <c r="J37" s="8">
        <f t="shared" si="11"/>
        <v>1.207405808552469E-12</v>
      </c>
      <c r="K37" s="8">
        <f t="shared" si="12"/>
        <v>9.3238004408876867E-10</v>
      </c>
      <c r="L37" s="8">
        <f t="shared" si="13"/>
        <v>3.6572009038910752E-6</v>
      </c>
      <c r="M37" s="8">
        <f t="shared" si="14"/>
        <v>3657.2009038910751</v>
      </c>
    </row>
    <row r="38" spans="3:14" x14ac:dyDescent="0.2">
      <c r="C38" t="s">
        <v>12</v>
      </c>
      <c r="D38" s="7">
        <v>9.1999999999999993</v>
      </c>
      <c r="E38">
        <f t="shared" si="2"/>
        <v>9.1999999999999998E-3</v>
      </c>
      <c r="F38" s="64">
        <f t="shared" si="10"/>
        <v>2.8467724039315745</v>
      </c>
      <c r="G38" s="25"/>
      <c r="H38" s="25"/>
      <c r="I38" s="50"/>
      <c r="J38" s="8">
        <f t="shared" si="11"/>
        <v>1.2616645387145791E-12</v>
      </c>
      <c r="K38" s="8">
        <f t="shared" si="12"/>
        <v>9.5309960960219113E-10</v>
      </c>
      <c r="L38" s="8">
        <f t="shared" si="13"/>
        <v>3.6172822910851093E-6</v>
      </c>
      <c r="M38" s="8">
        <f t="shared" si="14"/>
        <v>3617.2822910851091</v>
      </c>
    </row>
    <row r="39" spans="3:14" x14ac:dyDescent="0.2">
      <c r="C39">
        <v>10.5</v>
      </c>
      <c r="D39" s="8">
        <v>9.4</v>
      </c>
      <c r="E39">
        <f t="shared" si="2"/>
        <v>9.4000000000000004E-3</v>
      </c>
      <c r="F39" s="64">
        <f t="shared" si="10"/>
        <v>2.9086587605387826</v>
      </c>
      <c r="I39" s="50"/>
      <c r="J39" s="8">
        <f t="shared" si="11"/>
        <v>1.3171157684406927E-12</v>
      </c>
      <c r="K39" s="8">
        <f t="shared" si="12"/>
        <v>9.7381917570757733E-10</v>
      </c>
      <c r="L39" s="8">
        <f t="shared" si="13"/>
        <v>3.5786451072256099E-6</v>
      </c>
      <c r="M39" s="8">
        <f t="shared" si="14"/>
        <v>3578.64510722561</v>
      </c>
    </row>
    <row r="40" spans="3:14" x14ac:dyDescent="0.2">
      <c r="D40" s="7">
        <v>9.6</v>
      </c>
      <c r="E40">
        <f t="shared" si="2"/>
        <v>9.5999999999999992E-3</v>
      </c>
      <c r="F40" s="64">
        <f t="shared" si="10"/>
        <v>2.9705451171459907</v>
      </c>
      <c r="I40" s="50"/>
      <c r="J40" s="8">
        <f t="shared" si="11"/>
        <v>1.3737594977308084E-12</v>
      </c>
      <c r="K40" s="8">
        <f t="shared" si="12"/>
        <v>9.9453874241779613E-10</v>
      </c>
      <c r="L40" s="8">
        <f t="shared" si="13"/>
        <v>3.5412222515511931E-6</v>
      </c>
      <c r="M40" s="8">
        <f t="shared" si="14"/>
        <v>3541.222251551193</v>
      </c>
    </row>
    <row r="41" spans="3:14" x14ac:dyDescent="0.2">
      <c r="D41" s="7">
        <v>9.8000000000000007</v>
      </c>
      <c r="E41">
        <f t="shared" si="2"/>
        <v>9.8000000000000014E-3</v>
      </c>
      <c r="F41" s="64">
        <f t="shared" si="10"/>
        <v>3.0324314737531992</v>
      </c>
      <c r="I41" s="50"/>
      <c r="J41" s="8">
        <f t="shared" si="11"/>
        <v>1.4315957265849272E-12</v>
      </c>
      <c r="K41" s="8">
        <f t="shared" si="12"/>
        <v>1.0152583097457162E-9</v>
      </c>
      <c r="L41" s="8">
        <f t="shared" si="13"/>
        <v>3.5049514413649088E-6</v>
      </c>
      <c r="M41" s="8">
        <f t="shared" si="14"/>
        <v>3504.951441364909</v>
      </c>
    </row>
    <row r="42" spans="3:14" x14ac:dyDescent="0.2">
      <c r="D42" s="8">
        <v>10</v>
      </c>
      <c r="E42">
        <f t="shared" si="2"/>
        <v>0.01</v>
      </c>
      <c r="F42" s="64">
        <f t="shared" si="10"/>
        <v>3.0943178303604073</v>
      </c>
      <c r="I42" s="50"/>
      <c r="J42" s="8">
        <f t="shared" si="11"/>
        <v>1.4906244550030476E-12</v>
      </c>
      <c r="K42" s="8">
        <f t="shared" si="12"/>
        <v>1.035977877704206E-9</v>
      </c>
      <c r="L42" s="8">
        <f t="shared" si="13"/>
        <v>3.4697747761780935E-6</v>
      </c>
      <c r="M42" s="8">
        <f t="shared" si="14"/>
        <v>3469.7747761780934</v>
      </c>
    </row>
    <row r="43" spans="3:14" x14ac:dyDescent="0.2">
      <c r="D43" s="7">
        <v>10.199999999999999</v>
      </c>
      <c r="E43">
        <f t="shared" si="2"/>
        <v>1.0199999999999999E-2</v>
      </c>
      <c r="F43" s="64">
        <f t="shared" si="10"/>
        <v>3.156204186967615</v>
      </c>
      <c r="I43" s="50"/>
      <c r="J43" s="8">
        <f t="shared" si="11"/>
        <v>1.5508456829851704E-12</v>
      </c>
      <c r="K43" s="8">
        <f t="shared" si="12"/>
        <v>1.0566974463061343E-9</v>
      </c>
      <c r="L43" s="8">
        <f t="shared" si="13"/>
        <v>3.4356383490957599E-6</v>
      </c>
      <c r="M43" s="8">
        <f t="shared" si="14"/>
        <v>3435.6383490957601</v>
      </c>
    </row>
    <row r="44" spans="3:14" x14ac:dyDescent="0.2">
      <c r="D44" s="19">
        <v>10.4</v>
      </c>
      <c r="E44" s="19">
        <f t="shared" si="2"/>
        <v>1.0400000000000001E-2</v>
      </c>
      <c r="F44" s="65">
        <v>3.314997208574757</v>
      </c>
      <c r="G44" s="19"/>
      <c r="H44" s="19"/>
      <c r="I44" s="59">
        <f>0.825*B$4*L$10*(2*PI()*F$10)*((L$10/E44)^0.6)*(1/N$10)</f>
        <v>3.314997208574757</v>
      </c>
      <c r="J44" s="19">
        <f>18*I44^2*B$6^2</f>
        <v>1.7108216452211863E-12</v>
      </c>
      <c r="K44" s="19">
        <f t="shared" ref="K44" si="15">(81*I44^4*B$6^4+4*B$6^2*I44^2*B$5^2)^0.5</f>
        <v>1.1098613950791015E-9</v>
      </c>
      <c r="L44" s="19">
        <f t="shared" ref="L44" si="16">(J44+K44)^0.5/(3*I44)</f>
        <v>3.35246629206339E-6</v>
      </c>
      <c r="M44" s="19">
        <f t="shared" si="14"/>
        <v>3352.46629206339</v>
      </c>
    </row>
    <row r="45" spans="3:14" x14ac:dyDescent="0.2">
      <c r="D45" s="8">
        <v>10.6</v>
      </c>
      <c r="E45">
        <f t="shared" si="2"/>
        <v>1.06E-2</v>
      </c>
      <c r="F45" s="64">
        <v>3.2773260609404842</v>
      </c>
      <c r="I45" s="54">
        <f t="shared" ref="I45:I62" si="17">0.825*B$4*L$10*(2*PI()*F$10)*((L$10/E45)^0.6)*(1/N$10)</f>
        <v>3.2773260609404842</v>
      </c>
      <c r="J45">
        <f t="shared" ref="J45:J62" si="18">18*I45^2*B$6^2</f>
        <v>1.6721595176933779E-12</v>
      </c>
      <c r="K45">
        <f t="shared" ref="K45:K62" si="19">(81*I45^4*B$6^4+4*B$6^2*I45^2*B$5^2)^0.5</f>
        <v>1.0972490837401482E-9</v>
      </c>
      <c r="L45">
        <f t="shared" ref="L45:L62" si="20">(J45+K45)^0.5/(3*I45)</f>
        <v>3.3716491664442068E-6</v>
      </c>
      <c r="M45">
        <f t="shared" ref="M45:M62" si="21">L45*1000000000</f>
        <v>3371.6491664442069</v>
      </c>
    </row>
    <row r="46" spans="3:14" x14ac:dyDescent="0.2">
      <c r="D46" s="7">
        <v>10.8</v>
      </c>
      <c r="E46">
        <f t="shared" si="2"/>
        <v>1.0800000000000001E-2</v>
      </c>
      <c r="F46" s="64">
        <v>3.2407752788911663</v>
      </c>
      <c r="I46" s="54">
        <f t="shared" si="17"/>
        <v>3.2407752788911663</v>
      </c>
      <c r="J46">
        <f t="shared" si="18"/>
        <v>1.6350695731286198E-12</v>
      </c>
      <c r="K46">
        <f t="shared" si="19"/>
        <v>1.0850118713708773E-9</v>
      </c>
      <c r="L46">
        <f t="shared" si="20"/>
        <v>3.3905804911285807E-6</v>
      </c>
      <c r="M46">
        <f t="shared" si="21"/>
        <v>3390.5804911285809</v>
      </c>
    </row>
    <row r="47" spans="3:14" x14ac:dyDescent="0.2">
      <c r="D47" s="7">
        <v>11</v>
      </c>
      <c r="E47">
        <f t="shared" si="2"/>
        <v>1.0999999999999999E-2</v>
      </c>
      <c r="F47" s="64">
        <v>3.2052917042190607</v>
      </c>
      <c r="I47" s="54">
        <f t="shared" si="17"/>
        <v>3.2052917042190607</v>
      </c>
      <c r="J47">
        <f t="shared" si="18"/>
        <v>1.5994605072440379E-12</v>
      </c>
      <c r="K47">
        <f t="shared" si="19"/>
        <v>1.0731319605641172E-9</v>
      </c>
      <c r="L47">
        <f t="shared" si="20"/>
        <v>3.4092681312217213E-6</v>
      </c>
      <c r="M47">
        <f t="shared" si="21"/>
        <v>3409.2681312217214</v>
      </c>
    </row>
    <row r="48" spans="3:14" x14ac:dyDescent="0.2">
      <c r="D48" s="8">
        <v>11.2</v>
      </c>
      <c r="E48">
        <f t="shared" si="2"/>
        <v>1.12E-2</v>
      </c>
      <c r="F48" s="64">
        <v>3.1708256084528186</v>
      </c>
      <c r="I48" s="54">
        <f t="shared" si="17"/>
        <v>3.1708256084528186</v>
      </c>
      <c r="J48">
        <f t="shared" si="18"/>
        <v>1.565247851175877E-12</v>
      </c>
      <c r="K48">
        <f t="shared" si="19"/>
        <v>1.0615927021917777E-9</v>
      </c>
      <c r="L48">
        <f t="shared" si="20"/>
        <v>3.4277195682711705E-6</v>
      </c>
      <c r="M48">
        <f t="shared" si="21"/>
        <v>3427.7195682711704</v>
      </c>
    </row>
    <row r="49" spans="4:13" x14ac:dyDescent="0.2">
      <c r="D49" s="7">
        <v>11.4</v>
      </c>
      <c r="E49">
        <f t="shared" si="2"/>
        <v>1.14E-2</v>
      </c>
      <c r="F49" s="64">
        <v>3.1373304150803847</v>
      </c>
      <c r="I49" s="54">
        <f t="shared" si="17"/>
        <v>3.1373304150803847</v>
      </c>
      <c r="J49">
        <f t="shared" si="18"/>
        <v>1.532353349010182E-12</v>
      </c>
      <c r="K49">
        <f t="shared" si="19"/>
        <v>1.0503785024047414E-9</v>
      </c>
      <c r="L49">
        <f t="shared" si="20"/>
        <v>3.4459419254466882E-6</v>
      </c>
      <c r="M49">
        <f t="shared" si="21"/>
        <v>3445.9419254466879</v>
      </c>
    </row>
    <row r="50" spans="4:13" x14ac:dyDescent="0.2">
      <c r="D50" s="7">
        <v>11.6</v>
      </c>
      <c r="E50">
        <f t="shared" si="2"/>
        <v>1.1599999999999999E-2</v>
      </c>
      <c r="F50" s="64">
        <v>3.1047624486864165</v>
      </c>
      <c r="I50" s="54">
        <f t="shared" si="17"/>
        <v>3.1047624486864165</v>
      </c>
      <c r="J50">
        <f t="shared" si="18"/>
        <v>1.5007044017362688E-12</v>
      </c>
      <c r="K50">
        <f t="shared" si="19"/>
        <v>1.0394747386437722E-9</v>
      </c>
      <c r="L50">
        <f t="shared" si="20"/>
        <v>3.4639419906568449E-6</v>
      </c>
      <c r="M50">
        <f t="shared" si="21"/>
        <v>3463.9419906568451</v>
      </c>
    </row>
    <row r="51" spans="4:13" x14ac:dyDescent="0.2">
      <c r="D51" s="8">
        <v>11.8</v>
      </c>
      <c r="E51">
        <f t="shared" si="2"/>
        <v>1.1800000000000001E-2</v>
      </c>
      <c r="F51" s="64">
        <v>3.0730807079829789</v>
      </c>
      <c r="I51" s="54">
        <f t="shared" si="17"/>
        <v>3.0730807079829789</v>
      </c>
      <c r="J51">
        <f t="shared" si="18"/>
        <v>1.470233569531225E-12</v>
      </c>
      <c r="K51">
        <f t="shared" si="19"/>
        <v>1.0288676836499284E-9</v>
      </c>
      <c r="L51">
        <f t="shared" si="20"/>
        <v>3.4817262378038455E-6</v>
      </c>
      <c r="M51">
        <f t="shared" si="21"/>
        <v>3481.7262378038454</v>
      </c>
    </row>
    <row r="52" spans="4:13" x14ac:dyDescent="0.2">
      <c r="D52" s="7">
        <v>12</v>
      </c>
      <c r="E52">
        <f t="shared" si="2"/>
        <v>1.2E-2</v>
      </c>
      <c r="F52" s="64">
        <v>3.0422466600962617</v>
      </c>
      <c r="I52" s="54">
        <f t="shared" si="17"/>
        <v>3.0422466600962617</v>
      </c>
      <c r="J52">
        <f t="shared" si="18"/>
        <v>1.4408781253876344E-12</v>
      </c>
      <c r="K52">
        <f t="shared" si="19"/>
        <v>1.0185444365915216E-9</v>
      </c>
      <c r="L52">
        <f t="shared" si="20"/>
        <v>3.4993008463554074E-6</v>
      </c>
      <c r="M52">
        <f t="shared" si="21"/>
        <v>3499.3008463554074</v>
      </c>
    </row>
    <row r="53" spans="4:13" x14ac:dyDescent="0.2">
      <c r="D53" s="7">
        <v>12.2</v>
      </c>
      <c r="E53">
        <f t="shared" si="2"/>
        <v>1.2199999999999999E-2</v>
      </c>
      <c r="F53" s="64">
        <v>3.012224053801758</v>
      </c>
      <c r="I53" s="54">
        <f>0.825*B$4*L$10*(2*PI()*F$10)*((L$10/E53)^0.6)*(1/N$10)</f>
        <v>3.012224053801758</v>
      </c>
      <c r="J53">
        <f t="shared" si="18"/>
        <v>1.4125796540344998E-12</v>
      </c>
      <c r="K53">
        <f t="shared" si="19"/>
        <v>1.0084928605350461E-9</v>
      </c>
      <c r="L53">
        <f t="shared" si="20"/>
        <v>3.5166717193925885E-6</v>
      </c>
      <c r="M53">
        <f t="shared" si="21"/>
        <v>3516.6717193925883</v>
      </c>
    </row>
    <row r="54" spans="4:13" x14ac:dyDescent="0.2">
      <c r="D54" s="8">
        <v>12.4</v>
      </c>
      <c r="E54">
        <f t="shared" si="2"/>
        <v>1.2400000000000001E-2</v>
      </c>
      <c r="F54" s="64">
        <v>2.9829787496841327</v>
      </c>
      <c r="I54" s="54">
        <f t="shared" si="17"/>
        <v>2.9829787496841327</v>
      </c>
      <c r="J54">
        <f t="shared" si="18"/>
        <v>1.3852836909001702E-12</v>
      </c>
      <c r="K54">
        <f t="shared" si="19"/>
        <v>9.987015255825179E-10</v>
      </c>
      <c r="L54">
        <f t="shared" si="20"/>
        <v>3.5338445002751947E-6</v>
      </c>
      <c r="M54">
        <f t="shared" si="21"/>
        <v>3533.8445002751946</v>
      </c>
    </row>
    <row r="55" spans="4:13" x14ac:dyDescent="0.2">
      <c r="D55" s="7">
        <v>12.6</v>
      </c>
      <c r="E55">
        <f t="shared" si="2"/>
        <v>1.26E-2</v>
      </c>
      <c r="F55" s="64">
        <v>2.9544785654429639</v>
      </c>
      <c r="I55" s="54">
        <f t="shared" si="17"/>
        <v>2.9544785654429639</v>
      </c>
      <c r="J55">
        <f t="shared" si="18"/>
        <v>1.3589393965484739E-12</v>
      </c>
      <c r="K55">
        <f t="shared" si="19"/>
        <v>9.8915965707967076E-10</v>
      </c>
      <c r="L55">
        <f t="shared" si="20"/>
        <v>3.5508245880511034E-6</v>
      </c>
      <c r="M55">
        <f t="shared" si="21"/>
        <v>3550.8245880511035</v>
      </c>
    </row>
    <row r="56" spans="4:13" x14ac:dyDescent="0.2">
      <c r="D56" s="7">
        <v>12.8</v>
      </c>
      <c r="E56">
        <f t="shared" si="2"/>
        <v>1.2800000000000001E-2</v>
      </c>
      <c r="F56" s="64">
        <v>2.9266931347774223</v>
      </c>
      <c r="I56" s="54">
        <f t="shared" si="17"/>
        <v>2.9266931347774223</v>
      </c>
      <c r="J56">
        <f t="shared" si="18"/>
        <v>1.3334992626036752E-12</v>
      </c>
      <c r="K56">
        <f t="shared" si="19"/>
        <v>9.7985708837039963E-10</v>
      </c>
      <c r="L56">
        <f t="shared" si="20"/>
        <v>3.5676171517225301E-6</v>
      </c>
      <c r="M56">
        <f t="shared" si="21"/>
        <v>3567.6171517225303</v>
      </c>
    </row>
    <row r="57" spans="4:13" x14ac:dyDescent="0.2">
      <c r="D57" s="8">
        <v>13</v>
      </c>
      <c r="E57">
        <f t="shared" si="2"/>
        <v>1.3000000000000001E-2</v>
      </c>
      <c r="F57" s="64">
        <v>2.8995937784667789</v>
      </c>
      <c r="I57" s="54">
        <f t="shared" si="17"/>
        <v>2.8995937784667789</v>
      </c>
      <c r="J57">
        <f t="shared" si="18"/>
        <v>1.308918845681748E-12</v>
      </c>
      <c r="K57">
        <f t="shared" si="19"/>
        <v>9.7078421763437968E-10</v>
      </c>
      <c r="L57">
        <f t="shared" si="20"/>
        <v>3.5842271434704597E-6</v>
      </c>
      <c r="M57">
        <f t="shared" si="21"/>
        <v>3584.2271434704599</v>
      </c>
    </row>
    <row r="58" spans="4:13" x14ac:dyDescent="0.2">
      <c r="D58" s="7">
        <v>13.2</v>
      </c>
      <c r="E58">
        <f t="shared" si="2"/>
        <v>1.32E-2</v>
      </c>
      <c r="F58" s="64">
        <v>2.8731533864233607</v>
      </c>
      <c r="I58" s="54">
        <f t="shared" si="17"/>
        <v>2.8731533864233607</v>
      </c>
      <c r="J58">
        <f t="shared" si="18"/>
        <v>1.2851565262774508E-12</v>
      </c>
      <c r="K58">
        <f t="shared" si="19"/>
        <v>9.6193196839827961E-10</v>
      </c>
      <c r="L58">
        <f t="shared" si="20"/>
        <v>3.6006593109281331E-6</v>
      </c>
      <c r="M58">
        <f t="shared" si="21"/>
        <v>3600.659310928133</v>
      </c>
    </row>
    <row r="59" spans="4:13" x14ac:dyDescent="0.2">
      <c r="D59" s="7">
        <v>13.4</v>
      </c>
      <c r="E59">
        <f t="shared" si="2"/>
        <v>1.34E-2</v>
      </c>
      <c r="F59" s="64">
        <v>2.8473463096337963</v>
      </c>
      <c r="I59" s="54">
        <f t="shared" si="17"/>
        <v>2.8473463096337963</v>
      </c>
      <c r="J59">
        <f t="shared" si="18"/>
        <v>1.2621732899294696E-12</v>
      </c>
      <c r="K59">
        <f t="shared" si="19"/>
        <v>9.5329175335758118E-10</v>
      </c>
      <c r="L59">
        <f t="shared" si="20"/>
        <v>3.616918208585235E-6</v>
      </c>
      <c r="M59">
        <f t="shared" si="21"/>
        <v>3616.9182085852349</v>
      </c>
    </row>
    <row r="60" spans="4:13" x14ac:dyDescent="0.2">
      <c r="D60" s="8">
        <v>13.6</v>
      </c>
      <c r="E60">
        <f t="shared" si="2"/>
        <v>1.3599999999999999E-2</v>
      </c>
      <c r="F60" s="64">
        <v>2.8221482610259105</v>
      </c>
      <c r="I60" s="54">
        <f t="shared" si="17"/>
        <v>2.8221482610259105</v>
      </c>
      <c r="J60">
        <f t="shared" si="18"/>
        <v>1.2399325283083117E-12</v>
      </c>
      <c r="K60">
        <f t="shared" si="19"/>
        <v>9.4485544118672101E-10</v>
      </c>
      <c r="L60">
        <f t="shared" si="20"/>
        <v>3.6330082083963859E-6</v>
      </c>
      <c r="M60">
        <f t="shared" si="21"/>
        <v>3633.0082083963857</v>
      </c>
    </row>
    <row r="61" spans="4:13" x14ac:dyDescent="0.2">
      <c r="D61" s="7">
        <v>13.8</v>
      </c>
      <c r="E61">
        <f t="shared" si="2"/>
        <v>1.3800000000000002E-2</v>
      </c>
      <c r="F61" s="64">
        <v>2.7975362244049866</v>
      </c>
      <c r="I61" s="54">
        <f t="shared" si="17"/>
        <v>2.7975362244049866</v>
      </c>
      <c r="J61">
        <f t="shared" si="18"/>
        <v>1.2183998581511238E-12</v>
      </c>
      <c r="K61">
        <f t="shared" si="19"/>
        <v>9.3661532605086222E-10</v>
      </c>
      <c r="L61">
        <f t="shared" si="20"/>
        <v>3.6489335096602565E-6</v>
      </c>
      <c r="M61">
        <f t="shared" si="21"/>
        <v>3648.9335096602563</v>
      </c>
    </row>
    <row r="62" spans="4:13" x14ac:dyDescent="0.2">
      <c r="D62" s="7">
        <v>14</v>
      </c>
      <c r="E62">
        <f t="shared" si="2"/>
        <v>1.4E-2</v>
      </c>
      <c r="F62" s="64">
        <v>2.7734883706963442</v>
      </c>
      <c r="I62" s="54">
        <f t="shared" si="17"/>
        <v>2.7734883706963442</v>
      </c>
      <c r="J62">
        <f t="shared" si="18"/>
        <v>1.1975429562104271E-12</v>
      </c>
      <c r="K62">
        <f t="shared" si="19"/>
        <v>9.2856409956383222E-10</v>
      </c>
      <c r="L62">
        <f t="shared" si="20"/>
        <v>3.6646981482292693E-6</v>
      </c>
      <c r="M62">
        <f t="shared" si="21"/>
        <v>3664.6981482292695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4097" r:id="rId4">
          <objectPr defaultSize="0" autoPict="0" r:id="rId5">
            <anchor moveWithCells="1" sizeWithCells="1">
              <from>
                <xdr:col>4</xdr:col>
                <xdr:colOff>419100</xdr:colOff>
                <xdr:row>13</xdr:row>
                <xdr:rowOff>63500</xdr:rowOff>
              </from>
              <to>
                <xdr:col>6</xdr:col>
                <xdr:colOff>215900</xdr:colOff>
                <xdr:row>15</xdr:row>
                <xdr:rowOff>76200</xdr:rowOff>
              </to>
            </anchor>
          </objectPr>
        </oleObject>
      </mc:Choice>
      <mc:Fallback>
        <oleObject progId="Equation.DSMT4" shapeId="4097" r:id="rId4"/>
      </mc:Fallback>
    </mc:AlternateContent>
    <mc:AlternateContent xmlns:mc="http://schemas.openxmlformats.org/markup-compatibility/2006">
      <mc:Choice Requires="x14">
        <oleObject progId="Equation.DSMT4" shapeId="4098" r:id="rId6">
          <objectPr defaultSize="0" autoPict="0" r:id="rId7">
            <anchor moveWithCells="1" sizeWithCells="1">
              <from>
                <xdr:col>7</xdr:col>
                <xdr:colOff>381000</xdr:colOff>
                <xdr:row>13</xdr:row>
                <xdr:rowOff>63500</xdr:rowOff>
              </from>
              <to>
                <xdr:col>9</xdr:col>
                <xdr:colOff>520700</xdr:colOff>
                <xdr:row>15</xdr:row>
                <xdr:rowOff>114300</xdr:rowOff>
              </to>
            </anchor>
          </objectPr>
        </oleObject>
      </mc:Choice>
      <mc:Fallback>
        <oleObject progId="Equation.DSMT4" shapeId="409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V62"/>
  <sheetViews>
    <sheetView topLeftCell="A28" workbookViewId="0">
      <selection activeCell="I46" sqref="I46"/>
    </sheetView>
  </sheetViews>
  <sheetFormatPr baseColWidth="10" defaultColWidth="11.5" defaultRowHeight="15" x14ac:dyDescent="0.2"/>
  <cols>
    <col min="10" max="12" width="12" bestFit="1" customWidth="1"/>
  </cols>
  <sheetData>
    <row r="3" spans="1:22" x14ac:dyDescent="0.2">
      <c r="A3" s="3" t="s">
        <v>40</v>
      </c>
      <c r="B3">
        <v>1000</v>
      </c>
    </row>
    <row r="4" spans="1:22" x14ac:dyDescent="0.2">
      <c r="A4" s="3" t="s">
        <v>41</v>
      </c>
      <c r="B4">
        <f>9.8*POWER(10,-4)</f>
        <v>9.8000000000000019E-4</v>
      </c>
    </row>
    <row r="5" spans="1:22" x14ac:dyDescent="0.2">
      <c r="A5" s="3" t="s">
        <v>21</v>
      </c>
      <c r="B5" s="13">
        <v>1.8E-3</v>
      </c>
      <c r="D5" t="s">
        <v>30</v>
      </c>
    </row>
    <row r="6" spans="1:22" x14ac:dyDescent="0.2">
      <c r="A6" s="3" t="s">
        <v>6</v>
      </c>
      <c r="B6">
        <v>9.2999999999999999E-8</v>
      </c>
      <c r="C6" t="s">
        <v>31</v>
      </c>
      <c r="I6" t="s">
        <v>19</v>
      </c>
    </row>
    <row r="7" spans="1:22" x14ac:dyDescent="0.2">
      <c r="A7" s="3"/>
      <c r="D7" s="1"/>
      <c r="E7" s="1" t="s">
        <v>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</row>
    <row r="8" spans="1:22" x14ac:dyDescent="0.2">
      <c r="A8" s="3"/>
      <c r="D8" s="1"/>
      <c r="E8" s="1" t="s">
        <v>10</v>
      </c>
      <c r="F8" s="1" t="s">
        <v>11</v>
      </c>
      <c r="G8" s="1" t="s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 t="s">
        <v>5</v>
      </c>
      <c r="S8" s="1" t="s">
        <v>18</v>
      </c>
      <c r="T8" s="1"/>
      <c r="U8" s="2"/>
      <c r="V8" s="2"/>
    </row>
    <row r="9" spans="1:22" x14ac:dyDescent="0.2">
      <c r="A9" s="3"/>
      <c r="E9" s="1"/>
      <c r="F9" s="1"/>
      <c r="G9" s="1"/>
      <c r="H9" s="1" t="s">
        <v>13</v>
      </c>
      <c r="I9" s="1" t="s">
        <v>14</v>
      </c>
      <c r="J9" s="1" t="s">
        <v>15</v>
      </c>
      <c r="K9" s="1" t="s">
        <v>16</v>
      </c>
      <c r="L9" s="1" t="s">
        <v>4</v>
      </c>
      <c r="M9" s="1" t="s">
        <v>24</v>
      </c>
      <c r="N9" s="1" t="s">
        <v>17</v>
      </c>
      <c r="O9" s="1" t="s">
        <v>25</v>
      </c>
      <c r="P9" s="1"/>
      <c r="Q9" s="1"/>
      <c r="R9" s="1"/>
      <c r="S9" s="1" t="s">
        <v>13</v>
      </c>
      <c r="T9" s="1" t="s">
        <v>14</v>
      </c>
      <c r="U9" s="1" t="s">
        <v>15</v>
      </c>
      <c r="V9" s="1" t="s">
        <v>20</v>
      </c>
    </row>
    <row r="10" spans="1:22" x14ac:dyDescent="0.2">
      <c r="A10" s="3" t="s">
        <v>1</v>
      </c>
      <c r="B10">
        <v>3.1E-2</v>
      </c>
      <c r="C10" t="s">
        <v>32</v>
      </c>
      <c r="E10">
        <v>750</v>
      </c>
      <c r="F10">
        <f>E10/60</f>
        <v>12.5</v>
      </c>
      <c r="G10">
        <f>(B$3*F10*B$10^2)/B$4</f>
        <v>12257.653061224486</v>
      </c>
      <c r="H10">
        <f>B$10*1.23/2</f>
        <v>1.9064999999999999E-2</v>
      </c>
      <c r="I10">
        <f>(0.57+0.35*(B$10/B$11))</f>
        <v>0.83463414634146327</v>
      </c>
      <c r="J10">
        <f>((B$13/B$11)^0.036)*(B$14)^0.116</f>
        <v>1.033592614249617</v>
      </c>
      <c r="K10">
        <f>(G10/(1000+1.43*G10))</f>
        <v>0.66155869010002555</v>
      </c>
      <c r="L10">
        <f>H10*I10*J10*K10</f>
        <v>1.088054711884715E-2</v>
      </c>
      <c r="M10" s="4">
        <f>L10*1000</f>
        <v>10.880547118847151</v>
      </c>
      <c r="N10">
        <f>(B$4/(2*PI()*B$3*F10))^0.5</f>
        <v>1.1170383851240117E-4</v>
      </c>
      <c r="O10" s="4">
        <f>N10*1000</f>
        <v>0.11170383851240116</v>
      </c>
      <c r="R10">
        <f>(0.825*2*PI()*E10*B$4*Q10)/N10</f>
        <v>0</v>
      </c>
      <c r="S10">
        <f>18*R10^2*B$6^2</f>
        <v>0</v>
      </c>
      <c r="T10">
        <f>2*(81*R10^4*B$6^4+4*B$6^2*R10^2*B$5^2)^0.5</f>
        <v>0</v>
      </c>
      <c r="U10">
        <f>(S10+T10)^0.5</f>
        <v>0</v>
      </c>
      <c r="V10" t="e">
        <f>U10/(3*R10)</f>
        <v>#DIV/0!</v>
      </c>
    </row>
    <row r="11" spans="1:22" x14ac:dyDescent="0.2">
      <c r="A11" s="3" t="s">
        <v>2</v>
      </c>
      <c r="B11">
        <v>4.1000000000000002E-2</v>
      </c>
      <c r="C11" t="s">
        <v>33</v>
      </c>
      <c r="M11" s="4"/>
      <c r="O11" s="4"/>
      <c r="R11" t="e">
        <f>(0.825*2*PI()*E11*B$4*Q11)/N11</f>
        <v>#DIV/0!</v>
      </c>
      <c r="S11" t="e">
        <f>18*R11^2*B$6^2</f>
        <v>#DIV/0!</v>
      </c>
      <c r="T11" t="e">
        <f>2*(81*R11^4*B$6^4+4*B$6^2*R11^2*B$5^2)^0.5</f>
        <v>#DIV/0!</v>
      </c>
      <c r="U11" t="e">
        <f t="shared" ref="U11:U13" si="0">(S11+T11)^0.5</f>
        <v>#DIV/0!</v>
      </c>
      <c r="V11" t="e">
        <f t="shared" ref="V11:V13" si="1">U11/(3*R11)</f>
        <v>#DIV/0!</v>
      </c>
    </row>
    <row r="12" spans="1:22" x14ac:dyDescent="0.2">
      <c r="A12" s="3" t="s">
        <v>3</v>
      </c>
      <c r="B12">
        <v>9.0999999999999998E-2</v>
      </c>
      <c r="C12" t="s">
        <v>35</v>
      </c>
      <c r="R12" t="e">
        <f>(0.825*2*PI()*E12*B$4*Q12)/N12</f>
        <v>#DIV/0!</v>
      </c>
      <c r="S12" t="e">
        <f>18*R12^2*B$6^2</f>
        <v>#DIV/0!</v>
      </c>
      <c r="T12" t="e">
        <f>2*(81*R12^4*B$6^4+4*B$6^2*R12^2*B$5^2)^0.5</f>
        <v>#DIV/0!</v>
      </c>
      <c r="U12" t="e">
        <f t="shared" si="0"/>
        <v>#DIV/0!</v>
      </c>
      <c r="V12" t="e">
        <f t="shared" si="1"/>
        <v>#DIV/0!</v>
      </c>
    </row>
    <row r="13" spans="1:22" x14ac:dyDescent="0.2">
      <c r="A13" s="3" t="s">
        <v>7</v>
      </c>
      <c r="B13">
        <v>1.0999999999999999E-2</v>
      </c>
      <c r="C13" t="s">
        <v>34</v>
      </c>
      <c r="R13" t="e">
        <f>(0.825*2*PI()*E13*B$4*Q13)/N13</f>
        <v>#DIV/0!</v>
      </c>
      <c r="S13" t="e">
        <f>18*R13^2*B$6^2</f>
        <v>#DIV/0!</v>
      </c>
      <c r="T13" t="e">
        <f>2*(81*R13^4*B$6^4+4*B$6^2*R13^2*B$5^2)^0.5</f>
        <v>#DIV/0!</v>
      </c>
      <c r="U13" t="e">
        <f t="shared" si="0"/>
        <v>#DIV/0!</v>
      </c>
      <c r="V13" t="e">
        <f t="shared" si="1"/>
        <v>#DIV/0!</v>
      </c>
    </row>
    <row r="14" spans="1:22" x14ac:dyDescent="0.2">
      <c r="A14" s="3" t="s">
        <v>8</v>
      </c>
      <c r="B14">
        <v>2</v>
      </c>
    </row>
    <row r="15" spans="1:22" x14ac:dyDescent="0.2">
      <c r="A15" s="3"/>
    </row>
    <row r="17" spans="1:15" x14ac:dyDescent="0.2">
      <c r="F17" s="5" t="s">
        <v>26</v>
      </c>
      <c r="I17" s="5" t="s">
        <v>29</v>
      </c>
    </row>
    <row r="18" spans="1:15" x14ac:dyDescent="0.2">
      <c r="F18" s="1" t="s">
        <v>5</v>
      </c>
      <c r="G18" s="1"/>
      <c r="H18" s="1"/>
      <c r="I18" s="1" t="s">
        <v>5</v>
      </c>
      <c r="J18" s="1" t="s">
        <v>18</v>
      </c>
      <c r="K18" s="1"/>
      <c r="L18" s="2"/>
      <c r="M18" s="2"/>
    </row>
    <row r="19" spans="1:15" x14ac:dyDescent="0.2">
      <c r="A19" t="s">
        <v>36</v>
      </c>
      <c r="D19" s="6" t="s">
        <v>28</v>
      </c>
      <c r="E19" s="3" t="s">
        <v>27</v>
      </c>
      <c r="F19" s="1"/>
      <c r="G19" s="1"/>
      <c r="H19" s="1"/>
      <c r="I19" s="1"/>
      <c r="J19" s="1" t="s">
        <v>13</v>
      </c>
      <c r="K19" s="1" t="s">
        <v>14</v>
      </c>
      <c r="L19" s="1" t="s">
        <v>20</v>
      </c>
      <c r="M19" s="1" t="s">
        <v>39</v>
      </c>
    </row>
    <row r="20" spans="1:15" x14ac:dyDescent="0.2">
      <c r="D20" s="4"/>
    </row>
    <row r="21" spans="1:15" x14ac:dyDescent="0.2">
      <c r="A21" t="s">
        <v>37</v>
      </c>
      <c r="D21" s="4"/>
    </row>
    <row r="22" spans="1:15" x14ac:dyDescent="0.2">
      <c r="D22" s="7">
        <v>6</v>
      </c>
      <c r="E22" s="8">
        <f t="shared" ref="E22:E38" si="2">D22*0.001</f>
        <v>6.0000000000000001E-3</v>
      </c>
      <c r="F22" s="50">
        <f>0.825*B$4*E22*2*PI()*F$10*(1/N$10)</f>
        <v>3.4107749038705109</v>
      </c>
      <c r="G22" s="50"/>
      <c r="H22" s="50"/>
      <c r="I22" s="50"/>
      <c r="J22">
        <f>18*F22^2*B$6^2</f>
        <v>1.8111087128287015E-12</v>
      </c>
      <c r="K22">
        <f>(81*F22^4*B$6^4+4*B$6^2*F22^2*B$5^2)^0.5</f>
        <v>1.1419277968704316E-9</v>
      </c>
      <c r="L22">
        <f>(J22+K22)^0.5/(3*F22)</f>
        <v>3.3051344708421352E-6</v>
      </c>
      <c r="M22" s="8">
        <f>L22*1000000000</f>
        <v>3305.1344708421352</v>
      </c>
    </row>
    <row r="23" spans="1:15" x14ac:dyDescent="0.2">
      <c r="D23" s="7">
        <v>6.2</v>
      </c>
      <c r="E23" s="8">
        <f t="shared" si="2"/>
        <v>6.2000000000000006E-3</v>
      </c>
      <c r="F23" s="50">
        <f t="shared" ref="F23:F45" si="3">0.825*B$4*E23*2*PI()*F$10*(1/N$10)</f>
        <v>3.5244674006661953</v>
      </c>
      <c r="G23" s="50"/>
      <c r="H23" s="50"/>
      <c r="I23" s="50"/>
      <c r="J23">
        <f>18*F23^2*B$6^2</f>
        <v>1.9338616366982032E-12</v>
      </c>
      <c r="K23">
        <f>(81*F23^4*B$6^4+4*B$6^2*F23^2*B$5^2)^0.5</f>
        <v>1.179992081913228E-9</v>
      </c>
      <c r="L23">
        <f t="shared" ref="L23" si="4">(J23+K23)^0.5/(3*F23)</f>
        <v>3.2514747080188722E-6</v>
      </c>
      <c r="M23" s="8">
        <f t="shared" ref="M23:M31" si="5">L23*1000000000</f>
        <v>3251.4747080188722</v>
      </c>
    </row>
    <row r="24" spans="1:15" x14ac:dyDescent="0.2">
      <c r="D24" s="8">
        <v>6.4</v>
      </c>
      <c r="E24" s="8">
        <f t="shared" si="2"/>
        <v>6.4000000000000003E-3</v>
      </c>
      <c r="F24" s="50">
        <f>0.825*B$4*E24*2*PI()*F$10*(1/N$10)</f>
        <v>3.6381598974618781</v>
      </c>
      <c r="G24" s="50"/>
      <c r="H24" s="50"/>
      <c r="I24" s="50"/>
      <c r="J24">
        <f>18*F24^2*B$6^2</f>
        <v>2.0606392465962115E-12</v>
      </c>
      <c r="K24">
        <f>(81*F24^4*B$6^4+4*B$6^2*F24^2*B$5^2)^0.5</f>
        <v>1.2180563694295097E-9</v>
      </c>
      <c r="L24">
        <f>(J24+K24)^0.5/(3*F24)</f>
        <v>3.2003516715213945E-6</v>
      </c>
      <c r="M24" s="8">
        <f>L24*1000000000</f>
        <v>3200.3516715213946</v>
      </c>
    </row>
    <row r="25" spans="1:15" x14ac:dyDescent="0.2">
      <c r="D25" s="7">
        <v>6.6</v>
      </c>
      <c r="E25" s="9">
        <f t="shared" si="2"/>
        <v>6.6E-3</v>
      </c>
      <c r="F25" s="51">
        <f t="shared" si="3"/>
        <v>3.7518523942575617</v>
      </c>
      <c r="G25" s="51"/>
      <c r="H25" s="51"/>
      <c r="I25" s="51"/>
      <c r="J25" s="10">
        <f t="shared" ref="J25:J30" si="6">18*F25^2*B$6^2</f>
        <v>2.1914415425227286E-12</v>
      </c>
      <c r="K25" s="10">
        <f t="shared" ref="K25:K29" si="7">(81*F25^4*B$6^4+4*B$6^2*F25^2*B$5^2)^0.5</f>
        <v>1.2561206594990679E-9</v>
      </c>
      <c r="L25" s="10">
        <f t="shared" ref="L25:L30" si="8">(J25+K25)^0.5/(3*F25)</f>
        <v>3.1515716700362157E-6</v>
      </c>
      <c r="M25" s="9">
        <f t="shared" ref="M25:M29" si="9">L25*1000000000</f>
        <v>3151.5716700362159</v>
      </c>
      <c r="N25" s="10"/>
    </row>
    <row r="26" spans="1:15" x14ac:dyDescent="0.2">
      <c r="D26" s="7">
        <v>6.8</v>
      </c>
      <c r="E26" s="9">
        <f t="shared" si="2"/>
        <v>6.7999999999999996E-3</v>
      </c>
      <c r="F26" s="51">
        <f t="shared" si="3"/>
        <v>3.8655448910532453</v>
      </c>
      <c r="G26" s="51"/>
      <c r="H26" s="51"/>
      <c r="I26" s="51"/>
      <c r="J26" s="9">
        <f t="shared" si="6"/>
        <v>2.3262685244777545E-12</v>
      </c>
      <c r="K26" s="9">
        <f t="shared" si="7"/>
        <v>1.2941849522016916E-9</v>
      </c>
      <c r="L26" s="9">
        <f t="shared" si="8"/>
        <v>3.1049611031676146E-6</v>
      </c>
      <c r="M26" s="9">
        <f t="shared" si="9"/>
        <v>3104.9611031676145</v>
      </c>
      <c r="N26" s="9"/>
      <c r="O26" s="8"/>
    </row>
    <row r="27" spans="1:15" x14ac:dyDescent="0.2">
      <c r="C27" s="3"/>
      <c r="D27" s="8">
        <v>7</v>
      </c>
      <c r="E27" s="9">
        <f t="shared" si="2"/>
        <v>7.0000000000000001E-3</v>
      </c>
      <c r="F27" s="51">
        <f t="shared" si="3"/>
        <v>3.9792373878489289</v>
      </c>
      <c r="G27" s="51"/>
      <c r="H27" s="51"/>
      <c r="I27" s="51"/>
      <c r="J27" s="9">
        <f t="shared" si="6"/>
        <v>2.4651201924612876E-12</v>
      </c>
      <c r="K27" s="9">
        <f t="shared" si="7"/>
        <v>1.332249247617171E-9</v>
      </c>
      <c r="L27" s="9">
        <f t="shared" si="8"/>
        <v>3.0603638591409105E-6</v>
      </c>
      <c r="M27" s="9">
        <f t="shared" si="9"/>
        <v>3060.3638591409103</v>
      </c>
      <c r="N27" s="9"/>
      <c r="O27" s="8"/>
    </row>
    <row r="28" spans="1:15" x14ac:dyDescent="0.2">
      <c r="D28" s="7">
        <v>7.2</v>
      </c>
      <c r="E28" s="9">
        <f t="shared" si="2"/>
        <v>7.2000000000000007E-3</v>
      </c>
      <c r="F28" s="51">
        <f t="shared" si="3"/>
        <v>4.0929298846446134</v>
      </c>
      <c r="G28" s="51"/>
      <c r="H28" s="51"/>
      <c r="I28" s="51"/>
      <c r="J28" s="9">
        <f t="shared" si="6"/>
        <v>2.607996546473331E-12</v>
      </c>
      <c r="K28" s="9">
        <f t="shared" si="7"/>
        <v>1.3703135458252956E-9</v>
      </c>
      <c r="L28" s="9">
        <f t="shared" si="8"/>
        <v>3.0176391129577204E-6</v>
      </c>
      <c r="M28" s="9">
        <f t="shared" si="9"/>
        <v>3017.6391129577205</v>
      </c>
      <c r="N28" s="10"/>
    </row>
    <row r="29" spans="1:15" x14ac:dyDescent="0.2">
      <c r="D29" s="7">
        <v>7.4</v>
      </c>
      <c r="E29" s="8">
        <f t="shared" si="2"/>
        <v>7.4000000000000003E-3</v>
      </c>
      <c r="F29" s="50">
        <f t="shared" si="3"/>
        <v>4.2066223814402974</v>
      </c>
      <c r="G29" s="50"/>
      <c r="H29" s="50"/>
      <c r="I29" s="50"/>
      <c r="J29" s="8">
        <f t="shared" si="6"/>
        <v>2.7548975865138821E-12</v>
      </c>
      <c r="K29" s="8">
        <f t="shared" si="7"/>
        <v>1.4083778469058552E-9</v>
      </c>
      <c r="L29" s="8">
        <f t="shared" si="8"/>
        <v>2.9766594541561276E-6</v>
      </c>
      <c r="M29" s="8">
        <f t="shared" si="9"/>
        <v>2976.6594541561276</v>
      </c>
    </row>
    <row r="30" spans="1:15" x14ac:dyDescent="0.2">
      <c r="D30" s="8">
        <v>7.6</v>
      </c>
      <c r="E30" s="8">
        <f t="shared" si="2"/>
        <v>7.6E-3</v>
      </c>
      <c r="F30" s="50">
        <f t="shared" si="3"/>
        <v>4.3203148782359806</v>
      </c>
      <c r="G30" s="50"/>
      <c r="H30" s="50"/>
      <c r="I30" s="50"/>
      <c r="J30" s="8">
        <f t="shared" si="6"/>
        <v>2.9058233125829395E-12</v>
      </c>
      <c r="K30" s="8">
        <f>(81*F30^4*B$6^4+4*B$6^2*F30^2*B$5^2)^0.5</f>
        <v>1.4464421509386394E-9</v>
      </c>
      <c r="L30" s="8">
        <f t="shared" si="8"/>
        <v>2.9373092874082637E-6</v>
      </c>
      <c r="M30" s="8">
        <f>L30*1000000000</f>
        <v>2937.3092874082636</v>
      </c>
    </row>
    <row r="31" spans="1:15" x14ac:dyDescent="0.2">
      <c r="D31" s="7">
        <v>7.8</v>
      </c>
      <c r="E31" s="8">
        <f t="shared" si="2"/>
        <v>7.7999999999999996E-3</v>
      </c>
      <c r="F31" s="50">
        <f t="shared" si="3"/>
        <v>4.4340073750316638</v>
      </c>
      <c r="G31" s="50"/>
      <c r="H31" s="50"/>
      <c r="I31" s="50"/>
      <c r="J31" s="8">
        <f>18*F31^2*B$6^2</f>
        <v>3.0607737246805053E-12</v>
      </c>
      <c r="K31" s="8">
        <f>(81*F31^4*B$6^4+4*B$6^2*F31^2*B$5^2)^0.5</f>
        <v>1.4845064580034377E-9</v>
      </c>
      <c r="L31" s="8">
        <f>(J31+K31)^0.5/(3*F31)</f>
        <v>2.8994834601780629E-6</v>
      </c>
      <c r="M31" s="8">
        <f t="shared" si="5"/>
        <v>2899.4834601780631</v>
      </c>
    </row>
    <row r="32" spans="1:15" x14ac:dyDescent="0.2">
      <c r="D32" s="7">
        <v>8</v>
      </c>
      <c r="E32" s="46">
        <f t="shared" si="2"/>
        <v>8.0000000000000002E-3</v>
      </c>
      <c r="F32" s="50">
        <f t="shared" si="3"/>
        <v>4.5476998718273487</v>
      </c>
      <c r="G32" s="52"/>
      <c r="H32" s="52"/>
      <c r="I32" s="52"/>
      <c r="J32" s="8">
        <f t="shared" ref="J32:J45" si="10">18*F32^2*B$6^2</f>
        <v>3.2197488228065816E-12</v>
      </c>
      <c r="K32" s="8">
        <f t="shared" ref="K32:K45" si="11">(81*F32^4*B$6^4+4*B$6^2*F32^2*B$5^2)^0.5</f>
        <v>1.5225707681800407E-9</v>
      </c>
      <c r="L32" s="8">
        <f t="shared" ref="L32:L45" si="12">(J32+K32)^0.5/(3*F32)</f>
        <v>2.863086080301371E-6</v>
      </c>
      <c r="M32" s="8">
        <f t="shared" ref="M32:M45" si="13">L32*1000000000</f>
        <v>2863.0860803013711</v>
      </c>
    </row>
    <row r="33" spans="3:13" x14ac:dyDescent="0.2">
      <c r="D33" s="8">
        <v>8.1999999999999993</v>
      </c>
      <c r="E33" s="8">
        <f t="shared" si="2"/>
        <v>8.199999999999999E-3</v>
      </c>
      <c r="F33" s="50">
        <f t="shared" si="3"/>
        <v>4.661392368623031</v>
      </c>
      <c r="G33" s="50"/>
      <c r="H33" s="50"/>
      <c r="I33" s="50"/>
      <c r="J33" s="8">
        <f t="shared" si="10"/>
        <v>3.382748606961163E-12</v>
      </c>
      <c r="K33" s="8">
        <f t="shared" si="11"/>
        <v>1.5606350815482367E-9</v>
      </c>
      <c r="L33" s="8">
        <f t="shared" si="12"/>
        <v>2.8280294931874509E-6</v>
      </c>
      <c r="M33" s="8">
        <f t="shared" si="13"/>
        <v>2828.029493187451</v>
      </c>
    </row>
    <row r="34" spans="3:13" x14ac:dyDescent="0.2">
      <c r="D34" s="7">
        <v>8.4</v>
      </c>
      <c r="E34">
        <f t="shared" si="2"/>
        <v>8.4000000000000012E-3</v>
      </c>
      <c r="F34" s="50">
        <f t="shared" si="3"/>
        <v>4.7750848654187159</v>
      </c>
      <c r="G34" s="25"/>
      <c r="H34" s="25"/>
      <c r="I34" s="50"/>
      <c r="J34" s="8">
        <f t="shared" si="10"/>
        <v>3.549773077144256E-12</v>
      </c>
      <c r="K34" s="8">
        <f t="shared" si="11"/>
        <v>1.5986993981878174E-9</v>
      </c>
      <c r="L34" s="8">
        <f t="shared" si="12"/>
        <v>2.7942333937854674E-6</v>
      </c>
      <c r="M34" s="8">
        <f t="shared" si="13"/>
        <v>2794.2333937854673</v>
      </c>
    </row>
    <row r="35" spans="3:13" x14ac:dyDescent="0.2">
      <c r="D35" s="7">
        <v>8.6</v>
      </c>
      <c r="E35">
        <f t="shared" si="2"/>
        <v>8.6E-3</v>
      </c>
      <c r="F35" s="50">
        <f t="shared" si="3"/>
        <v>4.8887773622143991</v>
      </c>
      <c r="G35" s="25"/>
      <c r="H35" s="25"/>
      <c r="I35" s="50"/>
      <c r="J35" s="8">
        <f t="shared" si="10"/>
        <v>3.7208222333558554E-12</v>
      </c>
      <c r="K35" s="8">
        <f t="shared" si="11"/>
        <v>1.6367637181785705E-9</v>
      </c>
      <c r="L35" s="8">
        <f t="shared" si="12"/>
        <v>2.7616240528213187E-6</v>
      </c>
      <c r="M35" s="8">
        <f t="shared" si="13"/>
        <v>2761.6240528213189</v>
      </c>
    </row>
    <row r="36" spans="3:13" x14ac:dyDescent="0.2">
      <c r="D36" s="8">
        <v>8.8000000000000007</v>
      </c>
      <c r="E36">
        <f t="shared" si="2"/>
        <v>8.8000000000000005E-3</v>
      </c>
      <c r="F36" s="50">
        <f t="shared" si="3"/>
        <v>5.0024698590100831</v>
      </c>
      <c r="G36" s="25"/>
      <c r="H36" s="25"/>
      <c r="I36" s="50"/>
      <c r="J36" s="8">
        <f t="shared" si="10"/>
        <v>3.8958960755959636E-12</v>
      </c>
      <c r="K36" s="8">
        <f t="shared" si="11"/>
        <v>1.6748280416002866E-9</v>
      </c>
      <c r="L36" s="8">
        <f t="shared" si="12"/>
        <v>2.7301336403242429E-6</v>
      </c>
      <c r="M36" s="8">
        <f t="shared" si="13"/>
        <v>2730.1336403242431</v>
      </c>
    </row>
    <row r="37" spans="3:13" x14ac:dyDescent="0.2">
      <c r="D37" s="7">
        <v>9</v>
      </c>
      <c r="E37">
        <f t="shared" si="2"/>
        <v>9.0000000000000011E-3</v>
      </c>
      <c r="F37" s="50">
        <f t="shared" si="3"/>
        <v>5.1161623558057681</v>
      </c>
      <c r="G37" s="25"/>
      <c r="H37" s="25"/>
      <c r="I37" s="50"/>
      <c r="J37" s="8">
        <f t="shared" si="10"/>
        <v>4.0749946038645818E-12</v>
      </c>
      <c r="K37" s="8">
        <f t="shared" si="11"/>
        <v>1.7128923685327558E-9</v>
      </c>
      <c r="L37" s="8">
        <f t="shared" si="12"/>
        <v>2.6996996323091544E-6</v>
      </c>
      <c r="M37" s="8">
        <f t="shared" si="13"/>
        <v>2699.6996323091544</v>
      </c>
    </row>
    <row r="38" spans="3:13" x14ac:dyDescent="0.2">
      <c r="D38" s="7">
        <v>9.1999999999999993</v>
      </c>
      <c r="E38">
        <f t="shared" si="2"/>
        <v>9.1999999999999998E-3</v>
      </c>
      <c r="F38" s="50">
        <f t="shared" si="3"/>
        <v>5.2298548526014503</v>
      </c>
      <c r="G38" s="25"/>
      <c r="H38" s="25"/>
      <c r="I38" s="50"/>
      <c r="J38" s="8">
        <f t="shared" si="10"/>
        <v>4.2581178181617035E-12</v>
      </c>
      <c r="K38" s="8">
        <f t="shared" si="11"/>
        <v>1.7509566990557662E-9</v>
      </c>
      <c r="L38" s="8">
        <f t="shared" si="12"/>
        <v>2.6702642887981631E-6</v>
      </c>
      <c r="M38" s="8">
        <f t="shared" si="13"/>
        <v>2670.2642887981633</v>
      </c>
    </row>
    <row r="39" spans="3:13" x14ac:dyDescent="0.2">
      <c r="D39" s="8">
        <v>9.4</v>
      </c>
      <c r="E39">
        <f t="shared" ref="E39:E62" si="14">D39*0.001</f>
        <v>9.4000000000000004E-3</v>
      </c>
      <c r="F39" s="50">
        <f t="shared" si="3"/>
        <v>5.3435473493971344</v>
      </c>
      <c r="G39" s="25"/>
      <c r="H39" s="25"/>
      <c r="I39" s="50"/>
      <c r="J39" s="8">
        <f t="shared" si="10"/>
        <v>4.4452657184873361E-12</v>
      </c>
      <c r="K39" s="8">
        <f t="shared" si="11"/>
        <v>1.7890210332491089E-9</v>
      </c>
      <c r="L39" s="8">
        <f t="shared" si="12"/>
        <v>2.6417741932607728E-6</v>
      </c>
      <c r="M39" s="8">
        <f t="shared" si="13"/>
        <v>2641.7741932607728</v>
      </c>
    </row>
    <row r="40" spans="3:13" x14ac:dyDescent="0.2">
      <c r="C40" t="s">
        <v>12</v>
      </c>
      <c r="D40" s="7">
        <v>9.6</v>
      </c>
      <c r="E40">
        <f t="shared" si="14"/>
        <v>9.5999999999999992E-3</v>
      </c>
      <c r="F40" s="50">
        <f t="shared" si="3"/>
        <v>5.4572398461928175</v>
      </c>
      <c r="G40" s="25"/>
      <c r="H40" s="25"/>
      <c r="I40" s="50"/>
      <c r="J40" s="8">
        <f t="shared" si="10"/>
        <v>4.6364383048414762E-12</v>
      </c>
      <c r="K40" s="8">
        <f t="shared" si="11"/>
        <v>1.8270853711925728E-9</v>
      </c>
      <c r="L40" s="8">
        <f t="shared" si="12"/>
        <v>2.6141798451107508E-6</v>
      </c>
      <c r="M40" s="8">
        <f t="shared" si="13"/>
        <v>2614.1798451107506</v>
      </c>
    </row>
    <row r="41" spans="3:13" x14ac:dyDescent="0.2">
      <c r="C41">
        <v>10.9</v>
      </c>
      <c r="D41" s="7">
        <v>9.8000000000000007</v>
      </c>
      <c r="E41">
        <f t="shared" si="14"/>
        <v>9.8000000000000014E-3</v>
      </c>
      <c r="F41" s="50">
        <f t="shared" si="3"/>
        <v>5.5709323429885025</v>
      </c>
      <c r="G41" s="25"/>
      <c r="H41" s="25"/>
      <c r="I41" s="50"/>
      <c r="J41" s="8">
        <f t="shared" si="10"/>
        <v>4.831635577224128E-12</v>
      </c>
      <c r="K41" s="8">
        <f t="shared" si="11"/>
        <v>1.8651497129659484E-9</v>
      </c>
      <c r="L41" s="8">
        <f t="shared" si="12"/>
        <v>2.5874352981843329E-6</v>
      </c>
      <c r="M41" s="8">
        <f t="shared" si="13"/>
        <v>2587.4352981843331</v>
      </c>
    </row>
    <row r="42" spans="3:13" x14ac:dyDescent="0.2">
      <c r="D42" s="8">
        <v>10</v>
      </c>
      <c r="E42">
        <f t="shared" si="14"/>
        <v>0.01</v>
      </c>
      <c r="F42" s="50">
        <f t="shared" si="3"/>
        <v>5.6846248397841856</v>
      </c>
      <c r="G42" s="25"/>
      <c r="H42" s="25"/>
      <c r="I42" s="50"/>
      <c r="J42" s="8">
        <f t="shared" si="10"/>
        <v>5.0308575356352841E-12</v>
      </c>
      <c r="K42" s="8">
        <f t="shared" si="11"/>
        <v>1.9032140586490238E-9</v>
      </c>
      <c r="L42" s="8">
        <f t="shared" si="12"/>
        <v>2.5614978391912425E-6</v>
      </c>
      <c r="M42" s="8">
        <f t="shared" si="13"/>
        <v>2561.4978391912427</v>
      </c>
    </row>
    <row r="43" spans="3:13" x14ac:dyDescent="0.2">
      <c r="D43" s="7">
        <v>10.199999999999999</v>
      </c>
      <c r="E43">
        <f t="shared" si="14"/>
        <v>1.0199999999999999E-2</v>
      </c>
      <c r="F43" s="50">
        <f t="shared" si="3"/>
        <v>5.7983173365798688</v>
      </c>
      <c r="G43" s="25"/>
      <c r="H43" s="25"/>
      <c r="I43" s="50"/>
      <c r="J43" s="8">
        <f t="shared" si="10"/>
        <v>5.2341041800749486E-12</v>
      </c>
      <c r="K43" s="8">
        <f t="shared" si="11"/>
        <v>1.9412784083215896E-9</v>
      </c>
      <c r="L43" s="8">
        <f t="shared" si="12"/>
        <v>2.5363277010181055E-6</v>
      </c>
      <c r="M43" s="8">
        <f t="shared" si="13"/>
        <v>2536.3277010181055</v>
      </c>
    </row>
    <row r="44" spans="3:13" x14ac:dyDescent="0.2">
      <c r="D44" s="7">
        <v>10.4</v>
      </c>
      <c r="E44">
        <f t="shared" si="14"/>
        <v>1.0400000000000001E-2</v>
      </c>
      <c r="F44" s="50">
        <f t="shared" si="3"/>
        <v>5.9120098333755537</v>
      </c>
      <c r="G44" s="25"/>
      <c r="H44" s="25"/>
      <c r="I44" s="50"/>
      <c r="J44" s="8">
        <f t="shared" si="10"/>
        <v>5.4413755105431239E-12</v>
      </c>
      <c r="K44" s="8">
        <f t="shared" si="11"/>
        <v>1.9793427620634357E-9</v>
      </c>
      <c r="L44" s="8">
        <f t="shared" si="12"/>
        <v>2.5118878065060438E-6</v>
      </c>
      <c r="M44" s="8">
        <f t="shared" si="13"/>
        <v>2511.8878065060439</v>
      </c>
    </row>
    <row r="45" spans="3:13" x14ac:dyDescent="0.2">
      <c r="D45" s="8">
        <v>10.6</v>
      </c>
      <c r="E45">
        <f t="shared" si="14"/>
        <v>1.06E-2</v>
      </c>
      <c r="F45" s="50">
        <f t="shared" si="3"/>
        <v>6.0257023301712369</v>
      </c>
      <c r="G45" s="25"/>
      <c r="H45" s="25"/>
      <c r="I45" s="50"/>
      <c r="J45" s="8">
        <f t="shared" si="10"/>
        <v>5.6526715270398052E-12</v>
      </c>
      <c r="K45" s="8">
        <f t="shared" si="11"/>
        <v>2.0174071199543508E-9</v>
      </c>
      <c r="L45" s="8">
        <f t="shared" si="12"/>
        <v>2.4881435389468292E-6</v>
      </c>
      <c r="M45" s="8">
        <f t="shared" si="13"/>
        <v>2488.1435389468293</v>
      </c>
    </row>
    <row r="46" spans="3:13" x14ac:dyDescent="0.2">
      <c r="D46" s="7">
        <v>10.8</v>
      </c>
      <c r="E46">
        <f t="shared" si="14"/>
        <v>1.0800000000000001E-2</v>
      </c>
      <c r="F46" s="25">
        <v>6.2128194040349793</v>
      </c>
      <c r="G46" s="25"/>
      <c r="H46" s="25"/>
      <c r="I46" s="50">
        <f t="shared" ref="I46:I62" si="15">0.825*B$4*L$10*(2*PI()*F$10)*((L$10/E46)^0.6)*(1/N$10)</f>
        <v>6.2128194040349793</v>
      </c>
      <c r="J46">
        <f>18*I46^2*B$6^2</f>
        <v>6.0091889700227597E-12</v>
      </c>
      <c r="K46">
        <f t="shared" ref="K46:K62" si="16">(81*I46^4*B$6^4+4*B$6^2*I46^2*B$5^2)^0.5</f>
        <v>2.0800541065088681E-9</v>
      </c>
      <c r="L46">
        <f t="shared" ref="L46:L62" si="17">(J46+K46)^0.5/(3*I46)</f>
        <v>2.4504946377839154E-6</v>
      </c>
      <c r="M46">
        <f t="shared" ref="M46:M62" si="18">L46*1000000000</f>
        <v>2450.4946377839156</v>
      </c>
    </row>
    <row r="47" spans="3:13" x14ac:dyDescent="0.2">
      <c r="D47" s="7">
        <v>11</v>
      </c>
      <c r="E47">
        <f t="shared" si="14"/>
        <v>1.0999999999999999E-2</v>
      </c>
      <c r="F47" s="25">
        <v>6.1447946191375804</v>
      </c>
      <c r="G47" s="25"/>
      <c r="H47" s="25"/>
      <c r="I47" s="50">
        <f t="shared" si="15"/>
        <v>6.1447946191375804</v>
      </c>
      <c r="J47">
        <f t="shared" ref="J47:J62" si="19">18*I47^2*B$6^2</f>
        <v>5.8783189388857983E-12</v>
      </c>
      <c r="K47">
        <f t="shared" si="16"/>
        <v>2.0572793380229532E-9</v>
      </c>
      <c r="L47">
        <f t="shared" si="17"/>
        <v>2.4639822871513744E-6</v>
      </c>
      <c r="M47">
        <f t="shared" si="18"/>
        <v>2463.9822871513743</v>
      </c>
    </row>
    <row r="48" spans="3:13" x14ac:dyDescent="0.2">
      <c r="D48" s="8">
        <v>11.2</v>
      </c>
      <c r="E48">
        <f t="shared" si="14"/>
        <v>1.12E-2</v>
      </c>
      <c r="F48" s="25">
        <v>6.0787204207960341</v>
      </c>
      <c r="G48" s="25"/>
      <c r="H48" s="25"/>
      <c r="I48" s="50">
        <f t="shared" si="15"/>
        <v>6.0787204207960341</v>
      </c>
      <c r="J48">
        <f t="shared" si="19"/>
        <v>5.7525809771141871E-12</v>
      </c>
      <c r="K48">
        <f t="shared" si="16"/>
        <v>2.0351576294157634E-9</v>
      </c>
      <c r="L48">
        <f t="shared" si="17"/>
        <v>2.4772995581273623E-6</v>
      </c>
      <c r="M48">
        <f t="shared" si="18"/>
        <v>2477.2995581273622</v>
      </c>
    </row>
    <row r="49" spans="4:13" x14ac:dyDescent="0.2">
      <c r="D49" s="7">
        <v>11.4</v>
      </c>
      <c r="E49">
        <f t="shared" si="14"/>
        <v>1.14E-2</v>
      </c>
      <c r="F49" s="25">
        <v>6.0145075181978127</v>
      </c>
      <c r="G49" s="25"/>
      <c r="H49" s="25"/>
      <c r="I49" s="50">
        <f t="shared" si="15"/>
        <v>6.0145075181978127</v>
      </c>
      <c r="J49">
        <f t="shared" si="19"/>
        <v>5.6316874794691566E-12</v>
      </c>
      <c r="K49">
        <f t="shared" si="16"/>
        <v>2.0136590858915913E-9</v>
      </c>
      <c r="L49">
        <f t="shared" si="17"/>
        <v>2.4904515865547156E-6</v>
      </c>
      <c r="M49">
        <f t="shared" si="18"/>
        <v>2490.4515865547155</v>
      </c>
    </row>
    <row r="50" spans="4:13" x14ac:dyDescent="0.2">
      <c r="D50" s="7">
        <v>11.6</v>
      </c>
      <c r="E50">
        <f t="shared" si="14"/>
        <v>1.1599999999999999E-2</v>
      </c>
      <c r="F50" s="25">
        <v>5.9520721821594442</v>
      </c>
      <c r="G50" s="25"/>
      <c r="H50" s="25"/>
      <c r="I50" s="50">
        <f t="shared" si="15"/>
        <v>5.9520721821594442</v>
      </c>
      <c r="J50">
        <f t="shared" si="19"/>
        <v>5.5153716308980606E-12</v>
      </c>
      <c r="K50">
        <f t="shared" si="16"/>
        <v>1.992755674707178E-9</v>
      </c>
      <c r="L50">
        <f t="shared" si="17"/>
        <v>2.5034432666402926E-6</v>
      </c>
      <c r="M50">
        <f t="shared" si="18"/>
        <v>2503.4432666402927</v>
      </c>
    </row>
    <row r="51" spans="4:13" x14ac:dyDescent="0.2">
      <c r="D51" s="8">
        <v>11.8</v>
      </c>
      <c r="E51">
        <f t="shared" si="14"/>
        <v>1.1800000000000001E-2</v>
      </c>
      <c r="F51" s="25">
        <v>5.8913358100086208</v>
      </c>
      <c r="G51" s="25"/>
      <c r="H51" s="25"/>
      <c r="I51" s="50">
        <f t="shared" si="15"/>
        <v>5.8913358100086208</v>
      </c>
      <c r="J51">
        <f t="shared" si="19"/>
        <v>5.4033855773360686E-12</v>
      </c>
      <c r="K51">
        <f t="shared" si="16"/>
        <v>1.972421079492382E-9</v>
      </c>
      <c r="L51">
        <f t="shared" si="17"/>
        <v>2.5162792662691988E-6</v>
      </c>
      <c r="M51">
        <f t="shared" si="18"/>
        <v>2516.2792662691986</v>
      </c>
    </row>
    <row r="52" spans="4:13" x14ac:dyDescent="0.2">
      <c r="D52" s="7">
        <v>12</v>
      </c>
      <c r="E52">
        <f t="shared" si="14"/>
        <v>1.2E-2</v>
      </c>
      <c r="F52" s="25">
        <v>5.8322245312157621</v>
      </c>
      <c r="G52" s="25"/>
      <c r="H52" s="25"/>
      <c r="I52" s="50">
        <f t="shared" si="15"/>
        <v>5.8322245312157621</v>
      </c>
      <c r="J52">
        <f t="shared" si="19"/>
        <v>5.2954987852038867E-12</v>
      </c>
      <c r="K52">
        <f t="shared" si="16"/>
        <v>1.9526305682139785E-9</v>
      </c>
      <c r="L52">
        <f t="shared" si="17"/>
        <v>2.5289640411067848E-6</v>
      </c>
      <c r="M52">
        <f t="shared" si="18"/>
        <v>2528.9640411067849</v>
      </c>
    </row>
    <row r="53" spans="4:13" x14ac:dyDescent="0.2">
      <c r="D53" s="7">
        <v>12.2</v>
      </c>
      <c r="E53">
        <f t="shared" si="14"/>
        <v>1.2199999999999999E-2</v>
      </c>
      <c r="F53" s="25">
        <v>5.7746688493512623</v>
      </c>
      <c r="G53" s="25"/>
      <c r="H53" s="25"/>
      <c r="I53" s="50">
        <f t="shared" si="15"/>
        <v>5.7746688493512623</v>
      </c>
      <c r="J53">
        <f t="shared" si="19"/>
        <v>5.1914965673665284E-12</v>
      </c>
      <c r="K53">
        <f t="shared" si="16"/>
        <v>1.9333608733014776E-9</v>
      </c>
      <c r="L53">
        <f t="shared" si="17"/>
        <v>2.5415018476028649E-6</v>
      </c>
      <c r="M53">
        <f t="shared" si="18"/>
        <v>2541.5018476028649</v>
      </c>
    </row>
    <row r="54" spans="4:13" x14ac:dyDescent="0.2">
      <c r="D54" s="8">
        <v>12.4</v>
      </c>
      <c r="E54">
        <f t="shared" si="14"/>
        <v>1.2400000000000001E-2</v>
      </c>
      <c r="F54" s="25">
        <v>5.7186033164886902</v>
      </c>
      <c r="G54" s="25"/>
      <c r="H54" s="25"/>
      <c r="I54" s="50">
        <f t="shared" si="15"/>
        <v>5.7186033164886902</v>
      </c>
      <c r="J54">
        <f t="shared" si="19"/>
        <v>5.0911787562539982E-12</v>
      </c>
      <c r="K54">
        <f t="shared" si="16"/>
        <v>1.9145900826360092E-9</v>
      </c>
      <c r="L54">
        <f t="shared" si="17"/>
        <v>2.5538967550001156E-6</v>
      </c>
      <c r="M54">
        <f t="shared" si="18"/>
        <v>2553.8967550001157</v>
      </c>
    </row>
    <row r="55" spans="4:13" x14ac:dyDescent="0.2">
      <c r="D55" s="7">
        <v>12.6</v>
      </c>
      <c r="E55">
        <f t="shared" si="14"/>
        <v>1.26E-2</v>
      </c>
      <c r="F55" s="25">
        <v>5.6639662366438053</v>
      </c>
      <c r="G55" s="25"/>
      <c r="H55" s="25"/>
      <c r="I55" s="50">
        <f t="shared" si="15"/>
        <v>5.6639662366438053</v>
      </c>
      <c r="J55">
        <f t="shared" si="19"/>
        <v>4.9943585073527051E-12</v>
      </c>
      <c r="K55">
        <f t="shared" si="16"/>
        <v>1.8962975402605395E-9</v>
      </c>
      <c r="L55">
        <f t="shared" si="17"/>
        <v>2.5661526564376576E-6</v>
      </c>
      <c r="M55">
        <f t="shared" si="18"/>
        <v>2566.1526564376577</v>
      </c>
    </row>
    <row r="56" spans="4:13" x14ac:dyDescent="0.2">
      <c r="D56" s="7">
        <v>12.8</v>
      </c>
      <c r="E56">
        <f t="shared" si="14"/>
        <v>1.2800000000000001E-2</v>
      </c>
      <c r="F56" s="25">
        <v>5.6106993952454687</v>
      </c>
      <c r="G56" s="25"/>
      <c r="H56" s="25"/>
      <c r="I56" s="50">
        <f t="shared" si="15"/>
        <v>5.6106993952454687</v>
      </c>
      <c r="J56">
        <f t="shared" si="19"/>
        <v>4.9008612184242163E-12</v>
      </c>
      <c r="K56">
        <f t="shared" si="16"/>
        <v>1.8784637558056863E-9</v>
      </c>
      <c r="L56">
        <f t="shared" si="17"/>
        <v>2.5782732792312066E-6</v>
      </c>
      <c r="M56">
        <f t="shared" si="18"/>
        <v>2578.2732792312067</v>
      </c>
    </row>
    <row r="57" spans="4:13" x14ac:dyDescent="0.2">
      <c r="D57" s="8">
        <v>13</v>
      </c>
      <c r="E57">
        <f t="shared" si="14"/>
        <v>1.3000000000000001E-2</v>
      </c>
      <c r="F57" s="25">
        <v>5.5587478119869003</v>
      </c>
      <c r="G57" s="25"/>
      <c r="H57" s="25"/>
      <c r="I57" s="50">
        <f t="shared" si="15"/>
        <v>5.5587478119869003</v>
      </c>
      <c r="J57">
        <f t="shared" si="19"/>
        <v>4.8105235516525356E-12</v>
      </c>
      <c r="K57">
        <f t="shared" si="16"/>
        <v>1.8610703217433876E-9</v>
      </c>
      <c r="L57">
        <f t="shared" si="17"/>
        <v>2.5902621944027026E-6</v>
      </c>
      <c r="M57">
        <f t="shared" si="18"/>
        <v>2590.2621944027028</v>
      </c>
    </row>
    <row r="58" spans="4:13" x14ac:dyDescent="0.2">
      <c r="D58" s="7">
        <v>13.2</v>
      </c>
      <c r="E58">
        <f t="shared" si="14"/>
        <v>1.32E-2</v>
      </c>
      <c r="F58" s="25">
        <v>5.5080595147119826</v>
      </c>
      <c r="G58" s="25"/>
      <c r="H58" s="25"/>
      <c r="I58" s="50">
        <f t="shared" si="15"/>
        <v>5.5080595147119826</v>
      </c>
      <c r="J58">
        <f t="shared" si="19"/>
        <v>4.723192547508635E-12</v>
      </c>
      <c r="K58">
        <f t="shared" si="16"/>
        <v>1.8440998376831926E-9</v>
      </c>
      <c r="L58">
        <f t="shared" si="17"/>
        <v>2.6021228255248578E-6</v>
      </c>
      <c r="M58">
        <f t="shared" si="18"/>
        <v>2602.1228255248579</v>
      </c>
    </row>
    <row r="59" spans="4:13" x14ac:dyDescent="0.2">
      <c r="D59" s="7">
        <v>13.4</v>
      </c>
      <c r="E59">
        <f t="shared" si="14"/>
        <v>1.34E-2</v>
      </c>
      <c r="F59" s="25">
        <v>5.4585853322581821</v>
      </c>
      <c r="G59" s="25"/>
      <c r="H59" s="25"/>
      <c r="I59" s="50">
        <f t="shared" si="15"/>
        <v>5.4585853322581821</v>
      </c>
      <c r="J59">
        <f t="shared" si="19"/>
        <v>4.6387248204910944E-12</v>
      </c>
      <c r="K59">
        <f t="shared" si="16"/>
        <v>1.8275358410153216E-9</v>
      </c>
      <c r="L59">
        <f t="shared" si="17"/>
        <v>2.6138584569394596E-6</v>
      </c>
      <c r="M59">
        <f t="shared" si="18"/>
        <v>2613.8584569394598</v>
      </c>
    </row>
    <row r="60" spans="4:13" x14ac:dyDescent="0.2">
      <c r="D60" s="8">
        <v>13.6</v>
      </c>
      <c r="E60">
        <f t="shared" si="14"/>
        <v>1.3599999999999999E-2</v>
      </c>
      <c r="F60" s="25">
        <v>5.4102787044106471</v>
      </c>
      <c r="G60" s="25"/>
      <c r="H60" s="25"/>
      <c r="I60" s="50">
        <f t="shared" si="15"/>
        <v>5.4102787044106471</v>
      </c>
      <c r="J60">
        <f t="shared" si="19"/>
        <v>4.5569858280866099E-12</v>
      </c>
      <c r="K60">
        <f t="shared" si="16"/>
        <v>1.8113627432826142E-9</v>
      </c>
      <c r="L60">
        <f t="shared" si="17"/>
        <v>2.6254722414023975E-6</v>
      </c>
      <c r="M60">
        <f t="shared" si="18"/>
        <v>2625.4722414023977</v>
      </c>
    </row>
    <row r="61" spans="4:13" x14ac:dyDescent="0.2">
      <c r="D61" s="7">
        <v>13.8</v>
      </c>
      <c r="E61">
        <f t="shared" si="14"/>
        <v>1.3800000000000002E-2</v>
      </c>
      <c r="F61" s="25">
        <v>5.3630955073259008</v>
      </c>
      <c r="G61" s="25"/>
      <c r="H61" s="25"/>
      <c r="I61" s="50">
        <f t="shared" si="15"/>
        <v>5.3630955073259008</v>
      </c>
      <c r="J61">
        <f t="shared" si="19"/>
        <v>4.4778492053213025E-12</v>
      </c>
      <c r="K61">
        <f t="shared" si="16"/>
        <v>1.7955657717317721E-9</v>
      </c>
      <c r="L61">
        <f t="shared" si="17"/>
        <v>2.6369672072032257E-6</v>
      </c>
      <c r="M61">
        <f t="shared" si="18"/>
        <v>2636.9672072032258</v>
      </c>
    </row>
    <row r="62" spans="4:13" x14ac:dyDescent="0.2">
      <c r="D62" s="7">
        <v>14</v>
      </c>
      <c r="E62">
        <f t="shared" si="14"/>
        <v>1.4E-2</v>
      </c>
      <c r="F62" s="25">
        <v>5.3169938929623255</v>
      </c>
      <c r="G62" s="25"/>
      <c r="H62" s="25"/>
      <c r="I62" s="50">
        <f t="shared" si="15"/>
        <v>5.3169938929623255</v>
      </c>
      <c r="J62">
        <f t="shared" si="19"/>
        <v>4.4011961581662118E-12</v>
      </c>
      <c r="K62">
        <f t="shared" si="16"/>
        <v>1.7801309155541281E-9</v>
      </c>
      <c r="L62">
        <f t="shared" si="17"/>
        <v>2.6483462648024119E-6</v>
      </c>
      <c r="M62">
        <f t="shared" si="18"/>
        <v>2648.346264802412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5121" r:id="rId3">
          <objectPr defaultSize="0" autoPict="0" r:id="rId4">
            <anchor moveWithCells="1" sizeWithCells="1">
              <from>
                <xdr:col>4</xdr:col>
                <xdr:colOff>419100</xdr:colOff>
                <xdr:row>13</xdr:row>
                <xdr:rowOff>38100</xdr:rowOff>
              </from>
              <to>
                <xdr:col>6</xdr:col>
                <xdr:colOff>215900</xdr:colOff>
                <xdr:row>15</xdr:row>
                <xdr:rowOff>50800</xdr:rowOff>
              </to>
            </anchor>
          </objectPr>
        </oleObject>
      </mc:Choice>
      <mc:Fallback>
        <oleObject progId="Equation.DSMT4" shapeId="5121" r:id="rId3"/>
      </mc:Fallback>
    </mc:AlternateContent>
    <mc:AlternateContent xmlns:mc="http://schemas.openxmlformats.org/markup-compatibility/2006">
      <mc:Choice Requires="x14">
        <oleObject progId="Equation.DSMT4" shapeId="5122" r:id="rId5">
          <objectPr defaultSize="0" autoPict="0" r:id="rId6">
            <anchor moveWithCells="1" sizeWithCells="1">
              <from>
                <xdr:col>7</xdr:col>
                <xdr:colOff>381000</xdr:colOff>
                <xdr:row>13</xdr:row>
                <xdr:rowOff>63500</xdr:rowOff>
              </from>
              <to>
                <xdr:col>9</xdr:col>
                <xdr:colOff>520700</xdr:colOff>
                <xdr:row>15</xdr:row>
                <xdr:rowOff>114300</xdr:rowOff>
              </to>
            </anchor>
          </objectPr>
        </oleObject>
      </mc:Choice>
      <mc:Fallback>
        <oleObject progId="Equation.DSMT4" shapeId="5122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V62"/>
  <sheetViews>
    <sheetView topLeftCell="A37" workbookViewId="0">
      <selection activeCell="I47" sqref="I47"/>
    </sheetView>
  </sheetViews>
  <sheetFormatPr baseColWidth="10" defaultColWidth="11.5" defaultRowHeight="15" x14ac:dyDescent="0.2"/>
  <cols>
    <col min="10" max="12" width="12" bestFit="1" customWidth="1"/>
  </cols>
  <sheetData>
    <row r="3" spans="1:22" x14ac:dyDescent="0.2">
      <c r="A3" s="3" t="s">
        <v>40</v>
      </c>
      <c r="B3">
        <v>1000</v>
      </c>
    </row>
    <row r="4" spans="1:22" x14ac:dyDescent="0.2">
      <c r="A4" s="3" t="s">
        <v>41</v>
      </c>
      <c r="B4">
        <f>9.8*POWER(10,-4)</f>
        <v>9.8000000000000019E-4</v>
      </c>
    </row>
    <row r="5" spans="1:22" x14ac:dyDescent="0.2">
      <c r="A5" s="3" t="s">
        <v>21</v>
      </c>
      <c r="B5" s="13">
        <v>1.8E-3</v>
      </c>
      <c r="D5" t="s">
        <v>30</v>
      </c>
    </row>
    <row r="6" spans="1:22" x14ac:dyDescent="0.2">
      <c r="A6" s="3" t="s">
        <v>6</v>
      </c>
      <c r="B6">
        <v>9.2999999999999999E-8</v>
      </c>
      <c r="C6" t="s">
        <v>31</v>
      </c>
      <c r="I6" t="s">
        <v>19</v>
      </c>
    </row>
    <row r="7" spans="1:22" x14ac:dyDescent="0.2">
      <c r="A7" s="3"/>
      <c r="D7" s="1"/>
      <c r="E7" s="1" t="s">
        <v>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</row>
    <row r="8" spans="1:22" x14ac:dyDescent="0.2">
      <c r="A8" s="3"/>
      <c r="D8" s="1"/>
      <c r="E8" s="1" t="s">
        <v>10</v>
      </c>
      <c r="F8" s="1" t="s">
        <v>11</v>
      </c>
      <c r="G8" s="1" t="s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 t="s">
        <v>5</v>
      </c>
      <c r="S8" s="1" t="s">
        <v>18</v>
      </c>
      <c r="T8" s="1"/>
      <c r="U8" s="2"/>
      <c r="V8" s="2"/>
    </row>
    <row r="9" spans="1:22" x14ac:dyDescent="0.2">
      <c r="A9" s="3"/>
      <c r="E9" s="1"/>
      <c r="F9" s="1"/>
      <c r="G9" s="1"/>
      <c r="H9" s="1" t="s">
        <v>13</v>
      </c>
      <c r="I9" s="1" t="s">
        <v>14</v>
      </c>
      <c r="J9" s="1" t="s">
        <v>15</v>
      </c>
      <c r="K9" s="1" t="s">
        <v>16</v>
      </c>
      <c r="L9" s="1" t="s">
        <v>4</v>
      </c>
      <c r="M9" s="1" t="s">
        <v>24</v>
      </c>
      <c r="N9" s="1" t="s">
        <v>17</v>
      </c>
      <c r="O9" s="1" t="s">
        <v>25</v>
      </c>
      <c r="P9" s="1"/>
      <c r="Q9" s="1"/>
      <c r="R9" s="1"/>
      <c r="S9" s="1" t="s">
        <v>13</v>
      </c>
      <c r="T9" s="1" t="s">
        <v>14</v>
      </c>
      <c r="U9" s="1" t="s">
        <v>15</v>
      </c>
      <c r="V9" s="1" t="s">
        <v>20</v>
      </c>
    </row>
    <row r="10" spans="1:22" x14ac:dyDescent="0.2">
      <c r="A10" s="3" t="s">
        <v>1</v>
      </c>
      <c r="B10">
        <v>3.1E-2</v>
      </c>
      <c r="C10" t="s">
        <v>32</v>
      </c>
      <c r="E10">
        <v>1000</v>
      </c>
      <c r="F10">
        <f>E10/60</f>
        <v>16.666666666666668</v>
      </c>
      <c r="G10">
        <f>(B$3*F10*B$10^2)/B$4</f>
        <v>16343.537414965982</v>
      </c>
      <c r="H10">
        <f>B$10*1.23/2</f>
        <v>1.9064999999999999E-2</v>
      </c>
      <c r="I10">
        <f>(0.57+0.35*(B$10/B$11))</f>
        <v>0.83463414634146327</v>
      </c>
      <c r="J10">
        <f>((B$13/B$11)^0.036)*(B$14)^0.116</f>
        <v>1.033592614249617</v>
      </c>
      <c r="K10">
        <f>(G10/(1000+1.43*G10))</f>
        <v>0.67060703544238431</v>
      </c>
      <c r="L10">
        <f>H10*I10*J10*K10</f>
        <v>1.1029363768553997E-2</v>
      </c>
      <c r="M10" s="4">
        <f>L10*1000</f>
        <v>11.029363768553997</v>
      </c>
      <c r="N10">
        <f>(B$4/(2*PI()*B$3*F10))^0.5</f>
        <v>9.6738361851973943E-5</v>
      </c>
      <c r="O10" s="4">
        <f>N10*1000</f>
        <v>9.6738361851973945E-2</v>
      </c>
      <c r="R10">
        <f>(0.825*2*PI()*E10*B$4*Q10)/N10</f>
        <v>0</v>
      </c>
      <c r="S10">
        <f>18*R10^2*B$6^2</f>
        <v>0</v>
      </c>
      <c r="T10">
        <f>2*(81*R10^4*B$6^4+4*B$6^2*R10^2*B$5^2)^0.5</f>
        <v>0</v>
      </c>
      <c r="U10">
        <f>(S10+T10)^0.5</f>
        <v>0</v>
      </c>
      <c r="V10" t="e">
        <f>U10/(3*R10)</f>
        <v>#DIV/0!</v>
      </c>
    </row>
    <row r="11" spans="1:22" x14ac:dyDescent="0.2">
      <c r="A11" s="3" t="s">
        <v>2</v>
      </c>
      <c r="B11">
        <v>4.1000000000000002E-2</v>
      </c>
      <c r="C11" t="s">
        <v>33</v>
      </c>
      <c r="M11" s="4"/>
      <c r="O11" s="4"/>
      <c r="R11" t="e">
        <f>(0.825*2*PI()*E11*B$4*Q11)/N11</f>
        <v>#DIV/0!</v>
      </c>
      <c r="S11" t="e">
        <f>18*R11^2*B$6^2</f>
        <v>#DIV/0!</v>
      </c>
      <c r="T11" t="e">
        <f>2*(81*R11^4*B$6^4+4*B$6^2*R11^2*B$5^2)^0.5</f>
        <v>#DIV/0!</v>
      </c>
      <c r="U11" t="e">
        <f t="shared" ref="U11:U13" si="0">(S11+T11)^0.5</f>
        <v>#DIV/0!</v>
      </c>
      <c r="V11" t="e">
        <f t="shared" ref="V11:V13" si="1">U11/(3*R11)</f>
        <v>#DIV/0!</v>
      </c>
    </row>
    <row r="12" spans="1:22" x14ac:dyDescent="0.2">
      <c r="A12" s="3" t="s">
        <v>3</v>
      </c>
      <c r="B12">
        <v>9.0999999999999998E-2</v>
      </c>
      <c r="C12" t="s">
        <v>35</v>
      </c>
      <c r="R12" t="e">
        <f>(0.825*2*PI()*E12*B$4*Q12)/N12</f>
        <v>#DIV/0!</v>
      </c>
      <c r="S12" t="e">
        <f>18*R12^2*B$6^2</f>
        <v>#DIV/0!</v>
      </c>
      <c r="T12" t="e">
        <f>2*(81*R12^4*B$6^4+4*B$6^2*R12^2*B$5^2)^0.5</f>
        <v>#DIV/0!</v>
      </c>
      <c r="U12" t="e">
        <f t="shared" si="0"/>
        <v>#DIV/0!</v>
      </c>
      <c r="V12" t="e">
        <f t="shared" si="1"/>
        <v>#DIV/0!</v>
      </c>
    </row>
    <row r="13" spans="1:22" x14ac:dyDescent="0.2">
      <c r="A13" s="3" t="s">
        <v>7</v>
      </c>
      <c r="B13">
        <v>1.0999999999999999E-2</v>
      </c>
      <c r="C13" t="s">
        <v>34</v>
      </c>
      <c r="R13" t="e">
        <f>(0.825*2*PI()*E13*B$4*Q13)/N13</f>
        <v>#DIV/0!</v>
      </c>
      <c r="S13" t="e">
        <f>18*R13^2*B$6^2</f>
        <v>#DIV/0!</v>
      </c>
      <c r="T13" t="e">
        <f>2*(81*R13^4*B$6^4+4*B$6^2*R13^2*B$5^2)^0.5</f>
        <v>#DIV/0!</v>
      </c>
      <c r="U13" t="e">
        <f t="shared" si="0"/>
        <v>#DIV/0!</v>
      </c>
      <c r="V13" t="e">
        <f t="shared" si="1"/>
        <v>#DIV/0!</v>
      </c>
    </row>
    <row r="14" spans="1:22" x14ac:dyDescent="0.2">
      <c r="A14" s="3" t="s">
        <v>8</v>
      </c>
      <c r="B14">
        <v>2</v>
      </c>
    </row>
    <row r="15" spans="1:22" x14ac:dyDescent="0.2">
      <c r="A15" s="3"/>
    </row>
    <row r="17" spans="1:14" x14ac:dyDescent="0.2">
      <c r="F17" s="5" t="s">
        <v>26</v>
      </c>
      <c r="I17" s="5" t="s">
        <v>29</v>
      </c>
    </row>
    <row r="18" spans="1:14" x14ac:dyDescent="0.2">
      <c r="F18" s="1" t="s">
        <v>5</v>
      </c>
      <c r="G18" s="1"/>
      <c r="H18" s="1"/>
      <c r="I18" s="1" t="s">
        <v>5</v>
      </c>
      <c r="J18" s="1" t="s">
        <v>18</v>
      </c>
      <c r="K18" s="1"/>
      <c r="L18" s="2"/>
      <c r="M18" s="2"/>
    </row>
    <row r="19" spans="1:14" x14ac:dyDescent="0.2">
      <c r="A19" t="s">
        <v>36</v>
      </c>
      <c r="D19" s="6" t="s">
        <v>28</v>
      </c>
      <c r="E19" s="3" t="s">
        <v>27</v>
      </c>
      <c r="F19" s="1"/>
      <c r="G19" s="1"/>
      <c r="H19" s="1"/>
      <c r="I19" s="1"/>
      <c r="J19" s="1" t="s">
        <v>13</v>
      </c>
      <c r="K19" s="1" t="s">
        <v>14</v>
      </c>
      <c r="L19" s="1" t="s">
        <v>20</v>
      </c>
      <c r="M19" s="1" t="s">
        <v>39</v>
      </c>
    </row>
    <row r="20" spans="1:14" x14ac:dyDescent="0.2">
      <c r="D20" s="4"/>
    </row>
    <row r="21" spans="1:14" x14ac:dyDescent="0.2">
      <c r="A21" t="s">
        <v>37</v>
      </c>
      <c r="D21" s="4"/>
    </row>
    <row r="22" spans="1:14" x14ac:dyDescent="0.2">
      <c r="D22" s="7">
        <v>6</v>
      </c>
      <c r="E22" s="8">
        <f t="shared" ref="E22:E62" si="2">D22*0.001</f>
        <v>6.0000000000000001E-3</v>
      </c>
      <c r="F22" s="50">
        <f>0.825*B$4*E22*2*PI()*F$10*(1/N$10)</f>
        <v>5.2512314903862931</v>
      </c>
      <c r="G22" s="50"/>
      <c r="H22" s="50"/>
      <c r="I22" s="50"/>
      <c r="J22">
        <f>18*F22^2*B$6^2</f>
        <v>4.292998430408776E-12</v>
      </c>
      <c r="K22">
        <f>(81*F22^4*B$6^4+4*B$6^2*F22^2*B$5^2)^0.5</f>
        <v>1.7581136133234392E-9</v>
      </c>
      <c r="L22">
        <f>(J22+K22)^0.5/(3*F22)</f>
        <v>2.6648369297540892E-6</v>
      </c>
      <c r="M22" s="8">
        <f>L22*1000000000</f>
        <v>2664.8369297540894</v>
      </c>
    </row>
    <row r="23" spans="1:14" x14ac:dyDescent="0.2">
      <c r="D23" s="7">
        <v>6.2</v>
      </c>
      <c r="E23" s="8">
        <f t="shared" si="2"/>
        <v>6.2000000000000006E-3</v>
      </c>
      <c r="F23" s="50">
        <f t="shared" ref="F23:F46" si="3">0.825*B$4*E23*2*PI()*F$10*(1/N$10)</f>
        <v>5.4262725400658365</v>
      </c>
      <c r="G23" s="50"/>
      <c r="H23" s="50"/>
      <c r="I23" s="50"/>
      <c r="J23">
        <f>18*F23^2*B$6^2</f>
        <v>4.5839683240253714E-12</v>
      </c>
      <c r="K23">
        <f>(81*F23^4*B$6^4+4*B$6^2*F23^2*B$5^2)^0.5</f>
        <v>1.816717492206663E-9</v>
      </c>
      <c r="L23">
        <f t="shared" ref="L23" si="4">(J23+K23)^0.5/(3*F23)</f>
        <v>2.6216098513963135E-6</v>
      </c>
      <c r="M23" s="8">
        <f t="shared" ref="M23" si="5">L23*1000000000</f>
        <v>2621.6098513963134</v>
      </c>
    </row>
    <row r="24" spans="1:14" x14ac:dyDescent="0.2">
      <c r="D24" s="8">
        <v>6.4</v>
      </c>
      <c r="E24" s="8">
        <f t="shared" si="2"/>
        <v>6.4000000000000003E-3</v>
      </c>
      <c r="F24" s="50">
        <f>0.825*B$4*E24*2*PI()*F$10*(1/N$10)</f>
        <v>5.601313589745379</v>
      </c>
      <c r="G24" s="50"/>
      <c r="H24" s="50"/>
      <c r="I24" s="50"/>
      <c r="J24">
        <f>18*F24^2*B$6^2</f>
        <v>4.8844782141539856E-12</v>
      </c>
      <c r="K24">
        <f>(81*F24^4*B$6^4+4*B$6^2*F24^2*B$5^2)^0.5</f>
        <v>1.8753213801166792E-9</v>
      </c>
      <c r="L24">
        <f>(J24+K24)^0.5/(3*F24)</f>
        <v>2.5804268886702657E-6</v>
      </c>
      <c r="M24" s="8">
        <f>L24*1000000000</f>
        <v>2580.4268886702657</v>
      </c>
    </row>
    <row r="25" spans="1:14" x14ac:dyDescent="0.2">
      <c r="D25" s="7">
        <v>6.6</v>
      </c>
      <c r="E25" s="8">
        <f t="shared" si="2"/>
        <v>6.6E-3</v>
      </c>
      <c r="F25" s="50">
        <f t="shared" si="3"/>
        <v>5.7763546394249223</v>
      </c>
      <c r="G25" s="50"/>
      <c r="H25" s="50"/>
      <c r="I25" s="50"/>
      <c r="J25">
        <f t="shared" ref="J25:J29" si="6">18*F25^2*B$6^2</f>
        <v>5.1945281007946203E-12</v>
      </c>
      <c r="K25">
        <f t="shared" ref="K25:K29" si="7">(81*F25^4*B$6^4+4*B$6^2*F25^2*B$5^2)^0.5</f>
        <v>1.933925277344674E-9</v>
      </c>
      <c r="L25">
        <f t="shared" ref="L25:L30" si="8">(J25+K25)^0.5/(3*F25)</f>
        <v>2.5411319544545147E-6</v>
      </c>
      <c r="M25" s="8">
        <f t="shared" ref="M25:M29" si="9">L25*1000000000</f>
        <v>2541.1319544545145</v>
      </c>
    </row>
    <row r="26" spans="1:14" x14ac:dyDescent="0.2">
      <c r="D26" s="7">
        <v>6.8</v>
      </c>
      <c r="E26" s="8">
        <f t="shared" si="2"/>
        <v>6.7999999999999996E-3</v>
      </c>
      <c r="F26" s="50">
        <f t="shared" si="3"/>
        <v>5.9513956891044657</v>
      </c>
      <c r="G26" s="50"/>
      <c r="H26" s="50"/>
      <c r="I26" s="50"/>
      <c r="J26">
        <f t="shared" si="6"/>
        <v>5.514117983947273E-12</v>
      </c>
      <c r="K26">
        <f t="shared" si="7"/>
        <v>1.9925291841818331E-9</v>
      </c>
      <c r="L26">
        <f t="shared" si="8"/>
        <v>2.5035851523950235E-6</v>
      </c>
      <c r="M26" s="8">
        <f t="shared" si="9"/>
        <v>2503.5851523950237</v>
      </c>
    </row>
    <row r="27" spans="1:14" x14ac:dyDescent="0.2">
      <c r="C27" s="3"/>
      <c r="D27" s="8">
        <v>7</v>
      </c>
      <c r="E27" s="9">
        <f t="shared" si="2"/>
        <v>7.0000000000000001E-3</v>
      </c>
      <c r="F27" s="51">
        <f t="shared" si="3"/>
        <v>6.1264367387840073</v>
      </c>
      <c r="G27" s="51"/>
      <c r="H27" s="51"/>
      <c r="I27" s="51"/>
      <c r="J27" s="10">
        <f t="shared" si="6"/>
        <v>5.8432478636119429E-12</v>
      </c>
      <c r="K27" s="10">
        <f t="shared" si="7"/>
        <v>2.0511331009193425E-9</v>
      </c>
      <c r="L27" s="10">
        <f t="shared" si="8"/>
        <v>2.4676606797506189E-6</v>
      </c>
      <c r="M27" s="9">
        <f t="shared" si="9"/>
        <v>2467.6606797506188</v>
      </c>
      <c r="N27" s="8"/>
    </row>
    <row r="28" spans="1:14" x14ac:dyDescent="0.2">
      <c r="C28" s="3"/>
      <c r="D28" s="7">
        <v>7.2</v>
      </c>
      <c r="E28" s="9">
        <f t="shared" si="2"/>
        <v>7.2000000000000007E-3</v>
      </c>
      <c r="F28" s="51">
        <f t="shared" si="3"/>
        <v>6.3014777884635524</v>
      </c>
      <c r="G28" s="51"/>
      <c r="H28" s="51"/>
      <c r="I28" s="51"/>
      <c r="J28" s="9">
        <f t="shared" si="6"/>
        <v>6.1819177397886398E-12</v>
      </c>
      <c r="K28" s="9">
        <f t="shared" si="7"/>
        <v>2.1097370278483895E-9</v>
      </c>
      <c r="L28" s="9">
        <f t="shared" si="8"/>
        <v>2.4332450529599236E-6</v>
      </c>
      <c r="M28" s="9">
        <f t="shared" si="9"/>
        <v>2433.2450529599237</v>
      </c>
      <c r="N28" s="9"/>
    </row>
    <row r="29" spans="1:14" x14ac:dyDescent="0.2">
      <c r="D29" s="7">
        <v>7.4</v>
      </c>
      <c r="E29" s="8">
        <f t="shared" si="2"/>
        <v>7.4000000000000003E-3</v>
      </c>
      <c r="F29" s="50">
        <f t="shared" si="3"/>
        <v>6.4765188381430958</v>
      </c>
      <c r="G29" s="50"/>
      <c r="H29" s="50"/>
      <c r="I29" s="50"/>
      <c r="J29" s="8">
        <f t="shared" si="6"/>
        <v>6.5301276124773515E-12</v>
      </c>
      <c r="K29" s="8">
        <f t="shared" si="7"/>
        <v>2.1683409652601579E-9</v>
      </c>
      <c r="L29" s="8">
        <f t="shared" si="8"/>
        <v>2.4002355988342606E-6</v>
      </c>
      <c r="M29" s="8">
        <f t="shared" si="9"/>
        <v>2400.2355988342606</v>
      </c>
    </row>
    <row r="30" spans="1:14" x14ac:dyDescent="0.2">
      <c r="D30" s="8">
        <v>7.6</v>
      </c>
      <c r="E30" s="8">
        <f t="shared" si="2"/>
        <v>7.6E-3</v>
      </c>
      <c r="F30" s="50">
        <f t="shared" si="3"/>
        <v>6.6515598878226365</v>
      </c>
      <c r="G30" s="50"/>
      <c r="H30" s="50"/>
      <c r="I30" s="50"/>
      <c r="J30" s="8">
        <f>18*F30^2*B$6^2</f>
        <v>6.8878774816780788E-12</v>
      </c>
      <c r="K30" s="8">
        <f>(81*F30^4*B$6^4+4*B$6^2*F30^2*B$5^2)^0.5</f>
        <v>2.2269449134458325E-9</v>
      </c>
      <c r="L30" s="8">
        <f t="shared" si="8"/>
        <v>2.3685391656277505E-6</v>
      </c>
      <c r="M30" s="8">
        <f>L30*1000000000</f>
        <v>2368.5391656277507</v>
      </c>
    </row>
    <row r="31" spans="1:14" x14ac:dyDescent="0.2">
      <c r="D31" s="7">
        <v>7.8</v>
      </c>
      <c r="E31" s="8">
        <f t="shared" si="2"/>
        <v>7.7999999999999996E-3</v>
      </c>
      <c r="F31" s="50">
        <f t="shared" si="3"/>
        <v>6.8266009375021799</v>
      </c>
      <c r="G31" s="50"/>
      <c r="H31" s="50"/>
      <c r="I31" s="50"/>
      <c r="J31" s="8">
        <f>18*F31^2*B$6^2</f>
        <v>7.2551673473908306E-12</v>
      </c>
      <c r="K31" s="8">
        <f>(81*F31^4*B$6^4+4*B$6^2*F31^2*B$5^2)^0.5</f>
        <v>2.2855488726966017E-9</v>
      </c>
      <c r="L31" s="8">
        <f>(J31+K31)^0.5/(3*F31)</f>
        <v>2.3380710170929283E-6</v>
      </c>
      <c r="M31" s="8">
        <f>L31*1000000000</f>
        <v>2338.0710170929283</v>
      </c>
    </row>
    <row r="32" spans="1:14" x14ac:dyDescent="0.2">
      <c r="D32" s="7">
        <v>8</v>
      </c>
      <c r="E32" s="7">
        <f t="shared" si="2"/>
        <v>8.0000000000000002E-3</v>
      </c>
      <c r="F32" s="50">
        <f t="shared" si="3"/>
        <v>7.0016419871817241</v>
      </c>
      <c r="G32" s="54"/>
      <c r="H32" s="54"/>
      <c r="I32" s="54"/>
      <c r="J32" s="8">
        <f t="shared" ref="J32:J46" si="10">18*F32^2*B$6^2</f>
        <v>7.6319972096156028E-12</v>
      </c>
      <c r="K32" s="8">
        <f t="shared" ref="K32:K46" si="11">(81*F32^4*B$6^4+4*B$6^2*F32^2*B$5^2)^0.5</f>
        <v>2.3441528433036496E-9</v>
      </c>
      <c r="L32" s="8">
        <f t="shared" ref="L32:L46" si="12">(J32+K32)^0.5/(3*F32)</f>
        <v>2.3087538795926549E-6</v>
      </c>
      <c r="M32" s="8">
        <f t="shared" ref="M32:M46" si="13">L32*1000000000</f>
        <v>2308.7538795926548</v>
      </c>
    </row>
    <row r="33" spans="3:13" x14ac:dyDescent="0.2">
      <c r="D33" s="8">
        <v>8.1999999999999993</v>
      </c>
      <c r="E33" s="8">
        <f t="shared" si="2"/>
        <v>8.199999999999999E-3</v>
      </c>
      <c r="F33" s="50">
        <f t="shared" si="3"/>
        <v>7.1766830368612666</v>
      </c>
      <c r="G33" s="50"/>
      <c r="H33" s="50"/>
      <c r="I33" s="50"/>
      <c r="J33" s="8">
        <f t="shared" si="10"/>
        <v>8.0183670683523907E-12</v>
      </c>
      <c r="K33" s="8">
        <f t="shared" si="11"/>
        <v>2.4027568255581611E-9</v>
      </c>
      <c r="L33" s="8">
        <f t="shared" si="12"/>
        <v>2.2805171178489737E-6</v>
      </c>
      <c r="M33" s="8">
        <f t="shared" si="13"/>
        <v>2280.5171178489736</v>
      </c>
    </row>
    <row r="34" spans="3:13" x14ac:dyDescent="0.2">
      <c r="D34" s="7">
        <v>8.4</v>
      </c>
      <c r="E34">
        <f t="shared" si="2"/>
        <v>8.4000000000000012E-3</v>
      </c>
      <c r="F34" s="50">
        <f t="shared" si="3"/>
        <v>7.3517240865408109</v>
      </c>
      <c r="G34" s="25"/>
      <c r="H34" s="25"/>
      <c r="I34" s="50"/>
      <c r="J34" s="8">
        <f t="shared" si="10"/>
        <v>8.4142769236012031E-12</v>
      </c>
      <c r="K34" s="8">
        <f t="shared" si="11"/>
        <v>2.4613608197513224E-9</v>
      </c>
      <c r="L34" s="8">
        <f t="shared" si="12"/>
        <v>2.2532960192972837E-6</v>
      </c>
      <c r="M34" s="8">
        <f t="shared" si="13"/>
        <v>2253.2960192972837</v>
      </c>
    </row>
    <row r="35" spans="3:13" x14ac:dyDescent="0.2">
      <c r="D35" s="7">
        <v>8.6</v>
      </c>
      <c r="E35">
        <f t="shared" si="2"/>
        <v>8.6E-3</v>
      </c>
      <c r="F35" s="50">
        <f t="shared" si="3"/>
        <v>7.5267651362203534</v>
      </c>
      <c r="G35" s="25"/>
      <c r="H35" s="25"/>
      <c r="I35" s="50"/>
      <c r="J35" s="8">
        <f t="shared" si="10"/>
        <v>8.8197267753620302E-12</v>
      </c>
      <c r="K35" s="8">
        <f t="shared" si="11"/>
        <v>2.5199648261743176E-9</v>
      </c>
      <c r="L35" s="8">
        <f t="shared" si="12"/>
        <v>2.2270311705293458E-6</v>
      </c>
      <c r="M35" s="8">
        <f t="shared" si="13"/>
        <v>2227.0311705293457</v>
      </c>
    </row>
    <row r="36" spans="3:13" x14ac:dyDescent="0.2">
      <c r="D36" s="8">
        <v>8.8000000000000007</v>
      </c>
      <c r="E36">
        <f t="shared" si="2"/>
        <v>8.8000000000000005E-3</v>
      </c>
      <c r="F36" s="50">
        <f t="shared" si="3"/>
        <v>7.7018061858998967</v>
      </c>
      <c r="G36" s="25"/>
      <c r="H36" s="25"/>
      <c r="I36" s="50"/>
      <c r="J36" s="8">
        <f t="shared" si="10"/>
        <v>9.2347166236348803E-12</v>
      </c>
      <c r="K36" s="8">
        <f t="shared" si="11"/>
        <v>2.578568845118333E-9</v>
      </c>
      <c r="L36" s="8">
        <f t="shared" si="12"/>
        <v>2.2016679121406313E-6</v>
      </c>
      <c r="M36" s="8">
        <f t="shared" si="13"/>
        <v>2201.6679121406314</v>
      </c>
    </row>
    <row r="37" spans="3:13" x14ac:dyDescent="0.2">
      <c r="D37" s="7">
        <v>9</v>
      </c>
      <c r="E37">
        <f t="shared" si="2"/>
        <v>9.0000000000000011E-3</v>
      </c>
      <c r="F37" s="50">
        <f t="shared" si="3"/>
        <v>7.876847235579441</v>
      </c>
      <c r="G37" s="25"/>
      <c r="H37" s="25"/>
      <c r="I37" s="50"/>
      <c r="J37" s="8">
        <f t="shared" si="10"/>
        <v>9.65924646841975E-12</v>
      </c>
      <c r="K37" s="8">
        <f t="shared" si="11"/>
        <v>2.6371728768745526E-9</v>
      </c>
      <c r="L37" s="8">
        <f t="shared" si="12"/>
        <v>2.1771558605915149E-6</v>
      </c>
      <c r="M37" s="8">
        <f t="shared" si="13"/>
        <v>2177.1558605915147</v>
      </c>
    </row>
    <row r="38" spans="3:13" x14ac:dyDescent="0.2">
      <c r="D38" s="7">
        <v>9.1999999999999993</v>
      </c>
      <c r="E38">
        <f>D38*0.001</f>
        <v>9.1999999999999998E-3</v>
      </c>
      <c r="F38" s="50">
        <f t="shared" si="3"/>
        <v>8.0518882852589826</v>
      </c>
      <c r="G38" s="25"/>
      <c r="H38" s="25"/>
      <c r="I38" s="50"/>
      <c r="J38" s="8">
        <f t="shared" si="10"/>
        <v>1.0093316309716633E-11</v>
      </c>
      <c r="K38" s="8">
        <f t="shared" si="11"/>
        <v>2.6957769217341613E-9</v>
      </c>
      <c r="L38" s="8">
        <f t="shared" si="12"/>
        <v>2.1534484875594668E-6</v>
      </c>
      <c r="M38" s="8">
        <f t="shared" si="13"/>
        <v>2153.4484875594667</v>
      </c>
    </row>
    <row r="39" spans="3:13" x14ac:dyDescent="0.2">
      <c r="D39" s="8">
        <v>9.4</v>
      </c>
      <c r="E39">
        <f t="shared" si="2"/>
        <v>9.4000000000000004E-3</v>
      </c>
      <c r="F39" s="50">
        <f t="shared" si="3"/>
        <v>8.2269293349385251</v>
      </c>
      <c r="I39" s="50"/>
      <c r="J39" s="8">
        <f t="shared" si="10"/>
        <v>1.0536926147525539E-11</v>
      </c>
      <c r="K39" s="8">
        <f t="shared" si="11"/>
        <v>2.7543809799883433E-9</v>
      </c>
      <c r="L39" s="8">
        <f t="shared" si="12"/>
        <v>2.1305027487874226E-6</v>
      </c>
      <c r="M39" s="8">
        <f t="shared" si="13"/>
        <v>2130.5027487874227</v>
      </c>
    </row>
    <row r="40" spans="3:13" x14ac:dyDescent="0.2">
      <c r="D40" s="7">
        <v>9.6</v>
      </c>
      <c r="E40">
        <f t="shared" si="2"/>
        <v>9.5999999999999992E-3</v>
      </c>
      <c r="F40" s="50">
        <f t="shared" si="3"/>
        <v>8.4019703846180693</v>
      </c>
      <c r="I40" s="50"/>
      <c r="J40" s="8">
        <f t="shared" si="10"/>
        <v>1.0990075981846469E-11</v>
      </c>
      <c r="K40" s="8">
        <f t="shared" si="11"/>
        <v>2.8129850519282853E-9</v>
      </c>
      <c r="L40" s="8">
        <f t="shared" si="12"/>
        <v>2.1082787556894974E-6</v>
      </c>
      <c r="M40" s="8">
        <f t="shared" si="13"/>
        <v>2108.2787556894973</v>
      </c>
    </row>
    <row r="41" spans="3:13" x14ac:dyDescent="0.2">
      <c r="D41" s="7">
        <v>9.8000000000000007</v>
      </c>
      <c r="E41">
        <f t="shared" si="2"/>
        <v>9.8000000000000014E-3</v>
      </c>
      <c r="F41" s="50">
        <f t="shared" si="3"/>
        <v>8.5770114342976136</v>
      </c>
      <c r="I41" s="50"/>
      <c r="J41" s="8">
        <f t="shared" si="10"/>
        <v>1.1452765812679419E-11</v>
      </c>
      <c r="K41" s="8">
        <f t="shared" si="11"/>
        <v>2.8715891378451704E-9</v>
      </c>
      <c r="L41" s="8">
        <f t="shared" si="12"/>
        <v>2.0867394840121032E-6</v>
      </c>
      <c r="M41" s="8">
        <f t="shared" si="13"/>
        <v>2086.7394840121033</v>
      </c>
    </row>
    <row r="42" spans="3:13" x14ac:dyDescent="0.2">
      <c r="D42" s="8">
        <v>10</v>
      </c>
      <c r="E42">
        <f t="shared" si="2"/>
        <v>0.01</v>
      </c>
      <c r="F42" s="50">
        <f t="shared" si="3"/>
        <v>8.7520524839771561</v>
      </c>
      <c r="I42" s="50"/>
      <c r="J42" s="8">
        <f t="shared" si="10"/>
        <v>1.192499564002438E-11</v>
      </c>
      <c r="K42" s="8">
        <f t="shared" si="11"/>
        <v>2.9301932380301828E-9</v>
      </c>
      <c r="L42" s="8">
        <f t="shared" si="12"/>
        <v>2.0658505147082973E-6</v>
      </c>
      <c r="M42" s="8">
        <f t="shared" si="13"/>
        <v>2065.8505147082974</v>
      </c>
    </row>
    <row r="43" spans="3:13" x14ac:dyDescent="0.2">
      <c r="D43" s="7">
        <v>10.199999999999999</v>
      </c>
      <c r="E43">
        <f t="shared" si="2"/>
        <v>1.0199999999999999E-2</v>
      </c>
      <c r="F43" s="50">
        <f t="shared" si="3"/>
        <v>8.9270935336566986</v>
      </c>
      <c r="I43" s="50"/>
      <c r="J43" s="8">
        <f t="shared" si="10"/>
        <v>1.2406765463881365E-11</v>
      </c>
      <c r="K43" s="8">
        <f t="shared" si="11"/>
        <v>2.9887973527745071E-9</v>
      </c>
      <c r="L43" s="8">
        <f t="shared" si="12"/>
        <v>2.0455798028988872E-6</v>
      </c>
      <c r="M43" s="8">
        <f t="shared" si="13"/>
        <v>2045.5798028988872</v>
      </c>
    </row>
    <row r="44" spans="3:13" x14ac:dyDescent="0.2">
      <c r="D44" s="7">
        <v>10.4</v>
      </c>
      <c r="E44">
        <f t="shared" si="2"/>
        <v>1.0400000000000001E-2</v>
      </c>
      <c r="F44" s="50">
        <f t="shared" si="3"/>
        <v>9.1021345833362428</v>
      </c>
      <c r="I44" s="50"/>
      <c r="J44" s="8">
        <f t="shared" si="10"/>
        <v>1.2898075284250372E-11</v>
      </c>
      <c r="K44" s="8">
        <f t="shared" si="11"/>
        <v>3.0474014823693278E-9</v>
      </c>
      <c r="L44" s="8">
        <f t="shared" si="12"/>
        <v>2.0258974713919541E-6</v>
      </c>
      <c r="M44" s="8">
        <f t="shared" si="13"/>
        <v>2025.897471391954</v>
      </c>
    </row>
    <row r="45" spans="3:13" x14ac:dyDescent="0.2">
      <c r="C45" t="s">
        <v>12</v>
      </c>
      <c r="D45" s="8">
        <v>10.6</v>
      </c>
      <c r="E45">
        <f t="shared" si="2"/>
        <v>1.06E-2</v>
      </c>
      <c r="F45" s="50">
        <f t="shared" si="3"/>
        <v>9.2771756330157835</v>
      </c>
      <c r="I45" s="50"/>
      <c r="J45" s="8">
        <f t="shared" si="10"/>
        <v>1.3398925101131388E-11</v>
      </c>
      <c r="K45" s="8">
        <f t="shared" si="11"/>
        <v>3.1060056271058277E-9</v>
      </c>
      <c r="L45" s="8">
        <f t="shared" si="12"/>
        <v>2.006775625734198E-6</v>
      </c>
      <c r="M45" s="8">
        <f t="shared" si="13"/>
        <v>2006.775625734198</v>
      </c>
    </row>
    <row r="46" spans="3:13" x14ac:dyDescent="0.2">
      <c r="C46">
        <v>11.03</v>
      </c>
      <c r="D46" s="7">
        <v>10.8</v>
      </c>
      <c r="E46">
        <f t="shared" si="2"/>
        <v>1.0800000000000001E-2</v>
      </c>
      <c r="F46" s="50">
        <f t="shared" si="3"/>
        <v>9.4522166826953278</v>
      </c>
      <c r="I46" s="50"/>
      <c r="J46" s="8">
        <f t="shared" si="10"/>
        <v>1.3909314914524436E-11</v>
      </c>
      <c r="K46" s="8">
        <f t="shared" si="11"/>
        <v>3.164609787275193E-9</v>
      </c>
      <c r="L46" s="8">
        <f t="shared" si="12"/>
        <v>1.9881881881898821E-6</v>
      </c>
      <c r="M46" s="8">
        <f t="shared" si="13"/>
        <v>1988.1881881898821</v>
      </c>
    </row>
    <row r="47" spans="3:13" x14ac:dyDescent="0.2">
      <c r="D47" s="19">
        <v>11</v>
      </c>
      <c r="E47" s="20">
        <f t="shared" si="2"/>
        <v>1.0999999999999999E-2</v>
      </c>
      <c r="F47" s="56">
        <v>9.6684095688933738</v>
      </c>
      <c r="G47" s="20"/>
      <c r="H47" s="20"/>
      <c r="I47" s="45">
        <f t="shared" ref="I47:I62" si="14">0.825*B$4*L$10*(2*PI()*F$10)*((L$10/E47)^0.6)*(1/N$10)</f>
        <v>9.6684095688933738</v>
      </c>
      <c r="J47" s="20">
        <f t="shared" ref="J47:J62" si="15">18*I47^2*B$6^2</f>
        <v>1.4552864350669343E-11</v>
      </c>
      <c r="K47" s="20">
        <f t="shared" ref="K47:K62" si="16">(81*I47^4*B$6^4+4*B$6^2*I47^2*B$5^2)^0.5</f>
        <v>3.2369917020201224E-9</v>
      </c>
      <c r="L47" s="20">
        <f t="shared" ref="L47:L62" si="17">(J47+K47)^0.5/(3*I47)</f>
        <v>1.9659323139865011E-6</v>
      </c>
      <c r="M47" s="20">
        <f t="shared" ref="M47:M62" si="18">L47*1000000000</f>
        <v>1965.932313986501</v>
      </c>
    </row>
    <row r="48" spans="3:13" x14ac:dyDescent="0.2">
      <c r="D48" s="8">
        <v>11.2</v>
      </c>
      <c r="E48">
        <f t="shared" si="2"/>
        <v>1.12E-2</v>
      </c>
      <c r="F48" s="47">
        <v>9.5644463852398864</v>
      </c>
      <c r="I48" s="50">
        <f t="shared" si="14"/>
        <v>9.5644463852398864</v>
      </c>
      <c r="J48">
        <f t="shared" si="15"/>
        <v>1.4241576800535371E-11</v>
      </c>
      <c r="K48">
        <f t="shared" si="16"/>
        <v>3.2021845671373956E-9</v>
      </c>
      <c r="L48">
        <f t="shared" si="17"/>
        <v>1.9765404199653192E-6</v>
      </c>
      <c r="M48">
        <f t="shared" si="18"/>
        <v>1976.5404199653192</v>
      </c>
    </row>
    <row r="49" spans="4:13" x14ac:dyDescent="0.2">
      <c r="D49" s="7">
        <v>11.4</v>
      </c>
      <c r="E49">
        <f t="shared" si="2"/>
        <v>1.14E-2</v>
      </c>
      <c r="F49" s="47">
        <v>9.4634118217748195</v>
      </c>
      <c r="I49" s="50">
        <f t="shared" si="14"/>
        <v>9.4634118217748195</v>
      </c>
      <c r="J49">
        <f t="shared" si="15"/>
        <v>1.3942282616195049E-11</v>
      </c>
      <c r="K49">
        <f t="shared" si="16"/>
        <v>3.1683579470242266E-9</v>
      </c>
      <c r="L49">
        <f t="shared" si="17"/>
        <v>1.9870169899121515E-6</v>
      </c>
      <c r="M49">
        <f t="shared" si="18"/>
        <v>1987.0169899121515</v>
      </c>
    </row>
    <row r="50" spans="4:13" x14ac:dyDescent="0.2">
      <c r="D50" s="7">
        <v>11.6</v>
      </c>
      <c r="E50">
        <f t="shared" si="2"/>
        <v>1.1599999999999999E-2</v>
      </c>
      <c r="F50" s="47">
        <v>9.3651741364158347</v>
      </c>
      <c r="I50" s="50">
        <f t="shared" si="14"/>
        <v>9.3651741364158347</v>
      </c>
      <c r="J50">
        <f t="shared" si="15"/>
        <v>1.3654321247700649E-11</v>
      </c>
      <c r="K50">
        <f t="shared" si="16"/>
        <v>3.1354677336031782E-9</v>
      </c>
      <c r="L50">
        <f t="shared" si="17"/>
        <v>1.9973659176757303E-6</v>
      </c>
      <c r="M50">
        <f t="shared" si="18"/>
        <v>1997.3659176757303</v>
      </c>
    </row>
    <row r="51" spans="4:13" x14ac:dyDescent="0.2">
      <c r="D51" s="8">
        <v>11.8</v>
      </c>
      <c r="E51">
        <f t="shared" si="2"/>
        <v>1.1800000000000001E-2</v>
      </c>
      <c r="F51" s="47">
        <v>9.2696096532915284</v>
      </c>
      <c r="I51" s="50">
        <f t="shared" si="14"/>
        <v>9.2696096532915284</v>
      </c>
      <c r="J51">
        <f t="shared" si="15"/>
        <v>1.3377079086532137E-11</v>
      </c>
      <c r="K51">
        <f t="shared" si="16"/>
        <v>3.1034725194311548E-9</v>
      </c>
      <c r="L51">
        <f t="shared" si="17"/>
        <v>2.0075909171211376E-6</v>
      </c>
      <c r="M51">
        <f t="shared" si="18"/>
        <v>2007.5909171211376</v>
      </c>
    </row>
    <row r="52" spans="4:13" x14ac:dyDescent="0.2">
      <c r="D52" s="7">
        <v>12</v>
      </c>
      <c r="E52">
        <f t="shared" si="2"/>
        <v>1.2E-2</v>
      </c>
      <c r="F52" s="47">
        <v>9.1766021422299779</v>
      </c>
      <c r="I52" s="50">
        <f t="shared" si="14"/>
        <v>9.1766021422299779</v>
      </c>
      <c r="J52">
        <f t="shared" si="15"/>
        <v>1.3109985404230835E-11</v>
      </c>
      <c r="K52">
        <f t="shared" si="16"/>
        <v>3.0723333899457472E-9</v>
      </c>
      <c r="L52">
        <f t="shared" si="17"/>
        <v>2.0176955333401815E-6</v>
      </c>
      <c r="M52">
        <f t="shared" si="18"/>
        <v>2017.6955333401816</v>
      </c>
    </row>
    <row r="53" spans="4:13" x14ac:dyDescent="0.2">
      <c r="D53" s="7">
        <v>12.2</v>
      </c>
      <c r="E53">
        <f t="shared" si="2"/>
        <v>1.2199999999999999E-2</v>
      </c>
      <c r="F53" s="47">
        <v>9.0860422554031963</v>
      </c>
      <c r="I53" s="50">
        <f t="shared" si="14"/>
        <v>9.0860422554031963</v>
      </c>
      <c r="J53">
        <f t="shared" si="15"/>
        <v>1.2852508703137997E-11</v>
      </c>
      <c r="K53">
        <f t="shared" si="16"/>
        <v>3.0420137348480772E-9</v>
      </c>
      <c r="L53">
        <f t="shared" si="17"/>
        <v>2.0276831529893967E-6</v>
      </c>
      <c r="M53">
        <f t="shared" si="18"/>
        <v>2027.6831529893966</v>
      </c>
    </row>
    <row r="54" spans="4:13" x14ac:dyDescent="0.2">
      <c r="D54" s="8">
        <v>12.4</v>
      </c>
      <c r="E54">
        <f t="shared" si="2"/>
        <v>1.2400000000000001E-2</v>
      </c>
      <c r="F54" s="47">
        <v>8.9978270150230912</v>
      </c>
      <c r="I54" s="50">
        <f t="shared" si="14"/>
        <v>8.9978270150230912</v>
      </c>
      <c r="J54">
        <f t="shared" si="15"/>
        <v>1.2604153431460033E-11</v>
      </c>
      <c r="K54">
        <f t="shared" si="16"/>
        <v>3.0124790765783181E-9</v>
      </c>
      <c r="L54">
        <f t="shared" si="17"/>
        <v>2.0375570138366687E-6</v>
      </c>
      <c r="M54">
        <f t="shared" si="18"/>
        <v>2037.5570138366686</v>
      </c>
    </row>
    <row r="55" spans="4:13" x14ac:dyDescent="0.2">
      <c r="D55" s="7">
        <v>12.6</v>
      </c>
      <c r="E55">
        <f t="shared" si="2"/>
        <v>1.26E-2</v>
      </c>
      <c r="F55" s="47">
        <v>8.9118593467232472</v>
      </c>
      <c r="I55" s="50">
        <f t="shared" si="14"/>
        <v>8.9118593467232472</v>
      </c>
      <c r="J55">
        <f t="shared" si="15"/>
        <v>1.2364457021090429E-11</v>
      </c>
      <c r="K55">
        <f t="shared" si="16"/>
        <v>2.983696914087365E-9</v>
      </c>
      <c r="L55">
        <f t="shared" si="17"/>
        <v>2.0473202135887758E-6</v>
      </c>
      <c r="M55">
        <f t="shared" si="18"/>
        <v>2047.3202135887759</v>
      </c>
    </row>
    <row r="56" spans="4:13" x14ac:dyDescent="0.2">
      <c r="D56" s="7">
        <v>12.8</v>
      </c>
      <c r="E56">
        <f t="shared" si="2"/>
        <v>1.2800000000000001E-2</v>
      </c>
      <c r="F56" s="47">
        <v>8.8280476539001143</v>
      </c>
      <c r="I56" s="50">
        <f t="shared" si="14"/>
        <v>8.8280476539001143</v>
      </c>
      <c r="J56">
        <f t="shared" si="15"/>
        <v>1.2132987211936192E-11</v>
      </c>
      <c r="K56">
        <f t="shared" si="16"/>
        <v>2.9556365803222038E-9</v>
      </c>
      <c r="L56">
        <f t="shared" si="17"/>
        <v>2.0569757180645136E-6</v>
      </c>
      <c r="M56">
        <f t="shared" si="18"/>
        <v>2056.9757180645138</v>
      </c>
    </row>
    <row r="57" spans="4:13" x14ac:dyDescent="0.2">
      <c r="D57" s="8">
        <v>13</v>
      </c>
      <c r="E57">
        <f t="shared" si="2"/>
        <v>1.3000000000000001E-2</v>
      </c>
      <c r="F57" s="47">
        <v>8.7463054288415325</v>
      </c>
      <c r="I57" s="50">
        <f t="shared" si="14"/>
        <v>8.7463054288415325</v>
      </c>
      <c r="J57">
        <f t="shared" si="15"/>
        <v>1.190933963106277E-11</v>
      </c>
      <c r="K57">
        <f t="shared" si="16"/>
        <v>2.9282691120280949E-9</v>
      </c>
      <c r="L57">
        <f t="shared" si="17"/>
        <v>2.0665263687713209E-6</v>
      </c>
      <c r="M57">
        <f t="shared" si="18"/>
        <v>2066.5263687713209</v>
      </c>
    </row>
    <row r="58" spans="4:13" x14ac:dyDescent="0.2">
      <c r="D58" s="7">
        <v>13.2</v>
      </c>
      <c r="E58">
        <f t="shared" si="2"/>
        <v>1.32E-2</v>
      </c>
      <c r="F58" s="47">
        <v>8.666550896952474</v>
      </c>
      <c r="I58" s="50">
        <f t="shared" si="14"/>
        <v>8.666550896952474</v>
      </c>
      <c r="J58">
        <f t="shared" si="15"/>
        <v>1.1693135598902037E-11</v>
      </c>
      <c r="K58">
        <f t="shared" si="16"/>
        <v>2.9015671306320828E-9</v>
      </c>
      <c r="L58">
        <f t="shared" si="17"/>
        <v>2.0759748899374109E-6</v>
      </c>
      <c r="M58">
        <f t="shared" si="18"/>
        <v>2075.9748899374108</v>
      </c>
    </row>
    <row r="59" spans="4:13" x14ac:dyDescent="0.2">
      <c r="D59" s="7">
        <v>13.4</v>
      </c>
      <c r="E59">
        <f t="shared" si="2"/>
        <v>1.34E-2</v>
      </c>
      <c r="F59" s="47">
        <v>8.5887066908076903</v>
      </c>
      <c r="I59" s="50">
        <f t="shared" si="14"/>
        <v>8.5887066908076903</v>
      </c>
      <c r="J59">
        <f t="shared" si="15"/>
        <v>1.1484020138159676E-11</v>
      </c>
      <c r="K59">
        <f t="shared" si="16"/>
        <v>2.8755047331128842E-9</v>
      </c>
      <c r="L59">
        <f t="shared" si="17"/>
        <v>2.0853238950461431E-6</v>
      </c>
      <c r="M59">
        <f t="shared" si="18"/>
        <v>2085.3238950461432</v>
      </c>
    </row>
    <row r="60" spans="4:13" x14ac:dyDescent="0.2">
      <c r="D60" s="8">
        <v>13.6</v>
      </c>
      <c r="E60">
        <f t="shared" si="2"/>
        <v>1.3599999999999999E-2</v>
      </c>
      <c r="F60" s="47">
        <v>8.5126995511276302</v>
      </c>
      <c r="I60" s="50">
        <f t="shared" si="14"/>
        <v>8.5126995511276302</v>
      </c>
      <c r="J60">
        <f t="shared" si="15"/>
        <v>1.1281660163991906E-11</v>
      </c>
      <c r="K60">
        <f t="shared" si="16"/>
        <v>2.8500573918849748E-9</v>
      </c>
      <c r="L60">
        <f t="shared" si="17"/>
        <v>2.0945758929147406E-6</v>
      </c>
      <c r="M60">
        <f t="shared" si="18"/>
        <v>2094.5758929147405</v>
      </c>
    </row>
    <row r="61" spans="4:13" x14ac:dyDescent="0.2">
      <c r="D61" s="7">
        <v>13.8</v>
      </c>
      <c r="E61">
        <f t="shared" si="2"/>
        <v>1.3800000000000002E-2</v>
      </c>
      <c r="F61" s="47">
        <v>8.438460052094678</v>
      </c>
      <c r="I61" s="50">
        <f t="shared" si="14"/>
        <v>8.438460052094678</v>
      </c>
      <c r="J61">
        <f t="shared" si="15"/>
        <v>1.108574283656429E-11</v>
      </c>
      <c r="K61">
        <f t="shared" si="16"/>
        <v>2.8252018628320788E-9</v>
      </c>
      <c r="L61">
        <f t="shared" si="17"/>
        <v>2.103733293355328E-6</v>
      </c>
      <c r="M61">
        <f t="shared" si="18"/>
        <v>2103.733293355328</v>
      </c>
    </row>
    <row r="62" spans="4:13" x14ac:dyDescent="0.2">
      <c r="D62" s="7">
        <v>14</v>
      </c>
      <c r="E62">
        <f t="shared" si="2"/>
        <v>1.4E-2</v>
      </c>
      <c r="F62" s="47">
        <v>8.3659223487081373</v>
      </c>
      <c r="I62" s="50">
        <f t="shared" si="14"/>
        <v>8.3659223487081373</v>
      </c>
      <c r="J62">
        <f t="shared" si="15"/>
        <v>1.0895974059315039E-11</v>
      </c>
      <c r="K62">
        <f t="shared" si="16"/>
        <v>2.8009161007194601E-9</v>
      </c>
      <c r="L62">
        <f t="shared" si="17"/>
        <v>2.1127984124525922E-6</v>
      </c>
      <c r="M62">
        <f t="shared" si="18"/>
        <v>2112.7984124525924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6145" r:id="rId3">
          <objectPr defaultSize="0" autoPict="0" r:id="rId4">
            <anchor moveWithCells="1" sizeWithCells="1">
              <from>
                <xdr:col>4</xdr:col>
                <xdr:colOff>419100</xdr:colOff>
                <xdr:row>13</xdr:row>
                <xdr:rowOff>38100</xdr:rowOff>
              </from>
              <to>
                <xdr:col>6</xdr:col>
                <xdr:colOff>215900</xdr:colOff>
                <xdr:row>15</xdr:row>
                <xdr:rowOff>50800</xdr:rowOff>
              </to>
            </anchor>
          </objectPr>
        </oleObject>
      </mc:Choice>
      <mc:Fallback>
        <oleObject progId="Equation.DSMT4" shapeId="6145" r:id="rId3"/>
      </mc:Fallback>
    </mc:AlternateContent>
    <mc:AlternateContent xmlns:mc="http://schemas.openxmlformats.org/markup-compatibility/2006">
      <mc:Choice Requires="x14">
        <oleObject progId="Equation.DSMT4" shapeId="6146" r:id="rId5">
          <objectPr defaultSize="0" autoPict="0" r:id="rId6">
            <anchor moveWithCells="1" sizeWithCells="1">
              <from>
                <xdr:col>7</xdr:col>
                <xdr:colOff>381000</xdr:colOff>
                <xdr:row>13</xdr:row>
                <xdr:rowOff>63500</xdr:rowOff>
              </from>
              <to>
                <xdr:col>9</xdr:col>
                <xdr:colOff>520700</xdr:colOff>
                <xdr:row>15</xdr:row>
                <xdr:rowOff>114300</xdr:rowOff>
              </to>
            </anchor>
          </objectPr>
        </oleObject>
      </mc:Choice>
      <mc:Fallback>
        <oleObject progId="Equation.DSMT4" shapeId="6146" r:id="rId5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V62"/>
  <sheetViews>
    <sheetView topLeftCell="A40" workbookViewId="0">
      <selection activeCell="I48" sqref="I48"/>
    </sheetView>
  </sheetViews>
  <sheetFormatPr baseColWidth="10" defaultColWidth="11.5" defaultRowHeight="15" x14ac:dyDescent="0.2"/>
  <cols>
    <col min="10" max="12" width="12" bestFit="1" customWidth="1"/>
  </cols>
  <sheetData>
    <row r="3" spans="1:22" x14ac:dyDescent="0.2">
      <c r="A3" s="3" t="s">
        <v>40</v>
      </c>
      <c r="B3">
        <v>1000</v>
      </c>
    </row>
    <row r="4" spans="1:22" x14ac:dyDescent="0.2">
      <c r="A4" s="3" t="s">
        <v>41</v>
      </c>
      <c r="B4">
        <f>9.8*POWER(10,-4)</f>
        <v>9.8000000000000019E-4</v>
      </c>
    </row>
    <row r="5" spans="1:22" x14ac:dyDescent="0.2">
      <c r="A5" s="3" t="s">
        <v>21</v>
      </c>
      <c r="B5" s="13">
        <v>1.8E-3</v>
      </c>
      <c r="D5" t="s">
        <v>30</v>
      </c>
    </row>
    <row r="6" spans="1:22" x14ac:dyDescent="0.2">
      <c r="A6" s="3" t="s">
        <v>6</v>
      </c>
      <c r="B6">
        <v>9.2999999999999999E-8</v>
      </c>
      <c r="C6" t="s">
        <v>31</v>
      </c>
      <c r="I6" t="s">
        <v>19</v>
      </c>
    </row>
    <row r="7" spans="1:22" x14ac:dyDescent="0.2">
      <c r="A7" s="3"/>
      <c r="D7" s="1"/>
      <c r="E7" s="1" t="s">
        <v>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</row>
    <row r="8" spans="1:22" x14ac:dyDescent="0.2">
      <c r="A8" s="3"/>
      <c r="D8" s="1"/>
      <c r="E8" s="1" t="s">
        <v>10</v>
      </c>
      <c r="F8" s="1" t="s">
        <v>11</v>
      </c>
      <c r="G8" s="1" t="s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 t="s">
        <v>5</v>
      </c>
      <c r="S8" s="1" t="s">
        <v>18</v>
      </c>
      <c r="T8" s="1"/>
      <c r="U8" s="2"/>
      <c r="V8" s="2"/>
    </row>
    <row r="9" spans="1:22" x14ac:dyDescent="0.2">
      <c r="A9" s="3"/>
      <c r="E9" s="1"/>
      <c r="F9" s="1"/>
      <c r="G9" s="1"/>
      <c r="H9" s="1" t="s">
        <v>13</v>
      </c>
      <c r="I9" s="1" t="s">
        <v>14</v>
      </c>
      <c r="J9" s="1" t="s">
        <v>15</v>
      </c>
      <c r="K9" s="1" t="s">
        <v>16</v>
      </c>
      <c r="L9" s="1" t="s">
        <v>4</v>
      </c>
      <c r="M9" s="1" t="s">
        <v>24</v>
      </c>
      <c r="N9" s="1" t="s">
        <v>17</v>
      </c>
      <c r="O9" s="1" t="s">
        <v>25</v>
      </c>
      <c r="P9" s="1"/>
      <c r="Q9" s="1"/>
      <c r="R9" s="1"/>
      <c r="S9" s="1" t="s">
        <v>13</v>
      </c>
      <c r="T9" s="1" t="s">
        <v>14</v>
      </c>
      <c r="U9" s="1" t="s">
        <v>15</v>
      </c>
      <c r="V9" s="1" t="s">
        <v>20</v>
      </c>
    </row>
    <row r="10" spans="1:22" x14ac:dyDescent="0.2">
      <c r="A10" s="3" t="s">
        <v>1</v>
      </c>
      <c r="B10">
        <v>3.1E-2</v>
      </c>
      <c r="C10" t="s">
        <v>32</v>
      </c>
      <c r="E10">
        <v>1250</v>
      </c>
      <c r="F10">
        <f>E10/60</f>
        <v>20.833333333333332</v>
      </c>
      <c r="G10">
        <f>(B$3*F10*B$10^2)/B$4</f>
        <v>20429.421768707478</v>
      </c>
      <c r="H10">
        <f>B$10*1.23/2</f>
        <v>1.9064999999999999E-2</v>
      </c>
      <c r="I10">
        <f>(0.57+0.35*(B$10/B$11))</f>
        <v>0.83463414634146327</v>
      </c>
      <c r="J10">
        <f>((B$13/B$11)^0.036)*(B$14)^0.116</f>
        <v>1.033592614249617</v>
      </c>
      <c r="K10">
        <f>(G10/(1000+1.43*G10))</f>
        <v>0.67615583245970157</v>
      </c>
      <c r="L10">
        <f>H10*I10*J10*K10</f>
        <v>1.1120623921739667E-2</v>
      </c>
      <c r="M10" s="4">
        <f>L10*1000</f>
        <v>11.120623921739666</v>
      </c>
      <c r="N10">
        <f>(B$4/(2*PI()*B$3*F10))^0.5</f>
        <v>8.652542125319448E-5</v>
      </c>
      <c r="O10" s="4">
        <f>N10*1000</f>
        <v>8.6525421253194484E-2</v>
      </c>
      <c r="R10">
        <f>(0.825*2*PI()*E10*B$4*Q10)/N10</f>
        <v>0</v>
      </c>
      <c r="S10">
        <f>18*R10^2*B$6^2</f>
        <v>0</v>
      </c>
      <c r="T10">
        <f>2*(81*R10^4*B$6^4+4*B$6^2*R10^2*B$5^2)^0.5</f>
        <v>0</v>
      </c>
      <c r="U10">
        <f>(S10+T10)^0.5</f>
        <v>0</v>
      </c>
      <c r="V10" t="e">
        <f>U10/(3*R10)</f>
        <v>#DIV/0!</v>
      </c>
    </row>
    <row r="11" spans="1:22" x14ac:dyDescent="0.2">
      <c r="A11" s="3" t="s">
        <v>2</v>
      </c>
      <c r="B11">
        <v>4.1000000000000002E-2</v>
      </c>
      <c r="C11" t="s">
        <v>33</v>
      </c>
      <c r="M11" s="4"/>
      <c r="O11" s="4"/>
      <c r="R11" t="e">
        <f>(0.825*2*PI()*E11*B$4*Q11)/N11</f>
        <v>#DIV/0!</v>
      </c>
      <c r="S11" t="e">
        <f>18*R11^2*B$6^2</f>
        <v>#DIV/0!</v>
      </c>
      <c r="T11" t="e">
        <f>2*(81*R11^4*B$6^4+4*B$6^2*R11^2*B$5^2)^0.5</f>
        <v>#DIV/0!</v>
      </c>
      <c r="U11" t="e">
        <f t="shared" ref="U11:U13" si="0">(S11+T11)^0.5</f>
        <v>#DIV/0!</v>
      </c>
      <c r="V11" t="e">
        <f t="shared" ref="V11:V13" si="1">U11/(3*R11)</f>
        <v>#DIV/0!</v>
      </c>
    </row>
    <row r="12" spans="1:22" x14ac:dyDescent="0.2">
      <c r="A12" s="3" t="s">
        <v>3</v>
      </c>
      <c r="B12">
        <v>9.0999999999999998E-2</v>
      </c>
      <c r="C12" t="s">
        <v>35</v>
      </c>
      <c r="R12" t="e">
        <f>(0.825*2*PI()*E12*B$4*Q12)/N12</f>
        <v>#DIV/0!</v>
      </c>
      <c r="S12" t="e">
        <f>18*R12^2*B$6^2</f>
        <v>#DIV/0!</v>
      </c>
      <c r="T12" t="e">
        <f>2*(81*R12^4*B$6^4+4*B$6^2*R12^2*B$5^2)^0.5</f>
        <v>#DIV/0!</v>
      </c>
      <c r="U12" t="e">
        <f t="shared" si="0"/>
        <v>#DIV/0!</v>
      </c>
      <c r="V12" t="e">
        <f t="shared" si="1"/>
        <v>#DIV/0!</v>
      </c>
    </row>
    <row r="13" spans="1:22" x14ac:dyDescent="0.2">
      <c r="A13" s="3" t="s">
        <v>7</v>
      </c>
      <c r="B13">
        <v>1.0999999999999999E-2</v>
      </c>
      <c r="C13" t="s">
        <v>34</v>
      </c>
      <c r="R13" t="e">
        <f>(0.825*2*PI()*E13*B$4*Q13)/N13</f>
        <v>#DIV/0!</v>
      </c>
      <c r="S13" t="e">
        <f>18*R13^2*B$6^2</f>
        <v>#DIV/0!</v>
      </c>
      <c r="T13" t="e">
        <f>2*(81*R13^4*B$6^4+4*B$6^2*R13^2*B$5^2)^0.5</f>
        <v>#DIV/0!</v>
      </c>
      <c r="U13" t="e">
        <f t="shared" si="0"/>
        <v>#DIV/0!</v>
      </c>
      <c r="V13" t="e">
        <f t="shared" si="1"/>
        <v>#DIV/0!</v>
      </c>
    </row>
    <row r="14" spans="1:22" x14ac:dyDescent="0.2">
      <c r="A14" s="3" t="s">
        <v>8</v>
      </c>
      <c r="B14">
        <v>2</v>
      </c>
    </row>
    <row r="15" spans="1:22" x14ac:dyDescent="0.2">
      <c r="A15" s="3"/>
    </row>
    <row r="17" spans="1:14" x14ac:dyDescent="0.2">
      <c r="F17" s="5" t="s">
        <v>26</v>
      </c>
      <c r="I17" s="5" t="s">
        <v>29</v>
      </c>
    </row>
    <row r="18" spans="1:14" x14ac:dyDescent="0.2">
      <c r="F18" s="1" t="s">
        <v>5</v>
      </c>
      <c r="G18" s="1"/>
      <c r="H18" s="1"/>
      <c r="I18" s="1" t="s">
        <v>5</v>
      </c>
      <c r="J18" s="1" t="s">
        <v>18</v>
      </c>
      <c r="K18" s="1"/>
      <c r="L18" s="2"/>
      <c r="M18" s="2"/>
    </row>
    <row r="19" spans="1:14" x14ac:dyDescent="0.2">
      <c r="A19" t="s">
        <v>36</v>
      </c>
      <c r="D19" s="6" t="s">
        <v>28</v>
      </c>
      <c r="E19" s="3" t="s">
        <v>27</v>
      </c>
      <c r="F19" s="1"/>
      <c r="G19" s="1"/>
      <c r="H19" s="1"/>
      <c r="I19" s="1"/>
      <c r="J19" s="1" t="s">
        <v>13</v>
      </c>
      <c r="K19" s="1" t="s">
        <v>14</v>
      </c>
      <c r="L19" s="1" t="s">
        <v>20</v>
      </c>
      <c r="M19" s="1" t="s">
        <v>39</v>
      </c>
    </row>
    <row r="20" spans="1:14" x14ac:dyDescent="0.2">
      <c r="D20" s="4"/>
    </row>
    <row r="21" spans="1:14" x14ac:dyDescent="0.2">
      <c r="A21" t="s">
        <v>37</v>
      </c>
      <c r="D21" s="4"/>
    </row>
    <row r="22" spans="1:14" x14ac:dyDescent="0.2">
      <c r="D22" s="7">
        <v>6</v>
      </c>
      <c r="E22" s="8">
        <f t="shared" ref="E22:E37" si="2">D22*0.001</f>
        <v>6.0000000000000001E-3</v>
      </c>
      <c r="F22" s="50">
        <f>0.825*B$4*E22*2*PI()*F$10*(1/N$10)</f>
        <v>7.3388191113070516</v>
      </c>
      <c r="G22" s="50"/>
      <c r="H22" s="50"/>
      <c r="I22" s="50"/>
      <c r="J22">
        <f>18*F22^2*B$6^2</f>
        <v>8.3847625593921388E-12</v>
      </c>
      <c r="K22">
        <f>(81*F22^4*B$6^4+4*B$6^2*F22^2*B$5^2)^0.5</f>
        <v>2.4570402151416111E-9</v>
      </c>
      <c r="L22">
        <f>(J22+K22)^0.5/(3*F22)</f>
        <v>2.2552695582758927E-6</v>
      </c>
      <c r="M22" s="8">
        <f>L22*1000000000</f>
        <v>2255.2695582758929</v>
      </c>
    </row>
    <row r="23" spans="1:14" x14ac:dyDescent="0.2">
      <c r="D23" s="7">
        <v>6.2</v>
      </c>
      <c r="E23" s="8">
        <f t="shared" si="2"/>
        <v>6.2000000000000006E-3</v>
      </c>
      <c r="F23" s="50">
        <f t="shared" ref="F23:F30" si="3">0.825*B$4*E23*2*PI()*F$10*(1/N$10)</f>
        <v>7.5834464150172884</v>
      </c>
      <c r="G23" s="50"/>
      <c r="H23" s="50"/>
      <c r="I23" s="50"/>
      <c r="J23">
        <f>18*F23^2*B$6^2</f>
        <v>8.9530631328620549E-12</v>
      </c>
      <c r="K23">
        <f>(81*F23^4*B$6^4+4*B$6^2*F23^2*B$5^2)^0.5</f>
        <v>2.5389418061459276E-9</v>
      </c>
      <c r="L23">
        <f t="shared" ref="L23" si="4">(J23+K23)^0.5/(3*F23)</f>
        <v>2.2187219251697042E-6</v>
      </c>
      <c r="M23" s="8">
        <f t="shared" ref="M23:M31" si="5">L23*1000000000</f>
        <v>2218.7219251697043</v>
      </c>
    </row>
    <row r="24" spans="1:14" x14ac:dyDescent="0.2">
      <c r="D24" s="8">
        <v>6.4</v>
      </c>
      <c r="E24" s="8">
        <f t="shared" si="2"/>
        <v>6.4000000000000003E-3</v>
      </c>
      <c r="F24" s="50">
        <f>0.825*B$4*E24*2*PI()*F$10*(1/N$10)</f>
        <v>7.8280737187275218</v>
      </c>
      <c r="G24" s="50"/>
      <c r="H24" s="50"/>
      <c r="I24" s="50"/>
      <c r="J24">
        <f>18*F24^2*B$6^2</f>
        <v>9.5399965120195011E-12</v>
      </c>
      <c r="K24">
        <f>(81*F24^4*B$6^4+4*B$6^2*F24^2*B$5^2)^0.5</f>
        <v>2.6208434217895206E-9</v>
      </c>
      <c r="L24">
        <f>(J24+K24)^0.5/(3*F24)</f>
        <v>2.1839031136471134E-6</v>
      </c>
      <c r="M24" s="8">
        <f>L24*1000000000</f>
        <v>2183.9031136471135</v>
      </c>
    </row>
    <row r="25" spans="1:14" x14ac:dyDescent="0.2">
      <c r="D25" s="7">
        <v>6.6</v>
      </c>
      <c r="E25" s="8">
        <f t="shared" si="2"/>
        <v>6.6E-3</v>
      </c>
      <c r="F25" s="50">
        <f t="shared" si="3"/>
        <v>8.0727010224377569</v>
      </c>
      <c r="G25" s="50"/>
      <c r="H25" s="50"/>
      <c r="I25" s="50"/>
      <c r="J25">
        <f t="shared" ref="J25:J29" si="6">18*F25^2*B$6^2</f>
        <v>1.0145562696864489E-11</v>
      </c>
      <c r="K25">
        <f t="shared" ref="K25:K29" si="7">(81*F25^4*B$6^4+4*B$6^2*F25^2*B$5^2)^0.5</f>
        <v>2.7027450628672027E-9</v>
      </c>
      <c r="L25">
        <f t="shared" ref="L25:L30" si="8">(J25+K25)^0.5/(3*F25)</f>
        <v>2.1506811035384196E-6</v>
      </c>
      <c r="M25" s="8">
        <f t="shared" ref="M25:M29" si="9">L25*1000000000</f>
        <v>2150.6811035384198</v>
      </c>
    </row>
    <row r="26" spans="1:14" x14ac:dyDescent="0.2">
      <c r="D26" s="7">
        <v>6.8</v>
      </c>
      <c r="E26" s="8">
        <f t="shared" si="2"/>
        <v>6.7999999999999996E-3</v>
      </c>
      <c r="F26" s="50">
        <f t="shared" si="3"/>
        <v>8.3173283261479902</v>
      </c>
      <c r="G26" s="50"/>
      <c r="H26" s="50"/>
      <c r="I26" s="50"/>
      <c r="J26">
        <f t="shared" si="6"/>
        <v>1.076976168739701E-11</v>
      </c>
      <c r="K26">
        <f t="shared" si="7"/>
        <v>2.7846467301737844E-9</v>
      </c>
      <c r="L26">
        <f t="shared" si="8"/>
        <v>2.1189375693835509E-6</v>
      </c>
      <c r="M26" s="8">
        <f t="shared" si="9"/>
        <v>2118.9375693835509</v>
      </c>
    </row>
    <row r="27" spans="1:14" x14ac:dyDescent="0.2">
      <c r="D27" s="8">
        <v>7</v>
      </c>
      <c r="E27" s="8">
        <f t="shared" si="2"/>
        <v>7.0000000000000001E-3</v>
      </c>
      <c r="F27" s="50">
        <f t="shared" si="3"/>
        <v>8.5619556298582253</v>
      </c>
      <c r="G27" s="50"/>
      <c r="H27" s="50"/>
      <c r="I27" s="50"/>
      <c r="J27">
        <f t="shared" si="6"/>
        <v>1.1412593483617074E-11</v>
      </c>
      <c r="K27">
        <f t="shared" si="7"/>
        <v>2.8665484245040756E-9</v>
      </c>
      <c r="L27">
        <f t="shared" si="8"/>
        <v>2.0885661065587731E-6</v>
      </c>
      <c r="M27" s="8">
        <f t="shared" si="9"/>
        <v>2088.5661065587733</v>
      </c>
      <c r="N27" s="8"/>
    </row>
    <row r="28" spans="1:14" x14ac:dyDescent="0.2">
      <c r="D28" s="7">
        <v>7.2</v>
      </c>
      <c r="E28" s="8">
        <f t="shared" si="2"/>
        <v>7.2000000000000007E-3</v>
      </c>
      <c r="F28" s="50">
        <f t="shared" si="3"/>
        <v>8.8065829335684622</v>
      </c>
      <c r="G28" s="50"/>
      <c r="H28" s="50"/>
      <c r="I28" s="50"/>
      <c r="J28">
        <f t="shared" si="6"/>
        <v>1.207405808552468E-11</v>
      </c>
      <c r="K28">
        <f t="shared" si="7"/>
        <v>2.9484501466528874E-9</v>
      </c>
      <c r="L28">
        <f t="shared" si="8"/>
        <v>2.0594707303793211E-6</v>
      </c>
      <c r="M28" s="8">
        <f t="shared" si="9"/>
        <v>2059.4707303793211</v>
      </c>
      <c r="N28" s="8"/>
    </row>
    <row r="29" spans="1:14" x14ac:dyDescent="0.2">
      <c r="D29" s="7">
        <v>7.4</v>
      </c>
      <c r="E29" s="9">
        <f t="shared" si="2"/>
        <v>7.4000000000000003E-3</v>
      </c>
      <c r="F29" s="51">
        <f t="shared" si="3"/>
        <v>9.0512102372786973</v>
      </c>
      <c r="G29" s="51"/>
      <c r="H29" s="51"/>
      <c r="I29" s="51"/>
      <c r="J29" s="9">
        <f t="shared" si="6"/>
        <v>1.2754155493119821E-11</v>
      </c>
      <c r="K29" s="9">
        <f t="shared" si="7"/>
        <v>3.0303518974150268E-9</v>
      </c>
      <c r="L29" s="9">
        <f t="shared" si="8"/>
        <v>2.0315645998830244E-6</v>
      </c>
      <c r="M29" s="9">
        <f t="shared" si="9"/>
        <v>2031.5645998830244</v>
      </c>
      <c r="N29" s="9"/>
    </row>
    <row r="30" spans="1:14" x14ac:dyDescent="0.2">
      <c r="D30" s="8">
        <v>7.6</v>
      </c>
      <c r="E30" s="8">
        <f t="shared" si="2"/>
        <v>7.6E-3</v>
      </c>
      <c r="F30" s="50">
        <f t="shared" si="3"/>
        <v>9.2958375409889307</v>
      </c>
      <c r="G30" s="50"/>
      <c r="H30" s="50"/>
      <c r="I30" s="50"/>
      <c r="J30" s="8">
        <f>18*F30^2*B$6^2</f>
        <v>1.3452885706402494E-11</v>
      </c>
      <c r="K30" s="8">
        <f>(81*F30^4*B$6^4+4*B$6^2*F30^2*B$5^2)^0.5</f>
        <v>3.1122536775853048E-9</v>
      </c>
      <c r="L30" s="8">
        <f t="shared" si="8"/>
        <v>2.0047689275978506E-6</v>
      </c>
      <c r="M30" s="8">
        <f>L30*1000000000</f>
        <v>2004.7689275978505</v>
      </c>
    </row>
    <row r="31" spans="1:14" x14ac:dyDescent="0.2">
      <c r="D31" s="7">
        <v>7.8</v>
      </c>
      <c r="E31" s="8">
        <f t="shared" si="2"/>
        <v>7.7999999999999996E-3</v>
      </c>
      <c r="F31" s="50">
        <f>0.825*B$4*E31*2*PI()*F$10*(1/N$10)</f>
        <v>9.5404648446991658</v>
      </c>
      <c r="G31" s="50"/>
      <c r="H31" s="50"/>
      <c r="I31" s="50"/>
      <c r="J31" s="8">
        <f>18*F31^2*B$6^2</f>
        <v>1.417024872537271E-11</v>
      </c>
      <c r="K31" s="8">
        <f>(81*F31^4*B$6^4+4*B$6^2*F31^2*B$5^2)^0.5</f>
        <v>3.1941554879585286E-9</v>
      </c>
      <c r="L31" s="8">
        <f>(J31+K31)^0.5/(3*F31)</f>
        <v>1.9790120440881601E-6</v>
      </c>
      <c r="M31" s="8">
        <f t="shared" si="5"/>
        <v>1979.0120440881601</v>
      </c>
    </row>
    <row r="32" spans="1:14" x14ac:dyDescent="0.2">
      <c r="D32" s="7">
        <v>8</v>
      </c>
      <c r="E32" s="7">
        <f t="shared" si="2"/>
        <v>8.0000000000000002E-3</v>
      </c>
      <c r="F32" s="50">
        <f t="shared" ref="F32:F46" si="10">0.825*B$4*E32*2*PI()*F$10*(1/N$10)</f>
        <v>9.7850921484094027</v>
      </c>
      <c r="G32" s="54"/>
      <c r="H32" s="54"/>
      <c r="I32" s="54"/>
      <c r="J32" s="8">
        <f t="shared" ref="J32:J46" si="11">18*F32^2*B$6^2</f>
        <v>1.4906244550030472E-11</v>
      </c>
      <c r="K32" s="8">
        <f t="shared" ref="K32:K46" si="12">(81*F32^4*B$6^4+4*B$6^2*F32^2*B$5^2)^0.5</f>
        <v>3.2760573293295075E-9</v>
      </c>
      <c r="L32" s="8">
        <f t="shared" ref="L32:L46" si="13">(J32+K32)^0.5/(3*F32)</f>
        <v>1.9542285919638065E-6</v>
      </c>
      <c r="M32" s="8">
        <f t="shared" ref="M32:M46" si="14">L32*1000000000</f>
        <v>1954.2285919638066</v>
      </c>
    </row>
    <row r="33" spans="3:13" x14ac:dyDescent="0.2">
      <c r="D33" s="8">
        <v>8.1999999999999993</v>
      </c>
      <c r="E33" s="8">
        <f t="shared" si="2"/>
        <v>8.199999999999999E-3</v>
      </c>
      <c r="F33" s="50">
        <f t="shared" si="10"/>
        <v>10.029719452119636</v>
      </c>
      <c r="G33" s="50"/>
      <c r="H33" s="50"/>
      <c r="I33" s="50"/>
      <c r="J33" s="8">
        <f t="shared" si="11"/>
        <v>1.5660873180375755E-11</v>
      </c>
      <c r="K33" s="8">
        <f t="shared" si="12"/>
        <v>3.3579592024930467E-9</v>
      </c>
      <c r="L33" s="8">
        <f t="shared" si="13"/>
        <v>1.9303588286967616E-6</v>
      </c>
      <c r="M33" s="8">
        <f t="shared" si="14"/>
        <v>1930.3588286967615</v>
      </c>
    </row>
    <row r="34" spans="3:13" x14ac:dyDescent="0.2">
      <c r="D34" s="7">
        <v>8.4</v>
      </c>
      <c r="E34">
        <f t="shared" si="2"/>
        <v>8.4000000000000012E-3</v>
      </c>
      <c r="F34" s="50">
        <f t="shared" si="10"/>
        <v>10.274346755829873</v>
      </c>
      <c r="G34" s="25"/>
      <c r="H34" s="25"/>
      <c r="I34" s="50"/>
      <c r="J34" s="8">
        <f t="shared" si="11"/>
        <v>1.6434134616408595E-11</v>
      </c>
      <c r="K34" s="8">
        <f t="shared" si="12"/>
        <v>3.4398611082439559E-9</v>
      </c>
      <c r="L34" s="8">
        <f t="shared" si="13"/>
        <v>1.9073480213013991E-6</v>
      </c>
      <c r="M34" s="8">
        <f t="shared" si="14"/>
        <v>1907.3480213013991</v>
      </c>
    </row>
    <row r="35" spans="3:13" x14ac:dyDescent="0.2">
      <c r="D35" s="7">
        <v>8.6</v>
      </c>
      <c r="E35">
        <f t="shared" si="2"/>
        <v>8.6E-3</v>
      </c>
      <c r="F35" s="50">
        <f t="shared" si="10"/>
        <v>10.518974059540106</v>
      </c>
      <c r="G35" s="25"/>
      <c r="H35" s="25"/>
      <c r="I35" s="50"/>
      <c r="J35" s="8">
        <f t="shared" si="11"/>
        <v>1.7226028858128958E-11</v>
      </c>
      <c r="K35" s="8">
        <f t="shared" si="12"/>
        <v>3.5217630473770382E-9</v>
      </c>
      <c r="L35" s="8">
        <f t="shared" si="13"/>
        <v>1.885145918907868E-6</v>
      </c>
      <c r="M35" s="8">
        <f t="shared" si="14"/>
        <v>1885.145918907868</v>
      </c>
    </row>
    <row r="36" spans="3:13" x14ac:dyDescent="0.2">
      <c r="D36" s="8">
        <v>8.8000000000000007</v>
      </c>
      <c r="E36">
        <f t="shared" si="2"/>
        <v>8.8000000000000005E-3</v>
      </c>
      <c r="F36" s="50">
        <f t="shared" si="10"/>
        <v>10.763601363250341</v>
      </c>
      <c r="G36" s="25"/>
      <c r="H36" s="25"/>
      <c r="I36" s="50"/>
      <c r="J36" s="8">
        <f t="shared" si="11"/>
        <v>1.8036555905536862E-11</v>
      </c>
      <c r="K36" s="8">
        <f t="shared" si="12"/>
        <v>3.6036650206871025E-9</v>
      </c>
      <c r="L36" s="8">
        <f t="shared" si="13"/>
        <v>1.8637062916534742E-6</v>
      </c>
      <c r="M36" s="8">
        <f t="shared" si="14"/>
        <v>1863.7062916534742</v>
      </c>
    </row>
    <row r="37" spans="3:13" x14ac:dyDescent="0.2">
      <c r="D37" s="7">
        <v>9</v>
      </c>
      <c r="E37">
        <f t="shared" si="2"/>
        <v>9.0000000000000011E-3</v>
      </c>
      <c r="F37" s="50">
        <f t="shared" si="10"/>
        <v>11.008228666960578</v>
      </c>
      <c r="G37" s="25"/>
      <c r="H37" s="25"/>
      <c r="I37" s="50"/>
      <c r="J37" s="8">
        <f t="shared" si="11"/>
        <v>1.8865715758632314E-11</v>
      </c>
      <c r="K37" s="8">
        <f t="shared" si="12"/>
        <v>3.6855670289689528E-9</v>
      </c>
      <c r="L37" s="8">
        <f t="shared" si="13"/>
        <v>1.8429865262573703E-6</v>
      </c>
      <c r="M37" s="8">
        <f t="shared" si="14"/>
        <v>1842.9865262573703</v>
      </c>
    </row>
    <row r="38" spans="3:13" x14ac:dyDescent="0.2">
      <c r="D38" s="7">
        <v>9.1999999999999993</v>
      </c>
      <c r="E38">
        <f>D38*0.001</f>
        <v>9.1999999999999998E-3</v>
      </c>
      <c r="F38" s="50">
        <f t="shared" si="10"/>
        <v>11.252855970670812</v>
      </c>
      <c r="G38" s="25"/>
      <c r="H38" s="25"/>
      <c r="I38" s="50"/>
      <c r="J38" s="8">
        <f t="shared" si="11"/>
        <v>1.9713508417415288E-11</v>
      </c>
      <c r="K38" s="8">
        <f t="shared" si="12"/>
        <v>3.7674690730173938E-9</v>
      </c>
      <c r="L38" s="8">
        <f t="shared" si="13"/>
        <v>1.8229472702236448E-6</v>
      </c>
      <c r="M38" s="8">
        <f t="shared" si="14"/>
        <v>1822.9472702236449</v>
      </c>
    </row>
    <row r="39" spans="3:13" x14ac:dyDescent="0.2">
      <c r="D39" s="8">
        <v>9.4</v>
      </c>
      <c r="E39">
        <f t="shared" ref="E39:E62" si="15">D39*0.001</f>
        <v>9.4000000000000004E-3</v>
      </c>
      <c r="F39" s="50">
        <f t="shared" si="10"/>
        <v>11.497483274381047</v>
      </c>
      <c r="I39" s="50"/>
      <c r="J39" s="8">
        <f t="shared" si="11"/>
        <v>2.0579933881885813E-11</v>
      </c>
      <c r="K39" s="8">
        <f t="shared" si="12"/>
        <v>3.8493711536272295E-9</v>
      </c>
      <c r="L39" s="8">
        <f t="shared" si="13"/>
        <v>1.8035521179103682E-6</v>
      </c>
      <c r="M39" s="8">
        <f t="shared" si="14"/>
        <v>1803.5521179103682</v>
      </c>
    </row>
    <row r="40" spans="3:13" x14ac:dyDescent="0.2">
      <c r="D40" s="7">
        <v>9.6</v>
      </c>
      <c r="E40">
        <f t="shared" si="15"/>
        <v>9.5999999999999992E-3</v>
      </c>
      <c r="F40" s="50">
        <f t="shared" si="10"/>
        <v>11.742110578091282</v>
      </c>
      <c r="I40" s="50"/>
      <c r="J40" s="8">
        <f t="shared" si="11"/>
        <v>2.146499215204387E-11</v>
      </c>
      <c r="K40" s="8">
        <f t="shared" si="12"/>
        <v>3.9312732715932645E-9</v>
      </c>
      <c r="L40" s="8">
        <f t="shared" si="13"/>
        <v>1.78476733276456E-6</v>
      </c>
      <c r="M40" s="8">
        <f t="shared" si="14"/>
        <v>1784.76733276456</v>
      </c>
    </row>
    <row r="41" spans="3:13" x14ac:dyDescent="0.2">
      <c r="D41" s="7">
        <v>9.8000000000000007</v>
      </c>
      <c r="E41">
        <f t="shared" si="15"/>
        <v>9.8000000000000014E-3</v>
      </c>
      <c r="F41" s="50">
        <f t="shared" si="10"/>
        <v>11.986737881801519</v>
      </c>
      <c r="I41" s="50"/>
      <c r="J41" s="8">
        <f t="shared" si="11"/>
        <v>2.2368683227889475E-11</v>
      </c>
      <c r="K41" s="8">
        <f t="shared" si="12"/>
        <v>4.0131754277103013E-9</v>
      </c>
      <c r="L41" s="8">
        <f t="shared" si="13"/>
        <v>1.7665616009000911E-6</v>
      </c>
      <c r="M41" s="8">
        <f t="shared" si="14"/>
        <v>1766.561600900091</v>
      </c>
    </row>
    <row r="42" spans="3:13" x14ac:dyDescent="0.2">
      <c r="D42" s="8">
        <v>10</v>
      </c>
      <c r="E42">
        <f t="shared" si="15"/>
        <v>0.01</v>
      </c>
      <c r="F42" s="50">
        <f t="shared" si="10"/>
        <v>12.231365185511754</v>
      </c>
      <c r="I42" s="50"/>
      <c r="J42" s="8">
        <f t="shared" si="11"/>
        <v>2.3291007109422612E-11</v>
      </c>
      <c r="K42" s="8">
        <f t="shared" si="12"/>
        <v>4.0950776227731412E-9</v>
      </c>
      <c r="L42" s="8">
        <f t="shared" si="13"/>
        <v>1.7489058119227824E-6</v>
      </c>
      <c r="M42" s="8">
        <f t="shared" si="14"/>
        <v>1748.9058119227823</v>
      </c>
    </row>
    <row r="43" spans="3:13" x14ac:dyDescent="0.2">
      <c r="D43" s="7">
        <v>10.199999999999999</v>
      </c>
      <c r="E43">
        <f t="shared" si="15"/>
        <v>1.0199999999999999E-2</v>
      </c>
      <c r="F43" s="50">
        <f t="shared" si="10"/>
        <v>12.475992489221985</v>
      </c>
      <c r="I43" s="50"/>
      <c r="J43" s="8">
        <f t="shared" si="11"/>
        <v>2.4231963796643271E-11</v>
      </c>
      <c r="K43" s="8">
        <f t="shared" si="12"/>
        <v>4.1769798575765858E-9</v>
      </c>
      <c r="L43" s="8">
        <f t="shared" si="13"/>
        <v>1.7317728635123277E-6</v>
      </c>
      <c r="M43" s="8">
        <f t="shared" si="14"/>
        <v>1731.7728635123276</v>
      </c>
    </row>
    <row r="44" spans="3:13" x14ac:dyDescent="0.2">
      <c r="D44" s="7">
        <v>10.4</v>
      </c>
      <c r="E44">
        <f t="shared" si="15"/>
        <v>1.0400000000000001E-2</v>
      </c>
      <c r="F44" s="50">
        <f t="shared" si="10"/>
        <v>12.720619792932224</v>
      </c>
      <c r="I44" s="50"/>
      <c r="J44" s="8">
        <f t="shared" si="11"/>
        <v>2.5191553289551495E-11</v>
      </c>
      <c r="K44" s="8">
        <f t="shared" si="12"/>
        <v>4.2588821329154397E-9</v>
      </c>
      <c r="L44" s="8">
        <f t="shared" si="13"/>
        <v>1.7151374867766135E-6</v>
      </c>
      <c r="M44" s="8">
        <f t="shared" si="14"/>
        <v>1715.1374867766135</v>
      </c>
    </row>
    <row r="45" spans="3:13" x14ac:dyDescent="0.2">
      <c r="D45" s="8">
        <v>10.6</v>
      </c>
      <c r="E45">
        <f t="shared" si="15"/>
        <v>1.06E-2</v>
      </c>
      <c r="F45" s="50">
        <f t="shared" si="10"/>
        <v>12.965247096642459</v>
      </c>
      <c r="I45" s="50"/>
      <c r="J45" s="8">
        <f t="shared" si="11"/>
        <v>2.6169775588147246E-11</v>
      </c>
      <c r="K45" s="8">
        <f t="shared" si="12"/>
        <v>4.3407844495844986E-9</v>
      </c>
      <c r="L45" s="8">
        <f t="shared" si="13"/>
        <v>1.6989760898184063E-6</v>
      </c>
      <c r="M45" s="8">
        <f t="shared" si="14"/>
        <v>1698.9760898184063</v>
      </c>
    </row>
    <row r="46" spans="3:13" x14ac:dyDescent="0.2">
      <c r="C46" s="3" t="s">
        <v>12</v>
      </c>
      <c r="D46" s="7">
        <v>10.8</v>
      </c>
      <c r="E46">
        <f t="shared" si="15"/>
        <v>1.0800000000000001E-2</v>
      </c>
      <c r="F46" s="50">
        <f t="shared" si="10"/>
        <v>13.209874400352694</v>
      </c>
      <c r="I46" s="50"/>
      <c r="J46" s="8">
        <f t="shared" si="11"/>
        <v>2.7166630692430537E-11</v>
      </c>
      <c r="K46" s="8">
        <f t="shared" si="12"/>
        <v>4.4226868083785649E-9</v>
      </c>
      <c r="L46" s="8">
        <f t="shared" si="13"/>
        <v>1.6832666173116416E-6</v>
      </c>
      <c r="M46" s="8">
        <f t="shared" si="14"/>
        <v>1683.2666173116415</v>
      </c>
    </row>
    <row r="47" spans="3:13" x14ac:dyDescent="0.2">
      <c r="C47">
        <v>11.12</v>
      </c>
      <c r="D47" s="7">
        <v>11</v>
      </c>
      <c r="E47">
        <f t="shared" si="15"/>
        <v>1.0999999999999999E-2</v>
      </c>
      <c r="F47" s="25">
        <v>13.691340398308267</v>
      </c>
      <c r="I47" s="50">
        <f t="shared" ref="I47:I62" si="16">0.825*B$4*L$10*(2*PI()*F$10)*((L$10/E47)^0.6)*(1/N$10)</f>
        <v>13.691340398308267</v>
      </c>
      <c r="J47">
        <f t="shared" ref="J47:J62" si="17">18*I47^2*B$6^2</f>
        <v>2.9183027105761335E-11</v>
      </c>
      <c r="K47">
        <f t="shared" ref="K47:K62" si="18">(81*I47^4*B$6^4+4*B$6^2*I47^2*B$5^2)^0.5</f>
        <v>4.5838839894150819E-9</v>
      </c>
      <c r="L47">
        <f t="shared" ref="L47:L62" si="19">(J47+K47)^0.5/(3*I47)</f>
        <v>1.6535893215503665E-6</v>
      </c>
      <c r="M47">
        <f t="shared" ref="M47:M62" si="20">L47*1000000000</f>
        <v>1653.5893215503665</v>
      </c>
    </row>
    <row r="48" spans="3:13" x14ac:dyDescent="0.2">
      <c r="D48" s="8">
        <v>11.2</v>
      </c>
      <c r="E48">
        <f t="shared" si="15"/>
        <v>1.12E-2</v>
      </c>
      <c r="F48" s="25">
        <v>13.544119148923951</v>
      </c>
      <c r="I48" s="50">
        <f t="shared" si="16"/>
        <v>13.544119148923951</v>
      </c>
      <c r="J48">
        <f t="shared" si="17"/>
        <v>2.8558798583159317E-11</v>
      </c>
      <c r="K48">
        <f t="shared" si="18"/>
        <v>4.5345935739731773E-9</v>
      </c>
      <c r="L48">
        <f t="shared" si="19"/>
        <v>1.6624954489714074E-6</v>
      </c>
      <c r="M48">
        <f t="shared" si="20"/>
        <v>1662.4954489714073</v>
      </c>
    </row>
    <row r="49" spans="4:13" x14ac:dyDescent="0.2">
      <c r="D49" s="7">
        <v>11.4</v>
      </c>
      <c r="E49">
        <f t="shared" si="15"/>
        <v>1.14E-2</v>
      </c>
      <c r="F49" s="25">
        <v>13.401045089996487</v>
      </c>
      <c r="I49" s="50">
        <f t="shared" si="16"/>
        <v>13.401045089996487</v>
      </c>
      <c r="J49">
        <f t="shared" si="17"/>
        <v>2.7958620495620242E-11</v>
      </c>
      <c r="K49">
        <f t="shared" si="18"/>
        <v>4.4866916740468783E-9</v>
      </c>
      <c r="L49">
        <f t="shared" si="19"/>
        <v>1.6712912311575977E-6</v>
      </c>
      <c r="M49">
        <f t="shared" si="20"/>
        <v>1671.2912311575976</v>
      </c>
    </row>
    <row r="50" spans="4:13" x14ac:dyDescent="0.2">
      <c r="D50" s="7">
        <v>11.6</v>
      </c>
      <c r="E50">
        <f t="shared" si="15"/>
        <v>1.1599999999999999E-2</v>
      </c>
      <c r="F50" s="25">
        <v>13.261931662849262</v>
      </c>
      <c r="I50" s="50">
        <f t="shared" si="16"/>
        <v>13.261931662849262</v>
      </c>
      <c r="J50">
        <f t="shared" si="17"/>
        <v>2.738116823469831E-11</v>
      </c>
      <c r="K50">
        <f t="shared" si="18"/>
        <v>4.440115827439218E-9</v>
      </c>
      <c r="L50">
        <f t="shared" si="19"/>
        <v>1.6799799327074216E-6</v>
      </c>
      <c r="M50">
        <f t="shared" si="20"/>
        <v>1679.9799327074215</v>
      </c>
    </row>
    <row r="51" spans="4:13" x14ac:dyDescent="0.2">
      <c r="D51" s="8">
        <v>11.8</v>
      </c>
      <c r="E51">
        <f t="shared" si="15"/>
        <v>1.1800000000000001E-2</v>
      </c>
      <c r="F51" s="25">
        <v>13.126603731288228</v>
      </c>
      <c r="I51" s="50">
        <f t="shared" si="16"/>
        <v>13.126603731288228</v>
      </c>
      <c r="J51">
        <f t="shared" si="17"/>
        <v>2.6825211324135312E-11</v>
      </c>
      <c r="K51">
        <f t="shared" si="18"/>
        <v>4.3948073963904349E-9</v>
      </c>
      <c r="L51">
        <f t="shared" si="19"/>
        <v>1.6885646673966311E-6</v>
      </c>
      <c r="M51">
        <f t="shared" si="20"/>
        <v>1688.5646673966312</v>
      </c>
    </row>
    <row r="52" spans="4:13" x14ac:dyDescent="0.2">
      <c r="D52" s="7">
        <v>12</v>
      </c>
      <c r="E52">
        <f t="shared" si="15"/>
        <v>1.2E-2</v>
      </c>
      <c r="F52" s="25">
        <v>12.994896702901668</v>
      </c>
      <c r="I52" s="50">
        <f t="shared" si="16"/>
        <v>12.994896702901668</v>
      </c>
      <c r="J52">
        <f t="shared" si="17"/>
        <v>2.6289605275555739E-11</v>
      </c>
      <c r="K52">
        <f t="shared" si="18"/>
        <v>4.3507112733708866E-9</v>
      </c>
      <c r="L52">
        <f t="shared" si="19"/>
        <v>1.6970484075681897E-6</v>
      </c>
      <c r="M52">
        <f t="shared" si="20"/>
        <v>1697.0484075681898</v>
      </c>
    </row>
    <row r="53" spans="4:13" x14ac:dyDescent="0.2">
      <c r="D53" s="7">
        <v>12.2</v>
      </c>
      <c r="E53">
        <f t="shared" si="15"/>
        <v>1.2199999999999999E-2</v>
      </c>
      <c r="F53" s="25">
        <v>12.866655731297936</v>
      </c>
      <c r="I53" s="50">
        <f t="shared" si="16"/>
        <v>12.866655731297936</v>
      </c>
      <c r="J53">
        <f t="shared" si="17"/>
        <v>2.5773284270560692E-11</v>
      </c>
      <c r="K53">
        <f t="shared" si="18"/>
        <v>4.3077756139740179E-9</v>
      </c>
      <c r="L53">
        <f t="shared" si="19"/>
        <v>1.7054339927917946E-6</v>
      </c>
      <c r="M53">
        <f t="shared" si="20"/>
        <v>1705.4339927917947</v>
      </c>
    </row>
    <row r="54" spans="4:13" x14ac:dyDescent="0.2">
      <c r="D54" s="8">
        <v>12.4</v>
      </c>
      <c r="E54">
        <f t="shared" si="15"/>
        <v>1.2400000000000001E-2</v>
      </c>
      <c r="F54" s="25">
        <v>12.741734990636671</v>
      </c>
      <c r="I54" s="50">
        <f t="shared" si="16"/>
        <v>12.741734990636671</v>
      </c>
      <c r="J54">
        <f t="shared" si="17"/>
        <v>2.5275254573410143E-11</v>
      </c>
      <c r="K54">
        <f t="shared" si="18"/>
        <v>4.2659515940149556E-9</v>
      </c>
      <c r="L54">
        <f t="shared" si="19"/>
        <v>1.7137241378607705E-6</v>
      </c>
      <c r="M54">
        <f t="shared" si="20"/>
        <v>1713.7241378607705</v>
      </c>
    </row>
    <row r="55" spans="4:13" x14ac:dyDescent="0.2">
      <c r="D55" s="7">
        <v>12.6</v>
      </c>
      <c r="E55">
        <f t="shared" si="15"/>
        <v>1.26E-2</v>
      </c>
      <c r="F55" s="25">
        <v>12.619997014855331</v>
      </c>
      <c r="I55" s="50">
        <f t="shared" si="16"/>
        <v>12.619997014855331</v>
      </c>
      <c r="J55">
        <f t="shared" si="17"/>
        <v>2.4794588590933084E-11</v>
      </c>
      <c r="K55">
        <f t="shared" si="18"/>
        <v>4.2251931882906448E-9</v>
      </c>
      <c r="L55">
        <f t="shared" si="19"/>
        <v>1.7219214401868479E-6</v>
      </c>
      <c r="M55">
        <f t="shared" si="20"/>
        <v>1721.9214401868478</v>
      </c>
    </row>
    <row r="56" spans="4:13" x14ac:dyDescent="0.2">
      <c r="D56" s="7">
        <v>12.8</v>
      </c>
      <c r="E56">
        <f t="shared" si="15"/>
        <v>1.2800000000000001E-2</v>
      </c>
      <c r="F56" s="25">
        <v>12.50131209489788</v>
      </c>
      <c r="I56" s="50">
        <f t="shared" si="16"/>
        <v>12.50131209489788</v>
      </c>
      <c r="J56">
        <f t="shared" si="17"/>
        <v>2.4330419506968339E-11</v>
      </c>
      <c r="K56">
        <f t="shared" si="18"/>
        <v>4.1854569687604662E-9</v>
      </c>
      <c r="L56">
        <f t="shared" si="19"/>
        <v>1.7300283866469477E-6</v>
      </c>
      <c r="M56">
        <f t="shared" si="20"/>
        <v>1730.0283866469476</v>
      </c>
    </row>
    <row r="57" spans="4:13" x14ac:dyDescent="0.2">
      <c r="D57" s="8">
        <v>13</v>
      </c>
      <c r="E57">
        <f t="shared" si="15"/>
        <v>1.3000000000000001E-2</v>
      </c>
      <c r="F57" s="25">
        <v>12.385557728037702</v>
      </c>
      <c r="I57" s="50">
        <f t="shared" si="16"/>
        <v>12.385557728037702</v>
      </c>
      <c r="J57">
        <f t="shared" si="17"/>
        <v>2.3881936427795904E-11</v>
      </c>
      <c r="K57">
        <f t="shared" si="18"/>
        <v>4.1467019201692002E-9</v>
      </c>
      <c r="L57">
        <f t="shared" si="19"/>
        <v>1.7380473599304618E-6</v>
      </c>
      <c r="M57">
        <f t="shared" si="20"/>
        <v>1738.0473599304617</v>
      </c>
    </row>
    <row r="58" spans="4:13" x14ac:dyDescent="0.2">
      <c r="D58" s="7">
        <v>13.2</v>
      </c>
      <c r="E58">
        <f t="shared" si="15"/>
        <v>1.32E-2</v>
      </c>
      <c r="F58" s="25">
        <v>12.272618114069131</v>
      </c>
      <c r="I58" s="50">
        <f t="shared" si="16"/>
        <v>12.272618114069131</v>
      </c>
      <c r="J58">
        <f t="shared" si="17"/>
        <v>2.3448379982900463E-11</v>
      </c>
      <c r="K58">
        <f t="shared" si="18"/>
        <v>4.1088892713626747E-9</v>
      </c>
      <c r="L58">
        <f t="shared" si="19"/>
        <v>1.7459806444305587E-6</v>
      </c>
      <c r="M58">
        <f t="shared" si="20"/>
        <v>1745.9806444305586</v>
      </c>
    </row>
    <row r="59" spans="4:13" x14ac:dyDescent="0.2">
      <c r="D59" s="7">
        <v>13.4</v>
      </c>
      <c r="E59">
        <f t="shared" si="15"/>
        <v>1.34E-2</v>
      </c>
      <c r="F59" s="25">
        <v>12.162383693736617</v>
      </c>
      <c r="I59" s="50">
        <f t="shared" si="16"/>
        <v>12.162383693736617</v>
      </c>
      <c r="J59">
        <f t="shared" si="17"/>
        <v>2.3029038332210427E-11</v>
      </c>
      <c r="K59">
        <f t="shared" si="18"/>
        <v>4.0719823407454919E-9</v>
      </c>
      <c r="L59">
        <f t="shared" si="19"/>
        <v>1.7538304317186348E-6</v>
      </c>
      <c r="M59">
        <f t="shared" si="20"/>
        <v>1753.8304317186348</v>
      </c>
    </row>
    <row r="60" spans="4:13" x14ac:dyDescent="0.2">
      <c r="D60" s="8">
        <v>13.6</v>
      </c>
      <c r="E60">
        <f t="shared" si="15"/>
        <v>1.3599999999999999E-2</v>
      </c>
      <c r="F60" s="25">
        <v>12.054750725289603</v>
      </c>
      <c r="I60" s="50">
        <f t="shared" si="16"/>
        <v>12.054750725289603</v>
      </c>
      <c r="J60">
        <f t="shared" si="17"/>
        <v>2.2623243536838214E-11</v>
      </c>
      <c r="K60">
        <f t="shared" si="18"/>
        <v>4.0359463945040879E-9</v>
      </c>
      <c r="L60">
        <f t="shared" si="19"/>
        <v>1.7615988256371704E-6</v>
      </c>
      <c r="M60">
        <f t="shared" si="20"/>
        <v>1761.5988256371704</v>
      </c>
    </row>
    <row r="61" spans="4:13" x14ac:dyDescent="0.2">
      <c r="D61" s="7">
        <v>13.8</v>
      </c>
      <c r="E61">
        <f t="shared" si="15"/>
        <v>1.3800000000000002E-2</v>
      </c>
      <c r="F61" s="25">
        <v>11.949620895505578</v>
      </c>
      <c r="I61" s="50">
        <f t="shared" si="16"/>
        <v>11.949620895505578</v>
      </c>
      <c r="J61">
        <f t="shared" si="17"/>
        <v>2.2230368255447629E-11</v>
      </c>
      <c r="K61">
        <f t="shared" si="18"/>
        <v>4.0007485163704658E-9</v>
      </c>
      <c r="L61">
        <f t="shared" si="19"/>
        <v>1.7692878470427644E-6</v>
      </c>
      <c r="M61">
        <f t="shared" si="20"/>
        <v>1769.2878470427643</v>
      </c>
    </row>
    <row r="62" spans="4:13" x14ac:dyDescent="0.2">
      <c r="D62" s="7">
        <v>14</v>
      </c>
      <c r="E62">
        <f t="shared" si="15"/>
        <v>1.4E-2</v>
      </c>
      <c r="F62" s="25">
        <v>11.846900961921886</v>
      </c>
      <c r="I62" s="50">
        <f t="shared" si="16"/>
        <v>11.846900961921886</v>
      </c>
      <c r="J62">
        <f t="shared" si="17"/>
        <v>2.1849822732803668E-11</v>
      </c>
      <c r="K62">
        <f t="shared" si="18"/>
        <v>3.9663574878352813E-9</v>
      </c>
      <c r="L62">
        <f t="shared" si="19"/>
        <v>1.7768994382280915E-6</v>
      </c>
      <c r="M62">
        <f t="shared" si="20"/>
        <v>1776.8994382280916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7169" r:id="rId3">
          <objectPr defaultSize="0" autoPict="0" r:id="rId4">
            <anchor moveWithCells="1" sizeWithCells="1">
              <from>
                <xdr:col>4</xdr:col>
                <xdr:colOff>419100</xdr:colOff>
                <xdr:row>13</xdr:row>
                <xdr:rowOff>38100</xdr:rowOff>
              </from>
              <to>
                <xdr:col>6</xdr:col>
                <xdr:colOff>215900</xdr:colOff>
                <xdr:row>15</xdr:row>
                <xdr:rowOff>50800</xdr:rowOff>
              </to>
            </anchor>
          </objectPr>
        </oleObject>
      </mc:Choice>
      <mc:Fallback>
        <oleObject progId="Equation.DSMT4" shapeId="7169" r:id="rId3"/>
      </mc:Fallback>
    </mc:AlternateContent>
    <mc:AlternateContent xmlns:mc="http://schemas.openxmlformats.org/markup-compatibility/2006">
      <mc:Choice Requires="x14">
        <oleObject progId="Equation.DSMT4" shapeId="7170" r:id="rId5">
          <objectPr defaultSize="0" autoPict="0" r:id="rId6">
            <anchor moveWithCells="1" sizeWithCells="1">
              <from>
                <xdr:col>7</xdr:col>
                <xdr:colOff>381000</xdr:colOff>
                <xdr:row>13</xdr:row>
                <xdr:rowOff>63500</xdr:rowOff>
              </from>
              <to>
                <xdr:col>9</xdr:col>
                <xdr:colOff>520700</xdr:colOff>
                <xdr:row>15</xdr:row>
                <xdr:rowOff>114300</xdr:rowOff>
              </to>
            </anchor>
          </objectPr>
        </oleObject>
      </mc:Choice>
      <mc:Fallback>
        <oleObject progId="Equation.DSMT4" shapeId="7170" r:id="rId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J47"/>
  <sheetViews>
    <sheetView topLeftCell="A7" zoomScale="66" zoomScaleNormal="66" workbookViewId="0">
      <selection activeCell="K31" sqref="K31"/>
    </sheetView>
  </sheetViews>
  <sheetFormatPr baseColWidth="10" defaultColWidth="9.1640625" defaultRowHeight="15" x14ac:dyDescent="0.2"/>
  <cols>
    <col min="4" max="4" width="12" bestFit="1" customWidth="1"/>
    <col min="5" max="7" width="9.5" bestFit="1" customWidth="1"/>
    <col min="8" max="9" width="10.5" bestFit="1" customWidth="1"/>
  </cols>
  <sheetData>
    <row r="3" spans="3:10" x14ac:dyDescent="0.2">
      <c r="C3" s="21"/>
      <c r="D3" s="21"/>
      <c r="E3" s="21"/>
      <c r="F3" s="21"/>
      <c r="G3" s="21"/>
      <c r="H3" s="21"/>
      <c r="I3" s="21"/>
    </row>
    <row r="4" spans="3:10" x14ac:dyDescent="0.2">
      <c r="C4" s="22" t="s">
        <v>28</v>
      </c>
      <c r="D4" s="21"/>
      <c r="E4" s="21"/>
      <c r="F4" s="21"/>
      <c r="G4" s="22" t="s">
        <v>42</v>
      </c>
      <c r="H4" s="21"/>
      <c r="I4" s="21"/>
      <c r="J4" s="9"/>
    </row>
    <row r="5" spans="3:10" x14ac:dyDescent="0.2">
      <c r="E5" s="19">
        <v>250</v>
      </c>
      <c r="F5" s="19">
        <v>500</v>
      </c>
      <c r="G5" s="19">
        <v>750</v>
      </c>
      <c r="H5" s="19">
        <v>1000</v>
      </c>
      <c r="I5" s="19">
        <v>1250</v>
      </c>
      <c r="J5" s="9"/>
    </row>
    <row r="6" spans="3:10" x14ac:dyDescent="0.2">
      <c r="E6" s="20"/>
      <c r="F6" s="20"/>
      <c r="G6" s="20"/>
      <c r="H6" s="20"/>
      <c r="I6" s="20"/>
      <c r="J6" s="9"/>
    </row>
    <row r="7" spans="3:10" x14ac:dyDescent="0.2">
      <c r="C7" s="7">
        <v>6</v>
      </c>
      <c r="D7" s="23"/>
      <c r="E7" s="48">
        <f ca="1">0.825*A$4*D7*2*PI()*E$10*(1/M$10)</f>
        <v>0.65640393629828664</v>
      </c>
      <c r="F7" s="63">
        <f ca="1">0.825*B$4*E7*2*PI()*F$10*(1/N$10)</f>
        <v>1.8565906982162443</v>
      </c>
      <c r="G7" s="50">
        <f ca="1">0.825*C$4*F7*2*PI()*G$10*(1/O$10)</f>
        <v>3.4107749038705109</v>
      </c>
      <c r="H7" s="50">
        <f ca="1">0.825*D$4*G7*2*PI()*H$10*(1/P$10)</f>
        <v>5.2512314903862931</v>
      </c>
      <c r="I7" s="50">
        <f ca="1">0.825*E$4*H7*2*PI()*I$10*(1/Q$10)</f>
        <v>7.3388191113070516</v>
      </c>
      <c r="J7" s="24"/>
    </row>
    <row r="8" spans="3:10" x14ac:dyDescent="0.2">
      <c r="C8" s="7">
        <v>6.2</v>
      </c>
      <c r="D8" s="23"/>
      <c r="E8" s="49">
        <f t="shared" ref="E8:F11" ca="1" si="0">0.825*A$4*D8*2*PI()*E$10*(1/M$10)</f>
        <v>0.67828406750822956</v>
      </c>
      <c r="F8" s="63">
        <f t="shared" ca="1" si="0"/>
        <v>1.9184770548234527</v>
      </c>
      <c r="G8" s="50">
        <f t="shared" ref="G8:G30" ca="1" si="1">0.825*C$4*F8*2*PI()*G$10*(1/O$10)</f>
        <v>3.5244674006661953</v>
      </c>
      <c r="H8" s="50">
        <f t="shared" ref="H8:I23" ca="1" si="2">0.825*D$4*G8*2*PI()*H$10*(1/P$10)</f>
        <v>5.4262725400658365</v>
      </c>
      <c r="I8" s="50">
        <f t="shared" ca="1" si="2"/>
        <v>7.5834464150172884</v>
      </c>
      <c r="J8" s="24"/>
    </row>
    <row r="9" spans="3:10" x14ac:dyDescent="0.2">
      <c r="C9" s="8">
        <v>6.4</v>
      </c>
      <c r="D9" s="23"/>
      <c r="E9" s="49">
        <f ca="1">0.825*A$4*D9*2*PI()*E$10*(1/M$10)</f>
        <v>0.70016419871817237</v>
      </c>
      <c r="F9" s="63">
        <f ca="1">0.825*B$4*E9*2*PI()*F$10*(1/N$10)</f>
        <v>1.9803634114306603</v>
      </c>
      <c r="G9" s="50">
        <f ca="1">0.825*C$4*F9*2*PI()*G$10*(1/O$10)</f>
        <v>3.6381598974618781</v>
      </c>
      <c r="H9" s="50">
        <f ca="1">0.825*D$4*G9*2*PI()*H$10*(1/P$10)</f>
        <v>5.601313589745379</v>
      </c>
      <c r="I9" s="50">
        <f ca="1">0.825*E$4*H9*2*PI()*I$10*(1/Q$10)</f>
        <v>7.8280737187275218</v>
      </c>
      <c r="J9" s="24"/>
    </row>
    <row r="10" spans="3:10" x14ac:dyDescent="0.2">
      <c r="C10" s="7">
        <v>6.6</v>
      </c>
      <c r="D10" s="23"/>
      <c r="E10" s="49">
        <f ca="1">0.825*A$4*D10*2*PI()*E$10*(1/M$10)</f>
        <v>0.72204432992811529</v>
      </c>
      <c r="F10" s="63">
        <f t="shared" ca="1" si="0"/>
        <v>2.0422497680378688</v>
      </c>
      <c r="G10" s="51">
        <f t="shared" ca="1" si="1"/>
        <v>3.7518523942575617</v>
      </c>
      <c r="H10" s="50">
        <f t="shared" ca="1" si="2"/>
        <v>5.7763546394249223</v>
      </c>
      <c r="I10" s="50">
        <f t="shared" ca="1" si="2"/>
        <v>8.0727010224377569</v>
      </c>
      <c r="J10" s="24"/>
    </row>
    <row r="11" spans="3:10" x14ac:dyDescent="0.2">
      <c r="C11" s="7">
        <v>6.8</v>
      </c>
      <c r="D11" s="23"/>
      <c r="E11" s="49">
        <f t="shared" ca="1" si="0"/>
        <v>0.74392446113805821</v>
      </c>
      <c r="F11" s="64">
        <f ca="1">0.825*B$4*E11*2*PI()*F$10*(1/N$10)</f>
        <v>2.1041361246450769</v>
      </c>
      <c r="G11" s="51">
        <f t="shared" ca="1" si="1"/>
        <v>3.8655448910532453</v>
      </c>
      <c r="H11" s="50">
        <f t="shared" ca="1" si="2"/>
        <v>5.9513956891044657</v>
      </c>
      <c r="I11" s="50">
        <f t="shared" ca="1" si="2"/>
        <v>8.3173283261479902</v>
      </c>
      <c r="J11" s="24"/>
    </row>
    <row r="12" spans="3:10" x14ac:dyDescent="0.2">
      <c r="C12" s="8">
        <v>7</v>
      </c>
      <c r="D12" s="23"/>
      <c r="E12" s="49">
        <f ca="1">0.825*A$4*D12*2*PI()*E$10*(1/M$10)</f>
        <v>0.76580459234800091</v>
      </c>
      <c r="F12" s="64">
        <f t="shared" ref="F12:F28" ca="1" si="3">0.825*B$4*E12*2*PI()*F$10*(1/N$10)</f>
        <v>2.1660224812522846</v>
      </c>
      <c r="G12" s="51">
        <f t="shared" ca="1" si="1"/>
        <v>3.9792373878489289</v>
      </c>
      <c r="H12" s="51">
        <f t="shared" ca="1" si="2"/>
        <v>6.1264367387840073</v>
      </c>
      <c r="I12" s="50">
        <f t="shared" ca="1" si="2"/>
        <v>8.5619556298582253</v>
      </c>
      <c r="J12" s="24"/>
    </row>
    <row r="13" spans="3:10" x14ac:dyDescent="0.2">
      <c r="C13" s="7">
        <v>7.2</v>
      </c>
      <c r="D13" s="23"/>
      <c r="E13" s="49">
        <f t="shared" ref="E13:E25" ca="1" si="4">0.825*A$4*D13*2*PI()*E$10*(1/M$10)</f>
        <v>0.78768472355794406</v>
      </c>
      <c r="F13" s="64">
        <f t="shared" ca="1" si="3"/>
        <v>2.2279088378594931</v>
      </c>
      <c r="G13" s="51">
        <f t="shared" ca="1" si="1"/>
        <v>4.0929298846446134</v>
      </c>
      <c r="H13" s="51">
        <f t="shared" ca="1" si="2"/>
        <v>6.3014777884635524</v>
      </c>
      <c r="I13" s="50">
        <f t="shared" ca="1" si="2"/>
        <v>8.8065829335684622</v>
      </c>
      <c r="J13" s="24"/>
    </row>
    <row r="14" spans="3:10" x14ac:dyDescent="0.2">
      <c r="C14" s="7">
        <v>7.4</v>
      </c>
      <c r="D14" s="23"/>
      <c r="E14" s="49">
        <f t="shared" ca="1" si="4"/>
        <v>0.80956485476788698</v>
      </c>
      <c r="F14" s="64">
        <f t="shared" ca="1" si="3"/>
        <v>2.2897951944667017</v>
      </c>
      <c r="G14" s="50">
        <f t="shared" ca="1" si="1"/>
        <v>4.2066223814402974</v>
      </c>
      <c r="H14" s="50">
        <f t="shared" ca="1" si="2"/>
        <v>6.4765188381430958</v>
      </c>
      <c r="I14" s="51">
        <f t="shared" ca="1" si="2"/>
        <v>9.0512102372786973</v>
      </c>
      <c r="J14" s="24"/>
    </row>
    <row r="15" spans="3:10" x14ac:dyDescent="0.2">
      <c r="C15" s="8">
        <v>7.6</v>
      </c>
      <c r="D15" s="23"/>
      <c r="E15" s="49">
        <f t="shared" ca="1" si="4"/>
        <v>0.83144498597782956</v>
      </c>
      <c r="F15" s="64">
        <f t="shared" ca="1" si="3"/>
        <v>2.3516815510739089</v>
      </c>
      <c r="G15" s="50">
        <f t="shared" ca="1" si="1"/>
        <v>4.3203148782359806</v>
      </c>
      <c r="H15" s="50">
        <f t="shared" ca="1" si="2"/>
        <v>6.6515598878226365</v>
      </c>
      <c r="I15" s="50">
        <f t="shared" ca="1" si="2"/>
        <v>9.2958375409889307</v>
      </c>
      <c r="J15" s="24"/>
    </row>
    <row r="16" spans="3:10" x14ac:dyDescent="0.2">
      <c r="C16" s="7">
        <v>7.8</v>
      </c>
      <c r="D16" s="23"/>
      <c r="E16" s="49">
        <f t="shared" ca="1" si="4"/>
        <v>0.85332511718777249</v>
      </c>
      <c r="F16" s="64">
        <f t="shared" ca="1" si="3"/>
        <v>2.4135679076811174</v>
      </c>
      <c r="G16" s="50">
        <f t="shared" ca="1" si="1"/>
        <v>4.4340073750316638</v>
      </c>
      <c r="H16" s="50">
        <f t="shared" ca="1" si="2"/>
        <v>6.8266009375021799</v>
      </c>
      <c r="I16" s="50">
        <f ca="1">0.825*E$4*H16*2*PI()*I$10*(1/Q$10)</f>
        <v>9.5404648446991658</v>
      </c>
      <c r="J16" s="24"/>
    </row>
    <row r="17" spans="2:10" x14ac:dyDescent="0.2">
      <c r="C17" s="7">
        <v>8</v>
      </c>
      <c r="D17" s="23"/>
      <c r="E17" s="49">
        <f t="shared" ca="1" si="4"/>
        <v>0.87520524839771552</v>
      </c>
      <c r="F17" s="64">
        <f t="shared" ca="1" si="3"/>
        <v>2.4754542642883259</v>
      </c>
      <c r="G17" s="50">
        <f t="shared" ca="1" si="1"/>
        <v>4.5476998718273487</v>
      </c>
      <c r="H17" s="50">
        <f t="shared" ca="1" si="2"/>
        <v>7.0016419871817241</v>
      </c>
      <c r="I17" s="50">
        <f t="shared" ca="1" si="2"/>
        <v>9.7850921484094027</v>
      </c>
      <c r="J17" s="24"/>
    </row>
    <row r="18" spans="2:10" x14ac:dyDescent="0.2">
      <c r="C18" s="8">
        <v>8.1999999999999993</v>
      </c>
      <c r="D18" s="23"/>
      <c r="E18" s="49">
        <f t="shared" ca="1" si="4"/>
        <v>0.89708537960765833</v>
      </c>
      <c r="F18" s="64">
        <f t="shared" ca="1" si="3"/>
        <v>2.5373406208955336</v>
      </c>
      <c r="G18" s="50">
        <f t="shared" ca="1" si="1"/>
        <v>4.661392368623031</v>
      </c>
      <c r="H18" s="50">
        <f t="shared" ca="1" si="2"/>
        <v>7.1766830368612666</v>
      </c>
      <c r="I18" s="50">
        <f t="shared" ca="1" si="2"/>
        <v>10.029719452119636</v>
      </c>
      <c r="J18" s="24"/>
    </row>
    <row r="19" spans="2:10" x14ac:dyDescent="0.2">
      <c r="C19" s="7">
        <v>8.4</v>
      </c>
      <c r="D19" s="23"/>
      <c r="E19" s="49">
        <f t="shared" ca="1" si="4"/>
        <v>0.91896551081760136</v>
      </c>
      <c r="F19" s="64">
        <f t="shared" ca="1" si="3"/>
        <v>2.5992269775027421</v>
      </c>
      <c r="G19" s="50">
        <f t="shared" ca="1" si="1"/>
        <v>4.7750848654187159</v>
      </c>
      <c r="H19" s="50">
        <f t="shared" ca="1" si="2"/>
        <v>7.3517240865408109</v>
      </c>
      <c r="I19" s="50">
        <f t="shared" ca="1" si="2"/>
        <v>10.274346755829873</v>
      </c>
      <c r="J19" s="24"/>
    </row>
    <row r="20" spans="2:10" x14ac:dyDescent="0.2">
      <c r="C20" s="7">
        <v>8.6</v>
      </c>
      <c r="D20" s="23"/>
      <c r="E20" s="49">
        <f t="shared" ca="1" si="4"/>
        <v>0.94084564202754417</v>
      </c>
      <c r="F20" s="64">
        <f t="shared" ca="1" si="3"/>
        <v>2.6611133341099502</v>
      </c>
      <c r="G20" s="50">
        <f t="shared" ca="1" si="1"/>
        <v>4.8887773622143991</v>
      </c>
      <c r="H20" s="50">
        <f t="shared" ca="1" si="2"/>
        <v>7.5267651362203534</v>
      </c>
      <c r="I20" s="50">
        <f t="shared" ca="1" si="2"/>
        <v>10.518974059540106</v>
      </c>
      <c r="J20" s="24"/>
    </row>
    <row r="21" spans="2:10" x14ac:dyDescent="0.2">
      <c r="C21" s="8">
        <v>8.8000000000000007</v>
      </c>
      <c r="D21" s="23"/>
      <c r="E21" s="49">
        <f t="shared" ca="1" si="4"/>
        <v>0.96272577323748709</v>
      </c>
      <c r="F21" s="64">
        <f t="shared" ca="1" si="3"/>
        <v>2.7229996907171583</v>
      </c>
      <c r="G21" s="50">
        <f t="shared" ca="1" si="1"/>
        <v>5.0024698590100831</v>
      </c>
      <c r="H21" s="50">
        <f t="shared" ca="1" si="2"/>
        <v>7.7018061858998967</v>
      </c>
      <c r="I21" s="50">
        <f t="shared" ca="1" si="2"/>
        <v>10.763601363250341</v>
      </c>
      <c r="J21" s="24"/>
    </row>
    <row r="22" spans="2:10" x14ac:dyDescent="0.2">
      <c r="B22" s="9"/>
      <c r="C22" s="7">
        <v>9</v>
      </c>
      <c r="D22" s="23"/>
      <c r="E22" s="49">
        <f t="shared" ca="1" si="4"/>
        <v>0.98460590444743012</v>
      </c>
      <c r="F22" s="64">
        <f t="shared" ca="1" si="3"/>
        <v>2.7848860473243668</v>
      </c>
      <c r="G22" s="50">
        <f t="shared" ca="1" si="1"/>
        <v>5.1161623558057681</v>
      </c>
      <c r="H22" s="50">
        <f t="shared" ca="1" si="2"/>
        <v>7.876847235579441</v>
      </c>
      <c r="I22" s="50">
        <f t="shared" ca="1" si="2"/>
        <v>11.008228666960578</v>
      </c>
      <c r="J22" s="24"/>
    </row>
    <row r="23" spans="2:10" x14ac:dyDescent="0.2">
      <c r="C23" s="7">
        <v>9.1999999999999993</v>
      </c>
      <c r="D23" s="23"/>
      <c r="E23" s="49">
        <f t="shared" ca="1" si="4"/>
        <v>1.0064860356573728</v>
      </c>
      <c r="F23" s="64">
        <f t="shared" ca="1" si="3"/>
        <v>2.8467724039315745</v>
      </c>
      <c r="G23" s="50">
        <f t="shared" ca="1" si="1"/>
        <v>5.2298548526014503</v>
      </c>
      <c r="H23" s="50">
        <f t="shared" ca="1" si="2"/>
        <v>8.0518882852589826</v>
      </c>
      <c r="I23" s="50">
        <f t="shared" ca="1" si="2"/>
        <v>11.252855970670812</v>
      </c>
      <c r="J23" s="23"/>
    </row>
    <row r="24" spans="2:10" x14ac:dyDescent="0.2">
      <c r="C24" s="8">
        <v>9.4</v>
      </c>
      <c r="D24" s="23"/>
      <c r="E24" s="49">
        <f t="shared" ca="1" si="4"/>
        <v>1.0283661668673156</v>
      </c>
      <c r="F24" s="64">
        <f t="shared" ca="1" si="3"/>
        <v>2.9086587605387826</v>
      </c>
      <c r="G24" s="50">
        <f t="shared" ca="1" si="1"/>
        <v>5.3435473493971344</v>
      </c>
      <c r="H24" s="50">
        <f t="shared" ref="H24:I31" ca="1" si="5">0.825*D$4*G24*2*PI()*H$10*(1/P$10)</f>
        <v>8.2269293349385251</v>
      </c>
      <c r="I24" s="50">
        <f t="shared" ca="1" si="5"/>
        <v>11.497483274381047</v>
      </c>
      <c r="J24" s="23"/>
    </row>
    <row r="25" spans="2:10" x14ac:dyDescent="0.2">
      <c r="C25" s="7">
        <v>9.6</v>
      </c>
      <c r="E25" s="49">
        <f t="shared" ca="1" si="4"/>
        <v>1.0502462980772587</v>
      </c>
      <c r="F25" s="64">
        <f t="shared" ca="1" si="3"/>
        <v>2.9705451171459907</v>
      </c>
      <c r="G25" s="50">
        <f t="shared" ca="1" si="1"/>
        <v>5.4572398461928175</v>
      </c>
      <c r="H25" s="50">
        <f t="shared" ca="1" si="5"/>
        <v>8.4019703846180693</v>
      </c>
      <c r="I25" s="50">
        <f t="shared" ca="1" si="5"/>
        <v>11.742110578091282</v>
      </c>
    </row>
    <row r="26" spans="2:10" x14ac:dyDescent="0.2">
      <c r="C26" s="7">
        <v>9.8000000000000007</v>
      </c>
      <c r="E26" s="49">
        <v>1.0757172230949368</v>
      </c>
      <c r="F26" s="64">
        <f t="shared" ca="1" si="3"/>
        <v>3.0324314737531992</v>
      </c>
      <c r="G26" s="50">
        <f t="shared" ca="1" si="1"/>
        <v>5.5709323429885025</v>
      </c>
      <c r="H26" s="50">
        <f t="shared" ca="1" si="5"/>
        <v>8.5770114342976136</v>
      </c>
      <c r="I26" s="50">
        <f t="shared" ca="1" si="5"/>
        <v>11.986737881801519</v>
      </c>
    </row>
    <row r="27" spans="2:10" x14ac:dyDescent="0.2">
      <c r="C27" s="8">
        <v>10</v>
      </c>
      <c r="E27" s="49">
        <v>1.0627564942068961</v>
      </c>
      <c r="F27" s="64">
        <f t="shared" ca="1" si="3"/>
        <v>3.0943178303604073</v>
      </c>
      <c r="G27" s="50">
        <f t="shared" ca="1" si="1"/>
        <v>5.6846248397841856</v>
      </c>
      <c r="H27" s="50">
        <f t="shared" ca="1" si="5"/>
        <v>8.7520524839771561</v>
      </c>
      <c r="I27" s="50">
        <f t="shared" ca="1" si="5"/>
        <v>12.231365185511754</v>
      </c>
    </row>
    <row r="28" spans="2:10" x14ac:dyDescent="0.2">
      <c r="C28" s="7">
        <v>10.199999999999999</v>
      </c>
      <c r="E28" s="49">
        <v>1.0502039911831091</v>
      </c>
      <c r="F28" s="64">
        <f t="shared" ca="1" si="3"/>
        <v>3.156204186967615</v>
      </c>
      <c r="G28" s="50">
        <f t="shared" ca="1" si="1"/>
        <v>5.7983173365798688</v>
      </c>
      <c r="H28" s="50">
        <f t="shared" ca="1" si="5"/>
        <v>8.9270935336566986</v>
      </c>
      <c r="I28" s="50">
        <f t="shared" ca="1" si="5"/>
        <v>12.475992489221985</v>
      </c>
    </row>
    <row r="29" spans="2:10" x14ac:dyDescent="0.2">
      <c r="C29" s="7">
        <v>10.4</v>
      </c>
      <c r="E29" s="49">
        <v>1.0380392229820232</v>
      </c>
      <c r="F29" s="65">
        <v>3.314997208574757</v>
      </c>
      <c r="G29" s="50">
        <f t="shared" ca="1" si="1"/>
        <v>5.9120098333755537</v>
      </c>
      <c r="H29" s="50">
        <f t="shared" ca="1" si="5"/>
        <v>9.1021345833362428</v>
      </c>
      <c r="I29" s="50">
        <f t="shared" ca="1" si="5"/>
        <v>12.720619792932224</v>
      </c>
    </row>
    <row r="30" spans="2:10" x14ac:dyDescent="0.2">
      <c r="C30" s="8">
        <v>10.6</v>
      </c>
      <c r="E30" s="49">
        <v>1.0262430957581536</v>
      </c>
      <c r="F30" s="64">
        <v>3.2773260609404842</v>
      </c>
      <c r="G30" s="50">
        <f t="shared" ca="1" si="1"/>
        <v>6.0257023301712369</v>
      </c>
      <c r="H30" s="50">
        <f t="shared" ca="1" si="5"/>
        <v>9.2771756330157835</v>
      </c>
      <c r="I30" s="50">
        <f t="shared" ca="1" si="5"/>
        <v>12.965247096642459</v>
      </c>
    </row>
    <row r="31" spans="2:10" x14ac:dyDescent="0.2">
      <c r="C31" s="7">
        <v>10.8</v>
      </c>
      <c r="E31" s="49">
        <v>1.0147977933911656</v>
      </c>
      <c r="F31" s="64">
        <v>3.2407752788911663</v>
      </c>
      <c r="G31" s="25">
        <v>6.2128194040349793</v>
      </c>
      <c r="H31" s="50">
        <f t="shared" ca="1" si="5"/>
        <v>9.4522166826953278</v>
      </c>
      <c r="I31" s="50">
        <f t="shared" ca="1" si="5"/>
        <v>13.209874400352694</v>
      </c>
    </row>
    <row r="32" spans="2:10" x14ac:dyDescent="0.2">
      <c r="C32" s="7">
        <v>11</v>
      </c>
      <c r="E32" s="49">
        <v>1.0036866702246114</v>
      </c>
      <c r="F32" s="64">
        <v>3.2052917042190607</v>
      </c>
      <c r="G32" s="25">
        <v>6.1447946191375804</v>
      </c>
      <c r="H32" s="56">
        <v>9.6684095688933738</v>
      </c>
      <c r="I32" s="25">
        <v>13.691340398308267</v>
      </c>
    </row>
    <row r="33" spans="3:9" x14ac:dyDescent="0.2">
      <c r="C33" s="8">
        <v>11.2</v>
      </c>
      <c r="E33" s="49">
        <v>0.99289415457003682</v>
      </c>
      <c r="F33" s="64">
        <v>3.1708256084528186</v>
      </c>
      <c r="G33" s="25">
        <v>6.0787204207960341</v>
      </c>
      <c r="H33" s="47">
        <v>9.5644463852398864</v>
      </c>
      <c r="I33" s="25">
        <v>13.544119148923951</v>
      </c>
    </row>
    <row r="34" spans="3:9" x14ac:dyDescent="0.2">
      <c r="C34" s="7">
        <v>11.4</v>
      </c>
      <c r="E34" s="49">
        <v>0.98240566172545241</v>
      </c>
      <c r="F34" s="64">
        <v>3.1373304150803847</v>
      </c>
      <c r="G34" s="25">
        <v>6.0145075181978127</v>
      </c>
      <c r="H34" s="47">
        <v>9.4634118217748195</v>
      </c>
      <c r="I34" s="25">
        <v>13.401045089996487</v>
      </c>
    </row>
    <row r="35" spans="3:9" x14ac:dyDescent="0.2">
      <c r="C35" s="7">
        <v>11.6</v>
      </c>
      <c r="E35" s="49">
        <v>0.97220751542166284</v>
      </c>
      <c r="F35" s="64">
        <v>3.1047624486864165</v>
      </c>
      <c r="G35" s="25">
        <v>5.9520721821594442</v>
      </c>
      <c r="H35" s="47">
        <v>9.3651741364158347</v>
      </c>
      <c r="I35" s="25">
        <v>13.261931662849262</v>
      </c>
    </row>
    <row r="36" spans="3:9" x14ac:dyDescent="0.2">
      <c r="C36" s="8">
        <v>11.8</v>
      </c>
      <c r="E36" s="49">
        <v>0.96228687675040014</v>
      </c>
      <c r="F36" s="64">
        <v>3.0730807079829789</v>
      </c>
      <c r="G36" s="25">
        <v>5.8913358100086208</v>
      </c>
      <c r="H36" s="47">
        <v>9.2696096532915284</v>
      </c>
      <c r="I36" s="25">
        <v>13.126603731288228</v>
      </c>
    </row>
    <row r="37" spans="3:9" x14ac:dyDescent="0.2">
      <c r="C37" s="7">
        <v>12</v>
      </c>
      <c r="E37" s="49">
        <v>0.95263167974844565</v>
      </c>
      <c r="F37" s="64">
        <v>3.0422466600962617</v>
      </c>
      <c r="G37" s="25">
        <v>5.8322245312157621</v>
      </c>
      <c r="H37" s="47">
        <v>9.1766021422299779</v>
      </c>
      <c r="I37" s="25">
        <v>12.994896702901668</v>
      </c>
    </row>
    <row r="38" spans="3:9" x14ac:dyDescent="0.2">
      <c r="C38" s="7">
        <v>12.2</v>
      </c>
      <c r="E38" s="49">
        <v>0.9432305729151641</v>
      </c>
      <c r="F38" s="64">
        <v>3.012224053801758</v>
      </c>
      <c r="G38" s="25">
        <v>5.7746688493512623</v>
      </c>
      <c r="H38" s="47">
        <v>9.0860422554031963</v>
      </c>
      <c r="I38" s="25">
        <v>12.866655731297936</v>
      </c>
    </row>
    <row r="39" spans="3:9" x14ac:dyDescent="0.2">
      <c r="C39" s="8">
        <v>12.4</v>
      </c>
      <c r="E39" s="49">
        <v>0.93407286602973827</v>
      </c>
      <c r="F39" s="64">
        <v>2.9829787496841327</v>
      </c>
      <c r="G39" s="25">
        <v>5.7186033164886902</v>
      </c>
      <c r="H39" s="47">
        <v>8.9978270150230912</v>
      </c>
      <c r="I39" s="25">
        <v>12.741734990636671</v>
      </c>
    </row>
    <row r="40" spans="3:9" x14ac:dyDescent="0.2">
      <c r="C40" s="7">
        <v>12.6</v>
      </c>
      <c r="E40" s="49">
        <v>0.92514848171109587</v>
      </c>
      <c r="F40" s="64">
        <v>2.9544785654429639</v>
      </c>
      <c r="G40" s="25">
        <v>5.6639662366438053</v>
      </c>
      <c r="H40" s="47">
        <v>8.9118593467232472</v>
      </c>
      <c r="I40" s="25">
        <v>12.619997014855331</v>
      </c>
    </row>
    <row r="41" spans="3:9" x14ac:dyDescent="0.2">
      <c r="C41" s="7">
        <v>12.8</v>
      </c>
      <c r="E41" s="49">
        <v>0.91644791122986768</v>
      </c>
      <c r="F41" s="64">
        <v>2.9266931347774223</v>
      </c>
      <c r="G41" s="25">
        <v>5.6106993952454687</v>
      </c>
      <c r="H41" s="47">
        <v>8.8280476539001143</v>
      </c>
      <c r="I41" s="25">
        <v>12.50131209489788</v>
      </c>
    </row>
    <row r="42" spans="3:9" x14ac:dyDescent="0.2">
      <c r="C42" s="8">
        <v>13</v>
      </c>
      <c r="E42" s="49">
        <v>0.90796217413927505</v>
      </c>
      <c r="F42" s="64">
        <v>2.8995937784667789</v>
      </c>
      <c r="G42" s="25">
        <v>5.5587478119869003</v>
      </c>
      <c r="H42" s="47">
        <v>8.7463054288415325</v>
      </c>
      <c r="I42" s="25">
        <v>12.385557728037702</v>
      </c>
    </row>
    <row r="43" spans="3:9" x14ac:dyDescent="0.2">
      <c r="C43" s="7">
        <v>13.2</v>
      </c>
      <c r="E43" s="49">
        <v>0.89968278134187074</v>
      </c>
      <c r="F43" s="64">
        <v>2.8731533864233607</v>
      </c>
      <c r="G43" s="25">
        <v>5.5080595147119826</v>
      </c>
      <c r="H43" s="47">
        <v>8.666550896952474</v>
      </c>
      <c r="I43" s="25">
        <v>12.272618114069131</v>
      </c>
    </row>
    <row r="44" spans="3:9" x14ac:dyDescent="0.2">
      <c r="C44" s="7">
        <v>13.4</v>
      </c>
      <c r="E44" s="49">
        <v>0.89160170125263749</v>
      </c>
      <c r="F44" s="64">
        <v>2.8473463096337963</v>
      </c>
      <c r="G44" s="25">
        <v>5.4585853322581821</v>
      </c>
      <c r="H44" s="47">
        <v>8.5887066908076903</v>
      </c>
      <c r="I44" s="25">
        <v>12.162383693736617</v>
      </c>
    </row>
    <row r="45" spans="3:9" x14ac:dyDescent="0.2">
      <c r="C45" s="8">
        <v>13.6</v>
      </c>
      <c r="E45" s="49">
        <v>0.88371132875701819</v>
      </c>
      <c r="F45" s="64">
        <v>2.8221482610259105</v>
      </c>
      <c r="G45" s="25">
        <v>5.4102787044106471</v>
      </c>
      <c r="H45" s="47">
        <v>8.5126995511276302</v>
      </c>
      <c r="I45" s="25">
        <v>12.054750725289603</v>
      </c>
    </row>
    <row r="46" spans="3:9" x14ac:dyDescent="0.2">
      <c r="C46" s="7">
        <v>13.8</v>
      </c>
      <c r="E46" s="49">
        <v>0.87600445669573723</v>
      </c>
      <c r="F46" s="64">
        <v>2.7975362244049866</v>
      </c>
      <c r="G46" s="25">
        <v>5.3630955073259008</v>
      </c>
      <c r="H46" s="47">
        <v>8.438460052094678</v>
      </c>
      <c r="I46" s="25">
        <v>11.949620895505578</v>
      </c>
    </row>
    <row r="47" spans="3:9" x14ac:dyDescent="0.2">
      <c r="C47" s="7">
        <v>14</v>
      </c>
      <c r="E47" s="49">
        <v>0.86847424963748254</v>
      </c>
      <c r="F47" s="64">
        <v>2.7734883706963442</v>
      </c>
      <c r="G47" s="25">
        <v>5.3169938929623255</v>
      </c>
      <c r="H47" s="47">
        <v>8.3659223487081373</v>
      </c>
      <c r="I47" s="25">
        <v>11.846900961921886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1"/>
  <sheetViews>
    <sheetView topLeftCell="G15" workbookViewId="0">
      <selection activeCell="N27" sqref="N27"/>
    </sheetView>
  </sheetViews>
  <sheetFormatPr baseColWidth="10" defaultColWidth="11.5" defaultRowHeight="15" x14ac:dyDescent="0.2"/>
  <cols>
    <col min="3" max="3" width="21.5" bestFit="1" customWidth="1"/>
    <col min="4" max="4" width="14.33203125" bestFit="1" customWidth="1"/>
    <col min="6" max="6" width="17.5" customWidth="1"/>
    <col min="7" max="7" width="11.5" customWidth="1"/>
    <col min="8" max="8" width="11.1640625" customWidth="1"/>
    <col min="9" max="9" width="13.5" customWidth="1"/>
    <col min="16" max="16" width="17.1640625" bestFit="1" customWidth="1"/>
    <col min="18" max="18" width="2" style="29" customWidth="1"/>
    <col min="28" max="28" width="12.6640625" customWidth="1"/>
  </cols>
  <sheetData>
    <row r="1" spans="2:26" ht="21" x14ac:dyDescent="0.25">
      <c r="B1" s="28" t="s">
        <v>43</v>
      </c>
      <c r="C1" s="28"/>
    </row>
    <row r="2" spans="2:26" ht="21" x14ac:dyDescent="0.25">
      <c r="C2" s="28"/>
      <c r="V2" s="7"/>
      <c r="W2" s="44"/>
      <c r="X2" s="44"/>
      <c r="Y2" s="16"/>
      <c r="Z2" s="16"/>
    </row>
    <row r="3" spans="2:26" ht="21" x14ac:dyDescent="0.25">
      <c r="B3" s="10"/>
      <c r="C3" s="28"/>
      <c r="V3" s="7"/>
      <c r="W3" s="44"/>
      <c r="X3" s="44"/>
      <c r="Y3" s="16"/>
      <c r="Z3" s="16"/>
    </row>
    <row r="4" spans="2:26" ht="21" x14ac:dyDescent="0.25">
      <c r="B4" s="10"/>
      <c r="C4" s="28"/>
    </row>
    <row r="5" spans="2:26" ht="21" x14ac:dyDescent="0.25">
      <c r="C5" s="28"/>
      <c r="H5" s="30" t="s">
        <v>44</v>
      </c>
    </row>
    <row r="9" spans="2:26" x14ac:dyDescent="0.2">
      <c r="M9" s="25"/>
    </row>
    <row r="10" spans="2:26" x14ac:dyDescent="0.2">
      <c r="G10">
        <v>1000</v>
      </c>
      <c r="M10" s="25"/>
    </row>
    <row r="11" spans="2:26" x14ac:dyDescent="0.2">
      <c r="G11">
        <f>9.8*POWER(10,-4)</f>
        <v>9.8000000000000019E-4</v>
      </c>
      <c r="M11" s="25"/>
    </row>
    <row r="12" spans="2:26" x14ac:dyDescent="0.2">
      <c r="M12" s="25"/>
    </row>
    <row r="13" spans="2:26" x14ac:dyDescent="0.2">
      <c r="G13" s="13">
        <v>9.2999999999999999E-8</v>
      </c>
      <c r="M13" s="25"/>
    </row>
    <row r="14" spans="2:26" x14ac:dyDescent="0.2">
      <c r="M14" s="25"/>
    </row>
    <row r="15" spans="2:26" x14ac:dyDescent="0.2">
      <c r="M15" s="25"/>
    </row>
    <row r="16" spans="2:26" x14ac:dyDescent="0.2">
      <c r="B16" s="3" t="s">
        <v>45</v>
      </c>
      <c r="M16" s="25"/>
    </row>
    <row r="17" spans="1:16" x14ac:dyDescent="0.2">
      <c r="M17" s="25"/>
    </row>
    <row r="18" spans="1:16" ht="17" x14ac:dyDescent="0.2">
      <c r="B18" s="3" t="s">
        <v>57</v>
      </c>
      <c r="C18" s="13">
        <f>(0.000000077)/2</f>
        <v>3.8500000000000001E-8</v>
      </c>
      <c r="D18" t="s">
        <v>73</v>
      </c>
      <c r="E18" s="3" t="s">
        <v>23</v>
      </c>
      <c r="F18">
        <f>9.8*POWER(10,-4)</f>
        <v>9.8000000000000019E-4</v>
      </c>
      <c r="G18" s="3" t="s">
        <v>58</v>
      </c>
      <c r="H18">
        <v>9.81</v>
      </c>
      <c r="I18" s="31" t="s">
        <v>59</v>
      </c>
      <c r="J18">
        <v>1000</v>
      </c>
      <c r="M18" s="25"/>
    </row>
    <row r="19" spans="1:16" ht="17" x14ac:dyDescent="0.2">
      <c r="B19" s="32" t="s">
        <v>60</v>
      </c>
      <c r="C19" s="2">
        <v>3.4925999999999999</v>
      </c>
      <c r="E19" s="3" t="s">
        <v>21</v>
      </c>
      <c r="F19" s="13">
        <v>1.8E-3</v>
      </c>
      <c r="I19" s="3" t="s">
        <v>61</v>
      </c>
      <c r="J19">
        <v>655</v>
      </c>
      <c r="L19" s="25"/>
      <c r="N19" s="25"/>
    </row>
    <row r="20" spans="1:16" x14ac:dyDescent="0.2">
      <c r="A20" s="22"/>
      <c r="B20" s="33" t="s">
        <v>46</v>
      </c>
      <c r="C20" s="34"/>
      <c r="D20" s="34"/>
      <c r="E20" s="34"/>
      <c r="F20" s="34"/>
      <c r="G20" s="34"/>
      <c r="H20" s="34"/>
      <c r="I20" s="34"/>
      <c r="J20" s="35"/>
      <c r="K20" s="36" t="s">
        <v>47</v>
      </c>
      <c r="L20" s="37"/>
      <c r="M20" s="38"/>
      <c r="N20" s="37"/>
      <c r="O20" s="36" t="s">
        <v>48</v>
      </c>
      <c r="P20" s="36"/>
    </row>
    <row r="21" spans="1:16" x14ac:dyDescent="0.2">
      <c r="A21" s="22" t="s">
        <v>74</v>
      </c>
      <c r="B21" s="34" t="s">
        <v>49</v>
      </c>
      <c r="C21" s="33" t="s">
        <v>62</v>
      </c>
      <c r="D21" s="34" t="s">
        <v>13</v>
      </c>
      <c r="E21" s="34" t="s">
        <v>14</v>
      </c>
      <c r="F21" s="34" t="s">
        <v>15</v>
      </c>
      <c r="G21" s="34" t="s">
        <v>16</v>
      </c>
      <c r="H21" s="34" t="s">
        <v>50</v>
      </c>
      <c r="I21" s="34" t="s">
        <v>51</v>
      </c>
      <c r="J21" s="35"/>
      <c r="K21" s="36" t="s">
        <v>52</v>
      </c>
      <c r="L21" s="40" t="s">
        <v>53</v>
      </c>
      <c r="M21" s="39" t="s">
        <v>54</v>
      </c>
      <c r="N21" s="41" t="s">
        <v>55</v>
      </c>
      <c r="O21" s="36" t="s">
        <v>56</v>
      </c>
      <c r="P21" s="36" t="s">
        <v>84</v>
      </c>
    </row>
    <row r="22" spans="1:16" x14ac:dyDescent="0.2">
      <c r="A22" s="25">
        <v>321.75</v>
      </c>
      <c r="B22" s="3">
        <v>250</v>
      </c>
      <c r="C22" s="48">
        <f>'250 rpm'!$I$41</f>
        <v>1.0757172230949368</v>
      </c>
      <c r="D22" s="26">
        <f>2*PI()*F19*C$18^2</f>
        <v>1.6763852558820495E-17</v>
      </c>
      <c r="E22" s="27">
        <f>6*C$19*PI()*C22</f>
        <v>70.818723573267945</v>
      </c>
      <c r="F22" s="27">
        <f>(4/3)*PI()*H18*(J18-J19)</f>
        <v>14176.751008589301</v>
      </c>
      <c r="G22" s="27">
        <f>PI()*4/3</f>
        <v>4.1887902047863905</v>
      </c>
      <c r="H22" s="27">
        <f>PI()/6</f>
        <v>0.52359877559829882</v>
      </c>
      <c r="I22" s="26">
        <f>3*C18^2</f>
        <v>4.4467499999999999E-15</v>
      </c>
      <c r="K22" s="26">
        <v>3.1079300000000002E-7</v>
      </c>
      <c r="L22" s="25">
        <f>K22/0.000000001</f>
        <v>310.79300000000001</v>
      </c>
      <c r="M22" s="26">
        <v>6.1859700000000002E-7</v>
      </c>
      <c r="N22" s="25">
        <f>M22/0.000000001</f>
        <v>618.59699999999998</v>
      </c>
      <c r="O22" s="16">
        <f>L22*2</f>
        <v>621.58600000000001</v>
      </c>
      <c r="P22" s="25">
        <f>(O22-A22)/A22*100</f>
        <v>93.189121989121986</v>
      </c>
    </row>
    <row r="23" spans="1:16" x14ac:dyDescent="0.2">
      <c r="A23" s="25">
        <v>243.5</v>
      </c>
      <c r="B23" s="3">
        <v>500</v>
      </c>
      <c r="C23" s="70">
        <f>'500 rpm'!$I$44</f>
        <v>3.314997208574757</v>
      </c>
      <c r="E23" s="27">
        <f>6*C$19*PI()*C23</f>
        <v>218.23939035276715</v>
      </c>
      <c r="K23" s="26">
        <v>2.1427600000000001E-7</v>
      </c>
      <c r="L23" s="25">
        <f>K23/0.000000001</f>
        <v>214.27599999999998</v>
      </c>
      <c r="M23" s="26">
        <v>4.2509E-7</v>
      </c>
      <c r="N23" s="25">
        <f t="shared" ref="N23:N26" si="0">M23/0.000000001</f>
        <v>425.09</v>
      </c>
      <c r="O23" s="16">
        <f t="shared" ref="O23:O26" si="1">L23*2</f>
        <v>428.55199999999996</v>
      </c>
      <c r="P23" s="25">
        <f t="shared" ref="P23:P26" si="2">(O23-A23)/A23*100</f>
        <v>75.996714579055421</v>
      </c>
    </row>
    <row r="24" spans="1:16" x14ac:dyDescent="0.2">
      <c r="A24" s="25">
        <v>206.25</v>
      </c>
      <c r="B24" s="3">
        <v>750</v>
      </c>
      <c r="C24" s="70">
        <f>' 750 rpm'!$I$46</f>
        <v>6.2128194040349793</v>
      </c>
      <c r="E24" s="27">
        <f t="shared" ref="E24" si="3">6*C$19*PI()*C24</f>
        <v>409.01449799150237</v>
      </c>
      <c r="K24" s="26">
        <v>1.7459999999999999E-7</v>
      </c>
      <c r="L24" s="25">
        <f t="shared" ref="L24:L26" si="4">K24/0.000000001</f>
        <v>174.59999999999997</v>
      </c>
      <c r="M24" s="26">
        <v>3.4500599999999999E-7</v>
      </c>
      <c r="N24" s="25">
        <f t="shared" si="0"/>
        <v>345.00599999999997</v>
      </c>
      <c r="O24" s="16">
        <f t="shared" si="1"/>
        <v>349.19999999999993</v>
      </c>
      <c r="P24" s="25">
        <f t="shared" si="2"/>
        <v>69.30909090909087</v>
      </c>
    </row>
    <row r="25" spans="1:16" x14ac:dyDescent="0.2">
      <c r="A25" s="25">
        <v>199.33333333333334</v>
      </c>
      <c r="B25" s="3">
        <v>1000</v>
      </c>
      <c r="C25" s="70">
        <f>'1000 rpm'!$I$47</f>
        <v>9.6684095688933738</v>
      </c>
      <c r="E25" s="27">
        <f>6*C$19*PI()*C25</f>
        <v>636.50967926556143</v>
      </c>
      <c r="K25" s="26">
        <v>1.5132000000000001E-7</v>
      </c>
      <c r="L25" s="25">
        <f t="shared" si="4"/>
        <v>151.32</v>
      </c>
      <c r="M25" s="26">
        <v>2.9877000000000002E-7</v>
      </c>
      <c r="N25" s="25">
        <f t="shared" si="0"/>
        <v>298.77</v>
      </c>
      <c r="O25" s="16">
        <f t="shared" si="1"/>
        <v>302.64</v>
      </c>
      <c r="P25" s="25">
        <f t="shared" si="2"/>
        <v>51.826086956521721</v>
      </c>
    </row>
    <row r="26" spans="1:16" x14ac:dyDescent="0.2">
      <c r="A26" s="25">
        <v>221.66666666666666</v>
      </c>
      <c r="B26" s="7">
        <v>1250</v>
      </c>
      <c r="C26" s="70">
        <f>'1250 rpm'!$I$48</f>
        <v>13.544119148923951</v>
      </c>
      <c r="E26" s="27">
        <f>6*C$19*PI()*C26</f>
        <v>891.66298489802909</v>
      </c>
      <c r="K26" s="26">
        <v>1.3568300000000001E-7</v>
      </c>
      <c r="L26" s="25">
        <f t="shared" si="4"/>
        <v>135.68299999999999</v>
      </c>
      <c r="M26" s="26">
        <v>2.6590799999999997E-7</v>
      </c>
      <c r="N26" s="25">
        <f t="shared" si="0"/>
        <v>265.90799999999996</v>
      </c>
      <c r="O26" s="16">
        <f t="shared" si="1"/>
        <v>271.36599999999999</v>
      </c>
      <c r="P26" s="25">
        <f t="shared" si="2"/>
        <v>22.420751879699246</v>
      </c>
    </row>
    <row r="27" spans="1:16" x14ac:dyDescent="0.2">
      <c r="B27" s="7"/>
      <c r="E27" s="27"/>
      <c r="K27" s="26"/>
      <c r="L27" s="25"/>
      <c r="M27" s="26"/>
      <c r="N27" s="25"/>
      <c r="O27" s="16"/>
    </row>
    <row r="28" spans="1:16" x14ac:dyDescent="0.2">
      <c r="B28" s="7"/>
      <c r="E28" s="27"/>
      <c r="K28" s="26"/>
      <c r="L28" s="25"/>
      <c r="M28" s="26"/>
      <c r="N28" s="25"/>
      <c r="O28" s="16"/>
    </row>
    <row r="29" spans="1:16" x14ac:dyDescent="0.2">
      <c r="B29" s="7"/>
      <c r="E29" s="27"/>
      <c r="K29" s="26"/>
      <c r="L29" s="25"/>
      <c r="M29" s="26"/>
      <c r="N29" s="25"/>
      <c r="O29" s="16"/>
    </row>
    <row r="36" spans="2:26" x14ac:dyDescent="0.2">
      <c r="V36" s="42"/>
      <c r="W36" s="42"/>
      <c r="X36" s="42"/>
      <c r="Y36" s="42"/>
      <c r="Z36" s="42"/>
    </row>
    <row r="37" spans="2:26" x14ac:dyDescent="0.2">
      <c r="V37" s="42"/>
      <c r="W37" s="42"/>
      <c r="X37" s="42"/>
      <c r="Y37" s="42"/>
      <c r="Z37" s="42"/>
    </row>
    <row r="38" spans="2:26" x14ac:dyDescent="0.2">
      <c r="V38" s="42"/>
      <c r="W38" s="42"/>
      <c r="X38" s="42"/>
      <c r="Y38" s="42"/>
      <c r="Z38" s="42"/>
    </row>
    <row r="39" spans="2:26" x14ac:dyDescent="0.2">
      <c r="V39" s="7"/>
      <c r="W39" s="16"/>
      <c r="X39" s="16"/>
      <c r="Y39" s="16"/>
      <c r="Z39" s="16"/>
    </row>
    <row r="40" spans="2:26" x14ac:dyDescent="0.2">
      <c r="B40" s="3"/>
      <c r="C40" s="10"/>
      <c r="D40" s="43"/>
      <c r="E40" s="47"/>
      <c r="V40" s="7"/>
      <c r="W40" s="16"/>
      <c r="X40" s="16"/>
      <c r="Y40" s="16"/>
      <c r="Z40" s="16"/>
    </row>
    <row r="41" spans="2:26" x14ac:dyDescent="0.2">
      <c r="B41" s="3"/>
      <c r="C41" s="10"/>
      <c r="D41" s="17"/>
      <c r="E41" s="47"/>
      <c r="V41" s="7"/>
      <c r="W41" s="44"/>
      <c r="X41" s="44"/>
      <c r="Y41" s="16"/>
      <c r="Z41" s="16"/>
    </row>
    <row r="42" spans="2:26" x14ac:dyDescent="0.2">
      <c r="B42" s="3"/>
      <c r="C42" s="17"/>
      <c r="D42" s="17"/>
      <c r="E42" s="47"/>
      <c r="V42" s="7"/>
      <c r="W42" s="44"/>
      <c r="X42" s="44"/>
      <c r="Y42" s="16"/>
      <c r="Z42" s="16"/>
    </row>
    <row r="43" spans="2:26" x14ac:dyDescent="0.2">
      <c r="B43" s="3"/>
      <c r="C43" s="17"/>
      <c r="D43" s="17"/>
      <c r="E43" s="47"/>
      <c r="V43" s="7"/>
      <c r="W43" s="44"/>
      <c r="X43" s="44"/>
      <c r="Y43" s="16"/>
      <c r="Z43" s="16"/>
    </row>
    <row r="44" spans="2:26" x14ac:dyDescent="0.2">
      <c r="C44" s="17"/>
      <c r="D44" s="17"/>
      <c r="V44" s="7"/>
      <c r="W44" s="44"/>
      <c r="X44" s="44"/>
      <c r="Y44" s="16"/>
      <c r="Z44" s="16"/>
    </row>
    <row r="45" spans="2:26" x14ac:dyDescent="0.2">
      <c r="B45" s="3"/>
      <c r="C45" s="17"/>
      <c r="D45" s="17"/>
      <c r="V45" s="7"/>
      <c r="W45" s="44"/>
      <c r="X45" s="44"/>
      <c r="Y45" s="16"/>
      <c r="Z45" s="16"/>
    </row>
    <row r="46" spans="2:26" x14ac:dyDescent="0.2">
      <c r="B46" s="3"/>
      <c r="C46" s="17"/>
      <c r="D46" s="17"/>
      <c r="V46" s="7"/>
      <c r="W46" s="44"/>
      <c r="X46" s="44"/>
      <c r="Y46" s="16"/>
      <c r="Z46" s="16"/>
    </row>
    <row r="49" spans="18:18" x14ac:dyDescent="0.2">
      <c r="R49"/>
    </row>
    <row r="51" spans="18:18" x14ac:dyDescent="0.2">
      <c r="R51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41" r:id="rId4">
          <objectPr defaultSize="0" autoPict="0" r:id="rId5">
            <anchor moveWithCells="1">
              <from>
                <xdr:col>9</xdr:col>
                <xdr:colOff>736600</xdr:colOff>
                <xdr:row>7</xdr:row>
                <xdr:rowOff>76200</xdr:rowOff>
              </from>
              <to>
                <xdr:col>14</xdr:col>
                <xdr:colOff>482600</xdr:colOff>
                <xdr:row>16</xdr:row>
                <xdr:rowOff>101600</xdr:rowOff>
              </to>
            </anchor>
          </objectPr>
        </oleObject>
      </mc:Choice>
      <mc:Fallback>
        <oleObject progId="Equation.DSMT4" shapeId="10241" r:id="rId4"/>
      </mc:Fallback>
    </mc:AlternateContent>
    <mc:AlternateContent xmlns:mc="http://schemas.openxmlformats.org/markup-compatibility/2006">
      <mc:Choice Requires="x14">
        <oleObject progId="Equation.DSMT4" shapeId="10242" r:id="rId6">
          <objectPr defaultSize="0" autoPict="0" r:id="rId7">
            <anchor moveWithCells="1">
              <from>
                <xdr:col>2</xdr:col>
                <xdr:colOff>609600</xdr:colOff>
                <xdr:row>7</xdr:row>
                <xdr:rowOff>101600</xdr:rowOff>
              </from>
              <to>
                <xdr:col>4</xdr:col>
                <xdr:colOff>660400</xdr:colOff>
                <xdr:row>16</xdr:row>
                <xdr:rowOff>63500</xdr:rowOff>
              </to>
            </anchor>
          </objectPr>
        </oleObject>
      </mc:Choice>
      <mc:Fallback>
        <oleObject progId="Equation.DSMT4" shapeId="10242" r:id="rId6"/>
      </mc:Fallback>
    </mc:AlternateContent>
    <mc:AlternateContent xmlns:mc="http://schemas.openxmlformats.org/markup-compatibility/2006">
      <mc:Choice Requires="x14">
        <oleObject progId="Equation.DSMT4" shapeId="10243" r:id="rId8">
          <objectPr defaultSize="0" autoPict="0" r:id="rId9">
            <anchor moveWithCells="1">
              <from>
                <xdr:col>7</xdr:col>
                <xdr:colOff>622300</xdr:colOff>
                <xdr:row>0</xdr:row>
                <xdr:rowOff>152400</xdr:rowOff>
              </from>
              <to>
                <xdr:col>10</xdr:col>
                <xdr:colOff>673100</xdr:colOff>
                <xdr:row>1</xdr:row>
                <xdr:rowOff>215900</xdr:rowOff>
              </to>
            </anchor>
          </objectPr>
        </oleObject>
      </mc:Choice>
      <mc:Fallback>
        <oleObject progId="Equation.DSMT4" shapeId="10243" r:id="rId8"/>
      </mc:Fallback>
    </mc:AlternateContent>
    <mc:AlternateContent xmlns:mc="http://schemas.openxmlformats.org/markup-compatibility/2006">
      <mc:Choice Requires="x14">
        <oleObject progId="Equation.DSMT4" shapeId="10244" r:id="rId10">
          <objectPr defaultSize="0" autoPict="0" r:id="rId11">
            <anchor moveWithCells="1">
              <from>
                <xdr:col>2</xdr:col>
                <xdr:colOff>635000</xdr:colOff>
                <xdr:row>2</xdr:row>
                <xdr:rowOff>76200</xdr:rowOff>
              </from>
              <to>
                <xdr:col>2</xdr:col>
                <xdr:colOff>1079500</xdr:colOff>
                <xdr:row>3</xdr:row>
                <xdr:rowOff>139700</xdr:rowOff>
              </to>
            </anchor>
          </objectPr>
        </oleObject>
      </mc:Choice>
      <mc:Fallback>
        <oleObject progId="Equation.DSMT4" shapeId="10244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D9FA-0D23-440B-A17F-5BE5601AD5E9}">
  <dimension ref="B2:P14"/>
  <sheetViews>
    <sheetView topLeftCell="A4" workbookViewId="0">
      <selection activeCell="H21" sqref="H21"/>
    </sheetView>
  </sheetViews>
  <sheetFormatPr baseColWidth="10" defaultRowHeight="15" x14ac:dyDescent="0.2"/>
  <cols>
    <col min="6" max="6" width="12.6640625" bestFit="1" customWidth="1"/>
    <col min="8" max="8" width="12.6640625" bestFit="1" customWidth="1"/>
    <col min="9" max="10" width="12" bestFit="1" customWidth="1"/>
    <col min="12" max="12" width="16.6640625" bestFit="1" customWidth="1"/>
    <col min="16" max="16" width="16.6640625" bestFit="1" customWidth="1"/>
  </cols>
  <sheetData>
    <row r="2" spans="2:16" ht="17" x14ac:dyDescent="0.2">
      <c r="C2" s="3" t="s">
        <v>58</v>
      </c>
      <c r="D2">
        <v>9.81</v>
      </c>
    </row>
    <row r="3" spans="2:16" ht="16" x14ac:dyDescent="0.2">
      <c r="C3" s="3" t="s">
        <v>23</v>
      </c>
      <c r="D3">
        <f>9.8*POWER(10,-4)</f>
        <v>9.8000000000000019E-4</v>
      </c>
      <c r="F3" s="31" t="s">
        <v>59</v>
      </c>
      <c r="G3">
        <v>1000</v>
      </c>
    </row>
    <row r="4" spans="2:16" ht="17" x14ac:dyDescent="0.2">
      <c r="C4" s="3" t="s">
        <v>21</v>
      </c>
      <c r="D4" s="13">
        <v>1.8E-3</v>
      </c>
      <c r="F4" s="3" t="s">
        <v>61</v>
      </c>
      <c r="G4">
        <v>655</v>
      </c>
    </row>
    <row r="5" spans="2:16" x14ac:dyDescent="0.2">
      <c r="C5" s="3" t="s">
        <v>57</v>
      </c>
      <c r="D5" s="13">
        <f>(0.000000077)/2</f>
        <v>3.8500000000000001E-8</v>
      </c>
      <c r="E5" t="s">
        <v>75</v>
      </c>
    </row>
    <row r="6" spans="2:16" x14ac:dyDescent="0.2">
      <c r="C6" s="32" t="s">
        <v>60</v>
      </c>
      <c r="D6" s="2">
        <v>3.4925999999999999</v>
      </c>
      <c r="G6" s="22"/>
      <c r="H6" s="34"/>
      <c r="I6" s="34" t="s">
        <v>77</v>
      </c>
      <c r="J6" s="34"/>
      <c r="K6" s="35"/>
      <c r="L6" s="35"/>
      <c r="N6" s="22"/>
      <c r="O6" s="22" t="s">
        <v>80</v>
      </c>
      <c r="P6" s="22"/>
    </row>
    <row r="7" spans="2:16" x14ac:dyDescent="0.2">
      <c r="F7" s="71"/>
      <c r="G7" s="22"/>
      <c r="H7" s="34"/>
      <c r="I7" s="34"/>
      <c r="J7" s="34"/>
      <c r="K7" s="35"/>
      <c r="L7" s="35"/>
      <c r="N7" s="22"/>
      <c r="O7" s="22"/>
      <c r="P7" s="22"/>
    </row>
    <row r="8" spans="2:16" x14ac:dyDescent="0.2">
      <c r="B8" s="22"/>
      <c r="C8" s="33" t="s">
        <v>46</v>
      </c>
      <c r="D8" s="34"/>
      <c r="E8" s="34"/>
      <c r="F8" s="71"/>
      <c r="G8" s="22"/>
      <c r="H8" s="34" t="s">
        <v>76</v>
      </c>
      <c r="I8" s="34"/>
      <c r="J8" s="34"/>
      <c r="K8" s="35"/>
      <c r="L8" s="35"/>
      <c r="N8" s="22"/>
      <c r="O8" s="22"/>
      <c r="P8" s="22"/>
    </row>
    <row r="9" spans="2:16" x14ac:dyDescent="0.2">
      <c r="B9" s="22" t="s">
        <v>74</v>
      </c>
      <c r="C9" s="34" t="s">
        <v>49</v>
      </c>
      <c r="D9" s="33" t="s">
        <v>62</v>
      </c>
      <c r="E9" s="34"/>
      <c r="F9" s="27"/>
      <c r="G9" s="75" t="s">
        <v>82</v>
      </c>
      <c r="H9" s="72" t="s">
        <v>13</v>
      </c>
      <c r="I9" s="72" t="s">
        <v>14</v>
      </c>
      <c r="J9" s="73" t="s">
        <v>78</v>
      </c>
      <c r="K9" s="74" t="s">
        <v>79</v>
      </c>
      <c r="L9" s="74" t="s">
        <v>83</v>
      </c>
      <c r="N9" s="75" t="s">
        <v>81</v>
      </c>
      <c r="O9" s="75" t="s">
        <v>79</v>
      </c>
      <c r="P9" s="74" t="s">
        <v>83</v>
      </c>
    </row>
    <row r="10" spans="2:16" x14ac:dyDescent="0.2">
      <c r="B10" s="16">
        <v>321.75</v>
      </c>
      <c r="C10" s="3">
        <v>250</v>
      </c>
      <c r="D10" s="48">
        <f>'250 rpm'!$I$41</f>
        <v>1.0757172230949368</v>
      </c>
      <c r="E10" s="26"/>
      <c r="F10" s="27"/>
      <c r="G10" s="76">
        <f>D$5^2*D10^2</f>
        <v>1.7152115921875032E-15</v>
      </c>
      <c r="H10" s="76">
        <f>((12^(1/3)*(G10*(D$4+(D$4^2-12*G10)^0.5))^(1/3))/(3*D10))</f>
        <v>1.3015107901391376E-6</v>
      </c>
      <c r="I10" s="76">
        <f>(12^(2/3)*D$5^2*D10)/(3*(G10*(D$4+(D$4^2-12*G10)^0.5))^(1/3))</f>
        <v>1.518491700804151E-9</v>
      </c>
      <c r="J10" s="76">
        <f>H10+I10</f>
        <v>1.3030292818399417E-6</v>
      </c>
      <c r="K10" s="16">
        <f>J10*1000000000</f>
        <v>1303.0292818399416</v>
      </c>
      <c r="L10" s="16">
        <f>(K10-B10)/B10*100</f>
        <v>304.98190577775961</v>
      </c>
      <c r="N10" s="25">
        <f>((2*D$4)/(3*D$6*D$5*2*D10))^(1/3)</f>
        <v>16.067483023118029</v>
      </c>
      <c r="O10" s="16">
        <f>N10*2*D$5/0.000000001</f>
        <v>1237.1961927800883</v>
      </c>
      <c r="P10" s="16">
        <f>(O10-B10)/B10*100</f>
        <v>284.52096123701267</v>
      </c>
    </row>
    <row r="11" spans="2:16" x14ac:dyDescent="0.2">
      <c r="B11" s="16">
        <v>243.5</v>
      </c>
      <c r="C11" s="3">
        <v>500</v>
      </c>
      <c r="D11" s="70">
        <f>'500 rpm'!$I$44</f>
        <v>3.314997208574757</v>
      </c>
      <c r="F11" s="27"/>
      <c r="G11" s="76">
        <f t="shared" ref="G11:G14" si="0">D$5^2*D11^2</f>
        <v>1.628875132403941E-14</v>
      </c>
      <c r="H11" s="76">
        <f>((12^(1/3)*(G11*(D$4+(D$4^2-12*G11)^0.5))^(1/3))/(3*D11))</f>
        <v>8.9437452961986686E-7</v>
      </c>
      <c r="I11" s="76">
        <f t="shared" ref="I11:I14" si="1">(12^(2/3)*D$5^2*D11)/(3*(G11*(D$4+(D$4^2-12*G11)^0.5))^(1/3))</f>
        <v>2.2097379429771196E-9</v>
      </c>
      <c r="J11" s="76">
        <f t="shared" ref="J11:J14" si="2">H11+I11</f>
        <v>8.9658426756284399E-7</v>
      </c>
      <c r="K11" s="16">
        <f t="shared" ref="K11:K14" si="3">J11*1000000000</f>
        <v>896.58426756284393</v>
      </c>
      <c r="L11" s="16">
        <f t="shared" ref="L11:L14" si="4">(K11-B11)/B11*100</f>
        <v>268.20709140157862</v>
      </c>
      <c r="N11" s="25">
        <f t="shared" ref="N11:N14" si="5">((2*D$4)/(3*D$6*D$5*2*D11))^(1/3)</f>
        <v>11.041281981287323</v>
      </c>
      <c r="O11" s="16">
        <f t="shared" ref="O11:O14" si="6">N11*2*D$5/0.000000001</f>
        <v>850.17871255912382</v>
      </c>
      <c r="P11" s="16">
        <f t="shared" ref="P11:P14" si="7">(O11-B11)/B11*100</f>
        <v>249.14936860744302</v>
      </c>
    </row>
    <row r="12" spans="2:16" x14ac:dyDescent="0.2">
      <c r="B12" s="16">
        <v>206.25</v>
      </c>
      <c r="C12" s="3">
        <v>750</v>
      </c>
      <c r="D12" s="70">
        <f>' 750 rpm'!$I$46</f>
        <v>6.2128194040349793</v>
      </c>
      <c r="F12" s="27"/>
      <c r="G12" s="76">
        <f t="shared" si="0"/>
        <v>5.7213552952918359E-14</v>
      </c>
      <c r="H12" s="76">
        <f t="shared" ref="H12:H14" si="8">((12^(1/3)*(G12*(D$4+(D$4^2-12*G12)^0.5))^(1/3))/(3*D12))</f>
        <v>7.2541115505728038E-7</v>
      </c>
      <c r="I12" s="76">
        <f t="shared" si="1"/>
        <v>2.7244319577319939E-9</v>
      </c>
      <c r="J12" s="76">
        <f t="shared" si="2"/>
        <v>7.2813558701501238E-7</v>
      </c>
      <c r="K12" s="16">
        <f t="shared" si="3"/>
        <v>728.13558701501233</v>
      </c>
      <c r="L12" s="16">
        <f t="shared" si="4"/>
        <v>253.03543612849083</v>
      </c>
      <c r="N12" s="25">
        <f t="shared" si="5"/>
        <v>8.9553860840955686</v>
      </c>
      <c r="O12" s="16">
        <f t="shared" si="6"/>
        <v>689.56472847535872</v>
      </c>
      <c r="P12" s="16">
        <f t="shared" si="7"/>
        <v>234.33441380623452</v>
      </c>
    </row>
    <row r="13" spans="2:16" x14ac:dyDescent="0.2">
      <c r="B13" s="16">
        <v>199.33333333333334</v>
      </c>
      <c r="C13" s="3">
        <v>1000</v>
      </c>
      <c r="D13" s="70">
        <f>'1000 rpm'!$I$47</f>
        <v>9.6684095688933738</v>
      </c>
      <c r="F13" s="27"/>
      <c r="G13" s="76">
        <f t="shared" si="0"/>
        <v>1.3855797833904776E-13</v>
      </c>
      <c r="H13" s="76">
        <f t="shared" si="8"/>
        <v>6.2598238938746758E-7</v>
      </c>
      <c r="I13" s="76">
        <f t="shared" si="1"/>
        <v>3.1571708195612387E-9</v>
      </c>
      <c r="J13" s="76">
        <f t="shared" si="2"/>
        <v>6.291395602070288E-7</v>
      </c>
      <c r="K13" s="16">
        <f t="shared" si="3"/>
        <v>629.13956020702881</v>
      </c>
      <c r="L13" s="16">
        <f t="shared" si="4"/>
        <v>215.62185294666995</v>
      </c>
      <c r="N13" s="25">
        <f t="shared" si="5"/>
        <v>7.727912757435595</v>
      </c>
      <c r="O13" s="16">
        <f t="shared" si="6"/>
        <v>595.04928232254076</v>
      </c>
      <c r="P13" s="16">
        <f t="shared" si="7"/>
        <v>198.51970685077293</v>
      </c>
    </row>
    <row r="14" spans="2:16" x14ac:dyDescent="0.2">
      <c r="B14" s="16">
        <v>221.66666666666666</v>
      </c>
      <c r="C14" s="7">
        <v>1250</v>
      </c>
      <c r="D14" s="70">
        <f>'1250 rpm'!$I$48</f>
        <v>13.544119148923951</v>
      </c>
      <c r="G14" s="76">
        <f t="shared" si="0"/>
        <v>2.7190862912788825E-13</v>
      </c>
      <c r="H14" s="76">
        <f t="shared" si="8"/>
        <v>5.5945289074209785E-7</v>
      </c>
      <c r="I14" s="76">
        <f t="shared" si="1"/>
        <v>3.5326179666562907E-9</v>
      </c>
      <c r="J14" s="76">
        <f t="shared" si="2"/>
        <v>5.6298550870875418E-7</v>
      </c>
      <c r="K14" s="16">
        <f t="shared" si="3"/>
        <v>562.9855087087542</v>
      </c>
      <c r="L14" s="16">
        <f t="shared" si="4"/>
        <v>153.97842498139289</v>
      </c>
      <c r="N14" s="25">
        <f t="shared" si="5"/>
        <v>6.9065893590419138</v>
      </c>
      <c r="O14" s="16">
        <f t="shared" si="6"/>
        <v>531.80738064622733</v>
      </c>
      <c r="P14" s="16">
        <f t="shared" si="7"/>
        <v>139.91310405092966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74E33-6746-4A38-970C-6DAECFB7C12C}">
  <dimension ref="A8:J18"/>
  <sheetViews>
    <sheetView tabSelected="1" workbookViewId="0">
      <selection activeCell="J4" sqref="J4"/>
    </sheetView>
  </sheetViews>
  <sheetFormatPr baseColWidth="10" defaultRowHeight="15" x14ac:dyDescent="0.2"/>
  <cols>
    <col min="5" max="5" width="12.5" bestFit="1" customWidth="1"/>
    <col min="6" max="7" width="11.5" bestFit="1" customWidth="1"/>
  </cols>
  <sheetData>
    <row r="8" spans="1:10" x14ac:dyDescent="0.2">
      <c r="A8" s="66" t="s">
        <v>63</v>
      </c>
      <c r="B8" s="66"/>
      <c r="F8" s="3" t="s">
        <v>66</v>
      </c>
    </row>
    <row r="9" spans="1:10" x14ac:dyDescent="0.2">
      <c r="A9" s="3" t="s">
        <v>22</v>
      </c>
      <c r="B9">
        <v>1000</v>
      </c>
    </row>
    <row r="10" spans="1:10" x14ac:dyDescent="0.2">
      <c r="A10" s="3" t="s">
        <v>64</v>
      </c>
      <c r="B10" s="69">
        <v>7.7000000000000001E-8</v>
      </c>
      <c r="C10" t="s">
        <v>65</v>
      </c>
    </row>
    <row r="11" spans="1:10" x14ac:dyDescent="0.2">
      <c r="A11" s="3" t="s">
        <v>21</v>
      </c>
      <c r="B11" s="13">
        <v>1.8E-3</v>
      </c>
      <c r="E11" t="s">
        <v>71</v>
      </c>
      <c r="F11" s="13">
        <f>(4*B11)/B10</f>
        <v>93506.493506493498</v>
      </c>
      <c r="G11" t="s">
        <v>67</v>
      </c>
      <c r="J11" s="13"/>
    </row>
    <row r="12" spans="1:10" x14ac:dyDescent="0.2">
      <c r="A12" s="3" t="s">
        <v>72</v>
      </c>
      <c r="B12" s="13">
        <v>3.1E-2</v>
      </c>
    </row>
    <row r="13" spans="1:10" x14ac:dyDescent="0.2">
      <c r="E13" s="67" t="s">
        <v>49</v>
      </c>
      <c r="F13" s="68" t="s">
        <v>68</v>
      </c>
      <c r="G13" s="68" t="s">
        <v>15</v>
      </c>
      <c r="H13" s="68" t="s">
        <v>70</v>
      </c>
      <c r="I13" s="68" t="s">
        <v>69</v>
      </c>
      <c r="J13" s="68"/>
    </row>
    <row r="14" spans="1:10" x14ac:dyDescent="0.2">
      <c r="C14" s="25"/>
      <c r="E14" s="25">
        <v>250</v>
      </c>
      <c r="F14" s="25">
        <v>321.75</v>
      </c>
      <c r="G14" s="25">
        <f>F14/77</f>
        <v>4.1785714285714288</v>
      </c>
      <c r="H14" s="25">
        <f>E14/60</f>
        <v>4.166666666666667</v>
      </c>
      <c r="I14" s="13">
        <f>(F$11)/(B$9*H14*B$12)</f>
        <v>723.9212400502721</v>
      </c>
    </row>
    <row r="15" spans="1:10" x14ac:dyDescent="0.2">
      <c r="C15" s="25"/>
      <c r="E15" s="25">
        <v>500</v>
      </c>
      <c r="F15" s="25">
        <v>243.5</v>
      </c>
      <c r="G15" s="25">
        <f t="shared" ref="G15:G18" si="0">F15/77</f>
        <v>3.1623376623376624</v>
      </c>
      <c r="H15" s="25">
        <f t="shared" ref="H15:H18" si="1">E15/60</f>
        <v>8.3333333333333339</v>
      </c>
      <c r="I15" s="13">
        <f t="shared" ref="I15:I18" si="2">(F$11)/(B$9*H15*B$12)</f>
        <v>361.96062002513605</v>
      </c>
    </row>
    <row r="16" spans="1:10" x14ac:dyDescent="0.2">
      <c r="C16" s="25"/>
      <c r="E16" s="25">
        <v>750</v>
      </c>
      <c r="F16" s="25">
        <v>206.25</v>
      </c>
      <c r="G16" s="25">
        <f t="shared" si="0"/>
        <v>2.6785714285714284</v>
      </c>
      <c r="H16" s="25">
        <f t="shared" si="1"/>
        <v>12.5</v>
      </c>
      <c r="I16" s="13">
        <f t="shared" si="2"/>
        <v>241.30708001675742</v>
      </c>
    </row>
    <row r="17" spans="3:9" x14ac:dyDescent="0.2">
      <c r="C17" s="25"/>
      <c r="E17" s="25">
        <v>1000</v>
      </c>
      <c r="F17" s="25">
        <v>199.33333333333334</v>
      </c>
      <c r="G17" s="25">
        <f t="shared" si="0"/>
        <v>2.5887445887445888</v>
      </c>
      <c r="H17" s="25">
        <f t="shared" si="1"/>
        <v>16.666666666666668</v>
      </c>
      <c r="I17" s="13">
        <f t="shared" si="2"/>
        <v>180.98031001256803</v>
      </c>
    </row>
    <row r="18" spans="3:9" x14ac:dyDescent="0.2">
      <c r="C18" s="25"/>
      <c r="E18" s="25">
        <v>1250</v>
      </c>
      <c r="F18" s="25">
        <v>221.66666666666666</v>
      </c>
      <c r="G18" s="25">
        <f t="shared" si="0"/>
        <v>2.8787878787878785</v>
      </c>
      <c r="H18" s="25">
        <f t="shared" si="1"/>
        <v>20.833333333333332</v>
      </c>
      <c r="I18" s="13">
        <f t="shared" si="2"/>
        <v>144.78424801005445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250 rpm</vt:lpstr>
      <vt:lpstr>500 rpm</vt:lpstr>
      <vt:lpstr> 750 rpm</vt:lpstr>
      <vt:lpstr>1000 rpm</vt:lpstr>
      <vt:lpstr>1250 rpm</vt:lpstr>
      <vt:lpstr>Shear stress profiel</vt:lpstr>
      <vt:lpstr>KPL  model </vt:lpstr>
      <vt:lpstr>Other models</vt:lpstr>
      <vt:lpstr>Eu number</vt:lpstr>
      <vt:lpstr>Forces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Lucecita</dc:creator>
  <cp:lastModifiedBy>Davide Mattia</cp:lastModifiedBy>
  <dcterms:created xsi:type="dcterms:W3CDTF">2014-06-30T16:30:26Z</dcterms:created>
  <dcterms:modified xsi:type="dcterms:W3CDTF">2018-08-16T07:19:37Z</dcterms:modified>
</cp:coreProperties>
</file>