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omments8.xml" ContentType="application/vnd.openxmlformats-officedocument.spreadsheetml.comments+xml"/>
  <Override PartName="/xl/comments9.xml" ContentType="application/vnd.openxmlformats-officedocument.spreadsheetml.comments+xml"/>
  <Override PartName="/xl/drawings/drawing7.xml" ContentType="application/vnd.openxmlformats-officedocument.drawing+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myfiles\hac38\dos\A_My Documents\PhD\Hydration trial\Paper draft 1\draft 2\Draft 3\draft 4\draft 5\glycaemia\JAP\do not submit\"/>
    </mc:Choice>
  </mc:AlternateContent>
  <bookViews>
    <workbookView xWindow="0" yWindow="0" windowWidth="20460" windowHeight="7695"/>
  </bookViews>
  <sheets>
    <sheet name="Notes - how to use this dataset" sheetId="3" r:id="rId1"/>
    <sheet name="Deviations to protocol" sheetId="36" r:id="rId2"/>
    <sheet name="Approach to methodology" sheetId="35" r:id="rId3"/>
    <sheet name="Blood handling and analysis" sheetId="37" r:id="rId4"/>
    <sheet name="Participant characteristics" sheetId="1" r:id="rId5"/>
    <sheet name="Body mass (kg)" sheetId="2" r:id="rId6"/>
    <sheet name="Body water %" sheetId="4" r:id="rId7"/>
    <sheet name="PAEE (kcal.d)" sheetId="5" r:id="rId8"/>
    <sheet name="Diet analysis" sheetId="6" r:id="rId9"/>
    <sheet name="Urine specific gravity" sheetId="7" r:id="rId10"/>
    <sheet name="Urine osmolality (mOsm.kg)" sheetId="8" r:id="rId11"/>
    <sheet name="Heat tent temperature (degreeC)" sheetId="9" r:id="rId12"/>
    <sheet name="Heat tent humidity (%)" sheetId="10" r:id="rId13"/>
    <sheet name="Weight loss from heat tent (kg)" sheetId="11" r:id="rId14"/>
    <sheet name="Water prescription day 4 (L)" sheetId="12" r:id="rId15"/>
    <sheet name="Cross-sectional muscle area " sheetId="15" r:id="rId16"/>
    <sheet name="Muscle water content" sheetId="33" r:id="rId17"/>
    <sheet name="Plasma volume % change from BL" sheetId="14" r:id="rId18"/>
    <sheet name="Serum osmolality (mOsm.kg)" sheetId="13" r:id="rId19"/>
    <sheet name="Plasma AVP" sheetId="34" r:id="rId20"/>
    <sheet name="Plasma copeptin (pmol.L)" sheetId="16" r:id="rId21"/>
    <sheet name="Plasma ACTH (pmol.L)" sheetId="17" r:id="rId22"/>
    <sheet name="Plasma cortisol (nmol.L)" sheetId="18" r:id="rId23"/>
    <sheet name="Serum insulin (pmol.L)" sheetId="20" r:id="rId24"/>
    <sheet name="Serum glucose (mmol.L)" sheetId="21" r:id="rId25"/>
    <sheet name="RMR kJ.d.kg" sheetId="22" r:id="rId26"/>
    <sheet name="Respiratory exchange ratio" sheetId="23" r:id="rId27"/>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W4" i="6" l="1"/>
  <c r="W5" i="6"/>
  <c r="W6" i="6"/>
  <c r="W7" i="6"/>
  <c r="W8" i="6"/>
  <c r="W9" i="6"/>
  <c r="W10" i="6"/>
  <c r="W11" i="6"/>
  <c r="W12" i="6"/>
  <c r="W13" i="6"/>
  <c r="W14" i="6"/>
  <c r="W15" i="6"/>
  <c r="W16" i="6"/>
  <c r="W17" i="6"/>
  <c r="W18" i="6"/>
  <c r="W21" i="6"/>
  <c r="W22" i="6"/>
  <c r="W23" i="6"/>
  <c r="W24" i="6"/>
  <c r="W25" i="6"/>
  <c r="W26" i="6"/>
  <c r="W27" i="6"/>
  <c r="W28" i="6"/>
  <c r="W29" i="6"/>
  <c r="W30" i="6"/>
  <c r="W31" i="6"/>
  <c r="W32" i="6"/>
  <c r="W33" i="6"/>
  <c r="W34" i="6"/>
  <c r="W35" i="6"/>
  <c r="W36" i="6"/>
  <c r="W3" i="6"/>
  <c r="M4" i="6"/>
  <c r="M5" i="6"/>
  <c r="M6" i="6"/>
  <c r="M7" i="6"/>
  <c r="M8" i="6"/>
  <c r="M9" i="6"/>
  <c r="M10" i="6"/>
  <c r="M11" i="6"/>
  <c r="M12" i="6"/>
  <c r="M13" i="6"/>
  <c r="M14" i="6"/>
  <c r="M15" i="6"/>
  <c r="M16" i="6"/>
  <c r="M17" i="6"/>
  <c r="M18" i="6"/>
  <c r="M21" i="6"/>
  <c r="M22" i="6"/>
  <c r="M23" i="6"/>
  <c r="M24" i="6"/>
  <c r="M25" i="6"/>
  <c r="M26" i="6"/>
  <c r="M27" i="6"/>
  <c r="M28" i="6"/>
  <c r="M29" i="6"/>
  <c r="M30" i="6"/>
  <c r="M31" i="6"/>
  <c r="M32" i="6"/>
  <c r="M33" i="6"/>
  <c r="M34" i="6"/>
  <c r="M35" i="6"/>
  <c r="M36" i="6"/>
  <c r="M3" i="6"/>
  <c r="C4" i="6"/>
  <c r="C5" i="6"/>
  <c r="C6" i="6"/>
  <c r="C7" i="6"/>
  <c r="C8" i="6"/>
  <c r="C9" i="6"/>
  <c r="C10" i="6"/>
  <c r="C11" i="6"/>
  <c r="C12" i="6"/>
  <c r="C13" i="6"/>
  <c r="C14" i="6"/>
  <c r="C15" i="6"/>
  <c r="C16" i="6"/>
  <c r="C17" i="6"/>
  <c r="C18" i="6"/>
  <c r="C21" i="6"/>
  <c r="C22" i="6"/>
  <c r="C23" i="6"/>
  <c r="C24" i="6"/>
  <c r="C25" i="6"/>
  <c r="C26" i="6"/>
  <c r="C27" i="6"/>
  <c r="C28" i="6"/>
  <c r="C29" i="6"/>
  <c r="C30" i="6"/>
  <c r="C31" i="6"/>
  <c r="C32" i="6"/>
  <c r="C33" i="6"/>
  <c r="C34" i="6"/>
  <c r="C35" i="6"/>
  <c r="C36" i="6"/>
  <c r="C3" i="6"/>
  <c r="AG4" i="6"/>
  <c r="AG5" i="6"/>
  <c r="AG6" i="6"/>
  <c r="AG7" i="6"/>
  <c r="AG8" i="6"/>
  <c r="AG9" i="6"/>
  <c r="AG10" i="6"/>
  <c r="AG11" i="6"/>
  <c r="AG12" i="6"/>
  <c r="AG13" i="6"/>
  <c r="AG14" i="6"/>
  <c r="AG15" i="6"/>
  <c r="AG16" i="6"/>
  <c r="AG17" i="6"/>
  <c r="AG18" i="6"/>
  <c r="AG21" i="6"/>
  <c r="AG22" i="6"/>
  <c r="AG23" i="6"/>
  <c r="AG24" i="6"/>
  <c r="AG25" i="6"/>
  <c r="AG26" i="6"/>
  <c r="AG27" i="6"/>
  <c r="AG28" i="6"/>
  <c r="AG29" i="6"/>
  <c r="AG30" i="6"/>
  <c r="AG31" i="6"/>
  <c r="AG32" i="6"/>
  <c r="AG33" i="6"/>
  <c r="AG34" i="6"/>
  <c r="AG35" i="6"/>
  <c r="AG36" i="6"/>
  <c r="AG3" i="6"/>
  <c r="B36" i="23" l="1"/>
  <c r="B35" i="23"/>
  <c r="B34" i="23"/>
  <c r="B33" i="23"/>
  <c r="B32" i="23"/>
  <c r="B31" i="23"/>
  <c r="B30" i="23"/>
  <c r="B29" i="23"/>
  <c r="B28" i="23"/>
  <c r="B26" i="23"/>
  <c r="B25" i="23"/>
  <c r="D23" i="23"/>
  <c r="B23" i="23"/>
  <c r="B22" i="23"/>
  <c r="B21" i="23"/>
  <c r="B18" i="23"/>
  <c r="B17" i="23"/>
  <c r="B16" i="23"/>
  <c r="B15" i="23"/>
  <c r="B14" i="23"/>
  <c r="B13" i="23"/>
  <c r="B12" i="23"/>
  <c r="B11" i="23"/>
  <c r="B10" i="23"/>
  <c r="B9" i="23"/>
  <c r="B8" i="23"/>
  <c r="B7" i="23"/>
  <c r="B6" i="23"/>
  <c r="B5" i="23"/>
  <c r="B4" i="23"/>
  <c r="B3" i="23"/>
  <c r="B21" i="12" l="1"/>
  <c r="D36" i="11"/>
  <c r="D35" i="11"/>
  <c r="D34" i="11"/>
  <c r="D33" i="11"/>
  <c r="D32" i="11"/>
  <c r="D31" i="11"/>
  <c r="C31" i="11"/>
  <c r="C30" i="11"/>
  <c r="B30" i="11"/>
  <c r="D30" i="11" s="1"/>
  <c r="D29" i="11"/>
  <c r="D28" i="11"/>
  <c r="C27" i="11"/>
  <c r="D27" i="11" s="1"/>
  <c r="B27" i="11"/>
  <c r="D26" i="11"/>
  <c r="C25" i="11"/>
  <c r="D25" i="11" s="1"/>
  <c r="D24" i="11"/>
  <c r="D23" i="11"/>
  <c r="C22" i="11"/>
  <c r="D22" i="11" s="1"/>
  <c r="D21" i="11"/>
  <c r="B18" i="11"/>
  <c r="D17" i="11"/>
  <c r="D16" i="11"/>
  <c r="B16" i="11"/>
  <c r="C15" i="11"/>
  <c r="B15" i="11"/>
  <c r="D15" i="11" s="1"/>
  <c r="D14" i="11"/>
  <c r="C13" i="11"/>
  <c r="B13" i="11"/>
  <c r="D13" i="11" s="1"/>
  <c r="C12" i="11"/>
  <c r="B12" i="11"/>
  <c r="D12" i="11" s="1"/>
  <c r="D11" i="11"/>
  <c r="D10" i="11"/>
  <c r="C10" i="11"/>
  <c r="C9" i="11"/>
  <c r="D9" i="11" s="1"/>
  <c r="B9" i="11"/>
  <c r="D8" i="11"/>
  <c r="D7" i="11"/>
  <c r="D6" i="11"/>
  <c r="D5" i="11"/>
  <c r="B5" i="11"/>
  <c r="C4" i="11"/>
  <c r="D4" i="11" s="1"/>
  <c r="C3" i="11"/>
  <c r="B3" i="11"/>
  <c r="D3" i="11" s="1"/>
  <c r="B36" i="8"/>
  <c r="C35" i="8"/>
  <c r="B34" i="8"/>
  <c r="C33" i="8"/>
  <c r="B33" i="8"/>
  <c r="C32" i="8"/>
  <c r="C31" i="8"/>
  <c r="B31" i="8"/>
  <c r="C30" i="8"/>
  <c r="B30" i="8"/>
  <c r="B28" i="8"/>
  <c r="C27" i="8"/>
  <c r="B27" i="8"/>
  <c r="C26" i="8"/>
  <c r="B26" i="8"/>
  <c r="C25" i="8"/>
  <c r="B25" i="8"/>
  <c r="C24" i="8"/>
  <c r="B24" i="8"/>
  <c r="C23" i="8"/>
  <c r="C22" i="8"/>
  <c r="B22" i="8"/>
  <c r="C21" i="8"/>
  <c r="C18" i="8"/>
  <c r="C15" i="8"/>
  <c r="B15" i="8"/>
  <c r="C14" i="8"/>
  <c r="B14" i="8"/>
  <c r="C13" i="8"/>
  <c r="B13" i="8"/>
  <c r="C12" i="8"/>
  <c r="B12" i="8"/>
  <c r="C11" i="8"/>
  <c r="C10" i="8"/>
  <c r="B10" i="8"/>
  <c r="C9" i="8"/>
  <c r="B9" i="8"/>
  <c r="C8" i="8"/>
  <c r="B8" i="8"/>
  <c r="C7" i="8"/>
  <c r="B7" i="8"/>
  <c r="C6" i="8"/>
  <c r="B6" i="8"/>
  <c r="C5" i="8"/>
  <c r="B5" i="8"/>
  <c r="C4" i="8"/>
  <c r="C3" i="8"/>
  <c r="B3" i="8"/>
  <c r="AP36" i="6"/>
  <c r="AP35" i="6"/>
  <c r="AP34" i="6"/>
  <c r="AP33" i="6"/>
  <c r="AP32" i="6"/>
  <c r="AP31" i="6"/>
  <c r="AP30" i="6"/>
  <c r="AP29" i="6"/>
  <c r="AP28" i="6"/>
  <c r="AP27" i="6"/>
  <c r="AP26" i="6"/>
  <c r="AP25" i="6"/>
  <c r="AP24" i="6"/>
  <c r="AP23" i="6"/>
  <c r="AP22" i="6"/>
  <c r="AP21" i="6"/>
  <c r="AP18" i="6"/>
  <c r="AP17" i="6"/>
  <c r="AP16" i="6"/>
  <c r="AP15" i="6"/>
  <c r="AP14" i="6"/>
  <c r="AP13" i="6"/>
  <c r="AP12" i="6"/>
  <c r="AP11" i="6"/>
  <c r="AP10" i="6"/>
  <c r="AP9" i="6"/>
  <c r="AP8" i="6"/>
  <c r="AP7" i="6"/>
  <c r="AP6" i="6"/>
  <c r="AP5" i="6"/>
  <c r="AP4" i="6"/>
  <c r="AP3" i="6"/>
  <c r="C35" i="4" l="1"/>
  <c r="B35" i="4"/>
  <c r="C34" i="4"/>
  <c r="B34" i="4"/>
  <c r="E33" i="4"/>
  <c r="F32" i="4"/>
  <c r="E32" i="4"/>
  <c r="D32" i="4"/>
  <c r="E31" i="4"/>
  <c r="D31" i="4"/>
  <c r="C31" i="4"/>
  <c r="B31" i="4"/>
  <c r="F29" i="4"/>
  <c r="F26" i="4"/>
  <c r="E26" i="4"/>
  <c r="C26" i="4"/>
  <c r="F25" i="4"/>
  <c r="E25" i="4"/>
  <c r="D25" i="4"/>
  <c r="C25" i="4"/>
  <c r="B25" i="4"/>
  <c r="F24" i="4"/>
  <c r="D24" i="4"/>
  <c r="C24" i="4"/>
  <c r="B24" i="4"/>
  <c r="F23" i="4"/>
  <c r="E23" i="4"/>
  <c r="D23" i="4"/>
  <c r="C23" i="4"/>
  <c r="B17" i="4"/>
  <c r="E16" i="4"/>
  <c r="F11" i="4"/>
  <c r="D11" i="4"/>
  <c r="E8" i="4"/>
  <c r="D8" i="4"/>
  <c r="C8" i="4"/>
  <c r="B8" i="4"/>
  <c r="F5" i="4"/>
  <c r="E3" i="4"/>
  <c r="D3" i="4"/>
  <c r="C3" i="4"/>
  <c r="D31" i="2"/>
  <c r="B31" i="2"/>
  <c r="F26" i="2"/>
  <c r="E26" i="2"/>
  <c r="C26" i="2"/>
  <c r="F25" i="2"/>
  <c r="E23" i="2"/>
  <c r="D23" i="2"/>
  <c r="C12" i="2"/>
  <c r="D9" i="2"/>
  <c r="E8" i="2"/>
  <c r="D8" i="2"/>
  <c r="B8" i="2"/>
</calcChain>
</file>

<file path=xl/comments1.xml><?xml version="1.0" encoding="utf-8"?>
<comments xmlns="http://schemas.openxmlformats.org/spreadsheetml/2006/main">
  <authors>
    <author>Harriet Carroll</author>
  </authors>
  <commentList>
    <comment ref="B11" authorId="0" shapeId="0">
      <text>
        <r>
          <rPr>
            <b/>
            <sz val="9"/>
            <color indexed="81"/>
            <rFont val="Tahoma"/>
            <family val="2"/>
          </rPr>
          <t>Harriet Carroll:</t>
        </r>
        <r>
          <rPr>
            <sz val="9"/>
            <color indexed="81"/>
            <rFont val="Tahoma"/>
            <family val="2"/>
          </rPr>
          <t xml:space="preserve">
missed measure</t>
        </r>
      </text>
    </comment>
    <comment ref="D26" authorId="0" shapeId="0">
      <text>
        <r>
          <rPr>
            <b/>
            <sz val="9"/>
            <color indexed="81"/>
            <rFont val="Tahoma"/>
            <family val="2"/>
          </rPr>
          <t>Harriet Carroll:</t>
        </r>
        <r>
          <rPr>
            <sz val="9"/>
            <color indexed="81"/>
            <rFont val="Tahoma"/>
            <family val="2"/>
          </rPr>
          <t xml:space="preserve">
Not measured</t>
        </r>
      </text>
    </comment>
    <comment ref="B29" authorId="0" shapeId="0">
      <text>
        <r>
          <rPr>
            <b/>
            <sz val="9"/>
            <color indexed="81"/>
            <rFont val="Tahoma"/>
            <family val="2"/>
          </rPr>
          <t>Harriet Carroll:</t>
        </r>
        <r>
          <rPr>
            <sz val="9"/>
            <color indexed="81"/>
            <rFont val="Tahoma"/>
            <family val="2"/>
          </rPr>
          <t xml:space="preserve">
missed measure</t>
        </r>
      </text>
    </comment>
  </commentList>
</comments>
</file>

<file path=xl/comments10.xml><?xml version="1.0" encoding="utf-8"?>
<comments xmlns="http://schemas.openxmlformats.org/spreadsheetml/2006/main">
  <authors>
    <author>Harriet Carroll</author>
  </authors>
  <commentList>
    <comment ref="I12" authorId="0" shapeId="0">
      <text>
        <r>
          <rPr>
            <b/>
            <sz val="9"/>
            <color indexed="81"/>
            <rFont val="Tahoma"/>
            <family val="2"/>
          </rPr>
          <t>Harriet Carroll:</t>
        </r>
        <r>
          <rPr>
            <sz val="9"/>
            <color indexed="81"/>
            <rFont val="Tahoma"/>
            <family val="2"/>
          </rPr>
          <t xml:space="preserve">
cannula blocked
</t>
        </r>
      </text>
    </comment>
    <comment ref="J12" authorId="0" shapeId="0">
      <text>
        <r>
          <rPr>
            <b/>
            <sz val="9"/>
            <color indexed="81"/>
            <rFont val="Tahoma"/>
            <family val="2"/>
          </rPr>
          <t>Harriet Carroll:</t>
        </r>
        <r>
          <rPr>
            <sz val="9"/>
            <color indexed="81"/>
            <rFont val="Tahoma"/>
            <family val="2"/>
          </rPr>
          <t xml:space="preserve">
cannula blocked
</t>
        </r>
      </text>
    </comment>
    <comment ref="K12" authorId="0" shapeId="0">
      <text>
        <r>
          <rPr>
            <b/>
            <sz val="9"/>
            <color indexed="81"/>
            <rFont val="Tahoma"/>
            <family val="2"/>
          </rPr>
          <t>Harriet Carroll:</t>
        </r>
        <r>
          <rPr>
            <sz val="9"/>
            <color indexed="81"/>
            <rFont val="Tahoma"/>
            <family val="2"/>
          </rPr>
          <t xml:space="preserve">
cannula blocked
</t>
        </r>
      </text>
    </comment>
    <comment ref="E29" authorId="0" shapeId="0">
      <text>
        <r>
          <rPr>
            <b/>
            <sz val="9"/>
            <color indexed="81"/>
            <rFont val="Tahoma"/>
            <family val="2"/>
          </rPr>
          <t>Harriet Carroll:</t>
        </r>
        <r>
          <rPr>
            <sz val="9"/>
            <color indexed="81"/>
            <rFont val="Tahoma"/>
            <family val="2"/>
          </rPr>
          <t xml:space="preserve">
cannula blocked
</t>
        </r>
      </text>
    </comment>
  </commentList>
</comments>
</file>

<file path=xl/comments11.xml><?xml version="1.0" encoding="utf-8"?>
<comments xmlns="http://schemas.openxmlformats.org/spreadsheetml/2006/main">
  <authors>
    <author>Harriet Carroll</author>
  </authors>
  <commentList>
    <comment ref="H12" authorId="0" shapeId="0">
      <text>
        <r>
          <rPr>
            <b/>
            <sz val="9"/>
            <color indexed="81"/>
            <rFont val="Tahoma"/>
            <family val="2"/>
          </rPr>
          <t>Harriet Carroll:</t>
        </r>
        <r>
          <rPr>
            <sz val="9"/>
            <color indexed="81"/>
            <rFont val="Tahoma"/>
            <family val="2"/>
          </rPr>
          <t xml:space="preserve">
cannula blocked </t>
        </r>
      </text>
    </comment>
    <comment ref="F29" authorId="0" shapeId="0">
      <text>
        <r>
          <rPr>
            <b/>
            <sz val="9"/>
            <color indexed="81"/>
            <rFont val="Tahoma"/>
            <family val="2"/>
          </rPr>
          <t>Harriet Carroll:</t>
        </r>
        <r>
          <rPr>
            <sz val="9"/>
            <color indexed="81"/>
            <rFont val="Tahoma"/>
            <family val="2"/>
          </rPr>
          <t xml:space="preserve">
cannula blocked </t>
        </r>
      </text>
    </comment>
  </commentList>
</comments>
</file>

<file path=xl/comments12.xml><?xml version="1.0" encoding="utf-8"?>
<comments xmlns="http://schemas.openxmlformats.org/spreadsheetml/2006/main">
  <authors>
    <author>Harriet Carroll</author>
    <author>Princess</author>
  </authors>
  <commentList>
    <comment ref="I12" authorId="0" shapeId="0">
      <text>
        <r>
          <rPr>
            <b/>
            <sz val="9"/>
            <color indexed="81"/>
            <rFont val="Tahoma"/>
            <family val="2"/>
          </rPr>
          <t>Harriet Carroll:</t>
        </r>
        <r>
          <rPr>
            <sz val="9"/>
            <color indexed="81"/>
            <rFont val="Tahoma"/>
            <family val="2"/>
          </rPr>
          <t xml:space="preserve">
cannula blocked </t>
        </r>
      </text>
    </comment>
    <comment ref="J12" authorId="0" shapeId="0">
      <text>
        <r>
          <rPr>
            <b/>
            <sz val="9"/>
            <color indexed="81"/>
            <rFont val="Tahoma"/>
            <family val="2"/>
          </rPr>
          <t>Harriet Carroll:</t>
        </r>
        <r>
          <rPr>
            <sz val="9"/>
            <color indexed="81"/>
            <rFont val="Tahoma"/>
            <family val="2"/>
          </rPr>
          <t xml:space="preserve">
cannula blocked </t>
        </r>
      </text>
    </comment>
    <comment ref="K12" authorId="0" shapeId="0">
      <text>
        <r>
          <rPr>
            <b/>
            <sz val="9"/>
            <color indexed="81"/>
            <rFont val="Tahoma"/>
            <family val="2"/>
          </rPr>
          <t>Harriet Carroll:</t>
        </r>
        <r>
          <rPr>
            <sz val="9"/>
            <color indexed="81"/>
            <rFont val="Tahoma"/>
            <family val="2"/>
          </rPr>
          <t xml:space="preserve">
cannula blocked </t>
        </r>
      </text>
    </comment>
    <comment ref="E29" authorId="1" shapeId="0">
      <text>
        <r>
          <rPr>
            <b/>
            <sz val="9"/>
            <color indexed="81"/>
            <rFont val="Tahoma"/>
            <family val="2"/>
          </rPr>
          <t>Princess:</t>
        </r>
        <r>
          <rPr>
            <sz val="9"/>
            <color indexed="81"/>
            <rFont val="Tahoma"/>
            <family val="2"/>
          </rPr>
          <t xml:space="preserve">
cannula blocked</t>
        </r>
      </text>
    </comment>
  </commentList>
</comments>
</file>

<file path=xl/comments13.xml><?xml version="1.0" encoding="utf-8"?>
<comments xmlns="http://schemas.openxmlformats.org/spreadsheetml/2006/main">
  <authors>
    <author>Harriet Carroll</author>
  </authors>
  <commentList>
    <comment ref="C9" authorId="0" shapeId="0">
      <text>
        <r>
          <rPr>
            <b/>
            <sz val="9"/>
            <color indexed="81"/>
            <rFont val="Tahoma"/>
            <family val="2"/>
          </rPr>
          <t>Harriet Carroll:</t>
        </r>
        <r>
          <rPr>
            <sz val="9"/>
            <color indexed="81"/>
            <rFont val="Tahoma"/>
            <family val="2"/>
          </rPr>
          <t xml:space="preserve">
Laughing hysterically</t>
        </r>
      </text>
    </comment>
    <comment ref="D9" authorId="0" shapeId="0">
      <text>
        <r>
          <rPr>
            <b/>
            <sz val="9"/>
            <color indexed="81"/>
            <rFont val="Tahoma"/>
            <family val="2"/>
          </rPr>
          <t>Harriet Carroll:</t>
        </r>
        <r>
          <rPr>
            <sz val="9"/>
            <color indexed="81"/>
            <rFont val="Tahoma"/>
            <family val="2"/>
          </rPr>
          <t xml:space="preserve">
laughing hysterically (but mildly less so than @ time point 30 min)</t>
        </r>
      </text>
    </comment>
    <comment ref="E9" authorId="0" shapeId="0">
      <text>
        <r>
          <rPr>
            <b/>
            <sz val="9"/>
            <color indexed="81"/>
            <rFont val="Tahoma"/>
            <family val="2"/>
          </rPr>
          <t xml:space="preserve">Harriet Carroll:
</t>
        </r>
        <r>
          <rPr>
            <sz val="9"/>
            <color indexed="81"/>
            <rFont val="Tahoma"/>
            <family val="2"/>
          </rPr>
          <t>Was visibly trying to hold laugh in</t>
        </r>
      </text>
    </comment>
    <comment ref="B27" authorId="0" shapeId="0">
      <text>
        <r>
          <rPr>
            <b/>
            <sz val="9"/>
            <color indexed="81"/>
            <rFont val="Tahoma"/>
            <family val="2"/>
          </rPr>
          <t>Harriet Carroll:</t>
        </r>
        <r>
          <rPr>
            <sz val="9"/>
            <color indexed="81"/>
            <rFont val="Tahoma"/>
            <family val="2"/>
          </rPr>
          <t xml:space="preserve">
1st bag gave a reading of 806 kcal/d which clearly isn't right, so this has been excluded</t>
        </r>
      </text>
    </comment>
    <comment ref="D27" authorId="0" shapeId="0">
      <text>
        <r>
          <rPr>
            <b/>
            <sz val="9"/>
            <color indexed="81"/>
            <rFont val="Tahoma"/>
            <family val="2"/>
          </rPr>
          <t>Harriet Carroll:</t>
        </r>
        <r>
          <rPr>
            <sz val="9"/>
            <color indexed="81"/>
            <rFont val="Tahoma"/>
            <family val="2"/>
          </rPr>
          <t xml:space="preserve">
this doesn't look right, though participant was laughing</t>
        </r>
      </text>
    </comment>
    <comment ref="E27" authorId="0" shapeId="0">
      <text>
        <r>
          <rPr>
            <b/>
            <sz val="9"/>
            <color indexed="81"/>
            <rFont val="Tahoma"/>
            <family val="2"/>
          </rPr>
          <t>Harriet Carroll:</t>
        </r>
        <r>
          <rPr>
            <sz val="9"/>
            <color indexed="81"/>
            <rFont val="Tahoma"/>
            <family val="2"/>
          </rPr>
          <t xml:space="preserve">
this doesn't look right, though participant was laughing</t>
        </r>
      </text>
    </comment>
  </commentList>
</comments>
</file>

<file path=xl/comments14.xml><?xml version="1.0" encoding="utf-8"?>
<comments xmlns="http://schemas.openxmlformats.org/spreadsheetml/2006/main">
  <authors>
    <author>Harriet Carroll</author>
  </authors>
  <commentList>
    <comment ref="C9" authorId="0" shapeId="0">
      <text>
        <r>
          <rPr>
            <b/>
            <sz val="9"/>
            <color indexed="81"/>
            <rFont val="Tahoma"/>
            <family val="2"/>
          </rPr>
          <t>Harriet Carroll:</t>
        </r>
        <r>
          <rPr>
            <sz val="9"/>
            <color indexed="81"/>
            <rFont val="Tahoma"/>
            <family val="2"/>
          </rPr>
          <t xml:space="preserve">
laughing hysterically </t>
        </r>
      </text>
    </comment>
    <comment ref="D9" authorId="0" shapeId="0">
      <text>
        <r>
          <rPr>
            <b/>
            <sz val="9"/>
            <color indexed="81"/>
            <rFont val="Tahoma"/>
            <family val="2"/>
          </rPr>
          <t>Harriet Carroll:</t>
        </r>
        <r>
          <rPr>
            <sz val="9"/>
            <color indexed="81"/>
            <rFont val="Tahoma"/>
            <family val="2"/>
          </rPr>
          <t xml:space="preserve">
laughing hysterically (but mildly less so than @ time point 30 min)</t>
        </r>
      </text>
    </comment>
    <comment ref="E9" authorId="0" shapeId="0">
      <text>
        <r>
          <rPr>
            <b/>
            <sz val="9"/>
            <color indexed="81"/>
            <rFont val="Tahoma"/>
            <family val="2"/>
          </rPr>
          <t>Harriet Carroll:</t>
        </r>
        <r>
          <rPr>
            <sz val="9"/>
            <color indexed="81"/>
            <rFont val="Tahoma"/>
            <family val="2"/>
          </rPr>
          <t xml:space="preserve">
holding laugh in</t>
        </r>
      </text>
    </comment>
  </commentList>
</comments>
</file>

<file path=xl/comments2.xml><?xml version="1.0" encoding="utf-8"?>
<comments xmlns="http://schemas.openxmlformats.org/spreadsheetml/2006/main">
  <authors>
    <author>Harriet Carroll</author>
  </authors>
  <commentList>
    <comment ref="B4" authorId="0" shapeId="0">
      <text>
        <r>
          <rPr>
            <b/>
            <sz val="9"/>
            <color indexed="81"/>
            <rFont val="Tahoma"/>
            <family val="2"/>
          </rPr>
          <t>Harriet Carroll:</t>
        </r>
        <r>
          <rPr>
            <sz val="9"/>
            <color indexed="81"/>
            <rFont val="Tahoma"/>
            <family val="2"/>
          </rPr>
          <t xml:space="preserve">
Tanita scale unavailable so used Seca (no body water %)</t>
        </r>
      </text>
    </comment>
    <comment ref="C4" authorId="0" shapeId="0">
      <text>
        <r>
          <rPr>
            <b/>
            <sz val="9"/>
            <color indexed="81"/>
            <rFont val="Tahoma"/>
            <family val="2"/>
          </rPr>
          <t>Harriet Carroll:</t>
        </r>
        <r>
          <rPr>
            <sz val="9"/>
            <color indexed="81"/>
            <rFont val="Tahoma"/>
            <family val="2"/>
          </rPr>
          <t xml:space="preserve">
Tanita scale unavailable so used Seca (no body water %)</t>
        </r>
      </text>
    </comment>
    <comment ref="D4" authorId="0" shapeId="0">
      <text>
        <r>
          <rPr>
            <b/>
            <sz val="9"/>
            <color indexed="81"/>
            <rFont val="Tahoma"/>
            <family val="2"/>
          </rPr>
          <t>Harriet Carroll:</t>
        </r>
        <r>
          <rPr>
            <sz val="9"/>
            <color indexed="81"/>
            <rFont val="Tahoma"/>
            <family val="2"/>
          </rPr>
          <t xml:space="preserve">
Tanita scale unavailable so used Seca (no body water %)</t>
        </r>
      </text>
    </comment>
    <comment ref="B6" authorId="0" shapeId="0">
      <text>
        <r>
          <rPr>
            <b/>
            <sz val="9"/>
            <color indexed="81"/>
            <rFont val="Tahoma"/>
            <family val="2"/>
          </rPr>
          <t>Harriet Carroll:</t>
        </r>
        <r>
          <rPr>
            <sz val="9"/>
            <color indexed="81"/>
            <rFont val="Tahoma"/>
            <family val="2"/>
          </rPr>
          <t xml:space="preserve">
missed</t>
        </r>
      </text>
    </comment>
    <comment ref="C6" authorId="0" shapeId="0">
      <text>
        <r>
          <rPr>
            <b/>
            <sz val="9"/>
            <color indexed="81"/>
            <rFont val="Tahoma"/>
            <family val="2"/>
          </rPr>
          <t>Harriet Carroll:</t>
        </r>
        <r>
          <rPr>
            <sz val="9"/>
            <color indexed="81"/>
            <rFont val="Tahoma"/>
            <family val="2"/>
          </rPr>
          <t xml:space="preserve">
missed</t>
        </r>
      </text>
    </comment>
    <comment ref="D6" authorId="0" shapeId="0">
      <text>
        <r>
          <rPr>
            <b/>
            <sz val="9"/>
            <color indexed="81"/>
            <rFont val="Tahoma"/>
            <family val="2"/>
          </rPr>
          <t>Harriet Carroll:</t>
        </r>
        <r>
          <rPr>
            <sz val="9"/>
            <color indexed="81"/>
            <rFont val="Tahoma"/>
            <family val="2"/>
          </rPr>
          <t xml:space="preserve">
missed</t>
        </r>
      </text>
    </comment>
    <comment ref="E6" authorId="0" shapeId="0">
      <text>
        <r>
          <rPr>
            <b/>
            <sz val="9"/>
            <color indexed="81"/>
            <rFont val="Tahoma"/>
            <family val="2"/>
          </rPr>
          <t>Harriet Carroll:</t>
        </r>
        <r>
          <rPr>
            <sz val="9"/>
            <color indexed="81"/>
            <rFont val="Tahoma"/>
            <family val="2"/>
          </rPr>
          <t xml:space="preserve">
missed</t>
        </r>
      </text>
    </comment>
    <comment ref="B9" authorId="0" shapeId="0">
      <text>
        <r>
          <rPr>
            <b/>
            <sz val="9"/>
            <color indexed="81"/>
            <rFont val="Tahoma"/>
            <family val="2"/>
          </rPr>
          <t>Harriet Carroll:</t>
        </r>
        <r>
          <rPr>
            <sz val="9"/>
            <color indexed="81"/>
            <rFont val="Tahoma"/>
            <family val="2"/>
          </rPr>
          <t xml:space="preserve">
Participant error: think this is body fat % rather than water %</t>
        </r>
      </text>
    </comment>
    <comment ref="C9" authorId="0" shapeId="0">
      <text>
        <r>
          <rPr>
            <b/>
            <sz val="9"/>
            <color indexed="81"/>
            <rFont val="Tahoma"/>
            <family val="2"/>
          </rPr>
          <t>Harriet Carroll:</t>
        </r>
        <r>
          <rPr>
            <sz val="9"/>
            <color indexed="81"/>
            <rFont val="Tahoma"/>
            <family val="2"/>
          </rPr>
          <t xml:space="preserve">
Participant error: think this is body fat % rather than water %</t>
        </r>
      </text>
    </comment>
    <comment ref="D9" authorId="0" shapeId="0">
      <text>
        <r>
          <rPr>
            <b/>
            <sz val="9"/>
            <color indexed="81"/>
            <rFont val="Tahoma"/>
            <family val="2"/>
          </rPr>
          <t>Harriet Carroll:</t>
        </r>
        <r>
          <rPr>
            <sz val="9"/>
            <color indexed="81"/>
            <rFont val="Tahoma"/>
            <family val="2"/>
          </rPr>
          <t xml:space="preserve">
Participant error: think this is body fat % rather than water %</t>
        </r>
      </text>
    </comment>
    <comment ref="E9" authorId="0" shapeId="0">
      <text>
        <r>
          <rPr>
            <b/>
            <sz val="9"/>
            <color indexed="81"/>
            <rFont val="Tahoma"/>
            <family val="2"/>
          </rPr>
          <t>Harriet Carroll:</t>
        </r>
        <r>
          <rPr>
            <sz val="9"/>
            <color indexed="81"/>
            <rFont val="Tahoma"/>
            <family val="2"/>
          </rPr>
          <t xml:space="preserve">
Participant error: think this is body fat % rather than water %</t>
        </r>
      </text>
    </comment>
    <comment ref="F9" authorId="0" shapeId="0">
      <text>
        <r>
          <rPr>
            <b/>
            <sz val="9"/>
            <color indexed="81"/>
            <rFont val="Tahoma"/>
            <family val="2"/>
          </rPr>
          <t>Harriet Carroll:</t>
        </r>
        <r>
          <rPr>
            <sz val="9"/>
            <color indexed="81"/>
            <rFont val="Tahoma"/>
            <family val="2"/>
          </rPr>
          <t xml:space="preserve">
Participant error: think this is body fat % rather than water %</t>
        </r>
      </text>
    </comment>
    <comment ref="B11" authorId="0" shapeId="0">
      <text>
        <r>
          <rPr>
            <b/>
            <sz val="9"/>
            <color indexed="81"/>
            <rFont val="Tahoma"/>
            <family val="2"/>
          </rPr>
          <t>Harriet Carroll:</t>
        </r>
        <r>
          <rPr>
            <sz val="9"/>
            <color indexed="81"/>
            <rFont val="Tahoma"/>
            <family val="2"/>
          </rPr>
          <t xml:space="preserve">
missed</t>
        </r>
      </text>
    </comment>
    <comment ref="B22" authorId="0" shapeId="0">
      <text>
        <r>
          <rPr>
            <b/>
            <sz val="9"/>
            <color indexed="81"/>
            <rFont val="Tahoma"/>
            <family val="2"/>
          </rPr>
          <t>Harriet Carroll:</t>
        </r>
        <r>
          <rPr>
            <sz val="9"/>
            <color indexed="81"/>
            <rFont val="Tahoma"/>
            <family val="2"/>
          </rPr>
          <t xml:space="preserve">
Tanita scale unavailable so used Seca (no body water %)</t>
        </r>
      </text>
    </comment>
    <comment ref="C22" authorId="0" shapeId="0">
      <text>
        <r>
          <rPr>
            <b/>
            <sz val="9"/>
            <color indexed="81"/>
            <rFont val="Tahoma"/>
            <family val="2"/>
          </rPr>
          <t>Harriet Carroll:</t>
        </r>
        <r>
          <rPr>
            <sz val="9"/>
            <color indexed="81"/>
            <rFont val="Tahoma"/>
            <family val="2"/>
          </rPr>
          <t xml:space="preserve">
Tanita scale unavailable so used Seca (no body water %)</t>
        </r>
      </text>
    </comment>
    <comment ref="D22" authorId="0" shapeId="0">
      <text>
        <r>
          <rPr>
            <b/>
            <sz val="9"/>
            <color indexed="81"/>
            <rFont val="Tahoma"/>
            <family val="2"/>
          </rPr>
          <t>Harriet Carroll:</t>
        </r>
        <r>
          <rPr>
            <sz val="9"/>
            <color indexed="81"/>
            <rFont val="Tahoma"/>
            <family val="2"/>
          </rPr>
          <t xml:space="preserve">
Tanita scale unavailable so used Seca (no body water %)</t>
        </r>
      </text>
    </comment>
    <comment ref="D26" authorId="0" shapeId="0">
      <text>
        <r>
          <rPr>
            <b/>
            <sz val="9"/>
            <color indexed="81"/>
            <rFont val="Tahoma"/>
            <family val="2"/>
          </rPr>
          <t>Harriet Carroll:</t>
        </r>
        <r>
          <rPr>
            <sz val="9"/>
            <color indexed="81"/>
            <rFont val="Tahoma"/>
            <family val="2"/>
          </rPr>
          <t xml:space="preserve">
Not measured</t>
        </r>
      </text>
    </comment>
    <comment ref="B29" authorId="0" shapeId="0">
      <text>
        <r>
          <rPr>
            <b/>
            <sz val="9"/>
            <color indexed="81"/>
            <rFont val="Tahoma"/>
            <family val="2"/>
          </rPr>
          <t>Harriet Carroll:</t>
        </r>
        <r>
          <rPr>
            <sz val="9"/>
            <color indexed="81"/>
            <rFont val="Tahoma"/>
            <family val="2"/>
          </rPr>
          <t xml:space="preserve">
missed</t>
        </r>
      </text>
    </comment>
    <comment ref="C29" authorId="0" shapeId="0">
      <text>
        <r>
          <rPr>
            <b/>
            <sz val="9"/>
            <color indexed="81"/>
            <rFont val="Tahoma"/>
            <family val="2"/>
          </rPr>
          <t>Harriet Carroll:</t>
        </r>
        <r>
          <rPr>
            <sz val="9"/>
            <color indexed="81"/>
            <rFont val="Tahoma"/>
            <family val="2"/>
          </rPr>
          <t xml:space="preserve">
missed</t>
        </r>
      </text>
    </comment>
    <comment ref="D29" authorId="0" shapeId="0">
      <text>
        <r>
          <rPr>
            <b/>
            <sz val="9"/>
            <color indexed="81"/>
            <rFont val="Tahoma"/>
            <family val="2"/>
          </rPr>
          <t>Harriet Carroll:</t>
        </r>
        <r>
          <rPr>
            <sz val="9"/>
            <color indexed="81"/>
            <rFont val="Tahoma"/>
            <family val="2"/>
          </rPr>
          <t xml:space="preserve">
missed</t>
        </r>
      </text>
    </comment>
    <comment ref="E29" authorId="0" shapeId="0">
      <text>
        <r>
          <rPr>
            <b/>
            <sz val="9"/>
            <color indexed="81"/>
            <rFont val="Tahoma"/>
            <family val="2"/>
          </rPr>
          <t>Harriet Carroll:</t>
        </r>
        <r>
          <rPr>
            <sz val="9"/>
            <color indexed="81"/>
            <rFont val="Tahoma"/>
            <family val="2"/>
          </rPr>
          <t xml:space="preserve">
missed</t>
        </r>
      </text>
    </comment>
    <comment ref="B33" authorId="0" shapeId="0">
      <text>
        <r>
          <rPr>
            <b/>
            <sz val="9"/>
            <color indexed="81"/>
            <rFont val="Tahoma"/>
            <family val="2"/>
          </rPr>
          <t>Harriet Carroll:</t>
        </r>
        <r>
          <rPr>
            <sz val="9"/>
            <color indexed="81"/>
            <rFont val="Tahoma"/>
            <family val="2"/>
          </rPr>
          <t xml:space="preserve">
missed</t>
        </r>
      </text>
    </comment>
  </commentList>
</comments>
</file>

<file path=xl/comments3.xml><?xml version="1.0" encoding="utf-8"?>
<comments xmlns="http://schemas.openxmlformats.org/spreadsheetml/2006/main">
  <authors>
    <author>Harriet Carroll</author>
  </authors>
  <commentList>
    <comment ref="C4" authorId="0" shapeId="0">
      <text>
        <r>
          <rPr>
            <b/>
            <sz val="9"/>
            <color indexed="81"/>
            <rFont val="Tahoma"/>
            <family val="2"/>
          </rPr>
          <t>Harriet Carroll:</t>
        </r>
        <r>
          <rPr>
            <sz val="9"/>
            <color indexed="81"/>
            <rFont val="Tahoma"/>
            <family val="2"/>
          </rPr>
          <t xml:space="preserve">
Actiheart stopped recording</t>
        </r>
      </text>
    </comment>
    <comment ref="D4" authorId="0" shapeId="0">
      <text>
        <r>
          <rPr>
            <b/>
            <sz val="9"/>
            <color indexed="81"/>
            <rFont val="Tahoma"/>
            <family val="2"/>
          </rPr>
          <t>Harriet Carroll:</t>
        </r>
        <r>
          <rPr>
            <sz val="9"/>
            <color indexed="81"/>
            <rFont val="Tahoma"/>
            <family val="2"/>
          </rPr>
          <t xml:space="preserve">
Actiheart stopped recording</t>
        </r>
      </text>
    </comment>
    <comment ref="E4" authorId="0" shapeId="0">
      <text>
        <r>
          <rPr>
            <b/>
            <sz val="9"/>
            <color indexed="81"/>
            <rFont val="Tahoma"/>
            <family val="2"/>
          </rPr>
          <t>Harriet Carroll:</t>
        </r>
        <r>
          <rPr>
            <sz val="9"/>
            <color indexed="81"/>
            <rFont val="Tahoma"/>
            <family val="2"/>
          </rPr>
          <t xml:space="preserve">
Actiheart stopped recording</t>
        </r>
      </text>
    </comment>
    <comment ref="B6" authorId="0" shapeId="0">
      <text>
        <r>
          <rPr>
            <b/>
            <sz val="9"/>
            <color indexed="81"/>
            <rFont val="Tahoma"/>
            <family val="2"/>
          </rPr>
          <t>Harriet Carroll:</t>
        </r>
        <r>
          <rPr>
            <sz val="9"/>
            <color indexed="81"/>
            <rFont val="Tahoma"/>
            <family val="2"/>
          </rPr>
          <t xml:space="preserve">
actiheart didn't work</t>
        </r>
      </text>
    </comment>
    <comment ref="C6" authorId="0" shapeId="0">
      <text>
        <r>
          <rPr>
            <b/>
            <sz val="9"/>
            <color indexed="81"/>
            <rFont val="Tahoma"/>
            <family val="2"/>
          </rPr>
          <t>Harriet Carroll:</t>
        </r>
        <r>
          <rPr>
            <sz val="9"/>
            <color indexed="81"/>
            <rFont val="Tahoma"/>
            <family val="2"/>
          </rPr>
          <t xml:space="preserve">
actiheart didn't work</t>
        </r>
      </text>
    </comment>
    <comment ref="D6" authorId="0" shapeId="0">
      <text>
        <r>
          <rPr>
            <b/>
            <sz val="9"/>
            <color indexed="81"/>
            <rFont val="Tahoma"/>
            <family val="2"/>
          </rPr>
          <t>Harriet Carroll:</t>
        </r>
        <r>
          <rPr>
            <sz val="9"/>
            <color indexed="81"/>
            <rFont val="Tahoma"/>
            <family val="2"/>
          </rPr>
          <t xml:space="preserve">
actiheart didn't work</t>
        </r>
      </text>
    </comment>
    <comment ref="E6" authorId="0" shapeId="0">
      <text>
        <r>
          <rPr>
            <b/>
            <sz val="9"/>
            <color indexed="81"/>
            <rFont val="Tahoma"/>
            <family val="2"/>
          </rPr>
          <t>Harriet Carroll:</t>
        </r>
        <r>
          <rPr>
            <sz val="9"/>
            <color indexed="81"/>
            <rFont val="Tahoma"/>
            <family val="2"/>
          </rPr>
          <t xml:space="preserve">
actiheart didn't work</t>
        </r>
      </text>
    </comment>
    <comment ref="C13" authorId="0" shapeId="0">
      <text>
        <r>
          <rPr>
            <b/>
            <sz val="9"/>
            <color indexed="81"/>
            <rFont val="Tahoma"/>
            <family val="2"/>
          </rPr>
          <t>Harriet Carroll:</t>
        </r>
        <r>
          <rPr>
            <sz val="9"/>
            <color indexed="81"/>
            <rFont val="Tahoma"/>
            <family val="2"/>
          </rPr>
          <t xml:space="preserve">
actiheart unreliable</t>
        </r>
      </text>
    </comment>
    <comment ref="D13" authorId="0" shapeId="0">
      <text>
        <r>
          <rPr>
            <b/>
            <sz val="9"/>
            <color indexed="81"/>
            <rFont val="Tahoma"/>
            <family val="2"/>
          </rPr>
          <t>Harriet Carroll:</t>
        </r>
        <r>
          <rPr>
            <sz val="9"/>
            <color indexed="81"/>
            <rFont val="Tahoma"/>
            <family val="2"/>
          </rPr>
          <t xml:space="preserve">
actiheart failed reading</t>
        </r>
      </text>
    </comment>
    <comment ref="E13" authorId="0" shapeId="0">
      <text>
        <r>
          <rPr>
            <b/>
            <sz val="9"/>
            <color indexed="81"/>
            <rFont val="Tahoma"/>
            <family val="2"/>
          </rPr>
          <t>Harriet Carroll:</t>
        </r>
        <r>
          <rPr>
            <sz val="9"/>
            <color indexed="81"/>
            <rFont val="Tahoma"/>
            <family val="2"/>
          </rPr>
          <t xml:space="preserve">
actiheart didn't work</t>
        </r>
      </text>
    </comment>
    <comment ref="D22" authorId="0" shapeId="0">
      <text>
        <r>
          <rPr>
            <b/>
            <sz val="9"/>
            <color indexed="81"/>
            <rFont val="Tahoma"/>
            <family val="2"/>
          </rPr>
          <t>Harriet Carroll:</t>
        </r>
        <r>
          <rPr>
            <sz val="9"/>
            <color indexed="81"/>
            <rFont val="Tahoma"/>
            <family val="2"/>
          </rPr>
          <t xml:space="preserve">
Actiheart stopped recording</t>
        </r>
      </text>
    </comment>
    <comment ref="E22" authorId="0" shapeId="0">
      <text>
        <r>
          <rPr>
            <b/>
            <sz val="9"/>
            <color indexed="81"/>
            <rFont val="Tahoma"/>
            <family val="2"/>
          </rPr>
          <t>Harriet Carroll:</t>
        </r>
        <r>
          <rPr>
            <sz val="9"/>
            <color indexed="81"/>
            <rFont val="Tahoma"/>
            <family val="2"/>
          </rPr>
          <t xml:space="preserve">
Actiheart stopped recording</t>
        </r>
      </text>
    </comment>
    <comment ref="B31" authorId="0" shapeId="0">
      <text>
        <r>
          <rPr>
            <b/>
            <sz val="9"/>
            <color indexed="81"/>
            <rFont val="Tahoma"/>
            <family val="2"/>
          </rPr>
          <t>Harriet Carroll:</t>
        </r>
        <r>
          <rPr>
            <sz val="9"/>
            <color indexed="81"/>
            <rFont val="Tahoma"/>
            <family val="2"/>
          </rPr>
          <t xml:space="preserve">
actiheart unreliable</t>
        </r>
      </text>
    </comment>
    <comment ref="C31" authorId="0" shapeId="0">
      <text>
        <r>
          <rPr>
            <b/>
            <sz val="9"/>
            <color indexed="81"/>
            <rFont val="Tahoma"/>
            <family val="2"/>
          </rPr>
          <t>Harriet Carroll:</t>
        </r>
        <r>
          <rPr>
            <sz val="9"/>
            <color indexed="81"/>
            <rFont val="Tahoma"/>
            <family val="2"/>
          </rPr>
          <t xml:space="preserve">
actiheart unreliable</t>
        </r>
      </text>
    </comment>
    <comment ref="D31" authorId="0" shapeId="0">
      <text>
        <r>
          <rPr>
            <b/>
            <sz val="9"/>
            <color indexed="81"/>
            <rFont val="Tahoma"/>
            <family val="2"/>
          </rPr>
          <t>Harriet Carroll:</t>
        </r>
        <r>
          <rPr>
            <sz val="9"/>
            <color indexed="81"/>
            <rFont val="Tahoma"/>
            <family val="2"/>
          </rPr>
          <t xml:space="preserve">
actiheart unreliable</t>
        </r>
      </text>
    </comment>
  </commentList>
</comments>
</file>

<file path=xl/comments4.xml><?xml version="1.0" encoding="utf-8"?>
<comments xmlns="http://schemas.openxmlformats.org/spreadsheetml/2006/main">
  <authors>
    <author>Harriet Carroll</author>
  </authors>
  <commentList>
    <comment ref="C7" authorId="0" shapeId="0">
      <text>
        <r>
          <rPr>
            <b/>
            <sz val="9"/>
            <color indexed="81"/>
            <rFont val="Tahoma"/>
            <family val="2"/>
          </rPr>
          <t>Harriet Carroll:</t>
        </r>
        <r>
          <rPr>
            <sz val="9"/>
            <color indexed="81"/>
            <rFont val="Tahoma"/>
            <family val="2"/>
          </rPr>
          <t xml:space="preserve">
missed</t>
        </r>
      </text>
    </comment>
    <comment ref="B29" authorId="0" shapeId="0">
      <text>
        <r>
          <rPr>
            <b/>
            <sz val="9"/>
            <color indexed="81"/>
            <rFont val="Tahoma"/>
            <family val="2"/>
          </rPr>
          <t>Harriet Carroll:</t>
        </r>
        <r>
          <rPr>
            <sz val="9"/>
            <color indexed="81"/>
            <rFont val="Tahoma"/>
            <family val="2"/>
          </rPr>
          <t xml:space="preserve">
missed</t>
        </r>
      </text>
    </comment>
  </commentList>
</comments>
</file>

<file path=xl/comments5.xml><?xml version="1.0" encoding="utf-8"?>
<comments xmlns="http://schemas.openxmlformats.org/spreadsheetml/2006/main">
  <authors>
    <author>Harriet Carroll</author>
  </authors>
  <commentList>
    <comment ref="B21" authorId="0" shapeId="0">
      <text>
        <r>
          <rPr>
            <b/>
            <sz val="9"/>
            <color indexed="81"/>
            <rFont val="Tahoma"/>
            <family val="2"/>
          </rPr>
          <t>Harriet Carroll:</t>
        </r>
        <r>
          <rPr>
            <sz val="9"/>
            <color indexed="81"/>
            <rFont val="Tahoma"/>
            <family val="2"/>
          </rPr>
          <t xml:space="preserve">
missed
</t>
        </r>
      </text>
    </comment>
  </commentList>
</comments>
</file>

<file path=xl/comments6.xml><?xml version="1.0" encoding="utf-8"?>
<comments xmlns="http://schemas.openxmlformats.org/spreadsheetml/2006/main">
  <authors>
    <author>Harriet Carroll</author>
  </authors>
  <commentList>
    <comment ref="C22" authorId="0" shapeId="0">
      <text>
        <r>
          <rPr>
            <b/>
            <sz val="9"/>
            <color indexed="81"/>
            <rFont val="Tahoma"/>
            <family val="2"/>
          </rPr>
          <t>Harriet Carroll:</t>
        </r>
        <r>
          <rPr>
            <sz val="9"/>
            <color indexed="81"/>
            <rFont val="Tahoma"/>
            <family val="2"/>
          </rPr>
          <t xml:space="preserve">
Thermometer stopped working</t>
        </r>
      </text>
    </comment>
    <comment ref="D22" authorId="0" shapeId="0">
      <text>
        <r>
          <rPr>
            <b/>
            <sz val="9"/>
            <color indexed="81"/>
            <rFont val="Tahoma"/>
            <family val="2"/>
          </rPr>
          <t>Harriet Carroll:</t>
        </r>
        <r>
          <rPr>
            <sz val="9"/>
            <color indexed="81"/>
            <rFont val="Tahoma"/>
            <family val="2"/>
          </rPr>
          <t xml:space="preserve">
Thermometer stopped working</t>
        </r>
      </text>
    </comment>
  </commentList>
</comments>
</file>

<file path=xl/comments7.xml><?xml version="1.0" encoding="utf-8"?>
<comments xmlns="http://schemas.openxmlformats.org/spreadsheetml/2006/main">
  <authors>
    <author>Harriet Carroll</author>
  </authors>
  <commentList>
    <comment ref="B4" authorId="0" shapeId="0">
      <text>
        <r>
          <rPr>
            <b/>
            <sz val="9"/>
            <color indexed="81"/>
            <rFont val="Tahoma"/>
            <family val="2"/>
          </rPr>
          <t>Harriet Carroll:</t>
        </r>
        <r>
          <rPr>
            <sz val="9"/>
            <color indexed="81"/>
            <rFont val="Tahoma"/>
            <family val="2"/>
          </rPr>
          <t xml:space="preserve">
no humidity data (thermometer broke)</t>
        </r>
      </text>
    </comment>
    <comment ref="C4" authorId="0" shapeId="0">
      <text>
        <r>
          <rPr>
            <b/>
            <sz val="9"/>
            <color indexed="81"/>
            <rFont val="Tahoma"/>
            <family val="2"/>
          </rPr>
          <t>Harriet Carroll:</t>
        </r>
        <r>
          <rPr>
            <sz val="9"/>
            <color indexed="81"/>
            <rFont val="Tahoma"/>
            <family val="2"/>
          </rPr>
          <t xml:space="preserve">
no humidity data (thermometer broke)</t>
        </r>
      </text>
    </comment>
    <comment ref="D4" authorId="0" shapeId="0">
      <text>
        <r>
          <rPr>
            <b/>
            <sz val="9"/>
            <color indexed="81"/>
            <rFont val="Tahoma"/>
            <family val="2"/>
          </rPr>
          <t>Harriet Carroll:</t>
        </r>
        <r>
          <rPr>
            <sz val="9"/>
            <color indexed="81"/>
            <rFont val="Tahoma"/>
            <family val="2"/>
          </rPr>
          <t xml:space="preserve">
no humidity data (thermometer broke)</t>
        </r>
      </text>
    </comment>
    <comment ref="C22" authorId="0" shapeId="0">
      <text>
        <r>
          <rPr>
            <b/>
            <sz val="9"/>
            <color indexed="81"/>
            <rFont val="Tahoma"/>
            <family val="2"/>
          </rPr>
          <t>Harriet Carroll:</t>
        </r>
        <r>
          <rPr>
            <sz val="9"/>
            <color indexed="81"/>
            <rFont val="Tahoma"/>
            <family val="2"/>
          </rPr>
          <t xml:space="preserve">
Thermometer stopped working</t>
        </r>
      </text>
    </comment>
    <comment ref="D22" authorId="0" shapeId="0">
      <text>
        <r>
          <rPr>
            <b/>
            <sz val="9"/>
            <color indexed="81"/>
            <rFont val="Tahoma"/>
            <family val="2"/>
          </rPr>
          <t>Harriet Carroll:</t>
        </r>
        <r>
          <rPr>
            <sz val="9"/>
            <color indexed="81"/>
            <rFont val="Tahoma"/>
            <family val="2"/>
          </rPr>
          <t xml:space="preserve">
Thermometer stopped working</t>
        </r>
      </text>
    </comment>
  </commentList>
</comments>
</file>

<file path=xl/comments8.xml><?xml version="1.0" encoding="utf-8"?>
<comments xmlns="http://schemas.openxmlformats.org/spreadsheetml/2006/main">
  <authors>
    <author>Harriet Carroll</author>
  </authors>
  <commentList>
    <comment ref="J5" authorId="0" shapeId="0">
      <text>
        <r>
          <rPr>
            <b/>
            <sz val="9"/>
            <color indexed="81"/>
            <rFont val="Tahoma"/>
            <family val="2"/>
          </rPr>
          <t>Harriet Carroll:</t>
        </r>
        <r>
          <rPr>
            <sz val="9"/>
            <color indexed="81"/>
            <rFont val="Tahoma"/>
            <family val="2"/>
          </rPr>
          <t xml:space="preserve">
All three capillary tubes leaked</t>
        </r>
      </text>
    </comment>
    <comment ref="I13" authorId="0" shapeId="0">
      <text>
        <r>
          <rPr>
            <b/>
            <sz val="9"/>
            <color indexed="81"/>
            <rFont val="Tahoma"/>
            <family val="2"/>
          </rPr>
          <t>Harriet Carroll:</t>
        </r>
        <r>
          <rPr>
            <sz val="9"/>
            <color indexed="81"/>
            <rFont val="Tahoma"/>
            <family val="2"/>
          </rPr>
          <t xml:space="preserve">
Cannula blocked</t>
        </r>
      </text>
    </comment>
    <comment ref="J13" authorId="0" shapeId="0">
      <text>
        <r>
          <rPr>
            <b/>
            <sz val="9"/>
            <color indexed="81"/>
            <rFont val="Tahoma"/>
            <family val="2"/>
          </rPr>
          <t>Harriet Carroll:</t>
        </r>
        <r>
          <rPr>
            <sz val="9"/>
            <color indexed="81"/>
            <rFont val="Tahoma"/>
            <family val="2"/>
          </rPr>
          <t xml:space="preserve">
Cannula blocked</t>
        </r>
      </text>
    </comment>
    <comment ref="K13" authorId="0" shapeId="0">
      <text>
        <r>
          <rPr>
            <b/>
            <sz val="9"/>
            <color indexed="81"/>
            <rFont val="Tahoma"/>
            <family val="2"/>
          </rPr>
          <t>Harriet Carroll:</t>
        </r>
        <r>
          <rPr>
            <sz val="9"/>
            <color indexed="81"/>
            <rFont val="Tahoma"/>
            <family val="2"/>
          </rPr>
          <t xml:space="preserve">
Cannula blocked</t>
        </r>
      </text>
    </comment>
    <comment ref="L13" authorId="0" shapeId="0">
      <text>
        <r>
          <rPr>
            <b/>
            <sz val="9"/>
            <color indexed="81"/>
            <rFont val="Tahoma"/>
            <family val="2"/>
          </rPr>
          <t>Harriet Carroll:</t>
        </r>
        <r>
          <rPr>
            <sz val="9"/>
            <color indexed="81"/>
            <rFont val="Tahoma"/>
            <family val="2"/>
          </rPr>
          <t xml:space="preserve">
Venepuncture taken but all 3 capillary tubes split during centrifugation
</t>
        </r>
      </text>
    </comment>
    <comment ref="F18" authorId="0" shapeId="0">
      <text>
        <r>
          <rPr>
            <b/>
            <sz val="9"/>
            <color indexed="81"/>
            <rFont val="Tahoma"/>
            <family val="2"/>
          </rPr>
          <t>Harriet Carroll:</t>
        </r>
        <r>
          <rPr>
            <sz val="9"/>
            <color indexed="81"/>
            <rFont val="Tahoma"/>
            <family val="2"/>
          </rPr>
          <t xml:space="preserve">
All three capillary tubes leaked</t>
        </r>
      </text>
    </comment>
    <comment ref="I21" authorId="0" shapeId="0">
      <text>
        <r>
          <rPr>
            <b/>
            <sz val="9"/>
            <color indexed="81"/>
            <rFont val="Tahoma"/>
            <family val="2"/>
          </rPr>
          <t>Harriet Carroll:</t>
        </r>
        <r>
          <rPr>
            <sz val="9"/>
            <color indexed="81"/>
            <rFont val="Tahoma"/>
            <family val="2"/>
          </rPr>
          <t xml:space="preserve">
All three capillary tubes leaked</t>
        </r>
      </text>
    </comment>
    <comment ref="E29" authorId="0" shapeId="0">
      <text>
        <r>
          <rPr>
            <b/>
            <sz val="9"/>
            <color indexed="81"/>
            <rFont val="Tahoma"/>
            <family val="2"/>
          </rPr>
          <t>Harriet Carroll:</t>
        </r>
        <r>
          <rPr>
            <sz val="9"/>
            <color indexed="81"/>
            <rFont val="Tahoma"/>
            <family val="2"/>
          </rPr>
          <t xml:space="preserve">
Cannula blocked</t>
        </r>
      </text>
    </comment>
    <comment ref="F29" authorId="0" shapeId="0">
      <text>
        <r>
          <rPr>
            <b/>
            <sz val="9"/>
            <color indexed="81"/>
            <rFont val="Tahoma"/>
            <family val="2"/>
          </rPr>
          <t>Harriet Carroll:</t>
        </r>
        <r>
          <rPr>
            <sz val="9"/>
            <color indexed="81"/>
            <rFont val="Tahoma"/>
            <family val="2"/>
          </rPr>
          <t xml:space="preserve">
Missed measure
</t>
        </r>
      </text>
    </comment>
    <comment ref="J31" authorId="0" shapeId="0">
      <text>
        <r>
          <rPr>
            <b/>
            <sz val="9"/>
            <color indexed="81"/>
            <rFont val="Tahoma"/>
            <family val="2"/>
          </rPr>
          <t>Harriet Carroll:</t>
        </r>
        <r>
          <rPr>
            <sz val="9"/>
            <color indexed="81"/>
            <rFont val="Tahoma"/>
            <family val="2"/>
          </rPr>
          <t xml:space="preserve">
Missed measure
</t>
        </r>
      </text>
    </comment>
    <comment ref="H35" authorId="0" shapeId="0">
      <text>
        <r>
          <rPr>
            <b/>
            <sz val="9"/>
            <color indexed="81"/>
            <rFont val="Tahoma"/>
            <family val="2"/>
          </rPr>
          <t xml:space="preserve">Harriet Carroll:
</t>
        </r>
        <r>
          <rPr>
            <sz val="9"/>
            <color indexed="81"/>
            <rFont val="Tahoma"/>
            <family val="2"/>
          </rPr>
          <t>Invalid Hb reading</t>
        </r>
      </text>
    </comment>
  </commentList>
</comments>
</file>

<file path=xl/comments9.xml><?xml version="1.0" encoding="utf-8"?>
<comments xmlns="http://schemas.openxmlformats.org/spreadsheetml/2006/main">
  <authors>
    <author>Harriet Carroll</author>
  </authors>
  <commentList>
    <comment ref="H13" authorId="0" shapeId="0">
      <text>
        <r>
          <rPr>
            <b/>
            <sz val="9"/>
            <color indexed="81"/>
            <rFont val="Tahoma"/>
            <family val="2"/>
          </rPr>
          <t>Harriet Carroll:</t>
        </r>
        <r>
          <rPr>
            <sz val="9"/>
            <color indexed="81"/>
            <rFont val="Tahoma"/>
            <family val="2"/>
          </rPr>
          <t xml:space="preserve">
missing</t>
        </r>
      </text>
    </comment>
    <comment ref="H22" authorId="0" shapeId="0">
      <text>
        <r>
          <rPr>
            <b/>
            <sz val="9"/>
            <color indexed="81"/>
            <rFont val="Tahoma"/>
            <family val="2"/>
          </rPr>
          <t>Harriet Carroll:</t>
        </r>
        <r>
          <rPr>
            <sz val="9"/>
            <color indexed="81"/>
            <rFont val="Tahoma"/>
            <family val="2"/>
          </rPr>
          <t xml:space="preserve">
missing</t>
        </r>
      </text>
    </comment>
  </commentList>
</comments>
</file>

<file path=xl/sharedStrings.xml><?xml version="1.0" encoding="utf-8"?>
<sst xmlns="http://schemas.openxmlformats.org/spreadsheetml/2006/main" count="1140" uniqueCount="215">
  <si>
    <t>ID</t>
  </si>
  <si>
    <t>Sex</t>
  </si>
  <si>
    <t>Age (y)</t>
  </si>
  <si>
    <t>Height (m)</t>
  </si>
  <si>
    <t>Notes</t>
  </si>
  <si>
    <t>HP01</t>
  </si>
  <si>
    <t>male</t>
  </si>
  <si>
    <t>HP02</t>
  </si>
  <si>
    <t>female</t>
  </si>
  <si>
    <t>HP03</t>
  </si>
  <si>
    <t>HP04</t>
  </si>
  <si>
    <t>HP05</t>
  </si>
  <si>
    <t>HP06</t>
  </si>
  <si>
    <t>HP07</t>
  </si>
  <si>
    <t>HP08</t>
  </si>
  <si>
    <t>HP09</t>
  </si>
  <si>
    <t>HP10</t>
  </si>
  <si>
    <t>HP11</t>
  </si>
  <si>
    <t>HP12</t>
  </si>
  <si>
    <t>HP13</t>
  </si>
  <si>
    <t>HP14</t>
  </si>
  <si>
    <t>HP15</t>
  </si>
  <si>
    <t>HP16</t>
  </si>
  <si>
    <t>HP17</t>
  </si>
  <si>
    <t>Randomised to HYPO/RE first</t>
  </si>
  <si>
    <t>RE</t>
  </si>
  <si>
    <t>HYPO</t>
  </si>
  <si>
    <t>Biopsy?</t>
  </si>
  <si>
    <t>ü</t>
  </si>
  <si>
    <t>û</t>
  </si>
  <si>
    <t>D</t>
  </si>
  <si>
    <t>ND</t>
  </si>
  <si>
    <t>Biopsy only on RE trial at participants request (reason: upcoming holiday)</t>
  </si>
  <si>
    <t>Ethnicity</t>
  </si>
  <si>
    <t>British</t>
  </si>
  <si>
    <t>Italian</t>
  </si>
  <si>
    <t>South Korean</t>
  </si>
  <si>
    <t>Day 1</t>
  </si>
  <si>
    <t>Day 2</t>
  </si>
  <si>
    <t>Day 3</t>
  </si>
  <si>
    <t>Day 4</t>
  </si>
  <si>
    <t>Day 5</t>
  </si>
  <si>
    <t>HYPOHYDRATION</t>
  </si>
  <si>
    <t>REHYDRATION</t>
  </si>
  <si>
    <t>HP08 excluded from analysis due to error in recording</t>
  </si>
  <si>
    <t>DAY 1</t>
  </si>
  <si>
    <t>DAY 2</t>
  </si>
  <si>
    <t>DAY 3</t>
  </si>
  <si>
    <t>DAY 4</t>
  </si>
  <si>
    <t>ENERGY (kcal)</t>
  </si>
  <si>
    <t>CHO (g)</t>
  </si>
  <si>
    <t>SUGAR (g)</t>
  </si>
  <si>
    <t>PRO (g)</t>
  </si>
  <si>
    <t>FAT (g)</t>
  </si>
  <si>
    <t>SODIUM (mg)</t>
  </si>
  <si>
    <t>POTASSIUM (mg)</t>
  </si>
  <si>
    <t>CHLORIDE (mg)</t>
  </si>
  <si>
    <t>WATER (g) (food + drink)</t>
  </si>
  <si>
    <t>WATER from food only (g)</t>
  </si>
  <si>
    <t>WATER from fluid (g)</t>
  </si>
  <si>
    <t>0 min</t>
  </si>
  <si>
    <t>30 min</t>
  </si>
  <si>
    <t>60 min</t>
  </si>
  <si>
    <t>Pre-weight (kg)</t>
  </si>
  <si>
    <t>Post-weight (kg)</t>
  </si>
  <si>
    <t>Weight loss (kg)</t>
  </si>
  <si>
    <t>Post-heat tent water prescription (L)</t>
  </si>
  <si>
    <t>Baseline (day 4)</t>
  </si>
  <si>
    <t>PRE-biopsy (if applicable)</t>
  </si>
  <si>
    <t>HP09 REMOVED DUE TO MISSED BASELINE MEASURE ON THE REHYDRATED TRIAL ARM</t>
  </si>
  <si>
    <t>Plasma volume % change from baseline (day 4)</t>
  </si>
  <si>
    <t>pQCT-measured cross-sectional muscle area (mm2)</t>
  </si>
  <si>
    <t>Pre-biopsy</t>
  </si>
  <si>
    <t>Time point 30 added in after seeing first 5 participants data</t>
  </si>
  <si>
    <t>Pre-OGTT</t>
  </si>
  <si>
    <t>HP08 excluded from analysis due to RER &gt; 1.0</t>
  </si>
  <si>
    <t>Calculated as 0.3 mL/kg body mass</t>
  </si>
  <si>
    <t>Calculated as 40 mL/kg lean body mass (assessed via bioelectrical impedance) + 150 % body mass loss from heat tent</t>
  </si>
  <si>
    <t>Post-OGTT</t>
  </si>
  <si>
    <t>Post-intervention</t>
  </si>
  <si>
    <t>Pre-intervention</t>
  </si>
  <si>
    <t>ENERGY (kJ)</t>
  </si>
  <si>
    <t>INCLUDING 4.1 STANDARD</t>
  </si>
  <si>
    <t>EXCLUDING 4.1 STANDARD</t>
  </si>
  <si>
    <t>Biopsy - dominent (D) or non-dominant (ND) leg first</t>
  </si>
  <si>
    <t>Physical activity energy expenditure (kJ)</t>
  </si>
  <si>
    <t>HP16 excluded from analysis due to RER &gt; 1.0</t>
  </si>
  <si>
    <t>kj/d/kg</t>
  </si>
  <si>
    <t>Excluded due to surgery followed by lack of laboratory availability matching to the follicular phase of her menstrual cycle after recovery</t>
  </si>
  <si>
    <t>Biopsy only on RE trial due to not getting a sample on first trial</t>
  </si>
  <si>
    <t>Biopsy PRE only due to not getting a post-OGTT sample on the first trial</t>
  </si>
  <si>
    <t>g water per kg muscle mass</t>
  </si>
  <si>
    <t>Standard</t>
  </si>
  <si>
    <t>Mean</t>
  </si>
  <si>
    <t>Standard plate 1</t>
  </si>
  <si>
    <t>Standard plate 2</t>
  </si>
  <si>
    <t>Deviations from registered protocol</t>
  </si>
  <si>
    <t>Planned protocol</t>
  </si>
  <si>
    <t>Deviation</t>
  </si>
  <si>
    <t>Rationale</t>
  </si>
  <si>
    <t xml:space="preserve">Indirect calorimetry measured at 0 (pre-glucose drink), and 60 and 120 minutes post-glucose drink </t>
  </si>
  <si>
    <t>Subgroup (n = 9) included an additional indirect calorimetry measure at 30 minutes post-glucose drink</t>
  </si>
  <si>
    <t>After the first five participants had completed the study, we wanted to know whether the thermic effect of feeding linearly increased between 0 and 60 minutes, so included the additional measure at 30 minutes</t>
  </si>
  <si>
    <t>Body water measurements</t>
  </si>
  <si>
    <t>Not reported</t>
  </si>
  <si>
    <t xml:space="preserve">These data were difficult to interpret due to accompanying changes in body mass. We have therefore not reported them but they are available in the accompanying dataset. </t>
  </si>
  <si>
    <t>Plasma cortisol concentrations</t>
  </si>
  <si>
    <t>Not registered</t>
  </si>
  <si>
    <t>Collaborator had funds to measure this and we felt it would be worthwhile mechanistically to explore</t>
  </si>
  <si>
    <t>Plasma adrenocorticotropic hormone concentrations</t>
  </si>
  <si>
    <t>Other metabolites (creatinine, cholesterol, triglycerides)</t>
  </si>
  <si>
    <t>Not measured</t>
  </si>
  <si>
    <t>Lack of funds</t>
  </si>
  <si>
    <t>No mention of splitting data by biopsy status</t>
  </si>
  <si>
    <t>Running some post-hoc analyses splitting the data according to whether participants had biopsies or not</t>
  </si>
  <si>
    <t>When visually checking the individual data, there was a clear biopsy response (particularly from plasma copeptin, cortisol and adrenocorticotropic hormone). We therefore wanted to check the stress response from the biopsy did not change our overall conclusions, though we appreciate any post-hoc analyses will be under powered</t>
  </si>
  <si>
    <t>Day 4 of protocol – pQCT scan following venepuncture</t>
  </si>
  <si>
    <t>pQCT scan occurred pre-venepuncture</t>
  </si>
  <si>
    <t xml:space="preserve">Logistically this worked better as the scanning room was on the way to the resting room for venepuncture. osf.io/ptq7m registration also said we would analyse this using ANOVA; this was a mistake and should have said t-test. </t>
  </si>
  <si>
    <t>Participants will remain in the heat-tent until they lose 1 % of their body mass or for a maximum of 1 hour (whichever comes first), and body mass loss will be matched</t>
  </si>
  <si>
    <t>All participants remained in the heat-tent for 1 hour on both trial arms</t>
  </si>
  <si>
    <t xml:space="preserve">Logistically this was easier (i.e. taking people out of the heat tent to dry and weigh means they would have cooled down and had to heat back up again upon returning to the heat-tent) and it also meant time in the heat-tent was standardised (as sweating induces a vasopressin response). </t>
  </si>
  <si>
    <t xml:space="preserve">This slightly increased the amount of water participants were able to consume to increase participant comfort without meaningfully altering their hydration status </t>
  </si>
  <si>
    <t>Arginine vasopressin analysis: ANOVA, iAUC, time to peak</t>
  </si>
  <si>
    <t>Did not report any arginine vasopressin analyses</t>
  </si>
  <si>
    <t>The assays run to analyse arginine vasopressin resulted in unreliable data, caused by one of the standards being off, which may lead us to make spurious inferences. We have provided the data in the open access dataset though</t>
  </si>
  <si>
    <t>Copeptin analysis: iAUC, time to peak</t>
  </si>
  <si>
    <t>AUC reported; iAUC and time to peak not reported</t>
  </si>
  <si>
    <t>Muscle glycogen content</t>
  </si>
  <si>
    <t>We are yet to measure this due to funding restraints but aim to publish these data if we are able to measure it in the future</t>
  </si>
  <si>
    <t>Post-OGTT appetite testing</t>
  </si>
  <si>
    <t>Due to the divergence of these outcomes from glycaemia, we felt it would be clearer to separate the outcomes to allow for a fuller and more comprehensive discussion; thus we will publish these findings in a separate manuscript</t>
  </si>
  <si>
    <r>
      <t>In the dehydration trial, participants will be given 3 mL∙kg</t>
    </r>
    <r>
      <rPr>
        <vertAlign val="superscript"/>
        <sz val="12"/>
        <color rgb="FF000000"/>
        <rFont val="Times New Roman"/>
        <family val="1"/>
      </rPr>
      <t>-1</t>
    </r>
    <r>
      <rPr>
        <sz val="12"/>
        <color rgb="FF000000"/>
        <rFont val="Times New Roman"/>
        <family val="1"/>
      </rPr>
      <t xml:space="preserve"> lean body mass of water </t>
    </r>
  </si>
  <si>
    <r>
      <t>Participants were given 3 mL∙kg</t>
    </r>
    <r>
      <rPr>
        <vertAlign val="superscript"/>
        <sz val="12"/>
        <color rgb="FF000000"/>
        <rFont val="Times New Roman"/>
        <family val="1"/>
      </rPr>
      <t>-1</t>
    </r>
    <r>
      <rPr>
        <sz val="12"/>
        <color rgb="FF000000"/>
        <rFont val="Times New Roman"/>
        <family val="1"/>
      </rPr>
      <t xml:space="preserve"> of water</t>
    </r>
  </si>
  <si>
    <r>
      <t xml:space="preserve">The copeptin response was meaningfully different between rehydrated and dehydrated trials, with this difference maintaining consistently across all measures (i.e. there was no curve </t>
    </r>
    <r>
      <rPr>
        <i/>
        <sz val="12"/>
        <color rgb="FF000000"/>
        <rFont val="Times New Roman"/>
        <family val="1"/>
      </rPr>
      <t>per se</t>
    </r>
    <r>
      <rPr>
        <sz val="12"/>
        <color rgb="FF000000"/>
        <rFont val="Times New Roman"/>
        <family val="1"/>
      </rPr>
      <t>). Thus AUC was reported as this more accurately represents the difference in the responses compared to iAUC. Time to peak was not reported for 2 reasons: 1. The biopsies caused a peak in copeptin due to the stress response (i.e. unrelated to hydration status); 2. The data were consistently higher when dehydrated, thus including time to peak adds no new information (i.e. there was no curve)</t>
    </r>
  </si>
  <si>
    <t>Average nutrient profiles of participant diets during the 3 day monitoring phase before each trial arm (n = 16)</t>
  </si>
  <si>
    <t>Hypohydrated</t>
  </si>
  <si>
    <t>Rehydrated</t>
  </si>
  <si>
    <r>
      <t>p</t>
    </r>
    <r>
      <rPr>
        <sz val="12"/>
        <color rgb="FF000000"/>
        <rFont val="Times New Roman"/>
        <family val="1"/>
      </rPr>
      <t>-value</t>
    </r>
  </si>
  <si>
    <r>
      <t>Energy intake (kJ∙d</t>
    </r>
    <r>
      <rPr>
        <vertAlign val="superscript"/>
        <sz val="12"/>
        <color rgb="FF000000"/>
        <rFont val="Times New Roman"/>
        <family val="1"/>
      </rPr>
      <t>-1</t>
    </r>
    <r>
      <rPr>
        <sz val="12"/>
        <color rgb="FF000000"/>
        <rFont val="Times New Roman"/>
        <family val="1"/>
      </rPr>
      <t xml:space="preserve"> ± </t>
    </r>
    <r>
      <rPr>
        <i/>
        <sz val="12"/>
        <color rgb="FF000000"/>
        <rFont val="Times New Roman"/>
        <family val="1"/>
      </rPr>
      <t>SD</t>
    </r>
    <r>
      <rPr>
        <sz val="12"/>
        <color rgb="FF000000"/>
        <rFont val="Times New Roman"/>
        <family val="1"/>
      </rPr>
      <t>)</t>
    </r>
  </si>
  <si>
    <t>9777 ± 3765</t>
  </si>
  <si>
    <t>10091 ± 3513</t>
  </si>
  <si>
    <r>
      <t xml:space="preserve">Carbohydrate (g ± </t>
    </r>
    <r>
      <rPr>
        <i/>
        <sz val="12"/>
        <color rgb="FF000000"/>
        <rFont val="Times New Roman"/>
        <family val="1"/>
      </rPr>
      <t>SD</t>
    </r>
    <r>
      <rPr>
        <sz val="12"/>
        <color rgb="FF000000"/>
        <rFont val="Times New Roman"/>
        <family val="1"/>
      </rPr>
      <t>)</t>
    </r>
  </si>
  <si>
    <t>274 ± 125</t>
  </si>
  <si>
    <t>271 ± 125</t>
  </si>
  <si>
    <r>
      <t xml:space="preserve">Sugar (g ± </t>
    </r>
    <r>
      <rPr>
        <i/>
        <sz val="12"/>
        <color rgb="FF000000"/>
        <rFont val="Times New Roman"/>
        <family val="1"/>
      </rPr>
      <t>SD</t>
    </r>
    <r>
      <rPr>
        <sz val="12"/>
        <color rgb="FF000000"/>
        <rFont val="Times New Roman"/>
        <family val="1"/>
      </rPr>
      <t>)</t>
    </r>
  </si>
  <si>
    <t>114 ± 64</t>
  </si>
  <si>
    <t>110 ± 62</t>
  </si>
  <si>
    <r>
      <t xml:space="preserve">Protein (g ± </t>
    </r>
    <r>
      <rPr>
        <i/>
        <sz val="12"/>
        <color rgb="FF000000"/>
        <rFont val="Times New Roman"/>
        <family val="1"/>
      </rPr>
      <t>SD</t>
    </r>
    <r>
      <rPr>
        <sz val="12"/>
        <color rgb="FF000000"/>
        <rFont val="Times New Roman"/>
        <family val="1"/>
      </rPr>
      <t>)</t>
    </r>
  </si>
  <si>
    <t>105 ± 52</t>
  </si>
  <si>
    <t xml:space="preserve">103 ± 41 </t>
  </si>
  <si>
    <r>
      <t xml:space="preserve">Fat (g ± </t>
    </r>
    <r>
      <rPr>
        <i/>
        <sz val="12"/>
        <color rgb="FF000000"/>
        <rFont val="Times New Roman"/>
        <family val="1"/>
      </rPr>
      <t>SD</t>
    </r>
    <r>
      <rPr>
        <sz val="12"/>
        <color rgb="FF000000"/>
        <rFont val="Times New Roman"/>
        <family val="1"/>
      </rPr>
      <t>)</t>
    </r>
  </si>
  <si>
    <t>84 ± 51</t>
  </si>
  <si>
    <t>93 ± 53</t>
  </si>
  <si>
    <r>
      <t xml:space="preserve">Sodium (mg ± </t>
    </r>
    <r>
      <rPr>
        <i/>
        <sz val="12"/>
        <color rgb="FF000000"/>
        <rFont val="Times New Roman"/>
        <family val="1"/>
      </rPr>
      <t>SD</t>
    </r>
    <r>
      <rPr>
        <sz val="12"/>
        <color rgb="FF000000"/>
        <rFont val="Times New Roman"/>
        <family val="1"/>
      </rPr>
      <t>)</t>
    </r>
  </si>
  <si>
    <t>2487 ± 1774</t>
  </si>
  <si>
    <t>2497 ± 1156</t>
  </si>
  <si>
    <r>
      <t xml:space="preserve">Potassium (mg ± </t>
    </r>
    <r>
      <rPr>
        <i/>
        <sz val="12"/>
        <color rgb="FF000000"/>
        <rFont val="Times New Roman"/>
        <family val="1"/>
      </rPr>
      <t>SD</t>
    </r>
    <r>
      <rPr>
        <sz val="12"/>
        <color rgb="FF000000"/>
        <rFont val="Times New Roman"/>
        <family val="1"/>
      </rPr>
      <t>)</t>
    </r>
  </si>
  <si>
    <t>3486 ± 3417</t>
  </si>
  <si>
    <t>2778 ± 1347</t>
  </si>
  <si>
    <r>
      <t xml:space="preserve">Water (food + fluid; L ± </t>
    </r>
    <r>
      <rPr>
        <i/>
        <sz val="12"/>
        <color rgb="FF000000"/>
        <rFont val="Times New Roman"/>
        <family val="1"/>
      </rPr>
      <t>SD</t>
    </r>
    <r>
      <rPr>
        <sz val="12"/>
        <color rgb="FF000000"/>
        <rFont val="Times New Roman"/>
        <family val="1"/>
      </rPr>
      <t>)</t>
    </r>
  </si>
  <si>
    <t>3.3 ± 1.5</t>
  </si>
  <si>
    <t>3.2 ± 1.4</t>
  </si>
  <si>
    <r>
      <t xml:space="preserve">Abbreviations: </t>
    </r>
    <r>
      <rPr>
        <i/>
        <sz val="12"/>
        <color theme="1"/>
        <rFont val="Times New Roman"/>
        <family val="1"/>
      </rPr>
      <t xml:space="preserve">SD, </t>
    </r>
    <r>
      <rPr>
        <sz val="12"/>
        <color theme="1"/>
        <rFont val="Times New Roman"/>
        <family val="1"/>
      </rPr>
      <t>standard deviation</t>
    </r>
  </si>
  <si>
    <t>Average nutrient profiles of participant diets on the intervention day for each trial arm (n = 16)</t>
  </si>
  <si>
    <t>3294 ± 1654</t>
  </si>
  <si>
    <t>3222 ± 1723</t>
  </si>
  <si>
    <t>253 ± 82</t>
  </si>
  <si>
    <t>270 ± 109</t>
  </si>
  <si>
    <t>81 ± 33</t>
  </si>
  <si>
    <t>80 ± 42</t>
  </si>
  <si>
    <t>76 ± 29</t>
  </si>
  <si>
    <t>80 ± 36</t>
  </si>
  <si>
    <t>100 ± 41</t>
  </si>
  <si>
    <t>104 ± 53</t>
  </si>
  <si>
    <t>1973 ± 1138</t>
  </si>
  <si>
    <t>2254 ± 1402</t>
  </si>
  <si>
    <t>731 ± 708</t>
  </si>
  <si>
    <t>1307 ± 1413</t>
  </si>
  <si>
    <t>0.52 ± 0.11</t>
  </si>
  <si>
    <t>3.7 ± 0.8</t>
  </si>
  <si>
    <t>&lt; 0.001</t>
  </si>
  <si>
    <t>Coefficient of variation of blood analysis assays</t>
  </si>
  <si>
    <t>Analyte</t>
  </si>
  <si>
    <t>Kit</t>
  </si>
  <si>
    <t>Intra-assay coefficient of variation of kit</t>
  </si>
  <si>
    <t>Inter-assay coefficient of variation of kit</t>
  </si>
  <si>
    <t>Intra-assay coefficient of variation of analysis</t>
  </si>
  <si>
    <r>
      <t>Plasma arginine</t>
    </r>
    <r>
      <rPr>
        <vertAlign val="superscript"/>
        <sz val="12"/>
        <color rgb="FF000000"/>
        <rFont val="Times New Roman"/>
        <family val="1"/>
      </rPr>
      <t>8</t>
    </r>
    <r>
      <rPr>
        <sz val="12"/>
        <color rgb="FF000000"/>
        <rFont val="Times New Roman"/>
        <family val="1"/>
      </rPr>
      <t xml:space="preserve"> vasopressin</t>
    </r>
  </si>
  <si>
    <t>Enzo Life Sciences</t>
  </si>
  <si>
    <t>6.0-14.3 %</t>
  </si>
  <si>
    <t>8.6-9.5 %</t>
  </si>
  <si>
    <t>6.2-6.7 %</t>
  </si>
  <si>
    <t>Serum insulin</t>
  </si>
  <si>
    <t>Mercodia</t>
  </si>
  <si>
    <t>2.8-4.0 %</t>
  </si>
  <si>
    <t>2.6-3.6 %</t>
  </si>
  <si>
    <t>0.0-33.3</t>
  </si>
  <si>
    <t>Plasma adrenocorticotropic hormone</t>
  </si>
  <si>
    <t>Roche</t>
  </si>
  <si>
    <t>4.0-5.0 %</t>
  </si>
  <si>
    <t>-</t>
  </si>
  <si>
    <t>Plasma cortisol</t>
  </si>
  <si>
    <t>Plasma copeptin</t>
  </si>
  <si>
    <t>ThermoFisher Compact Plus</t>
  </si>
  <si>
    <t>3.0-15.0 %</t>
  </si>
  <si>
    <t>5.0-18.0 %</t>
  </si>
  <si>
    <t>Serum glucose</t>
  </si>
  <si>
    <t>Randox Laboratories RX Daytona</t>
  </si>
  <si>
    <t>2.0-4.5 %</t>
  </si>
  <si>
    <t>3.5-5.9 %</t>
  </si>
  <si>
    <t>Serum osmolality</t>
  </si>
  <si>
    <t>Gonotec Osmomat auto</t>
  </si>
  <si>
    <t>&lt; 0.1 %</t>
  </si>
  <si>
    <t>Dash indicates that these data are not available</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</si>
</sst>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00"/>
  </numFmts>
  <fonts count="13" x14ac:knownFonts="1">
    <font>
      <sz val="11"/>
      <color theme="1"/>
      <name val="Calibri"/>
      <family val="2"/>
      <scheme val="minor"/>
    </font>
    <font>
      <b/>
      <sz val="11"/>
      <color theme="1"/>
      <name val="Calibri"/>
      <family val="2"/>
      <scheme val="minor"/>
    </font>
    <font>
      <sz val="11"/>
      <color theme="1"/>
      <name val="Wingdings"/>
      <charset val="2"/>
    </font>
    <font>
      <sz val="11"/>
      <color theme="0" tint="-0.249977111117893"/>
      <name val="Calibri"/>
      <family val="2"/>
      <scheme val="minor"/>
    </font>
    <font>
      <b/>
      <sz val="9"/>
      <color indexed="81"/>
      <name val="Tahoma"/>
      <family val="2"/>
    </font>
    <font>
      <sz val="9"/>
      <color indexed="81"/>
      <name val="Tahoma"/>
      <family val="2"/>
    </font>
    <font>
      <sz val="11"/>
      <name val="Calibri"/>
      <family val="2"/>
      <scheme val="minor"/>
    </font>
    <font>
      <sz val="12"/>
      <color theme="1"/>
      <name val="Times New Roman"/>
      <family val="1"/>
    </font>
    <font>
      <b/>
      <sz val="12"/>
      <color theme="1"/>
      <name val="Times New Roman"/>
      <family val="1"/>
    </font>
    <font>
      <sz val="12"/>
      <color rgb="FF000000"/>
      <name val="Times New Roman"/>
      <family val="1"/>
    </font>
    <font>
      <vertAlign val="superscript"/>
      <sz val="12"/>
      <color rgb="FF000000"/>
      <name val="Times New Roman"/>
      <family val="1"/>
    </font>
    <font>
      <i/>
      <sz val="12"/>
      <color rgb="FF000000"/>
      <name val="Times New Roman"/>
      <family val="1"/>
    </font>
    <font>
      <i/>
      <sz val="12"/>
      <color theme="1"/>
      <name val="Times New Roman"/>
      <family val="1"/>
    </font>
  </fonts>
  <fills count="4">
    <fill>
      <patternFill patternType="none"/>
    </fill>
    <fill>
      <patternFill patternType="gray125"/>
    </fill>
    <fill>
      <patternFill patternType="solid">
        <fgColor rgb="FFC00000"/>
        <bgColor indexed="64"/>
      </patternFill>
    </fill>
    <fill>
      <patternFill patternType="solid">
        <fgColor theme="0" tint="-0.14999847407452621"/>
        <bgColor indexed="64"/>
      </patternFill>
    </fill>
  </fills>
  <borders count="6">
    <border>
      <left/>
      <right/>
      <top/>
      <bottom/>
      <diagonal/>
    </border>
    <border>
      <left/>
      <right style="thin">
        <color auto="1"/>
      </right>
      <top/>
      <bottom/>
      <diagonal/>
    </border>
    <border>
      <left/>
      <right/>
      <top style="thick">
        <color auto="1"/>
      </top>
      <bottom/>
      <diagonal/>
    </border>
    <border>
      <left/>
      <right/>
      <top style="medium">
        <color rgb="FF000000"/>
      </top>
      <bottom style="medium">
        <color rgb="FF000000"/>
      </bottom>
      <diagonal/>
    </border>
    <border>
      <left/>
      <right/>
      <top/>
      <bottom style="medium">
        <color rgb="FF000000"/>
      </bottom>
      <diagonal/>
    </border>
    <border>
      <left/>
      <right/>
      <top style="medium">
        <color rgb="FF000000"/>
      </top>
      <bottom/>
      <diagonal/>
    </border>
  </borders>
  <cellStyleXfs count="1">
    <xf numFmtId="0" fontId="0" fillId="0" borderId="0"/>
  </cellStyleXfs>
  <cellXfs count="44">
    <xf numFmtId="0" fontId="0" fillId="0" borderId="0" xfId="0"/>
    <xf numFmtId="0" fontId="1" fillId="0" borderId="0" xfId="0" applyFont="1"/>
    <xf numFmtId="0" fontId="0" fillId="0" borderId="0" xfId="0" applyFill="1"/>
    <xf numFmtId="2" fontId="0" fillId="0" borderId="0" xfId="0" applyNumberFormat="1"/>
    <xf numFmtId="0" fontId="2" fillId="0" borderId="0" xfId="0" applyFont="1" applyAlignment="1">
      <alignment horizontal="center"/>
    </xf>
    <xf numFmtId="164" fontId="0" fillId="0" borderId="0" xfId="0" applyNumberFormat="1"/>
    <xf numFmtId="164" fontId="3" fillId="0" borderId="0" xfId="0" applyNumberFormat="1" applyFont="1"/>
    <xf numFmtId="1" fontId="0" fillId="0" borderId="0" xfId="0" applyNumberFormat="1" applyFill="1"/>
    <xf numFmtId="0" fontId="3" fillId="0" borderId="0" xfId="0" applyFont="1"/>
    <xf numFmtId="1" fontId="6" fillId="0" borderId="0" xfId="0" applyNumberFormat="1" applyFont="1" applyFill="1"/>
    <xf numFmtId="0" fontId="0" fillId="0" borderId="1" xfId="0" applyBorder="1"/>
    <xf numFmtId="0" fontId="0" fillId="0" borderId="0" xfId="0" applyFill="1" applyBorder="1"/>
    <xf numFmtId="0" fontId="0" fillId="0" borderId="1" xfId="0" applyFill="1" applyBorder="1"/>
    <xf numFmtId="1" fontId="0" fillId="0" borderId="0" xfId="0" applyNumberFormat="1"/>
    <xf numFmtId="0" fontId="0" fillId="0" borderId="0" xfId="0" applyBorder="1"/>
    <xf numFmtId="1" fontId="0" fillId="0" borderId="0" xfId="0" applyNumberFormat="1" applyBorder="1"/>
    <xf numFmtId="1" fontId="0" fillId="0" borderId="0" xfId="0" applyNumberFormat="1" applyFill="1" applyBorder="1"/>
    <xf numFmtId="165" fontId="0" fillId="0" borderId="0" xfId="0" applyNumberFormat="1"/>
    <xf numFmtId="165" fontId="0" fillId="0" borderId="0" xfId="0" applyNumberFormat="1" applyFill="1"/>
    <xf numFmtId="165" fontId="3" fillId="0" borderId="0" xfId="0" applyNumberFormat="1" applyFont="1"/>
    <xf numFmtId="2" fontId="0" fillId="0" borderId="0" xfId="0" applyNumberFormat="1" applyFill="1"/>
    <xf numFmtId="0" fontId="0" fillId="2" borderId="0" xfId="0" applyFill="1"/>
    <xf numFmtId="0" fontId="0" fillId="0" borderId="2" xfId="0" applyBorder="1"/>
    <xf numFmtId="0" fontId="0" fillId="2" borderId="2" xfId="0" applyFill="1" applyBorder="1"/>
    <xf numFmtId="0" fontId="0" fillId="0" borderId="2" xfId="0" applyFill="1" applyBorder="1"/>
    <xf numFmtId="2" fontId="0" fillId="0" borderId="2" xfId="0" applyNumberFormat="1" applyBorder="1"/>
    <xf numFmtId="2" fontId="0" fillId="0" borderId="0" xfId="0" applyNumberFormat="1" applyFill="1" applyBorder="1"/>
    <xf numFmtId="0" fontId="0" fillId="3" borderId="0" xfId="0" applyFill="1"/>
    <xf numFmtId="2" fontId="0" fillId="3" borderId="0" xfId="0" applyNumberFormat="1" applyFill="1"/>
    <xf numFmtId="0" fontId="0" fillId="3" borderId="2" xfId="0" applyFill="1" applyBorder="1"/>
    <xf numFmtId="0" fontId="7" fillId="0" borderId="0" xfId="0" applyFont="1" applyAlignment="1">
      <alignment vertical="center"/>
    </xf>
    <xf numFmtId="0" fontId="8" fillId="0" borderId="0" xfId="0" applyFont="1" applyAlignment="1">
      <alignment vertical="center"/>
    </xf>
    <xf numFmtId="0" fontId="9" fillId="0" borderId="3" xfId="0" applyFont="1" applyBorder="1" applyAlignment="1">
      <alignment vertical="center" wrapText="1"/>
    </xf>
    <xf numFmtId="0" fontId="9" fillId="0" borderId="0" xfId="0" applyFont="1" applyAlignment="1">
      <alignment vertical="center" wrapText="1"/>
    </xf>
    <xf numFmtId="0" fontId="9" fillId="0" borderId="4" xfId="0" applyFont="1" applyBorder="1" applyAlignment="1">
      <alignment vertical="center" wrapText="1"/>
    </xf>
    <xf numFmtId="0" fontId="9" fillId="0" borderId="0" xfId="0" applyFont="1" applyAlignment="1">
      <alignment vertical="center" wrapText="1"/>
    </xf>
    <xf numFmtId="0" fontId="9" fillId="0" borderId="5" xfId="0" applyFont="1" applyBorder="1" applyAlignment="1">
      <alignment vertical="center" wrapText="1"/>
    </xf>
    <xf numFmtId="0" fontId="9" fillId="0" borderId="4" xfId="0" applyFont="1" applyBorder="1" applyAlignment="1">
      <alignment vertical="center" wrapText="1"/>
    </xf>
    <xf numFmtId="0" fontId="9" fillId="0" borderId="3" xfId="0" applyFont="1" applyBorder="1" applyAlignment="1">
      <alignment horizontal="center" vertical="center" wrapText="1"/>
    </xf>
    <xf numFmtId="0" fontId="11" fillId="0" borderId="3" xfId="0" applyFont="1" applyBorder="1" applyAlignment="1">
      <alignment horizontal="center" vertical="center" wrapText="1"/>
    </xf>
    <xf numFmtId="0" fontId="9" fillId="0" borderId="0" xfId="0" applyFont="1" applyAlignment="1">
      <alignment horizontal="center" vertical="center" wrapText="1"/>
    </xf>
    <xf numFmtId="0" fontId="9" fillId="0" borderId="4" xfId="0" applyFont="1" applyBorder="1" applyAlignment="1">
      <alignment horizontal="center" vertical="center" wrapText="1"/>
    </xf>
    <xf numFmtId="10" fontId="9" fillId="0" borderId="0" xfId="0" applyNumberFormat="1" applyFont="1" applyAlignment="1">
      <alignment horizontal="center" vertical="center" wrapText="1"/>
    </xf>
    <xf numFmtId="10" fontId="9" fillId="0" borderId="4" xfId="0" applyNumberFormat="1"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19050</xdr:rowOff>
    </xdr:from>
    <xdr:to>
      <xdr:col>18</xdr:col>
      <xdr:colOff>266700</xdr:colOff>
      <xdr:row>26</xdr:row>
      <xdr:rowOff>171450</xdr:rowOff>
    </xdr:to>
    <xdr:sp macro="" textlink="">
      <xdr:nvSpPr>
        <xdr:cNvPr id="2" name="TextBox 1"/>
        <xdr:cNvSpPr txBox="1"/>
      </xdr:nvSpPr>
      <xdr:spPr>
        <a:xfrm>
          <a:off x="0" y="19050"/>
          <a:ext cx="11239500" cy="51054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This dataset provides the data collected for a trial investigating the role of hydration status on glycaemic control and appetite regulation</a:t>
          </a:r>
          <a:r>
            <a:rPr lang="en-GB" sz="1100" baseline="0"/>
            <a:t> in healthy adults (n = 16; n = 8 male). The trial was a randomised crossover trial, with each trial arm lasting 5 days. The first 3 days were lifestyle monitoring, day 4 was a dehydration/rehydration day (including lifestyle monitoring), and day 5 was the full trial day. The trial arms were hypohydrated (HYPO), or rehydrated (RE). Comments have been added to include details of missing data points. </a:t>
          </a:r>
        </a:p>
        <a:p>
          <a:r>
            <a:rPr lang="en-GB" sz="1100" baseline="0"/>
            <a:t>Time points should be interpreted as follows: </a:t>
          </a:r>
          <a:r>
            <a:rPr lang="en-GB" sz="1100" b="1" baseline="0"/>
            <a:t>Baseline</a:t>
          </a:r>
          <a:r>
            <a:rPr lang="en-GB" sz="1100" baseline="0"/>
            <a:t> = the venepuncture on day 4; </a:t>
          </a:r>
          <a:r>
            <a:rPr lang="en-GB" sz="1100" b="1" baseline="0"/>
            <a:t>PRE-biopsy</a:t>
          </a:r>
          <a:r>
            <a:rPr lang="en-GB" sz="1100" baseline="0"/>
            <a:t> = fasted sample on day 5 in those who opted-in for the muscle biopsy (except participant HP01 who missed this sample despite having biopsies); </a:t>
          </a:r>
          <a:r>
            <a:rPr lang="en-GB" sz="1100" b="1" baseline="0"/>
            <a:t>0</a:t>
          </a:r>
          <a:r>
            <a:rPr lang="en-GB" sz="1100" baseline="0"/>
            <a:t> = fasted sample for all participants (those who opted in for biopsies had this sample taken post-biopsy, but still in a fasted state); </a:t>
          </a:r>
          <a:r>
            <a:rPr lang="en-GB" sz="1100" b="1" baseline="0"/>
            <a:t>15-120</a:t>
          </a:r>
          <a:r>
            <a:rPr lang="en-GB" sz="1100" baseline="0"/>
            <a:t> = 15 minutely blood samples after consuming the 75 g glucose drink</a:t>
          </a:r>
        </a:p>
        <a:p>
          <a:endParaRPr lang="en-GB" sz="1100" baseline="0"/>
        </a:p>
        <a:p>
          <a:r>
            <a:rPr lang="en-GB" sz="1100" b="1" baseline="0"/>
            <a:t>Days 1-3 consisted of:</a:t>
          </a:r>
        </a:p>
        <a:p>
          <a:r>
            <a:rPr lang="en-GB" sz="1100" baseline="0"/>
            <a:t> - Physical activity monitoring (ActiHeart (TM))</a:t>
          </a:r>
        </a:p>
        <a:p>
          <a:r>
            <a:rPr lang="en-GB" sz="1100" baseline="0"/>
            <a:t> - Weighed food diaries</a:t>
          </a:r>
        </a:p>
        <a:p>
          <a:r>
            <a:rPr lang="en-GB" sz="1100" baseline="0"/>
            <a:t> - Nude morning weight and body water %</a:t>
          </a:r>
        </a:p>
        <a:p>
          <a:r>
            <a:rPr lang="en-GB" sz="1100" baseline="0"/>
            <a:t> - First urine sample after waking</a:t>
          </a:r>
        </a:p>
        <a:p>
          <a:r>
            <a:rPr lang="en-GB" sz="1100" b="1" baseline="0"/>
            <a:t>Day 3 additionally involved:</a:t>
          </a:r>
        </a:p>
        <a:p>
          <a:r>
            <a:rPr lang="en-GB" sz="1100" baseline="0"/>
            <a:t> - A euhydration protocol: no alcohol, and to consume a minimum of 40 mL/kg lean body mass of any non-alcoholic  fluid</a:t>
          </a:r>
        </a:p>
        <a:p>
          <a:endParaRPr lang="en-GB" sz="1100" baseline="0"/>
        </a:p>
        <a:p>
          <a:r>
            <a:rPr lang="en-GB" sz="1100" b="1" baseline="0"/>
            <a:t>Day 4 consisted of:</a:t>
          </a:r>
        </a:p>
        <a:p>
          <a:pPr marL="0" marR="0" lvl="0" indent="0" defTabSz="914400" eaLnBrk="1" fontAlgn="auto" latinLnBrk="0" hangingPunct="1">
            <a:lnSpc>
              <a:spcPct val="100000"/>
            </a:lnSpc>
            <a:spcBef>
              <a:spcPts val="0"/>
            </a:spcBef>
            <a:spcAft>
              <a:spcPts val="0"/>
            </a:spcAft>
            <a:buClrTx/>
            <a:buSzTx/>
            <a:buFontTx/>
            <a:buNone/>
            <a:tabLst/>
            <a:defRPr/>
          </a:pPr>
          <a:r>
            <a:rPr lang="en-GB" sz="1100" baseline="0">
              <a:solidFill>
                <a:schemeClr val="dk1"/>
              </a:solidFill>
              <a:effectLst/>
              <a:latin typeface="+mn-lt"/>
              <a:ea typeface="+mn-ea"/>
              <a:cs typeface="+mn-cs"/>
            </a:rPr>
            <a:t> - Same lifestyle monitoring as days 1-3</a:t>
          </a:r>
          <a:endParaRPr lang="en-GB" sz="1100" baseline="0"/>
        </a:p>
        <a:p>
          <a:r>
            <a:rPr lang="en-GB" sz="1100" baseline="0"/>
            <a:t> - A single venepuncture  in a fasted state (no food or fluid since 2200 h the previous night)</a:t>
          </a:r>
        </a:p>
        <a:p>
          <a:r>
            <a:rPr lang="en-GB" sz="1100" baseline="0"/>
            <a:t> - A pQCT scan of the mid point of the thigh (cross-section) (in a fasted state)</a:t>
          </a:r>
        </a:p>
        <a:p>
          <a:r>
            <a:rPr lang="en-GB" sz="1100" baseline="0"/>
            <a:t> - Dehydration in a heat tent for 1 hour</a:t>
          </a:r>
        </a:p>
        <a:p>
          <a:r>
            <a:rPr lang="en-GB" sz="1100" baseline="0"/>
            <a:t> - Post-heat tent fluid prescription (HYPO = 3 mL/kg body mass; RE = 40 mL/kg lean body mass + 150 % sweat losses)</a:t>
          </a:r>
        </a:p>
        <a:p>
          <a:endParaRPr lang="en-GB" sz="1100" baseline="0"/>
        </a:p>
        <a:p>
          <a:r>
            <a:rPr lang="en-GB" sz="1100" b="1" baseline="0"/>
            <a:t>Day 5 consisted of:</a:t>
          </a:r>
        </a:p>
        <a:p>
          <a:r>
            <a:rPr lang="en-GB" sz="1100" baseline="0"/>
            <a:t> - Same morning measures (urine, body mass) as days 1-4</a:t>
          </a:r>
        </a:p>
        <a:p>
          <a:r>
            <a:rPr lang="en-GB" sz="1100" baseline="0"/>
            <a:t> - Fasted pQCT scan (no food or fluid from 2200 h the previous night)</a:t>
          </a:r>
        </a:p>
        <a:p>
          <a:r>
            <a:rPr lang="en-GB" sz="1100" baseline="0"/>
            <a:t> - Fasted metabolic rate, blood sample (cannula), muscle biopsy (opt-in only)</a:t>
          </a:r>
        </a:p>
        <a:p>
          <a:r>
            <a:rPr lang="en-GB" sz="1100" baseline="0"/>
            <a:t> - 2-h OGTT (15 minutely bloods), with metabolic rate measured at various post-glucose load time points, and post-OGTT muscle biopsy (opt-in only)</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304800</xdr:colOff>
      <xdr:row>0</xdr:row>
      <xdr:rowOff>152399</xdr:rowOff>
    </xdr:from>
    <xdr:to>
      <xdr:col>18</xdr:col>
      <xdr:colOff>581025</xdr:colOff>
      <xdr:row>50</xdr:row>
      <xdr:rowOff>66674</xdr:rowOff>
    </xdr:to>
    <xdr:sp macro="" textlink="">
      <xdr:nvSpPr>
        <xdr:cNvPr id="2" name="TextBox 1"/>
        <xdr:cNvSpPr txBox="1"/>
      </xdr:nvSpPr>
      <xdr:spPr>
        <a:xfrm>
          <a:off x="304800" y="152399"/>
          <a:ext cx="11249025" cy="94392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a:t>Approach to methods</a:t>
          </a:r>
        </a:p>
        <a:p>
          <a:r>
            <a:rPr lang="en-GB" sz="1100"/>
            <a:t>To our knowledge, the effect of hydration status on glycemia and appetite has never been causally investigated in healthy adults. The aim of this study design was to dehydrate participants, then either rehydrate, or continue dehydrating them, in a randomized crossover design. We then measured the glycemic and metabolic responses in the rehydrated (RE) and hypohydrated (HYPO) states. The methods were chosen based on several factors, including participant comfort, reliability, ecological validity, and theory regarding the effect of different methods of hypohydration on the mechanisms of interest (e.g. intravenous hypohydration, fluid restriction, exercise-induced hypohydration). Further, we aimed to utilise methods to assess the glycemic response that are commonly used in clinical and research settings (e.g. the use of an oral glucose tolerance test, used in both clinical practice and research, rather than hyperinsulinemic euglycemic clamp, used primarily in specific research settings). </a:t>
          </a:r>
        </a:p>
        <a:p>
          <a:r>
            <a:rPr lang="en-GB" sz="1100"/>
            <a:t> </a:t>
          </a:r>
        </a:p>
        <a:p>
          <a:r>
            <a:rPr lang="en-GB" sz="1100"/>
            <a:t>Several methods have previously been utilised to induce hypohydration. In a study of 15 participants (n = 10 men) with type 1 diabetes</a:t>
          </a:r>
          <a:r>
            <a:rPr lang="en-GB" sz="1100" baseline="30000"/>
            <a:t>1</a:t>
          </a:r>
          <a:r>
            <a:rPr lang="en-GB" sz="1100"/>
            <a:t>, hypohydration was induced via fluid restriction (750 mL/24 h) and both oral and intravenous diuretic drugs. Participants were weighed every six hours until ≥ 3 % of their baseline body mass had been lost. Another study in nine men with type 2 diabetes</a:t>
          </a:r>
          <a:r>
            <a:rPr lang="en-GB" sz="1100" baseline="30000"/>
            <a:t>2</a:t>
          </a:r>
          <a:r>
            <a:rPr lang="en-GB" sz="1100"/>
            <a:t> hypohydration was achieved via three days of fluid restriction (1 L∙d-1 on days 2 and 3 prior to the trial, and 0.5 L∙d-1 on the day preceding the trial). Both of these studies in patients with diabetes showed a higher glycemic response when hypohydrated compared to euhydrated. </a:t>
          </a:r>
        </a:p>
        <a:p>
          <a:r>
            <a:rPr lang="en-GB" sz="1100"/>
            <a:t> </a:t>
          </a:r>
        </a:p>
        <a:p>
          <a:r>
            <a:rPr lang="en-GB" sz="1100"/>
            <a:t>In a study of 10 healthy male participants</a:t>
          </a:r>
          <a:r>
            <a:rPr lang="en-GB" sz="1100" baseline="30000"/>
            <a:t>3</a:t>
          </a:r>
          <a:r>
            <a:rPr lang="en-GB" sz="1100"/>
            <a:t>, hyperosmolality was induced via complete fluid restriction and intravenous infusion of hypertonic NaCl over 17 h. Whilst hyperosmolality was achieved, body mass remained stable and urinary output did not notably change, suggesting whole body hydration status was not altered. Although intravenous infusion was an effective method of inducing a hyperosmotic state, it lacks ecological validity, limiting the inferences to specific clinical or research settings. Further, these methods are more likely to hone in on specific mechanisms, such as increased arginine vasopressin (AVP) secretion. In our pilot study 4 of five healthy participants (n = 4 men), hypohydration was induced via 45 min dehydration in a sauna (55-85°C) followed by fluid restriction (200 mL) over ~14 h, achieving 0.6-1.6 % body mass loss. This method of hypohydration is likely to be more representative of whole body water losses, rather than compartmental, as per Keller et al.</a:t>
          </a:r>
          <a:r>
            <a:rPr lang="en-GB" sz="1100" baseline="30000"/>
            <a:t>3</a:t>
          </a:r>
          <a:r>
            <a:rPr lang="en-GB" sz="1100"/>
            <a:t>. </a:t>
          </a:r>
        </a:p>
        <a:p>
          <a:r>
            <a:rPr lang="en-GB" sz="1100"/>
            <a:t> </a:t>
          </a:r>
        </a:p>
        <a:p>
          <a:r>
            <a:rPr lang="en-GB" sz="1100"/>
            <a:t>Based on these pilot data</a:t>
          </a:r>
          <a:r>
            <a:rPr lang="en-GB" sz="1100" baseline="30000"/>
            <a:t>4</a:t>
          </a:r>
          <a:r>
            <a:rPr lang="en-GB" sz="1100"/>
            <a:t>, achieving 1-2 % hypohydration based on body mass was hypothesized to achieve a clear increase in the glycemic response during an oral glucose tolerance test. Although we did not aim for a specific level of hypohydration, the methods in the current project were therefore designed to stay within this limit as 1-2 % hypohydration has been reported as achievable in the general population</a:t>
          </a:r>
          <a:r>
            <a:rPr lang="en-GB" sz="1100" baseline="30000"/>
            <a:t>5</a:t>
          </a:r>
          <a:r>
            <a:rPr lang="en-GB" sz="1100"/>
            <a:t>. </a:t>
          </a:r>
        </a:p>
        <a:p>
          <a:r>
            <a:rPr lang="en-GB" sz="1100"/>
            <a:t> </a:t>
          </a:r>
        </a:p>
        <a:p>
          <a:r>
            <a:rPr lang="en-GB" sz="1100"/>
            <a:t>The methods from this pilot study were deemed an adequate compromise of controlling dehydration, and having external validity, and were therefore utilised in the current project. The final procedure we used (60 min in a heat tent) was based on feedback from participants as well as findings from the pilot study regarding participant comfort and estimated weight loss. Thus, in order to achieve the initial hypohydration, participants were overnight fluid restricted, then put in a heat tent wearing a sweat suit for one hour. Whilst the use of a heat tent reduces the ecological validity of the study, it was chosen as a method to help standardise the procedure and minimise participant discomfort from extended fluid restriction. Though being in a sauna increases AVP</a:t>
          </a:r>
          <a:r>
            <a:rPr lang="en-GB" sz="1100" baseline="30000"/>
            <a:t>6</a:t>
          </a:r>
          <a:r>
            <a:rPr lang="en-GB" sz="1100"/>
            <a:t>, participants were dehydrated in this manner in both trial arms, thus controlling for any residual confounding effects on AVP  during testing (approximately 20-24 hours post-heat tent). </a:t>
          </a:r>
        </a:p>
        <a:p>
          <a:r>
            <a:rPr lang="en-GB" sz="1100"/>
            <a:t> </a:t>
          </a:r>
        </a:p>
        <a:p>
          <a:r>
            <a:rPr lang="en-GB" sz="1100"/>
            <a:t>In terms of the fluid prescriptions post-heat tent, participants were instructed on how much to drink per hour during RE to ensure even water intake distribution across the day until 2200 h. All other fluids were prohibited, but during RE participants could drink more water than prescribed. The use of total (rather than lean) body mass for the HYPO procedure was to increase participant comfort by allowing slightly more fluid without meaningfully altering their hydration state.</a:t>
          </a:r>
        </a:p>
        <a:p>
          <a:endParaRPr lang="en-GB" sz="1100"/>
        </a:p>
        <a:p>
          <a:r>
            <a:rPr lang="en-GB" sz="1100" b="1"/>
            <a:t>References</a:t>
          </a:r>
          <a:endParaRPr lang="en-GB" sz="1100" b="0"/>
        </a:p>
        <a:p>
          <a:r>
            <a:rPr lang="en-GB" sz="1100" b="0"/>
            <a:t>1. Burge MR, Garcia N, Qualls CR, Schade DS. Differential effects of fasting and dehydration in the pathogenesis of diabetic ketoacidosis. Metabolism: clinical and experimental 2001; 50(2): 171-177. doi: 10.1053/meta.2001.20194</a:t>
          </a:r>
        </a:p>
        <a:p>
          <a:r>
            <a:rPr lang="en-GB" sz="1100" b="0"/>
            <a:t> </a:t>
          </a:r>
        </a:p>
        <a:p>
          <a:r>
            <a:rPr lang="en-GB" sz="1100" b="0"/>
            <a:t>2. Johnson EC, Bardis CN, Jansen LT, Adams JD, Kirkland TW, Kavouras SA. Reduced water intake deteriorates glucose regulation in patients with type 2 diabetes. Nutrition research 2017; 43(2): 25-32. doi: 10.1016/j.nutres.2017.05.004</a:t>
          </a:r>
        </a:p>
        <a:p>
          <a:r>
            <a:rPr lang="en-GB" sz="1100" b="0"/>
            <a:t> </a:t>
          </a:r>
        </a:p>
        <a:p>
          <a:r>
            <a:rPr lang="en-GB" sz="1100" b="0"/>
            <a:t>3. Keller U, Szinnai G, Bilz S, Berneis K. Effects of changes in hydration on protein, glucose and lipid metabolism in man: impact on health. European journal of clinical nutrition 2003; 57 Suppl 2: S69-74. doi: 10.1038/sj.ejcn.1601904</a:t>
          </a:r>
        </a:p>
        <a:p>
          <a:r>
            <a:rPr lang="en-GB" sz="1100" b="0"/>
            <a:t> </a:t>
          </a:r>
        </a:p>
        <a:p>
          <a:r>
            <a:rPr lang="en-GB" sz="1100" b="0"/>
            <a:t>4. Carroll HA, Johnson L, Betts JA. Effect of hydration status on glycemic control: A pilot study. In: American College of Sports Medicine. Boston, MA., 2016.</a:t>
          </a:r>
        </a:p>
        <a:p>
          <a:r>
            <a:rPr lang="en-GB" sz="1100" b="0"/>
            <a:t> </a:t>
          </a:r>
        </a:p>
        <a:p>
          <a:r>
            <a:rPr lang="en-GB" sz="1100" b="0"/>
            <a:t>5. Armstrong LE. Hydration Biomarkers During Daily Life. Nutrition Today 2012; 47: S3-S6. doi: 10.1097/NT.0b013e31826266cf</a:t>
          </a:r>
        </a:p>
        <a:p>
          <a:r>
            <a:rPr lang="en-GB" sz="1100" b="0"/>
            <a:t> </a:t>
          </a:r>
        </a:p>
        <a:p>
          <a:r>
            <a:rPr lang="en-GB" sz="1100" b="0"/>
            <a:t>6. Bussien JP, Gaillard RC, Nussberger J, Waeber B, Hofbauer KG, Turnill D et al. Haemodynamic role of vasopressin released during Finnish sauna. Acta endocrinologica 1986; 112(2): 166-171. doi: 10.1530/acta.0.1120166</a:t>
          </a:r>
        </a:p>
        <a:p>
          <a:endParaRPr lang="en-GB" sz="1100" b="1"/>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276226</xdr:colOff>
      <xdr:row>0</xdr:row>
      <xdr:rowOff>28576</xdr:rowOff>
    </xdr:from>
    <xdr:to>
      <xdr:col>9</xdr:col>
      <xdr:colOff>200025</xdr:colOff>
      <xdr:row>21</xdr:row>
      <xdr:rowOff>66676</xdr:rowOff>
    </xdr:to>
    <xdr:sp macro="" textlink="">
      <xdr:nvSpPr>
        <xdr:cNvPr id="2" name="TextBox 1"/>
        <xdr:cNvSpPr txBox="1"/>
      </xdr:nvSpPr>
      <xdr:spPr>
        <a:xfrm>
          <a:off x="276226" y="28576"/>
          <a:ext cx="11115674" cy="4038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a:solidFill>
                <a:schemeClr val="dk1"/>
              </a:solidFill>
              <a:effectLst/>
              <a:latin typeface="+mn-lt"/>
              <a:ea typeface="+mn-ea"/>
              <a:cs typeface="+mn-cs"/>
            </a:rPr>
            <a:t>Blood handling and analysis</a:t>
          </a:r>
        </a:p>
        <a:p>
          <a:r>
            <a:rPr lang="en-GB" sz="1100">
              <a:solidFill>
                <a:schemeClr val="dk1"/>
              </a:solidFill>
              <a:effectLst/>
              <a:latin typeface="+mn-lt"/>
              <a:ea typeface="+mn-ea"/>
              <a:cs typeface="+mn-cs"/>
            </a:rPr>
            <a:t>Cannulae were kept patent via flushing of a 0.9% sodium chloride (B.Braun, Melsungen, Germany) and the first 3 mL of each sample was discarded before drawing the 10 mL sample to ensure there was no contamination from the saline flush. </a:t>
          </a:r>
        </a:p>
        <a:p>
          <a:r>
            <a:rPr lang="en-GB" sz="1100">
              <a:solidFill>
                <a:schemeClr val="dk1"/>
              </a:solidFill>
              <a:effectLst/>
              <a:latin typeface="+mn-lt"/>
              <a:ea typeface="+mn-ea"/>
              <a:cs typeface="+mn-cs"/>
            </a:rPr>
            <a:t> </a:t>
          </a:r>
        </a:p>
        <a:p>
          <a:r>
            <a:rPr lang="en-GB" sz="1100">
              <a:solidFill>
                <a:schemeClr val="dk1"/>
              </a:solidFill>
              <a:effectLst/>
              <a:latin typeface="+mn-lt"/>
              <a:ea typeface="+mn-ea"/>
              <a:cs typeface="+mn-cs"/>
            </a:rPr>
            <a:t>Hemoglobin was measured (HemoCue Hb 201+, Angelholm, Sweden) immediately after the blood was drawn into an ethylenediaminetetraacetic acid-coated (EDTA) tubes (BD, Oxford, UK) and hematocrit was measured using a Hawksley reader (Hawksley tube reader, Sussex, England)</a:t>
          </a:r>
          <a:r>
            <a:rPr lang="en-GB" sz="1100" b="1">
              <a:solidFill>
                <a:schemeClr val="dk1"/>
              </a:solidFill>
              <a:effectLst/>
              <a:latin typeface="+mn-lt"/>
              <a:ea typeface="+mn-ea"/>
              <a:cs typeface="+mn-cs"/>
            </a:rPr>
            <a:t> </a:t>
          </a:r>
          <a:r>
            <a:rPr lang="en-GB" sz="1100">
              <a:solidFill>
                <a:schemeClr val="dk1"/>
              </a:solidFill>
              <a:effectLst/>
              <a:latin typeface="+mn-lt"/>
              <a:ea typeface="+mn-ea"/>
              <a:cs typeface="+mn-cs"/>
            </a:rPr>
            <a:t>after spinning three capillary tubes for 5 min at 13,000 x </a:t>
          </a:r>
          <a:r>
            <a:rPr lang="en-GB" sz="1100" i="1">
              <a:solidFill>
                <a:schemeClr val="dk1"/>
              </a:solidFill>
              <a:effectLst/>
              <a:latin typeface="+mn-lt"/>
              <a:ea typeface="+mn-ea"/>
              <a:cs typeface="+mn-cs"/>
            </a:rPr>
            <a:t>g</a:t>
          </a:r>
          <a:r>
            <a:rPr lang="en-GB" sz="1100">
              <a:solidFill>
                <a:schemeClr val="dk1"/>
              </a:solidFill>
              <a:effectLst/>
              <a:latin typeface="+mn-lt"/>
              <a:ea typeface="+mn-ea"/>
              <a:cs typeface="+mn-cs"/>
            </a:rPr>
            <a:t>. </a:t>
          </a:r>
        </a:p>
        <a:p>
          <a:r>
            <a:rPr lang="en-GB" sz="1100">
              <a:solidFill>
                <a:schemeClr val="dk1"/>
              </a:solidFill>
              <a:effectLst/>
              <a:latin typeface="+mn-lt"/>
              <a:ea typeface="+mn-ea"/>
              <a:cs typeface="+mn-cs"/>
            </a:rPr>
            <a:t> </a:t>
          </a:r>
        </a:p>
        <a:p>
          <a:r>
            <a:rPr lang="en-GB" sz="1100">
              <a:solidFill>
                <a:schemeClr val="dk1"/>
              </a:solidFill>
              <a:effectLst/>
              <a:latin typeface="+mn-lt"/>
              <a:ea typeface="+mn-ea"/>
              <a:cs typeface="+mn-cs"/>
            </a:rPr>
            <a:t>Plasma volume was measured in the euhydrated state at baseline, but posture at this blood sample was not adequately controlled for; participants had walked between two labs and only rested in the supine position for &lt; 10 min (unstandardised time). Comparatively, on the full trial day, participants were rested in the supine position for &gt; 20 min before the first blood sample was drawn. Going from standing to sitting is known to increase plasma volume, explaining why plasma volume appeared to increase in both trial arms. However, despite this error, it is worth noting that during HYPO, change in plasma volume from baseline was notably and consistently lower than the change in plasma volume during RE, suggesting that had posture been properly controlled for, there would have been a decrease in plasma volume compared to baseline during HYPO. The marked increase in serum osmolality during HYPO also supports a likely reduction in plasma volume. Due to this error in postural control in the baseline measurement, these data have not been presented but are available in the published dataset. </a:t>
          </a:r>
        </a:p>
        <a:p>
          <a:r>
            <a:rPr lang="en-GB" sz="1100">
              <a:solidFill>
                <a:schemeClr val="dk1"/>
              </a:solidFill>
              <a:effectLst/>
              <a:latin typeface="+mn-lt"/>
              <a:ea typeface="+mn-ea"/>
              <a:cs typeface="+mn-cs"/>
            </a:rPr>
            <a:t> </a:t>
          </a:r>
        </a:p>
        <a:p>
          <a:r>
            <a:rPr lang="en-GB" sz="1100">
              <a:solidFill>
                <a:schemeClr val="dk1"/>
              </a:solidFill>
              <a:effectLst/>
              <a:latin typeface="+mn-lt"/>
              <a:ea typeface="+mn-ea"/>
              <a:cs typeface="+mn-cs"/>
            </a:rPr>
            <a:t>Six millilitres of blood was decanted into two EDTA tubes and spun for 10 min at 2500-3446 x </a:t>
          </a:r>
          <a:r>
            <a:rPr lang="en-GB" sz="1100" i="1">
              <a:solidFill>
                <a:schemeClr val="dk1"/>
              </a:solidFill>
              <a:effectLst/>
              <a:latin typeface="+mn-lt"/>
              <a:ea typeface="+mn-ea"/>
              <a:cs typeface="+mn-cs"/>
            </a:rPr>
            <a:t>g</a:t>
          </a:r>
          <a:r>
            <a:rPr lang="en-GB" sz="1100">
              <a:solidFill>
                <a:schemeClr val="dk1"/>
              </a:solidFill>
              <a:effectLst/>
              <a:latin typeface="+mn-lt"/>
              <a:ea typeface="+mn-ea"/>
              <a:cs typeface="+mn-cs"/>
            </a:rPr>
            <a:t> at 4°C. The remaining four millilitres of blood were decanted into a serum tube, left for at least 30 min at room temperature and then spun as per the plasma. The plasma and serum were aliquoted into separate Eppendorf tubes and frozen at ‑20°C before being moved to a -80°C freezer for longer term storage. </a:t>
          </a:r>
        </a:p>
        <a:p>
          <a:r>
            <a:rPr lang="en-GB" sz="1100">
              <a:solidFill>
                <a:schemeClr val="dk1"/>
              </a:solidFill>
              <a:effectLst/>
              <a:latin typeface="+mn-lt"/>
              <a:ea typeface="+mn-ea"/>
              <a:cs typeface="+mn-cs"/>
            </a:rPr>
            <a:t> </a:t>
          </a:r>
        </a:p>
        <a:p>
          <a:r>
            <a:rPr lang="en-GB" sz="1100">
              <a:solidFill>
                <a:schemeClr val="dk1"/>
              </a:solidFill>
              <a:effectLst/>
              <a:latin typeface="+mn-lt"/>
              <a:ea typeface="+mn-ea"/>
              <a:cs typeface="+mn-cs"/>
            </a:rPr>
            <a:t>Metabolites and hormones were measured using commercially available ELISAs (plasma arginine</a:t>
          </a:r>
          <a:r>
            <a:rPr lang="en-GB" sz="1100" baseline="30000">
              <a:solidFill>
                <a:schemeClr val="dk1"/>
              </a:solidFill>
              <a:effectLst/>
              <a:latin typeface="+mn-lt"/>
              <a:ea typeface="+mn-ea"/>
              <a:cs typeface="+mn-cs"/>
            </a:rPr>
            <a:t>8</a:t>
          </a:r>
          <a:r>
            <a:rPr lang="en-GB" sz="1100">
              <a:solidFill>
                <a:schemeClr val="dk1"/>
              </a:solidFill>
              <a:effectLst/>
              <a:latin typeface="+mn-lt"/>
              <a:ea typeface="+mn-ea"/>
              <a:cs typeface="+mn-cs"/>
            </a:rPr>
            <a:t> vasopressin, Enzo Life Sciences; serum insulin, Mercodia), ECLIAs (plasma ACTH, Roche), ECLIs (plasma cortisol, Roche), automated immune analyzers (plasma copeptin, ThermoFisher Kryptor Compact Plus) and spectrophotometric assays (serum glucose, RX Daytona, Randox Laboratories). Osmolality was measured using freezing-point depression (serum osmolality, Gonotec Osmomat auto; urine osmolality, Micro-Osmometer 3300). </a:t>
          </a:r>
          <a:endParaRPr lang="en-GB"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448236</xdr:colOff>
      <xdr:row>1</xdr:row>
      <xdr:rowOff>179295</xdr:rowOff>
    </xdr:from>
    <xdr:to>
      <xdr:col>17</xdr:col>
      <xdr:colOff>33618</xdr:colOff>
      <xdr:row>9</xdr:row>
      <xdr:rowOff>44825</xdr:rowOff>
    </xdr:to>
    <xdr:sp macro="" textlink="">
      <xdr:nvSpPr>
        <xdr:cNvPr id="2" name="TextBox 1"/>
        <xdr:cNvSpPr txBox="1"/>
      </xdr:nvSpPr>
      <xdr:spPr>
        <a:xfrm>
          <a:off x="3473824" y="369795"/>
          <a:ext cx="6846794" cy="138953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a:solidFill>
                <a:schemeClr val="dk1"/>
              </a:solidFill>
              <a:effectLst/>
              <a:latin typeface="+mn-lt"/>
              <a:ea typeface="+mn-ea"/>
              <a:cs typeface="+mn-cs"/>
            </a:rPr>
            <a:t>pQCT methods</a:t>
          </a:r>
        </a:p>
        <a:p>
          <a:r>
            <a:rPr lang="en-GB" sz="1100">
              <a:solidFill>
                <a:schemeClr val="dk1"/>
              </a:solidFill>
              <a:effectLst/>
              <a:latin typeface="+mn-lt"/>
              <a:ea typeface="+mn-ea"/>
              <a:cs typeface="+mn-cs"/>
            </a:rPr>
            <a:t>A peripheral quantitative computer tomography (pQCT) scan of the midpoint of the right thigh was taken from participants in a fasted state before and after the hydration intervention. The right leg was measured from the greater trochanter to the lateral knee joint. Participants then laid supine in the pQCT scanner with their right leg straightened and secured through the middle of the gantry. A scout scan of the knee was performed in order to find the medial intercondylar tubercle of the knee joint. From this landmark, the scanner moved 50 % up the thigh to take the scan. The scout scan was performed before every scan in order that the same distance was moved up the leg. </a:t>
          </a:r>
          <a:endParaRPr lang="en-GB"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161925</xdr:colOff>
      <xdr:row>1</xdr:row>
      <xdr:rowOff>142875</xdr:rowOff>
    </xdr:from>
    <xdr:to>
      <xdr:col>15</xdr:col>
      <xdr:colOff>304800</xdr:colOff>
      <xdr:row>10</xdr:row>
      <xdr:rowOff>152400</xdr:rowOff>
    </xdr:to>
    <xdr:sp macro="" textlink="">
      <xdr:nvSpPr>
        <xdr:cNvPr id="2" name="TextBox 1"/>
        <xdr:cNvSpPr txBox="1"/>
      </xdr:nvSpPr>
      <xdr:spPr>
        <a:xfrm>
          <a:off x="3819525" y="333375"/>
          <a:ext cx="5629275" cy="1724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GB" sz="1100" b="1">
              <a:solidFill>
                <a:schemeClr val="dk1"/>
              </a:solidFill>
              <a:effectLst/>
              <a:latin typeface="+mn-lt"/>
              <a:ea typeface="+mn-ea"/>
              <a:cs typeface="+mn-cs"/>
            </a:rPr>
            <a:t>Sample details</a:t>
          </a:r>
        </a:p>
        <a:p>
          <a:pPr marL="0" marR="0" lvl="0" indent="0" defTabSz="914400" eaLnBrk="1" fontAlgn="auto" latinLnBrk="0" hangingPunct="1">
            <a:lnSpc>
              <a:spcPct val="100000"/>
            </a:lnSpc>
            <a:spcBef>
              <a:spcPts val="0"/>
            </a:spcBef>
            <a:spcAft>
              <a:spcPts val="0"/>
            </a:spcAft>
            <a:buClrTx/>
            <a:buSzTx/>
            <a:buFontTx/>
            <a:buNone/>
            <a:tabLst/>
            <a:defRPr/>
          </a:pPr>
          <a:r>
            <a:rPr lang="en-GB" sz="1100">
              <a:solidFill>
                <a:schemeClr val="dk1"/>
              </a:solidFill>
              <a:effectLst/>
              <a:latin typeface="+mn-lt"/>
              <a:ea typeface="+mn-ea"/>
              <a:cs typeface="+mn-cs"/>
            </a:rPr>
            <a:t>Of our total sample of 16 participants, nine opted-in for muscle biopsies. Of these nine, two participants only had a biopsy only in the rehydration trial arm (Reasons: Participant #04, failed to get a sample so did not attempt biopsies on the subsequent trial; Participant #08, did not want more biopsies due to post-trial holiday plans). Of the remaining participants, Participant #14 did not have a post-OGTT biopsy because we failed to get a sample at this time point in their first trial arm. Participant #01 did not have a pre-biopsy blood sample drawn on either trial. The order in which the biopsies were taken was determined by quasi-randomisation or dominant </a:t>
          </a:r>
          <a:r>
            <a:rPr lang="en-GB" sz="1100" i="1">
              <a:solidFill>
                <a:schemeClr val="dk1"/>
              </a:solidFill>
              <a:effectLst/>
              <a:latin typeface="+mn-lt"/>
              <a:ea typeface="+mn-ea"/>
              <a:cs typeface="+mn-cs"/>
            </a:rPr>
            <a:t>versus</a:t>
          </a:r>
          <a:r>
            <a:rPr lang="en-GB" sz="1100">
              <a:solidFill>
                <a:schemeClr val="dk1"/>
              </a:solidFill>
              <a:effectLst/>
              <a:latin typeface="+mn-lt"/>
              <a:ea typeface="+mn-ea"/>
              <a:cs typeface="+mn-cs"/>
            </a:rPr>
            <a:t> non-dominant leg, and this order was standardized within-participants. </a:t>
          </a:r>
        </a:p>
        <a:p>
          <a:endParaRPr lang="en-GB"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13</xdr:col>
      <xdr:colOff>200025</xdr:colOff>
      <xdr:row>2</xdr:row>
      <xdr:rowOff>152400</xdr:rowOff>
    </xdr:from>
    <xdr:to>
      <xdr:col>17</xdr:col>
      <xdr:colOff>419100</xdr:colOff>
      <xdr:row>14</xdr:row>
      <xdr:rowOff>76200</xdr:rowOff>
    </xdr:to>
    <xdr:sp macro="" textlink="">
      <xdr:nvSpPr>
        <xdr:cNvPr id="2" name="TextBox 1"/>
        <xdr:cNvSpPr txBox="1"/>
      </xdr:nvSpPr>
      <xdr:spPr>
        <a:xfrm>
          <a:off x="8124825" y="533400"/>
          <a:ext cx="2657475" cy="22098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NB: These data were not reported in the manuscript because the</a:t>
          </a:r>
          <a:r>
            <a:rPr lang="en-GB" sz="1100" baseline="0"/>
            <a:t> baseline measure did not have adequate postural control; participants had walked from a different lab and had been lying down for a variable amount of time (typically &lt; 5 min). This is known to skew plasma volume measures. Comparatively, participants had been lying down for at least 30 min on the trial day (post-intervention) before their first blood sample was drawn. </a:t>
          </a:r>
          <a:endParaRPr lang="en-GB"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15</xdr:col>
      <xdr:colOff>161925</xdr:colOff>
      <xdr:row>10</xdr:row>
      <xdr:rowOff>152399</xdr:rowOff>
    </xdr:from>
    <xdr:to>
      <xdr:col>18</xdr:col>
      <xdr:colOff>514350</xdr:colOff>
      <xdr:row>14</xdr:row>
      <xdr:rowOff>19049</xdr:rowOff>
    </xdr:to>
    <xdr:sp macro="" textlink="">
      <xdr:nvSpPr>
        <xdr:cNvPr id="2" name="TextBox 1"/>
        <xdr:cNvSpPr txBox="1"/>
      </xdr:nvSpPr>
      <xdr:spPr>
        <a:xfrm>
          <a:off x="9305925" y="2066924"/>
          <a:ext cx="2181225" cy="6381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Plate 2 starting from HP10 - values need to be corrected for concentration</a:t>
          </a:r>
          <a:r>
            <a:rPr lang="en-GB" sz="1100" baseline="0"/>
            <a:t> of samples</a:t>
          </a:r>
          <a:endParaRPr lang="en-GB" sz="1100"/>
        </a:p>
      </xdr:txBody>
    </xdr:sp>
    <xdr:clientData/>
  </xdr:twoCellAnchor>
  <xdr:twoCellAnchor>
    <xdr:from>
      <xdr:col>15</xdr:col>
      <xdr:colOff>114300</xdr:colOff>
      <xdr:row>28</xdr:row>
      <xdr:rowOff>47624</xdr:rowOff>
    </xdr:from>
    <xdr:to>
      <xdr:col>18</xdr:col>
      <xdr:colOff>466725</xdr:colOff>
      <xdr:row>31</xdr:row>
      <xdr:rowOff>104774</xdr:rowOff>
    </xdr:to>
    <xdr:sp macro="" textlink="">
      <xdr:nvSpPr>
        <xdr:cNvPr id="3" name="TextBox 2"/>
        <xdr:cNvSpPr txBox="1"/>
      </xdr:nvSpPr>
      <xdr:spPr>
        <a:xfrm>
          <a:off x="9258300" y="5410199"/>
          <a:ext cx="2181225" cy="6381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Plate 2 starting from HP10 - values need to be corrected for concentration</a:t>
          </a:r>
          <a:r>
            <a:rPr lang="en-GB" sz="1100" baseline="0"/>
            <a:t> of samples</a:t>
          </a:r>
          <a:endParaRPr lang="en-GB"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7.vm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1.bin"/></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1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drawing" Target="../drawings/drawing6.xml"/></Relationships>
</file>

<file path=xl/worksheets/_rels/sheet1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21.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3.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6.bin"/></Relationships>
</file>

<file path=xl/worksheets/_rels/sheet25.xml.rels><?xml version="1.0" encoding="UTF-8" standalone="yes"?>
<Relationships xmlns="http://schemas.openxmlformats.org/package/2006/relationships"><Relationship Id="rId2" Type="http://schemas.openxmlformats.org/officeDocument/2006/relationships/comments" Target="../comments12.xml"/><Relationship Id="rId1" Type="http://schemas.openxmlformats.org/officeDocument/2006/relationships/vmlDrawing" Target="../drawings/vmlDrawing12.vml"/></Relationships>
</file>

<file path=xl/worksheets/_rels/sheet26.xml.rels><?xml version="1.0" encoding="UTF-8" standalone="yes"?>
<Relationships xmlns="http://schemas.openxmlformats.org/package/2006/relationships"><Relationship Id="rId2" Type="http://schemas.openxmlformats.org/officeDocument/2006/relationships/comments" Target="../comments13.xml"/><Relationship Id="rId1" Type="http://schemas.openxmlformats.org/officeDocument/2006/relationships/vmlDrawing" Target="../drawings/vmlDrawing13.vml"/></Relationships>
</file>

<file path=xl/worksheets/_rels/sheet27.xml.rels><?xml version="1.0" encoding="UTF-8" standalone="yes"?>
<Relationships xmlns="http://schemas.openxmlformats.org/package/2006/relationships"><Relationship Id="rId2" Type="http://schemas.openxmlformats.org/officeDocument/2006/relationships/comments" Target="../comments14.xml"/><Relationship Id="rId1" Type="http://schemas.openxmlformats.org/officeDocument/2006/relationships/vmlDrawing" Target="../drawings/vmlDrawing14.v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abSelected="1" workbookViewId="0">
      <selection activeCell="F33" sqref="F33"/>
    </sheetView>
  </sheetViews>
  <sheetFormatPr defaultRowHeight="15" x14ac:dyDescent="0.25"/>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F37"/>
  <sheetViews>
    <sheetView workbookViewId="0">
      <selection activeCell="K33" sqref="K33"/>
    </sheetView>
  </sheetViews>
  <sheetFormatPr defaultRowHeight="15" x14ac:dyDescent="0.25"/>
  <sheetData>
    <row r="1" spans="1:6" x14ac:dyDescent="0.25">
      <c r="B1" t="s">
        <v>37</v>
      </c>
      <c r="C1" t="s">
        <v>38</v>
      </c>
      <c r="D1" t="s">
        <v>39</v>
      </c>
      <c r="E1" t="s">
        <v>40</v>
      </c>
      <c r="F1" t="s">
        <v>41</v>
      </c>
    </row>
    <row r="2" spans="1:6" x14ac:dyDescent="0.25">
      <c r="A2" t="s">
        <v>26</v>
      </c>
    </row>
    <row r="3" spans="1:6" x14ac:dyDescent="0.25">
      <c r="A3" t="s">
        <v>5</v>
      </c>
      <c r="B3">
        <v>1.022</v>
      </c>
      <c r="C3">
        <v>1.0229999999999999</v>
      </c>
      <c r="D3">
        <v>1.0269999999999999</v>
      </c>
      <c r="E3">
        <v>1.016</v>
      </c>
      <c r="F3">
        <v>1.0269999999999999</v>
      </c>
    </row>
    <row r="4" spans="1:6" x14ac:dyDescent="0.25">
      <c r="A4" t="s">
        <v>7</v>
      </c>
      <c r="B4">
        <v>1.026</v>
      </c>
      <c r="C4">
        <v>1.0129999999999999</v>
      </c>
      <c r="D4">
        <v>1.0129999999999999</v>
      </c>
      <c r="E4">
        <v>1.0269999999999999</v>
      </c>
      <c r="F4">
        <v>1.0269999999999999</v>
      </c>
    </row>
    <row r="5" spans="1:6" x14ac:dyDescent="0.25">
      <c r="A5" t="s">
        <v>10</v>
      </c>
      <c r="B5">
        <v>1.016</v>
      </c>
      <c r="C5">
        <v>1.0129999999999999</v>
      </c>
      <c r="D5">
        <v>1.0129999999999999</v>
      </c>
      <c r="E5">
        <v>1.022</v>
      </c>
      <c r="F5">
        <v>1.032</v>
      </c>
    </row>
    <row r="6" spans="1:6" x14ac:dyDescent="0.25">
      <c r="A6" t="s">
        <v>11</v>
      </c>
      <c r="B6">
        <v>1.0289999999999999</v>
      </c>
      <c r="C6">
        <v>1.018</v>
      </c>
      <c r="D6">
        <v>1.0269999999999999</v>
      </c>
      <c r="E6">
        <v>1.0149999999999999</v>
      </c>
      <c r="F6">
        <v>1.0269999999999999</v>
      </c>
    </row>
    <row r="7" spans="1:6" x14ac:dyDescent="0.25">
      <c r="A7" t="s">
        <v>12</v>
      </c>
      <c r="B7">
        <v>1.012</v>
      </c>
      <c r="D7">
        <v>1.0209999999999999</v>
      </c>
      <c r="E7">
        <v>1.022</v>
      </c>
      <c r="F7">
        <v>1.0269999999999999</v>
      </c>
    </row>
    <row r="8" spans="1:6" x14ac:dyDescent="0.25">
      <c r="A8" t="s">
        <v>13</v>
      </c>
      <c r="B8">
        <v>1.0129999999999999</v>
      </c>
      <c r="C8">
        <v>1.0129999999999999</v>
      </c>
      <c r="D8">
        <v>1.008</v>
      </c>
      <c r="E8" s="17">
        <v>1.02</v>
      </c>
      <c r="F8">
        <v>1.026</v>
      </c>
    </row>
    <row r="9" spans="1:6" x14ac:dyDescent="0.25">
      <c r="A9" t="s">
        <v>14</v>
      </c>
      <c r="B9">
        <v>1.016</v>
      </c>
      <c r="C9">
        <v>1.0149999999999999</v>
      </c>
      <c r="D9">
        <v>1.0209999999999999</v>
      </c>
      <c r="E9">
        <v>1.0129999999999999</v>
      </c>
      <c r="F9">
        <v>1.024</v>
      </c>
    </row>
    <row r="10" spans="1:6" x14ac:dyDescent="0.25">
      <c r="A10" t="s">
        <v>15</v>
      </c>
      <c r="B10">
        <v>1.016</v>
      </c>
      <c r="C10">
        <v>1.0049999999999999</v>
      </c>
      <c r="D10">
        <v>1.0069999999999999</v>
      </c>
      <c r="E10">
        <v>1.012</v>
      </c>
      <c r="F10">
        <v>1.0269999999999999</v>
      </c>
    </row>
    <row r="11" spans="1:6" x14ac:dyDescent="0.25">
      <c r="A11" t="s">
        <v>16</v>
      </c>
      <c r="B11" s="2">
        <v>1.018</v>
      </c>
      <c r="C11" s="2">
        <v>1.018</v>
      </c>
      <c r="D11" s="2">
        <v>1.018</v>
      </c>
      <c r="E11" s="2">
        <v>1.0189999999999999</v>
      </c>
      <c r="F11" s="18">
        <v>1.02</v>
      </c>
    </row>
    <row r="12" spans="1:6" x14ac:dyDescent="0.25">
      <c r="A12" t="s">
        <v>17</v>
      </c>
      <c r="B12">
        <v>1.0189999999999999</v>
      </c>
      <c r="C12">
        <v>1.026</v>
      </c>
      <c r="D12">
        <v>1.0269999999999999</v>
      </c>
      <c r="E12">
        <v>1.024</v>
      </c>
      <c r="F12" s="2">
        <v>1.026</v>
      </c>
    </row>
    <row r="13" spans="1:6" x14ac:dyDescent="0.25">
      <c r="A13" t="s">
        <v>18</v>
      </c>
      <c r="B13">
        <v>1.012</v>
      </c>
      <c r="C13">
        <v>1.0229999999999999</v>
      </c>
      <c r="D13">
        <v>1.028</v>
      </c>
      <c r="E13">
        <v>1.0189999999999999</v>
      </c>
      <c r="F13">
        <v>1.0329999999999999</v>
      </c>
    </row>
    <row r="14" spans="1:6" x14ac:dyDescent="0.25">
      <c r="A14" t="s">
        <v>19</v>
      </c>
      <c r="B14">
        <v>1.008</v>
      </c>
      <c r="C14">
        <v>1.01</v>
      </c>
      <c r="D14">
        <v>1.0069999999999999</v>
      </c>
      <c r="E14">
        <v>1.01</v>
      </c>
      <c r="F14">
        <v>1.032</v>
      </c>
    </row>
    <row r="15" spans="1:6" x14ac:dyDescent="0.25">
      <c r="A15" t="s">
        <v>20</v>
      </c>
      <c r="B15">
        <v>1.0149999999999999</v>
      </c>
      <c r="C15">
        <v>1.016</v>
      </c>
      <c r="D15">
        <v>1.018</v>
      </c>
      <c r="E15">
        <v>1.018</v>
      </c>
      <c r="F15">
        <v>1.028</v>
      </c>
    </row>
    <row r="16" spans="1:6" x14ac:dyDescent="0.25">
      <c r="A16" t="s">
        <v>21</v>
      </c>
      <c r="B16">
        <v>1.022</v>
      </c>
      <c r="C16">
        <v>1.016</v>
      </c>
      <c r="D16">
        <v>1.016</v>
      </c>
      <c r="E16">
        <v>1.014</v>
      </c>
      <c r="F16">
        <v>1.0289999999999999</v>
      </c>
    </row>
    <row r="17" spans="1:6" x14ac:dyDescent="0.25">
      <c r="A17" t="s">
        <v>22</v>
      </c>
      <c r="B17">
        <v>1.028</v>
      </c>
      <c r="C17">
        <v>1.018</v>
      </c>
      <c r="D17">
        <v>1.0189999999999999</v>
      </c>
      <c r="E17">
        <v>1.0129999999999999</v>
      </c>
      <c r="F17">
        <v>1.026</v>
      </c>
    </row>
    <row r="18" spans="1:6" x14ac:dyDescent="0.25">
      <c r="A18" t="s">
        <v>23</v>
      </c>
      <c r="B18">
        <v>1.026</v>
      </c>
      <c r="C18">
        <v>1.0249999999999999</v>
      </c>
      <c r="D18">
        <v>1.024</v>
      </c>
      <c r="E18">
        <v>1.0109999999999999</v>
      </c>
      <c r="F18">
        <v>1.028</v>
      </c>
    </row>
    <row r="19" spans="1:6" x14ac:dyDescent="0.25">
      <c r="B19" s="19"/>
      <c r="C19" s="19"/>
      <c r="D19" s="19"/>
      <c r="E19" s="19"/>
      <c r="F19" s="19"/>
    </row>
    <row r="20" spans="1:6" x14ac:dyDescent="0.25">
      <c r="A20" t="s">
        <v>25</v>
      </c>
      <c r="E20" s="17"/>
      <c r="F20" s="17"/>
    </row>
    <row r="21" spans="1:6" x14ac:dyDescent="0.25">
      <c r="A21" t="s">
        <v>5</v>
      </c>
      <c r="B21" s="17">
        <v>1.0189999999999999</v>
      </c>
      <c r="C21">
        <v>1.026</v>
      </c>
      <c r="D21" s="17">
        <v>1.026</v>
      </c>
      <c r="E21" s="17">
        <v>1.0149999999999999</v>
      </c>
      <c r="F21" s="17">
        <v>1.0209999999999999</v>
      </c>
    </row>
    <row r="22" spans="1:6" x14ac:dyDescent="0.25">
      <c r="A22" t="s">
        <v>7</v>
      </c>
      <c r="B22">
        <v>1.0129999999999999</v>
      </c>
      <c r="C22">
        <v>1.026</v>
      </c>
      <c r="D22" s="17">
        <v>1.01</v>
      </c>
      <c r="E22">
        <v>1.0069999999999999</v>
      </c>
      <c r="F22" s="17">
        <v>1.01</v>
      </c>
    </row>
    <row r="23" spans="1:6" x14ac:dyDescent="0.25">
      <c r="A23" t="s">
        <v>10</v>
      </c>
      <c r="B23">
        <v>1.028</v>
      </c>
      <c r="C23">
        <v>1.016</v>
      </c>
      <c r="D23">
        <v>1.014</v>
      </c>
      <c r="E23">
        <v>1.024</v>
      </c>
      <c r="F23">
        <v>1.012</v>
      </c>
    </row>
    <row r="24" spans="1:6" x14ac:dyDescent="0.25">
      <c r="A24" t="s">
        <v>11</v>
      </c>
      <c r="B24">
        <v>1.022</v>
      </c>
      <c r="C24">
        <v>1.024</v>
      </c>
      <c r="D24">
        <v>1.02</v>
      </c>
      <c r="E24">
        <v>1.014</v>
      </c>
      <c r="F24">
        <v>1.0169999999999999</v>
      </c>
    </row>
    <row r="25" spans="1:6" x14ac:dyDescent="0.25">
      <c r="A25" t="s">
        <v>12</v>
      </c>
      <c r="B25" s="17">
        <v>1.02</v>
      </c>
      <c r="C25">
        <v>1.0149999999999999</v>
      </c>
      <c r="D25">
        <v>1.014</v>
      </c>
      <c r="E25" s="17">
        <v>1.02</v>
      </c>
      <c r="F25" s="17">
        <v>1.02</v>
      </c>
    </row>
    <row r="26" spans="1:6" x14ac:dyDescent="0.25">
      <c r="A26" t="s">
        <v>13</v>
      </c>
      <c r="B26">
        <v>1.0149999999999999</v>
      </c>
      <c r="C26">
        <v>1.014</v>
      </c>
      <c r="D26" s="17">
        <v>1.01</v>
      </c>
      <c r="E26">
        <v>1.0089999999999999</v>
      </c>
      <c r="F26" s="2">
        <v>1.014</v>
      </c>
    </row>
    <row r="27" spans="1:6" x14ac:dyDescent="0.25">
      <c r="A27" t="s">
        <v>14</v>
      </c>
      <c r="B27">
        <v>1.0149999999999999</v>
      </c>
      <c r="C27">
        <v>1.0169999999999999</v>
      </c>
      <c r="D27">
        <v>1.0129999999999999</v>
      </c>
      <c r="E27">
        <v>1.0149999999999999</v>
      </c>
      <c r="F27" s="2">
        <v>1.0129999999999999</v>
      </c>
    </row>
    <row r="28" spans="1:6" x14ac:dyDescent="0.25">
      <c r="A28" t="s">
        <v>15</v>
      </c>
      <c r="B28">
        <v>1.0149999999999999</v>
      </c>
      <c r="C28">
        <v>1.0109999999999999</v>
      </c>
      <c r="D28">
        <v>1.01</v>
      </c>
      <c r="E28" s="2">
        <v>1.01</v>
      </c>
      <c r="F28" s="2">
        <v>1.014</v>
      </c>
    </row>
    <row r="29" spans="1:6" x14ac:dyDescent="0.25">
      <c r="A29" t="s">
        <v>16</v>
      </c>
      <c r="C29">
        <v>1.014</v>
      </c>
      <c r="D29">
        <v>1.014</v>
      </c>
      <c r="E29">
        <v>1.014</v>
      </c>
      <c r="F29" s="2">
        <v>1.0129999999999999</v>
      </c>
    </row>
    <row r="30" spans="1:6" x14ac:dyDescent="0.25">
      <c r="A30" t="s">
        <v>17</v>
      </c>
      <c r="B30">
        <v>1.0249999999999999</v>
      </c>
      <c r="C30">
        <v>1.03</v>
      </c>
      <c r="D30">
        <v>1.03</v>
      </c>
      <c r="E30">
        <v>1.0169999999999999</v>
      </c>
      <c r="F30" s="2">
        <v>1.0209999999999999</v>
      </c>
    </row>
    <row r="31" spans="1:6" x14ac:dyDescent="0.25">
      <c r="A31" t="s">
        <v>18</v>
      </c>
      <c r="B31">
        <v>1.0309999999999999</v>
      </c>
      <c r="C31">
        <v>1.026</v>
      </c>
      <c r="D31">
        <v>1.024</v>
      </c>
      <c r="E31">
        <v>1.016</v>
      </c>
      <c r="F31">
        <v>1.016</v>
      </c>
    </row>
    <row r="32" spans="1:6" x14ac:dyDescent="0.25">
      <c r="A32" t="s">
        <v>19</v>
      </c>
      <c r="B32">
        <v>1.014</v>
      </c>
      <c r="C32">
        <v>1.0249999999999999</v>
      </c>
      <c r="D32">
        <v>1.0069999999999999</v>
      </c>
      <c r="E32">
        <v>1.0089999999999999</v>
      </c>
      <c r="F32">
        <v>1.014</v>
      </c>
    </row>
    <row r="33" spans="1:6" x14ac:dyDescent="0.25">
      <c r="A33" t="s">
        <v>20</v>
      </c>
      <c r="B33">
        <v>1.0169999999999999</v>
      </c>
      <c r="C33">
        <v>1.0149999999999999</v>
      </c>
      <c r="D33">
        <v>1.012</v>
      </c>
      <c r="E33">
        <v>1.012</v>
      </c>
      <c r="F33">
        <v>1.016</v>
      </c>
    </row>
    <row r="34" spans="1:6" x14ac:dyDescent="0.25">
      <c r="A34" t="s">
        <v>21</v>
      </c>
      <c r="B34">
        <v>1.0109999999999999</v>
      </c>
      <c r="C34">
        <v>1.016</v>
      </c>
      <c r="D34">
        <v>1.0169999999999999</v>
      </c>
      <c r="E34">
        <v>1.014</v>
      </c>
      <c r="F34" s="17">
        <v>1.02</v>
      </c>
    </row>
    <row r="35" spans="1:6" x14ac:dyDescent="0.25">
      <c r="A35" t="s">
        <v>22</v>
      </c>
      <c r="B35">
        <v>1.026</v>
      </c>
      <c r="C35">
        <v>1.016</v>
      </c>
      <c r="D35">
        <v>1.0109999999999999</v>
      </c>
      <c r="E35">
        <v>1.0069999999999999</v>
      </c>
      <c r="F35">
        <v>1.0169999999999999</v>
      </c>
    </row>
    <row r="36" spans="1:6" x14ac:dyDescent="0.25">
      <c r="A36" t="s">
        <v>23</v>
      </c>
      <c r="B36">
        <v>1.012</v>
      </c>
      <c r="C36">
        <v>1.018</v>
      </c>
      <c r="D36">
        <v>1.018</v>
      </c>
      <c r="E36">
        <v>1.012</v>
      </c>
      <c r="F36">
        <v>1.0169999999999999</v>
      </c>
    </row>
    <row r="37" spans="1:6" x14ac:dyDescent="0.25">
      <c r="B37" s="19"/>
      <c r="C37" s="19"/>
      <c r="D37" s="19"/>
      <c r="E37" s="19"/>
      <c r="F37" s="19"/>
    </row>
  </sheetData>
  <pageMargins left="0.7" right="0.7" top="0.75" bottom="0.75" header="0.3" footer="0.3"/>
  <pageSetup paperSize="9" orientation="portrait" verticalDpi="0"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F36"/>
  <sheetViews>
    <sheetView workbookViewId="0">
      <selection activeCell="G29" sqref="G29"/>
    </sheetView>
  </sheetViews>
  <sheetFormatPr defaultRowHeight="15" x14ac:dyDescent="0.25"/>
  <sheetData>
    <row r="1" spans="1:6" x14ac:dyDescent="0.25">
      <c r="B1" t="s">
        <v>40</v>
      </c>
      <c r="C1" t="s">
        <v>41</v>
      </c>
    </row>
    <row r="2" spans="1:6" x14ac:dyDescent="0.25">
      <c r="A2" t="s">
        <v>26</v>
      </c>
    </row>
    <row r="3" spans="1:6" x14ac:dyDescent="0.25">
      <c r="A3" t="s">
        <v>5</v>
      </c>
      <c r="B3" s="13">
        <f>(586+588)/2</f>
        <v>587</v>
      </c>
      <c r="C3" s="13">
        <f>(1018+1017)/2</f>
        <v>1017.5</v>
      </c>
    </row>
    <row r="4" spans="1:6" x14ac:dyDescent="0.25">
      <c r="A4" t="s">
        <v>7</v>
      </c>
      <c r="B4" s="13">
        <v>799</v>
      </c>
      <c r="C4" s="13">
        <f>(1004+992+996+1001)/4</f>
        <v>998.25</v>
      </c>
    </row>
    <row r="5" spans="1:6" x14ac:dyDescent="0.25">
      <c r="A5" t="s">
        <v>10</v>
      </c>
      <c r="B5" s="13">
        <f>(655+658+658)/3</f>
        <v>657</v>
      </c>
      <c r="C5" s="13">
        <f>(1076+1074+1079)/3</f>
        <v>1076.3333333333333</v>
      </c>
    </row>
    <row r="6" spans="1:6" x14ac:dyDescent="0.25">
      <c r="A6" t="s">
        <v>11</v>
      </c>
      <c r="B6" s="13">
        <f>(440+444+445)/3</f>
        <v>443</v>
      </c>
      <c r="C6" s="13">
        <f>(882+879+881)/3</f>
        <v>880.66666666666663</v>
      </c>
    </row>
    <row r="7" spans="1:6" x14ac:dyDescent="0.25">
      <c r="A7" t="s">
        <v>12</v>
      </c>
      <c r="B7" s="7">
        <f>(753+769)/2</f>
        <v>761</v>
      </c>
      <c r="C7" s="7">
        <f>(1038+1046)/2</f>
        <v>1042</v>
      </c>
    </row>
    <row r="8" spans="1:6" x14ac:dyDescent="0.25">
      <c r="A8" t="s">
        <v>13</v>
      </c>
      <c r="B8" s="13">
        <f>(611+612)/2</f>
        <v>611.5</v>
      </c>
      <c r="C8" s="13">
        <f>(965+962+960)/3</f>
        <v>962.33333333333337</v>
      </c>
      <c r="E8" s="17"/>
    </row>
    <row r="9" spans="1:6" x14ac:dyDescent="0.25">
      <c r="A9" t="s">
        <v>14</v>
      </c>
      <c r="B9" s="13">
        <f>(486+485)/2</f>
        <v>485.5</v>
      </c>
      <c r="C9" s="13">
        <f>(891+881)/2</f>
        <v>886</v>
      </c>
    </row>
    <row r="10" spans="1:6" x14ac:dyDescent="0.25">
      <c r="A10" t="s">
        <v>15</v>
      </c>
      <c r="B10" s="13">
        <f>(375+374)/2</f>
        <v>374.5</v>
      </c>
      <c r="C10" s="13">
        <f>(937+949)/2</f>
        <v>943</v>
      </c>
    </row>
    <row r="11" spans="1:6" x14ac:dyDescent="0.25">
      <c r="A11" t="s">
        <v>16</v>
      </c>
      <c r="B11" s="7">
        <v>305</v>
      </c>
      <c r="C11" s="7">
        <f>(768+767)/2</f>
        <v>767.5</v>
      </c>
      <c r="D11" s="2"/>
      <c r="E11" s="2"/>
      <c r="F11" s="18"/>
    </row>
    <row r="12" spans="1:6" x14ac:dyDescent="0.25">
      <c r="A12" t="s">
        <v>17</v>
      </c>
      <c r="B12" s="7">
        <f>(826+830)/2</f>
        <v>828</v>
      </c>
      <c r="C12" s="7">
        <f>(1020+1013)/2</f>
        <v>1016.5</v>
      </c>
      <c r="F12" s="2"/>
    </row>
    <row r="13" spans="1:6" x14ac:dyDescent="0.25">
      <c r="A13" t="s">
        <v>18</v>
      </c>
      <c r="B13" s="7">
        <f>(628+619+624)/3</f>
        <v>623.66666666666663</v>
      </c>
      <c r="C13" s="7">
        <f>(1057+1062)/2</f>
        <v>1059.5</v>
      </c>
    </row>
    <row r="14" spans="1:6" x14ac:dyDescent="0.25">
      <c r="A14" t="s">
        <v>19</v>
      </c>
      <c r="B14" s="7">
        <f>(260+255)/2</f>
        <v>257.5</v>
      </c>
      <c r="C14" s="7">
        <f>(1045+1042)/2</f>
        <v>1043.5</v>
      </c>
    </row>
    <row r="15" spans="1:6" x14ac:dyDescent="0.25">
      <c r="A15" t="s">
        <v>20</v>
      </c>
      <c r="B15" s="7">
        <f>(501+513)/2</f>
        <v>507</v>
      </c>
      <c r="C15" s="7">
        <f>(900+899)/2</f>
        <v>899.5</v>
      </c>
    </row>
    <row r="16" spans="1:6" x14ac:dyDescent="0.25">
      <c r="A16" t="s">
        <v>21</v>
      </c>
      <c r="B16" s="2">
        <v>447</v>
      </c>
      <c r="C16" s="2">
        <v>988</v>
      </c>
    </row>
    <row r="17" spans="1:6" x14ac:dyDescent="0.25">
      <c r="A17" t="s">
        <v>22</v>
      </c>
      <c r="B17" s="2">
        <v>373</v>
      </c>
      <c r="C17" s="2">
        <v>921</v>
      </c>
    </row>
    <row r="18" spans="1:6" x14ac:dyDescent="0.25">
      <c r="A18" t="s">
        <v>23</v>
      </c>
      <c r="B18" s="7">
        <v>340</v>
      </c>
      <c r="C18" s="7">
        <f>(954+959)/2</f>
        <v>956.5</v>
      </c>
    </row>
    <row r="19" spans="1:6" x14ac:dyDescent="0.25">
      <c r="B19" s="7"/>
      <c r="C19" s="7"/>
      <c r="D19" s="19"/>
      <c r="E19" s="19"/>
      <c r="F19" s="19"/>
    </row>
    <row r="20" spans="1:6" x14ac:dyDescent="0.25">
      <c r="A20" t="s">
        <v>25</v>
      </c>
      <c r="B20" s="2"/>
      <c r="C20" s="2"/>
      <c r="E20" s="17"/>
      <c r="F20" s="17"/>
    </row>
    <row r="21" spans="1:6" x14ac:dyDescent="0.25">
      <c r="A21" t="s">
        <v>5</v>
      </c>
      <c r="B21" s="7"/>
      <c r="C21" s="7">
        <f>(702+707)/2</f>
        <v>704.5</v>
      </c>
      <c r="D21" s="17"/>
      <c r="E21" s="17"/>
      <c r="F21" s="17"/>
    </row>
    <row r="22" spans="1:6" x14ac:dyDescent="0.25">
      <c r="A22" t="s">
        <v>7</v>
      </c>
      <c r="B22" s="7">
        <f>(219+211+214)/3</f>
        <v>214.66666666666666</v>
      </c>
      <c r="C22" s="7">
        <f>(313+310+314)/3</f>
        <v>312.33333333333331</v>
      </c>
      <c r="D22" s="17"/>
      <c r="F22" s="17"/>
    </row>
    <row r="23" spans="1:6" x14ac:dyDescent="0.25">
      <c r="A23" t="s">
        <v>10</v>
      </c>
      <c r="B23" s="7">
        <v>633</v>
      </c>
      <c r="C23" s="7">
        <f>(352+351)/2</f>
        <v>351.5</v>
      </c>
    </row>
    <row r="24" spans="1:6" x14ac:dyDescent="0.25">
      <c r="A24" t="s">
        <v>11</v>
      </c>
      <c r="B24" s="7">
        <f>(452+453)/2</f>
        <v>452.5</v>
      </c>
      <c r="C24" s="7">
        <f>(526+536)/2</f>
        <v>531</v>
      </c>
    </row>
    <row r="25" spans="1:6" x14ac:dyDescent="0.25">
      <c r="A25" t="s">
        <v>12</v>
      </c>
      <c r="B25" s="7">
        <f>(708+711)/2</f>
        <v>709.5</v>
      </c>
      <c r="C25" s="7">
        <f>(696+695)/2</f>
        <v>695.5</v>
      </c>
      <c r="E25" s="17"/>
      <c r="F25" s="17"/>
    </row>
    <row r="26" spans="1:6" x14ac:dyDescent="0.25">
      <c r="A26" t="s">
        <v>13</v>
      </c>
      <c r="B26" s="7">
        <f>(307+293+293+305)/4</f>
        <v>299.5</v>
      </c>
      <c r="C26" s="7">
        <f>(482+485)/2</f>
        <v>483.5</v>
      </c>
      <c r="D26" s="17"/>
      <c r="F26" s="2"/>
    </row>
    <row r="27" spans="1:6" x14ac:dyDescent="0.25">
      <c r="A27" t="s">
        <v>14</v>
      </c>
      <c r="B27" s="7">
        <f>(485+478)/2</f>
        <v>481.5</v>
      </c>
      <c r="C27" s="7">
        <f>(426+428)/2</f>
        <v>427</v>
      </c>
      <c r="F27" s="2"/>
    </row>
    <row r="28" spans="1:6" x14ac:dyDescent="0.25">
      <c r="A28" t="s">
        <v>15</v>
      </c>
      <c r="B28" s="9">
        <f>(325+337)/2</f>
        <v>331</v>
      </c>
      <c r="C28" s="9">
        <v>519</v>
      </c>
      <c r="E28" s="2"/>
      <c r="F28" s="2"/>
    </row>
    <row r="29" spans="1:6" x14ac:dyDescent="0.25">
      <c r="A29" t="s">
        <v>16</v>
      </c>
      <c r="B29" s="7">
        <v>565</v>
      </c>
      <c r="C29" s="7">
        <v>547</v>
      </c>
      <c r="F29" s="2"/>
    </row>
    <row r="30" spans="1:6" x14ac:dyDescent="0.25">
      <c r="A30" t="s">
        <v>17</v>
      </c>
      <c r="B30" s="7">
        <f>(509+510)/2</f>
        <v>509.5</v>
      </c>
      <c r="C30" s="7">
        <f>(734+742+742)/3</f>
        <v>739.33333333333337</v>
      </c>
      <c r="F30" s="2"/>
    </row>
    <row r="31" spans="1:6" x14ac:dyDescent="0.25">
      <c r="A31" t="s">
        <v>18</v>
      </c>
      <c r="B31" s="7">
        <f>(525+517)/2</f>
        <v>521</v>
      </c>
      <c r="C31" s="7">
        <f>(501+505)/2</f>
        <v>503</v>
      </c>
    </row>
    <row r="32" spans="1:6" x14ac:dyDescent="0.25">
      <c r="A32" t="s">
        <v>19</v>
      </c>
      <c r="B32">
        <v>297</v>
      </c>
      <c r="C32" s="13">
        <f>(418+425)/2</f>
        <v>421.5</v>
      </c>
    </row>
    <row r="33" spans="1:6" x14ac:dyDescent="0.25">
      <c r="A33" t="s">
        <v>20</v>
      </c>
      <c r="B33">
        <f>(371+375)/2</f>
        <v>373</v>
      </c>
      <c r="C33">
        <f>(525+527)/2</f>
        <v>526</v>
      </c>
    </row>
    <row r="34" spans="1:6" x14ac:dyDescent="0.25">
      <c r="A34" t="s">
        <v>21</v>
      </c>
      <c r="B34" s="13">
        <f>(444+443)/2</f>
        <v>443.5</v>
      </c>
      <c r="C34" s="13">
        <v>639</v>
      </c>
      <c r="F34" s="17"/>
    </row>
    <row r="35" spans="1:6" x14ac:dyDescent="0.25">
      <c r="A35" t="s">
        <v>22</v>
      </c>
      <c r="B35">
        <v>209</v>
      </c>
      <c r="C35">
        <f>(567+571)/2</f>
        <v>569</v>
      </c>
    </row>
    <row r="36" spans="1:6" x14ac:dyDescent="0.25">
      <c r="A36" t="s">
        <v>23</v>
      </c>
      <c r="B36">
        <f>(386+388)/2</f>
        <v>387</v>
      </c>
      <c r="C36">
        <v>563</v>
      </c>
    </row>
  </sheetData>
  <pageMargins left="0.7" right="0.7" top="0.75" bottom="0.75" header="0.3" footer="0.3"/>
  <pageSetup paperSize="9" orientation="portrait" verticalDpi="0"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D36"/>
  <sheetViews>
    <sheetView workbookViewId="0">
      <selection activeCell="G34" sqref="G34"/>
    </sheetView>
  </sheetViews>
  <sheetFormatPr defaultRowHeight="15" x14ac:dyDescent="0.25"/>
  <sheetData>
    <row r="1" spans="1:4" x14ac:dyDescent="0.25">
      <c r="B1" t="s">
        <v>60</v>
      </c>
      <c r="C1" t="s">
        <v>61</v>
      </c>
      <c r="D1" t="s">
        <v>62</v>
      </c>
    </row>
    <row r="2" spans="1:4" x14ac:dyDescent="0.25">
      <c r="A2" t="s">
        <v>26</v>
      </c>
    </row>
    <row r="3" spans="1:4" x14ac:dyDescent="0.25">
      <c r="A3" t="s">
        <v>5</v>
      </c>
      <c r="B3">
        <v>49.2</v>
      </c>
      <c r="C3">
        <v>45.8</v>
      </c>
      <c r="D3">
        <v>45.7</v>
      </c>
    </row>
    <row r="4" spans="1:4" x14ac:dyDescent="0.25">
      <c r="A4" t="s">
        <v>7</v>
      </c>
      <c r="B4">
        <v>46.6</v>
      </c>
      <c r="C4">
        <v>45</v>
      </c>
      <c r="D4">
        <v>45.5</v>
      </c>
    </row>
    <row r="5" spans="1:4" x14ac:dyDescent="0.25">
      <c r="A5" t="s">
        <v>10</v>
      </c>
      <c r="B5">
        <v>47.7</v>
      </c>
      <c r="C5">
        <v>46.5</v>
      </c>
      <c r="D5">
        <v>44.5</v>
      </c>
    </row>
    <row r="6" spans="1:4" x14ac:dyDescent="0.25">
      <c r="A6" t="s">
        <v>11</v>
      </c>
      <c r="B6">
        <v>46.8</v>
      </c>
      <c r="C6">
        <v>49.1</v>
      </c>
      <c r="D6">
        <v>47.4</v>
      </c>
    </row>
    <row r="7" spans="1:4" x14ac:dyDescent="0.25">
      <c r="A7" t="s">
        <v>12</v>
      </c>
      <c r="B7">
        <v>45.1</v>
      </c>
      <c r="C7">
        <v>42</v>
      </c>
      <c r="D7">
        <v>44.8</v>
      </c>
    </row>
    <row r="8" spans="1:4" x14ac:dyDescent="0.25">
      <c r="A8" t="s">
        <v>13</v>
      </c>
      <c r="B8">
        <v>45.5</v>
      </c>
      <c r="C8">
        <v>48.6</v>
      </c>
      <c r="D8">
        <v>47.6</v>
      </c>
    </row>
    <row r="9" spans="1:4" x14ac:dyDescent="0.25">
      <c r="A9" t="s">
        <v>14</v>
      </c>
      <c r="B9">
        <v>45.8</v>
      </c>
      <c r="C9">
        <v>43.7</v>
      </c>
      <c r="D9">
        <v>44.4</v>
      </c>
    </row>
    <row r="10" spans="1:4" x14ac:dyDescent="0.25">
      <c r="A10" t="s">
        <v>15</v>
      </c>
      <c r="B10">
        <v>44</v>
      </c>
      <c r="C10">
        <v>45.5</v>
      </c>
      <c r="D10">
        <v>47</v>
      </c>
    </row>
    <row r="11" spans="1:4" x14ac:dyDescent="0.25">
      <c r="A11" t="s">
        <v>16</v>
      </c>
      <c r="B11">
        <v>42.1</v>
      </c>
      <c r="C11">
        <v>43.6</v>
      </c>
      <c r="D11">
        <v>43.3</v>
      </c>
    </row>
    <row r="12" spans="1:4" x14ac:dyDescent="0.25">
      <c r="A12" t="s">
        <v>17</v>
      </c>
      <c r="B12">
        <v>46.1</v>
      </c>
      <c r="C12">
        <v>45.2</v>
      </c>
      <c r="D12">
        <v>44.8</v>
      </c>
    </row>
    <row r="13" spans="1:4" x14ac:dyDescent="0.25">
      <c r="A13" t="s">
        <v>18</v>
      </c>
      <c r="B13">
        <v>44.9</v>
      </c>
      <c r="C13">
        <v>48</v>
      </c>
      <c r="D13">
        <v>47.4</v>
      </c>
    </row>
    <row r="14" spans="1:4" x14ac:dyDescent="0.25">
      <c r="A14" t="s">
        <v>19</v>
      </c>
      <c r="B14">
        <v>43</v>
      </c>
      <c r="C14">
        <v>45.1</v>
      </c>
      <c r="D14">
        <v>47</v>
      </c>
    </row>
    <row r="15" spans="1:4" x14ac:dyDescent="0.25">
      <c r="A15" t="s">
        <v>20</v>
      </c>
      <c r="B15">
        <v>42.7</v>
      </c>
      <c r="C15">
        <v>41.8</v>
      </c>
      <c r="D15">
        <v>46</v>
      </c>
    </row>
    <row r="16" spans="1:4" x14ac:dyDescent="0.25">
      <c r="A16" t="s">
        <v>21</v>
      </c>
      <c r="B16">
        <v>42.8</v>
      </c>
      <c r="C16">
        <v>43.3</v>
      </c>
      <c r="D16">
        <v>41</v>
      </c>
    </row>
    <row r="17" spans="1:4" x14ac:dyDescent="0.25">
      <c r="A17" t="s">
        <v>22</v>
      </c>
      <c r="B17">
        <v>41.4</v>
      </c>
      <c r="C17">
        <v>44.2</v>
      </c>
      <c r="D17">
        <v>43.8</v>
      </c>
    </row>
    <row r="18" spans="1:4" x14ac:dyDescent="0.25">
      <c r="A18" t="s">
        <v>23</v>
      </c>
      <c r="B18">
        <v>44.9</v>
      </c>
      <c r="C18">
        <v>45.4</v>
      </c>
      <c r="D18">
        <v>46</v>
      </c>
    </row>
    <row r="20" spans="1:4" x14ac:dyDescent="0.25">
      <c r="A20" t="s">
        <v>25</v>
      </c>
    </row>
    <row r="21" spans="1:4" x14ac:dyDescent="0.25">
      <c r="A21" t="s">
        <v>5</v>
      </c>
      <c r="B21">
        <v>44</v>
      </c>
      <c r="C21">
        <v>43</v>
      </c>
      <c r="D21">
        <v>46</v>
      </c>
    </row>
    <row r="22" spans="1:4" x14ac:dyDescent="0.25">
      <c r="A22" t="s">
        <v>7</v>
      </c>
      <c r="B22">
        <v>43.2</v>
      </c>
    </row>
    <row r="23" spans="1:4" x14ac:dyDescent="0.25">
      <c r="A23" t="s">
        <v>10</v>
      </c>
      <c r="B23">
        <v>46.3</v>
      </c>
      <c r="C23">
        <v>44.5</v>
      </c>
      <c r="D23">
        <v>45.2</v>
      </c>
    </row>
    <row r="24" spans="1:4" x14ac:dyDescent="0.25">
      <c r="A24" t="s">
        <v>11</v>
      </c>
      <c r="B24">
        <v>41</v>
      </c>
      <c r="C24">
        <v>46</v>
      </c>
      <c r="D24">
        <v>46.7</v>
      </c>
    </row>
    <row r="25" spans="1:4" x14ac:dyDescent="0.25">
      <c r="A25" t="s">
        <v>12</v>
      </c>
      <c r="B25">
        <v>45.7</v>
      </c>
      <c r="C25">
        <v>45.2</v>
      </c>
      <c r="D25">
        <v>45.9</v>
      </c>
    </row>
    <row r="26" spans="1:4" x14ac:dyDescent="0.25">
      <c r="A26" t="s">
        <v>13</v>
      </c>
      <c r="B26">
        <v>43.2</v>
      </c>
      <c r="C26">
        <v>45.9</v>
      </c>
      <c r="D26">
        <v>46.4</v>
      </c>
    </row>
    <row r="27" spans="1:4" x14ac:dyDescent="0.25">
      <c r="A27" t="s">
        <v>14</v>
      </c>
      <c r="B27">
        <v>46.1</v>
      </c>
      <c r="C27">
        <v>47.3</v>
      </c>
      <c r="D27">
        <v>47.7</v>
      </c>
    </row>
    <row r="28" spans="1:4" x14ac:dyDescent="0.25">
      <c r="A28" t="s">
        <v>15</v>
      </c>
      <c r="B28">
        <v>43</v>
      </c>
      <c r="C28">
        <v>43.6</v>
      </c>
      <c r="D28">
        <v>44.9</v>
      </c>
    </row>
    <row r="29" spans="1:4" x14ac:dyDescent="0.25">
      <c r="A29" t="s">
        <v>16</v>
      </c>
      <c r="B29">
        <v>45</v>
      </c>
      <c r="C29">
        <v>41.9</v>
      </c>
      <c r="D29">
        <v>43.3</v>
      </c>
    </row>
    <row r="30" spans="1:4" x14ac:dyDescent="0.25">
      <c r="A30" t="s">
        <v>17</v>
      </c>
      <c r="B30">
        <v>44.9</v>
      </c>
      <c r="C30">
        <v>45.5</v>
      </c>
      <c r="D30">
        <v>46.6</v>
      </c>
    </row>
    <row r="31" spans="1:4" x14ac:dyDescent="0.25">
      <c r="A31" t="s">
        <v>18</v>
      </c>
      <c r="B31">
        <v>42.5</v>
      </c>
      <c r="C31">
        <v>41.5</v>
      </c>
      <c r="D31">
        <v>43.6</v>
      </c>
    </row>
    <row r="32" spans="1:4" x14ac:dyDescent="0.25">
      <c r="A32" t="s">
        <v>19</v>
      </c>
      <c r="B32">
        <v>44.8</v>
      </c>
      <c r="C32">
        <v>47</v>
      </c>
      <c r="D32">
        <v>47.2</v>
      </c>
    </row>
    <row r="33" spans="1:4" x14ac:dyDescent="0.25">
      <c r="A33" t="s">
        <v>20</v>
      </c>
      <c r="B33">
        <v>44.2</v>
      </c>
      <c r="C33">
        <v>43.3</v>
      </c>
      <c r="D33">
        <v>45</v>
      </c>
    </row>
    <row r="34" spans="1:4" x14ac:dyDescent="0.25">
      <c r="A34" t="s">
        <v>21</v>
      </c>
      <c r="B34">
        <v>44.8</v>
      </c>
      <c r="C34">
        <v>45.7</v>
      </c>
      <c r="D34">
        <v>45</v>
      </c>
    </row>
    <row r="35" spans="1:4" x14ac:dyDescent="0.25">
      <c r="A35" t="s">
        <v>22</v>
      </c>
      <c r="B35" s="2">
        <v>40.700000000000003</v>
      </c>
      <c r="C35" s="2">
        <v>42.5</v>
      </c>
      <c r="D35" s="2">
        <v>43</v>
      </c>
    </row>
    <row r="36" spans="1:4" x14ac:dyDescent="0.25">
      <c r="A36" t="s">
        <v>23</v>
      </c>
      <c r="B36">
        <v>42.2</v>
      </c>
      <c r="C36">
        <v>46</v>
      </c>
      <c r="D36">
        <v>47.2</v>
      </c>
    </row>
  </sheetData>
  <pageMargins left="0.7" right="0.7" top="0.75" bottom="0.75" header="0.3" footer="0.3"/>
  <pageSetup paperSize="9" orientation="portrait" verticalDpi="0"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D36"/>
  <sheetViews>
    <sheetView workbookViewId="0">
      <selection activeCell="H33" sqref="H33"/>
    </sheetView>
  </sheetViews>
  <sheetFormatPr defaultRowHeight="15" x14ac:dyDescent="0.25"/>
  <sheetData>
    <row r="1" spans="1:4" x14ac:dyDescent="0.25">
      <c r="B1" t="s">
        <v>60</v>
      </c>
      <c r="C1" t="s">
        <v>61</v>
      </c>
      <c r="D1" t="s">
        <v>62</v>
      </c>
    </row>
    <row r="2" spans="1:4" x14ac:dyDescent="0.25">
      <c r="A2" t="s">
        <v>26</v>
      </c>
    </row>
    <row r="3" spans="1:4" x14ac:dyDescent="0.25">
      <c r="A3" t="s">
        <v>5</v>
      </c>
      <c r="B3">
        <v>16.100000000000001</v>
      </c>
      <c r="C3">
        <v>27.5</v>
      </c>
      <c r="D3">
        <v>46.6</v>
      </c>
    </row>
    <row r="4" spans="1:4" x14ac:dyDescent="0.25">
      <c r="A4" t="s">
        <v>7</v>
      </c>
    </row>
    <row r="5" spans="1:4" x14ac:dyDescent="0.25">
      <c r="A5" t="s">
        <v>10</v>
      </c>
      <c r="B5">
        <v>22</v>
      </c>
      <c r="C5">
        <v>36.6</v>
      </c>
      <c r="D5">
        <v>59</v>
      </c>
    </row>
    <row r="6" spans="1:4" x14ac:dyDescent="0.25">
      <c r="A6" t="s">
        <v>11</v>
      </c>
      <c r="B6">
        <v>29.1</v>
      </c>
      <c r="C6">
        <v>38.200000000000003</v>
      </c>
      <c r="D6">
        <v>56.6</v>
      </c>
    </row>
    <row r="7" spans="1:4" x14ac:dyDescent="0.25">
      <c r="A7" t="s">
        <v>12</v>
      </c>
      <c r="B7">
        <v>36</v>
      </c>
      <c r="C7">
        <v>48</v>
      </c>
      <c r="D7">
        <v>57.3</v>
      </c>
    </row>
    <row r="8" spans="1:4" x14ac:dyDescent="0.25">
      <c r="A8" t="s">
        <v>13</v>
      </c>
      <c r="B8">
        <v>20.9</v>
      </c>
      <c r="C8">
        <v>33.5</v>
      </c>
      <c r="D8">
        <v>50.2</v>
      </c>
    </row>
    <row r="9" spans="1:4" x14ac:dyDescent="0.25">
      <c r="A9" t="s">
        <v>14</v>
      </c>
      <c r="B9">
        <v>20.8</v>
      </c>
      <c r="C9">
        <v>25.1</v>
      </c>
      <c r="D9">
        <v>38.5</v>
      </c>
    </row>
    <row r="10" spans="1:4" x14ac:dyDescent="0.25">
      <c r="A10" t="s">
        <v>15</v>
      </c>
      <c r="B10">
        <v>18.2</v>
      </c>
      <c r="C10">
        <v>26.8</v>
      </c>
      <c r="D10">
        <v>33.9</v>
      </c>
    </row>
    <row r="11" spans="1:4" x14ac:dyDescent="0.25">
      <c r="A11" t="s">
        <v>16</v>
      </c>
      <c r="B11">
        <v>24.8</v>
      </c>
      <c r="C11">
        <v>30.8</v>
      </c>
      <c r="D11">
        <v>40.799999999999997</v>
      </c>
    </row>
    <row r="12" spans="1:4" x14ac:dyDescent="0.25">
      <c r="A12" t="s">
        <v>17</v>
      </c>
      <c r="B12">
        <v>15.9</v>
      </c>
      <c r="C12">
        <v>39.69</v>
      </c>
      <c r="D12">
        <v>56.3</v>
      </c>
    </row>
    <row r="13" spans="1:4" x14ac:dyDescent="0.25">
      <c r="A13" t="s">
        <v>18</v>
      </c>
      <c r="B13">
        <v>20.8</v>
      </c>
      <c r="C13">
        <v>26.5</v>
      </c>
      <c r="D13">
        <v>43.2</v>
      </c>
    </row>
    <row r="14" spans="1:4" x14ac:dyDescent="0.25">
      <c r="A14" t="s">
        <v>19</v>
      </c>
      <c r="B14">
        <v>22.6</v>
      </c>
      <c r="C14">
        <v>36.5</v>
      </c>
      <c r="D14">
        <v>48.8</v>
      </c>
    </row>
    <row r="15" spans="1:4" x14ac:dyDescent="0.25">
      <c r="A15" t="s">
        <v>20</v>
      </c>
      <c r="B15">
        <v>17.100000000000001</v>
      </c>
      <c r="C15" s="2">
        <v>42.9</v>
      </c>
      <c r="D15" s="2">
        <v>45.6</v>
      </c>
    </row>
    <row r="16" spans="1:4" x14ac:dyDescent="0.25">
      <c r="A16" t="s">
        <v>21</v>
      </c>
      <c r="B16">
        <v>26.6</v>
      </c>
      <c r="C16">
        <v>44.7</v>
      </c>
      <c r="D16">
        <v>65.599999999999994</v>
      </c>
    </row>
    <row r="17" spans="1:4" x14ac:dyDescent="0.25">
      <c r="A17" t="s">
        <v>22</v>
      </c>
      <c r="B17">
        <v>25.5</v>
      </c>
      <c r="C17">
        <v>41.6</v>
      </c>
      <c r="D17">
        <v>54.4</v>
      </c>
    </row>
    <row r="18" spans="1:4" x14ac:dyDescent="0.25">
      <c r="A18" t="s">
        <v>23</v>
      </c>
      <c r="B18">
        <v>14.3</v>
      </c>
      <c r="C18">
        <v>23.7</v>
      </c>
      <c r="D18">
        <v>36.700000000000003</v>
      </c>
    </row>
    <row r="20" spans="1:4" x14ac:dyDescent="0.25">
      <c r="A20" t="s">
        <v>25</v>
      </c>
    </row>
    <row r="21" spans="1:4" x14ac:dyDescent="0.25">
      <c r="A21" t="s">
        <v>5</v>
      </c>
      <c r="B21">
        <v>21</v>
      </c>
      <c r="C21">
        <v>36</v>
      </c>
      <c r="D21">
        <v>49</v>
      </c>
    </row>
    <row r="22" spans="1:4" x14ac:dyDescent="0.25">
      <c r="A22" t="s">
        <v>7</v>
      </c>
      <c r="B22">
        <v>26</v>
      </c>
    </row>
    <row r="23" spans="1:4" x14ac:dyDescent="0.25">
      <c r="A23" t="s">
        <v>10</v>
      </c>
      <c r="B23">
        <v>20.8</v>
      </c>
      <c r="C23">
        <v>40</v>
      </c>
      <c r="D23">
        <v>52.8</v>
      </c>
    </row>
    <row r="24" spans="1:4" x14ac:dyDescent="0.25">
      <c r="A24" t="s">
        <v>11</v>
      </c>
      <c r="B24">
        <v>24</v>
      </c>
      <c r="C24">
        <v>30.9</v>
      </c>
      <c r="D24">
        <v>42</v>
      </c>
    </row>
    <row r="25" spans="1:4" x14ac:dyDescent="0.25">
      <c r="A25" t="s">
        <v>12</v>
      </c>
      <c r="B25">
        <v>18.2</v>
      </c>
      <c r="C25">
        <v>34.200000000000003</v>
      </c>
      <c r="D25">
        <v>47.3</v>
      </c>
    </row>
    <row r="26" spans="1:4" x14ac:dyDescent="0.25">
      <c r="A26" t="s">
        <v>13</v>
      </c>
      <c r="B26">
        <v>21.7</v>
      </c>
      <c r="C26">
        <v>28</v>
      </c>
      <c r="D26">
        <v>39.799999999999997</v>
      </c>
    </row>
    <row r="27" spans="1:4" x14ac:dyDescent="0.25">
      <c r="A27" t="s">
        <v>14</v>
      </c>
      <c r="B27">
        <v>20.9</v>
      </c>
      <c r="C27">
        <v>30.7</v>
      </c>
      <c r="D27">
        <v>41.3</v>
      </c>
    </row>
    <row r="28" spans="1:4" x14ac:dyDescent="0.25">
      <c r="A28" t="s">
        <v>15</v>
      </c>
      <c r="B28">
        <v>19.8</v>
      </c>
      <c r="C28">
        <v>31.3</v>
      </c>
      <c r="D28">
        <v>44.7</v>
      </c>
    </row>
    <row r="29" spans="1:4" x14ac:dyDescent="0.25">
      <c r="A29" t="s">
        <v>16</v>
      </c>
      <c r="B29">
        <v>20.6</v>
      </c>
      <c r="C29">
        <v>43.9</v>
      </c>
      <c r="D29">
        <v>55</v>
      </c>
    </row>
    <row r="30" spans="1:4" x14ac:dyDescent="0.25">
      <c r="A30" t="s">
        <v>17</v>
      </c>
      <c r="B30">
        <v>20.9</v>
      </c>
      <c r="C30">
        <v>34.299999999999997</v>
      </c>
      <c r="D30">
        <v>46.8</v>
      </c>
    </row>
    <row r="31" spans="1:4" x14ac:dyDescent="0.25">
      <c r="A31" t="s">
        <v>18</v>
      </c>
      <c r="B31">
        <v>16.7</v>
      </c>
      <c r="C31">
        <v>30.8</v>
      </c>
      <c r="D31">
        <v>46.7</v>
      </c>
    </row>
    <row r="32" spans="1:4" x14ac:dyDescent="0.25">
      <c r="A32" t="s">
        <v>19</v>
      </c>
      <c r="B32">
        <v>22.8</v>
      </c>
      <c r="C32">
        <v>37.9</v>
      </c>
      <c r="D32">
        <v>46.7</v>
      </c>
    </row>
    <row r="33" spans="1:4" x14ac:dyDescent="0.25">
      <c r="A33" t="s">
        <v>20</v>
      </c>
      <c r="B33">
        <v>17.8</v>
      </c>
      <c r="C33">
        <v>41.5</v>
      </c>
      <c r="D33">
        <v>51.6</v>
      </c>
    </row>
    <row r="34" spans="1:4" x14ac:dyDescent="0.25">
      <c r="A34" t="s">
        <v>21</v>
      </c>
      <c r="B34">
        <v>28.9</v>
      </c>
      <c r="C34">
        <v>37.299999999999997</v>
      </c>
      <c r="D34">
        <v>50.1</v>
      </c>
    </row>
    <row r="35" spans="1:4" x14ac:dyDescent="0.25">
      <c r="A35" t="s">
        <v>22</v>
      </c>
      <c r="B35" s="2">
        <v>18.2</v>
      </c>
      <c r="C35" s="2">
        <v>35</v>
      </c>
      <c r="D35" s="2">
        <v>48.1</v>
      </c>
    </row>
    <row r="36" spans="1:4" x14ac:dyDescent="0.25">
      <c r="A36" t="s">
        <v>23</v>
      </c>
      <c r="B36" s="5">
        <v>21.7</v>
      </c>
      <c r="C36">
        <v>20.399999999999999</v>
      </c>
      <c r="D36">
        <v>27.4</v>
      </c>
    </row>
  </sheetData>
  <pageMargins left="0.7" right="0.7" top="0.75" bottom="0.75" header="0.3" footer="0.3"/>
  <legacy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7"/>
  <sheetViews>
    <sheetView workbookViewId="0">
      <selection activeCell="F30" sqref="F30"/>
    </sheetView>
  </sheetViews>
  <sheetFormatPr defaultRowHeight="15" x14ac:dyDescent="0.25"/>
  <sheetData>
    <row r="1" spans="1:4" x14ac:dyDescent="0.25">
      <c r="B1" t="s">
        <v>63</v>
      </c>
      <c r="C1" t="s">
        <v>64</v>
      </c>
      <c r="D1" t="s">
        <v>65</v>
      </c>
    </row>
    <row r="2" spans="1:4" x14ac:dyDescent="0.25">
      <c r="A2" t="s">
        <v>26</v>
      </c>
    </row>
    <row r="3" spans="1:4" x14ac:dyDescent="0.25">
      <c r="A3" t="s">
        <v>5</v>
      </c>
      <c r="B3" s="5">
        <f>(79.6+79.9+79.8)/3</f>
        <v>79.766666666666666</v>
      </c>
      <c r="C3" s="5">
        <f>(79.2+79+79.2)/3</f>
        <v>79.133333333333326</v>
      </c>
      <c r="D3" s="5">
        <f>B3-C3</f>
        <v>0.63333333333333997</v>
      </c>
    </row>
    <row r="4" spans="1:4" x14ac:dyDescent="0.25">
      <c r="A4" t="s">
        <v>7</v>
      </c>
      <c r="B4">
        <v>96.3</v>
      </c>
      <c r="C4" s="5">
        <f>(95.5+95.8+95.7+95.5)/4</f>
        <v>95.625</v>
      </c>
      <c r="D4" s="5">
        <f t="shared" ref="D4:D17" si="0">B4-C4</f>
        <v>0.67499999999999716</v>
      </c>
    </row>
    <row r="5" spans="1:4" x14ac:dyDescent="0.25">
      <c r="A5" t="s">
        <v>10</v>
      </c>
      <c r="B5" s="5">
        <f>(71+70.9+71)/3</f>
        <v>70.966666666666669</v>
      </c>
      <c r="C5">
        <v>70.099999999999994</v>
      </c>
      <c r="D5" s="5">
        <f t="shared" si="0"/>
        <v>0.86666666666667425</v>
      </c>
    </row>
    <row r="6" spans="1:4" x14ac:dyDescent="0.25">
      <c r="A6" t="s">
        <v>11</v>
      </c>
      <c r="B6">
        <v>68.7</v>
      </c>
      <c r="C6">
        <v>67.8</v>
      </c>
      <c r="D6" s="5">
        <f t="shared" si="0"/>
        <v>0.90000000000000568</v>
      </c>
    </row>
    <row r="7" spans="1:4" x14ac:dyDescent="0.25">
      <c r="A7" t="s">
        <v>12</v>
      </c>
      <c r="B7">
        <v>61.3</v>
      </c>
      <c r="C7">
        <v>60.6</v>
      </c>
      <c r="D7" s="5">
        <f t="shared" si="0"/>
        <v>0.69999999999999574</v>
      </c>
    </row>
    <row r="8" spans="1:4" x14ac:dyDescent="0.25">
      <c r="A8" t="s">
        <v>13</v>
      </c>
      <c r="B8">
        <v>73</v>
      </c>
      <c r="C8">
        <v>72.2</v>
      </c>
      <c r="D8" s="5">
        <f t="shared" si="0"/>
        <v>0.79999999999999716</v>
      </c>
    </row>
    <row r="9" spans="1:4" x14ac:dyDescent="0.25">
      <c r="A9" t="s">
        <v>14</v>
      </c>
      <c r="B9">
        <f>(66.3+66.4+66.1+66.4)/4</f>
        <v>66.3</v>
      </c>
      <c r="C9">
        <f>(66+66.2+66.1)/3</f>
        <v>66.099999999999994</v>
      </c>
      <c r="D9" s="5">
        <f t="shared" si="0"/>
        <v>0.20000000000000284</v>
      </c>
    </row>
    <row r="10" spans="1:4" x14ac:dyDescent="0.25">
      <c r="A10" t="s">
        <v>15</v>
      </c>
      <c r="B10">
        <v>62</v>
      </c>
      <c r="C10" s="5">
        <f>(61.7+61.8+61.8)/3</f>
        <v>61.766666666666673</v>
      </c>
      <c r="D10" s="5">
        <f t="shared" si="0"/>
        <v>0.23333333333332718</v>
      </c>
    </row>
    <row r="11" spans="1:4" x14ac:dyDescent="0.25">
      <c r="A11" t="s">
        <v>16</v>
      </c>
      <c r="B11">
        <v>64</v>
      </c>
      <c r="C11">
        <v>63.7</v>
      </c>
      <c r="D11" s="5">
        <f t="shared" si="0"/>
        <v>0.29999999999999716</v>
      </c>
    </row>
    <row r="12" spans="1:4" x14ac:dyDescent="0.25">
      <c r="A12" t="s">
        <v>17</v>
      </c>
      <c r="B12" s="5">
        <f>(69.6+69.7+69.7)/3</f>
        <v>69.666666666666671</v>
      </c>
      <c r="C12">
        <f>(68.6+68.7+68.8)/3</f>
        <v>68.7</v>
      </c>
      <c r="D12" s="5">
        <f t="shared" si="0"/>
        <v>0.96666666666666856</v>
      </c>
    </row>
    <row r="13" spans="1:4" x14ac:dyDescent="0.25">
      <c r="A13" t="s">
        <v>18</v>
      </c>
      <c r="B13" s="5">
        <f>(63.3+63.2)/2</f>
        <v>63.25</v>
      </c>
      <c r="C13" s="5">
        <f>(63.2+63.1+63.1)/3</f>
        <v>63.133333333333333</v>
      </c>
      <c r="D13" s="5">
        <f t="shared" si="0"/>
        <v>0.11666666666666714</v>
      </c>
    </row>
    <row r="14" spans="1:4" x14ac:dyDescent="0.25">
      <c r="A14" t="s">
        <v>19</v>
      </c>
      <c r="B14">
        <v>60.7</v>
      </c>
      <c r="C14">
        <v>60.4</v>
      </c>
      <c r="D14" s="5">
        <f t="shared" si="0"/>
        <v>0.30000000000000426</v>
      </c>
    </row>
    <row r="15" spans="1:4" x14ac:dyDescent="0.25">
      <c r="A15" t="s">
        <v>20</v>
      </c>
      <c r="B15" s="5">
        <f>(76.2+76.1+76.1)/3</f>
        <v>76.13333333333334</v>
      </c>
      <c r="C15">
        <f>(75.8+75.6+75.7)/3</f>
        <v>75.699999999999989</v>
      </c>
      <c r="D15" s="5">
        <f t="shared" si="0"/>
        <v>0.43333333333335133</v>
      </c>
    </row>
    <row r="16" spans="1:4" x14ac:dyDescent="0.25">
      <c r="A16" t="s">
        <v>21</v>
      </c>
      <c r="B16" s="5">
        <f>(76.4+76.3+76.1+76.2)/4</f>
        <v>76.25</v>
      </c>
      <c r="C16">
        <v>75.599999999999994</v>
      </c>
      <c r="D16" s="5">
        <f t="shared" si="0"/>
        <v>0.65000000000000568</v>
      </c>
    </row>
    <row r="17" spans="1:4" x14ac:dyDescent="0.25">
      <c r="A17" t="s">
        <v>22</v>
      </c>
      <c r="B17" s="5">
        <v>85.9</v>
      </c>
      <c r="C17">
        <v>84.9</v>
      </c>
      <c r="D17" s="5">
        <f t="shared" si="0"/>
        <v>1</v>
      </c>
    </row>
    <row r="18" spans="1:4" x14ac:dyDescent="0.25">
      <c r="A18" t="s">
        <v>23</v>
      </c>
      <c r="B18" s="5">
        <f>(66.6+66.7+66.7)/3</f>
        <v>66.666666666666671</v>
      </c>
      <c r="C18">
        <v>66.599999999999994</v>
      </c>
      <c r="D18" s="5">
        <v>0.1</v>
      </c>
    </row>
    <row r="20" spans="1:4" x14ac:dyDescent="0.25">
      <c r="A20" t="s">
        <v>25</v>
      </c>
    </row>
    <row r="21" spans="1:4" x14ac:dyDescent="0.25">
      <c r="A21" t="s">
        <v>5</v>
      </c>
      <c r="B21">
        <v>79.099999999999994</v>
      </c>
      <c r="C21">
        <v>78.599999999999994</v>
      </c>
      <c r="D21">
        <f>B21-C21</f>
        <v>0.5</v>
      </c>
    </row>
    <row r="22" spans="1:4" x14ac:dyDescent="0.25">
      <c r="A22" t="s">
        <v>7</v>
      </c>
      <c r="B22">
        <v>96.1</v>
      </c>
      <c r="C22" s="5">
        <f>(95.1+95.2+95.2)/3</f>
        <v>95.166666666666671</v>
      </c>
      <c r="D22" s="5">
        <f t="shared" ref="D22" si="1">B22-C22</f>
        <v>0.93333333333332291</v>
      </c>
    </row>
    <row r="23" spans="1:4" x14ac:dyDescent="0.25">
      <c r="A23" t="s">
        <v>10</v>
      </c>
      <c r="B23">
        <v>71.900000000000006</v>
      </c>
      <c r="C23">
        <v>71.099999999999994</v>
      </c>
      <c r="D23" s="5">
        <f>B23-C23</f>
        <v>0.80000000000001137</v>
      </c>
    </row>
    <row r="24" spans="1:4" x14ac:dyDescent="0.25">
      <c r="A24" t="s">
        <v>11</v>
      </c>
      <c r="B24">
        <v>69.099999999999994</v>
      </c>
      <c r="C24">
        <v>68.099999999999994</v>
      </c>
      <c r="D24" s="5">
        <f t="shared" ref="D24:D36" si="2">B24-C24</f>
        <v>1</v>
      </c>
    </row>
    <row r="25" spans="1:4" x14ac:dyDescent="0.25">
      <c r="A25" t="s">
        <v>12</v>
      </c>
      <c r="B25">
        <v>61</v>
      </c>
      <c r="C25" s="5">
        <f>(60.3+60.3+60.4)/3</f>
        <v>60.333333333333336</v>
      </c>
      <c r="D25" s="5">
        <f t="shared" si="2"/>
        <v>0.6666666666666643</v>
      </c>
    </row>
    <row r="26" spans="1:4" x14ac:dyDescent="0.25">
      <c r="A26" t="s">
        <v>13</v>
      </c>
      <c r="B26">
        <v>72</v>
      </c>
      <c r="C26">
        <v>71.3</v>
      </c>
      <c r="D26" s="5">
        <f t="shared" si="2"/>
        <v>0.70000000000000284</v>
      </c>
    </row>
    <row r="27" spans="1:4" x14ac:dyDescent="0.25">
      <c r="A27" t="s">
        <v>14</v>
      </c>
      <c r="B27" s="5">
        <f>(66.2+65.9+66.1)/3</f>
        <v>66.066666666666677</v>
      </c>
      <c r="C27">
        <f>(65.6+65.7+65.8)/3</f>
        <v>65.7</v>
      </c>
      <c r="D27" s="5">
        <f t="shared" si="2"/>
        <v>0.36666666666667425</v>
      </c>
    </row>
    <row r="28" spans="1:4" x14ac:dyDescent="0.25">
      <c r="A28" t="s">
        <v>15</v>
      </c>
      <c r="B28">
        <v>62.2</v>
      </c>
      <c r="C28">
        <v>62</v>
      </c>
      <c r="D28" s="5">
        <f t="shared" si="2"/>
        <v>0.20000000000000284</v>
      </c>
    </row>
    <row r="29" spans="1:4" x14ac:dyDescent="0.25">
      <c r="A29" t="s">
        <v>16</v>
      </c>
      <c r="B29">
        <v>64.3</v>
      </c>
      <c r="C29">
        <v>64.099999999999994</v>
      </c>
      <c r="D29" s="5">
        <f t="shared" si="2"/>
        <v>0.20000000000000284</v>
      </c>
    </row>
    <row r="30" spans="1:4" x14ac:dyDescent="0.25">
      <c r="A30" t="s">
        <v>17</v>
      </c>
      <c r="B30" s="5">
        <f>(69.3+69.1+69.4)/3</f>
        <v>69.266666666666666</v>
      </c>
      <c r="C30" s="5">
        <f>(68.5+68.3+68.3)/3</f>
        <v>68.366666666666674</v>
      </c>
      <c r="D30" s="5">
        <f t="shared" si="2"/>
        <v>0.89999999999999147</v>
      </c>
    </row>
    <row r="31" spans="1:4" x14ac:dyDescent="0.25">
      <c r="A31" t="s">
        <v>18</v>
      </c>
      <c r="B31">
        <v>63.1</v>
      </c>
      <c r="C31" s="5">
        <f>(62.6+62.9+62.8)/3</f>
        <v>62.766666666666673</v>
      </c>
      <c r="D31" s="5">
        <f t="shared" si="2"/>
        <v>0.3333333333333286</v>
      </c>
    </row>
    <row r="32" spans="1:4" x14ac:dyDescent="0.25">
      <c r="A32" t="s">
        <v>19</v>
      </c>
      <c r="B32">
        <v>61.7</v>
      </c>
      <c r="C32">
        <v>61.4</v>
      </c>
      <c r="D32" s="5">
        <f t="shared" si="2"/>
        <v>0.30000000000000426</v>
      </c>
    </row>
    <row r="33" spans="1:4" x14ac:dyDescent="0.25">
      <c r="A33" t="s">
        <v>20</v>
      </c>
      <c r="B33">
        <v>78.099999999999994</v>
      </c>
      <c r="C33">
        <v>77.7</v>
      </c>
      <c r="D33" s="5">
        <f t="shared" si="2"/>
        <v>0.39999999999999147</v>
      </c>
    </row>
    <row r="34" spans="1:4" x14ac:dyDescent="0.25">
      <c r="A34" t="s">
        <v>21</v>
      </c>
      <c r="B34">
        <v>75.599999999999994</v>
      </c>
      <c r="C34">
        <v>75</v>
      </c>
      <c r="D34" s="5">
        <f t="shared" si="2"/>
        <v>0.59999999999999432</v>
      </c>
    </row>
    <row r="35" spans="1:4" x14ac:dyDescent="0.25">
      <c r="A35" t="s">
        <v>22</v>
      </c>
      <c r="B35">
        <v>85.9</v>
      </c>
      <c r="C35">
        <v>85.4</v>
      </c>
      <c r="D35" s="5">
        <f t="shared" si="2"/>
        <v>0.5</v>
      </c>
    </row>
    <row r="36" spans="1:4" x14ac:dyDescent="0.25">
      <c r="A36" t="s">
        <v>23</v>
      </c>
      <c r="B36" s="5">
        <v>66.099999999999994</v>
      </c>
      <c r="C36" s="5">
        <v>66.099999999999994</v>
      </c>
      <c r="D36" s="5">
        <f t="shared" si="2"/>
        <v>0</v>
      </c>
    </row>
    <row r="37" spans="1:4" x14ac:dyDescent="0.25">
      <c r="D37" s="17"/>
    </row>
  </sheetData>
  <pageMargins left="0.7" right="0.7" top="0.75" bottom="0.75" header="0.3" footer="0.3"/>
  <pageSetup paperSize="9" orientation="portrait" verticalDpi="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6"/>
  <sheetViews>
    <sheetView workbookViewId="0">
      <selection activeCell="F31" sqref="F31"/>
    </sheetView>
  </sheetViews>
  <sheetFormatPr defaultRowHeight="15" x14ac:dyDescent="0.25"/>
  <sheetData>
    <row r="1" spans="1:3" x14ac:dyDescent="0.25">
      <c r="B1" t="s">
        <v>66</v>
      </c>
    </row>
    <row r="2" spans="1:3" x14ac:dyDescent="0.25">
      <c r="A2" t="s">
        <v>26</v>
      </c>
      <c r="C2" t="s">
        <v>76</v>
      </c>
    </row>
    <row r="3" spans="1:3" x14ac:dyDescent="0.25">
      <c r="A3" t="s">
        <v>5</v>
      </c>
      <c r="B3">
        <v>0.24</v>
      </c>
    </row>
    <row r="4" spans="1:3" x14ac:dyDescent="0.25">
      <c r="A4" t="s">
        <v>7</v>
      </c>
      <c r="B4">
        <v>0.28999999999999998</v>
      </c>
    </row>
    <row r="5" spans="1:3" x14ac:dyDescent="0.25">
      <c r="A5" t="s">
        <v>10</v>
      </c>
      <c r="B5">
        <v>0.21</v>
      </c>
    </row>
    <row r="6" spans="1:3" x14ac:dyDescent="0.25">
      <c r="A6" t="s">
        <v>11</v>
      </c>
      <c r="B6">
        <v>0.21</v>
      </c>
    </row>
    <row r="7" spans="1:3" x14ac:dyDescent="0.25">
      <c r="A7" t="s">
        <v>12</v>
      </c>
      <c r="B7" s="3">
        <v>0.185</v>
      </c>
    </row>
    <row r="8" spans="1:3" x14ac:dyDescent="0.25">
      <c r="A8" t="s">
        <v>13</v>
      </c>
      <c r="B8">
        <v>0.22</v>
      </c>
    </row>
    <row r="9" spans="1:3" x14ac:dyDescent="0.25">
      <c r="A9" t="s">
        <v>14</v>
      </c>
      <c r="B9" s="3">
        <v>0.2</v>
      </c>
    </row>
    <row r="10" spans="1:3" x14ac:dyDescent="0.25">
      <c r="A10" t="s">
        <v>15</v>
      </c>
      <c r="B10">
        <v>0.19</v>
      </c>
    </row>
    <row r="11" spans="1:3" x14ac:dyDescent="0.25">
      <c r="A11" t="s">
        <v>16</v>
      </c>
      <c r="B11" s="3">
        <v>0.19500000000000001</v>
      </c>
    </row>
    <row r="12" spans="1:3" x14ac:dyDescent="0.25">
      <c r="A12" t="s">
        <v>17</v>
      </c>
      <c r="B12">
        <v>0.21</v>
      </c>
    </row>
    <row r="13" spans="1:3" x14ac:dyDescent="0.25">
      <c r="A13" t="s">
        <v>18</v>
      </c>
      <c r="B13">
        <v>0.19</v>
      </c>
    </row>
    <row r="14" spans="1:3" x14ac:dyDescent="0.25">
      <c r="A14" t="s">
        <v>19</v>
      </c>
      <c r="B14">
        <v>0.19</v>
      </c>
    </row>
    <row r="15" spans="1:3" x14ac:dyDescent="0.25">
      <c r="A15" t="s">
        <v>20</v>
      </c>
      <c r="B15">
        <v>0.23</v>
      </c>
    </row>
    <row r="16" spans="1:3" x14ac:dyDescent="0.25">
      <c r="A16" t="s">
        <v>21</v>
      </c>
      <c r="B16">
        <v>0.23</v>
      </c>
    </row>
    <row r="17" spans="1:3" x14ac:dyDescent="0.25">
      <c r="A17" t="s">
        <v>22</v>
      </c>
      <c r="B17">
        <v>0.26</v>
      </c>
    </row>
    <row r="18" spans="1:3" x14ac:dyDescent="0.25">
      <c r="A18" t="s">
        <v>23</v>
      </c>
      <c r="B18" s="3">
        <v>0.2</v>
      </c>
    </row>
    <row r="20" spans="1:3" x14ac:dyDescent="0.25">
      <c r="A20" t="s">
        <v>25</v>
      </c>
      <c r="C20" t="s">
        <v>77</v>
      </c>
    </row>
    <row r="21" spans="1:3" x14ac:dyDescent="0.25">
      <c r="A21" t="s">
        <v>5</v>
      </c>
      <c r="B21" s="5">
        <f>2.7+0.75</f>
        <v>3.45</v>
      </c>
    </row>
    <row r="22" spans="1:3" x14ac:dyDescent="0.25">
      <c r="A22" t="s">
        <v>7</v>
      </c>
      <c r="B22">
        <v>3.6</v>
      </c>
      <c r="C22" s="5"/>
    </row>
    <row r="23" spans="1:3" x14ac:dyDescent="0.25">
      <c r="A23" t="s">
        <v>10</v>
      </c>
      <c r="B23">
        <v>3.8</v>
      </c>
    </row>
    <row r="24" spans="1:3" x14ac:dyDescent="0.25">
      <c r="A24" t="s">
        <v>11</v>
      </c>
      <c r="B24">
        <v>3.8</v>
      </c>
    </row>
    <row r="25" spans="1:3" x14ac:dyDescent="0.25">
      <c r="A25" t="s">
        <v>12</v>
      </c>
      <c r="B25" s="5">
        <v>3</v>
      </c>
      <c r="C25" s="5"/>
    </row>
    <row r="26" spans="1:3" x14ac:dyDescent="0.25">
      <c r="A26" t="s">
        <v>13</v>
      </c>
      <c r="B26">
        <v>3.3</v>
      </c>
    </row>
    <row r="27" spans="1:3" x14ac:dyDescent="0.25">
      <c r="A27" t="s">
        <v>14</v>
      </c>
      <c r="B27">
        <v>2.6</v>
      </c>
    </row>
    <row r="28" spans="1:3" x14ac:dyDescent="0.25">
      <c r="A28" t="s">
        <v>15</v>
      </c>
      <c r="B28">
        <v>2.1</v>
      </c>
    </row>
    <row r="29" spans="1:3" x14ac:dyDescent="0.25">
      <c r="A29" t="s">
        <v>16</v>
      </c>
      <c r="B29">
        <v>2.7</v>
      </c>
    </row>
    <row r="30" spans="1:3" x14ac:dyDescent="0.25">
      <c r="A30" t="s">
        <v>17</v>
      </c>
      <c r="B30">
        <v>3.8</v>
      </c>
      <c r="C30" s="5"/>
    </row>
    <row r="31" spans="1:3" x14ac:dyDescent="0.25">
      <c r="A31" t="s">
        <v>18</v>
      </c>
      <c r="B31">
        <v>2.4</v>
      </c>
      <c r="C31" s="5"/>
    </row>
    <row r="32" spans="1:3" x14ac:dyDescent="0.25">
      <c r="A32" t="s">
        <v>19</v>
      </c>
      <c r="B32">
        <v>2.2999999999999998</v>
      </c>
    </row>
    <row r="33" spans="1:3" x14ac:dyDescent="0.25">
      <c r="A33" t="s">
        <v>20</v>
      </c>
      <c r="B33">
        <v>2.6</v>
      </c>
    </row>
    <row r="34" spans="1:3" x14ac:dyDescent="0.25">
      <c r="A34" t="s">
        <v>21</v>
      </c>
      <c r="B34">
        <v>3.3</v>
      </c>
    </row>
    <row r="35" spans="1:3" x14ac:dyDescent="0.25">
      <c r="A35" t="s">
        <v>22</v>
      </c>
      <c r="B35">
        <v>3.5</v>
      </c>
    </row>
    <row r="36" spans="1:3" x14ac:dyDescent="0.25">
      <c r="A36" t="s">
        <v>23</v>
      </c>
      <c r="B36" s="5">
        <v>2.4</v>
      </c>
      <c r="C36" s="5"/>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6"/>
  <sheetViews>
    <sheetView zoomScale="85" zoomScaleNormal="85" workbookViewId="0">
      <selection activeCell="S11" sqref="S11"/>
    </sheetView>
  </sheetViews>
  <sheetFormatPr defaultRowHeight="15" x14ac:dyDescent="0.25"/>
  <sheetData>
    <row r="1" spans="1:3" x14ac:dyDescent="0.25">
      <c r="A1" t="s">
        <v>71</v>
      </c>
    </row>
    <row r="2" spans="1:3" x14ac:dyDescent="0.25">
      <c r="A2" t="s">
        <v>26</v>
      </c>
      <c r="B2" t="s">
        <v>80</v>
      </c>
      <c r="C2" t="s">
        <v>79</v>
      </c>
    </row>
    <row r="3" spans="1:3" x14ac:dyDescent="0.25">
      <c r="A3" t="s">
        <v>5</v>
      </c>
      <c r="B3">
        <v>15324</v>
      </c>
      <c r="C3">
        <v>14683</v>
      </c>
    </row>
    <row r="4" spans="1:3" x14ac:dyDescent="0.25">
      <c r="A4" t="s">
        <v>7</v>
      </c>
      <c r="B4">
        <v>12328.25</v>
      </c>
      <c r="C4">
        <v>12126.25</v>
      </c>
    </row>
    <row r="5" spans="1:3" x14ac:dyDescent="0.25">
      <c r="A5" t="s">
        <v>10</v>
      </c>
      <c r="B5">
        <v>16973.75</v>
      </c>
      <c r="C5">
        <v>16466.5</v>
      </c>
    </row>
    <row r="6" spans="1:3" x14ac:dyDescent="0.25">
      <c r="A6" t="s">
        <v>11</v>
      </c>
      <c r="B6">
        <v>10784.5</v>
      </c>
      <c r="C6">
        <v>10491</v>
      </c>
    </row>
    <row r="7" spans="1:3" x14ac:dyDescent="0.25">
      <c r="A7" t="s">
        <v>12</v>
      </c>
      <c r="B7">
        <v>11388.75</v>
      </c>
      <c r="C7">
        <v>11075.5</v>
      </c>
    </row>
    <row r="8" spans="1:3" x14ac:dyDescent="0.25">
      <c r="A8" t="s">
        <v>13</v>
      </c>
      <c r="B8">
        <v>14188.5</v>
      </c>
      <c r="C8">
        <v>14200.5</v>
      </c>
    </row>
    <row r="9" spans="1:3" x14ac:dyDescent="0.25">
      <c r="A9" t="s">
        <v>14</v>
      </c>
      <c r="B9">
        <v>10872.75</v>
      </c>
      <c r="C9">
        <v>10657.5</v>
      </c>
    </row>
    <row r="10" spans="1:3" x14ac:dyDescent="0.25">
      <c r="A10" t="s">
        <v>15</v>
      </c>
      <c r="B10">
        <v>9100.25</v>
      </c>
      <c r="C10">
        <v>8591</v>
      </c>
    </row>
    <row r="11" spans="1:3" x14ac:dyDescent="0.25">
      <c r="A11" t="s">
        <v>16</v>
      </c>
      <c r="B11">
        <v>9979.75</v>
      </c>
      <c r="C11">
        <v>9832.75</v>
      </c>
    </row>
    <row r="12" spans="1:3" x14ac:dyDescent="0.25">
      <c r="A12" t="s">
        <v>17</v>
      </c>
      <c r="B12">
        <v>18309.25</v>
      </c>
      <c r="C12">
        <v>16520.5</v>
      </c>
    </row>
    <row r="13" spans="1:3" x14ac:dyDescent="0.25">
      <c r="A13" t="s">
        <v>18</v>
      </c>
      <c r="B13">
        <v>10248.5</v>
      </c>
      <c r="C13">
        <v>10076.25</v>
      </c>
    </row>
    <row r="14" spans="1:3" x14ac:dyDescent="0.25">
      <c r="A14" t="s">
        <v>19</v>
      </c>
      <c r="B14">
        <v>10411.75</v>
      </c>
      <c r="C14">
        <v>9945.75</v>
      </c>
    </row>
    <row r="15" spans="1:3" x14ac:dyDescent="0.25">
      <c r="A15" t="s">
        <v>20</v>
      </c>
      <c r="B15">
        <v>10704.5</v>
      </c>
      <c r="C15">
        <v>10470.25</v>
      </c>
    </row>
    <row r="16" spans="1:3" x14ac:dyDescent="0.25">
      <c r="A16" t="s">
        <v>21</v>
      </c>
      <c r="B16">
        <v>13863.5</v>
      </c>
      <c r="C16">
        <v>13815.25</v>
      </c>
    </row>
    <row r="17" spans="1:3" x14ac:dyDescent="0.25">
      <c r="A17" t="s">
        <v>22</v>
      </c>
      <c r="B17">
        <v>16590.5</v>
      </c>
      <c r="C17">
        <v>16545.75</v>
      </c>
    </row>
    <row r="18" spans="1:3" x14ac:dyDescent="0.25">
      <c r="A18" t="s">
        <v>23</v>
      </c>
      <c r="B18">
        <v>13300.25</v>
      </c>
      <c r="C18">
        <v>13034.75</v>
      </c>
    </row>
    <row r="20" spans="1:3" x14ac:dyDescent="0.25">
      <c r="A20" t="s">
        <v>25</v>
      </c>
    </row>
    <row r="21" spans="1:3" x14ac:dyDescent="0.25">
      <c r="A21" t="s">
        <v>5</v>
      </c>
      <c r="B21">
        <v>15130.25</v>
      </c>
      <c r="C21">
        <v>15054.75</v>
      </c>
    </row>
    <row r="22" spans="1:3" x14ac:dyDescent="0.25">
      <c r="A22" t="s">
        <v>7</v>
      </c>
      <c r="B22">
        <v>12283.5</v>
      </c>
      <c r="C22">
        <v>12154.75</v>
      </c>
    </row>
    <row r="23" spans="1:3" x14ac:dyDescent="0.25">
      <c r="A23" t="s">
        <v>10</v>
      </c>
      <c r="B23">
        <v>17098.75</v>
      </c>
      <c r="C23">
        <v>17326</v>
      </c>
    </row>
    <row r="24" spans="1:3" x14ac:dyDescent="0.25">
      <c r="A24" t="s">
        <v>11</v>
      </c>
      <c r="B24">
        <v>10870</v>
      </c>
      <c r="C24">
        <v>10949</v>
      </c>
    </row>
    <row r="25" spans="1:3" x14ac:dyDescent="0.25">
      <c r="A25" t="s">
        <v>12</v>
      </c>
      <c r="B25">
        <v>11590.25</v>
      </c>
      <c r="C25">
        <v>11672.25</v>
      </c>
    </row>
    <row r="26" spans="1:3" x14ac:dyDescent="0.25">
      <c r="A26" t="s">
        <v>13</v>
      </c>
      <c r="B26">
        <v>14240</v>
      </c>
      <c r="C26">
        <v>14085</v>
      </c>
    </row>
    <row r="27" spans="1:3" x14ac:dyDescent="0.25">
      <c r="A27" t="s">
        <v>14</v>
      </c>
      <c r="B27">
        <v>10834.75</v>
      </c>
      <c r="C27">
        <v>10771.75</v>
      </c>
    </row>
    <row r="28" spans="1:3" x14ac:dyDescent="0.25">
      <c r="A28" t="s">
        <v>15</v>
      </c>
      <c r="B28">
        <v>9271</v>
      </c>
      <c r="C28">
        <v>9103.25</v>
      </c>
    </row>
    <row r="29" spans="1:3" x14ac:dyDescent="0.25">
      <c r="A29" t="s">
        <v>16</v>
      </c>
      <c r="B29">
        <v>9930.5</v>
      </c>
      <c r="C29">
        <v>10193.75</v>
      </c>
    </row>
    <row r="30" spans="1:3" x14ac:dyDescent="0.25">
      <c r="A30" t="s">
        <v>17</v>
      </c>
      <c r="B30">
        <v>17295.25</v>
      </c>
      <c r="C30">
        <v>17222.5</v>
      </c>
    </row>
    <row r="31" spans="1:3" x14ac:dyDescent="0.25">
      <c r="A31" t="s">
        <v>18</v>
      </c>
      <c r="B31">
        <v>10493.5</v>
      </c>
      <c r="C31">
        <v>10153.5</v>
      </c>
    </row>
    <row r="32" spans="1:3" x14ac:dyDescent="0.25">
      <c r="A32" t="s">
        <v>19</v>
      </c>
      <c r="B32">
        <v>10307.25</v>
      </c>
      <c r="C32">
        <v>10154.5</v>
      </c>
    </row>
    <row r="33" spans="1:3" x14ac:dyDescent="0.25">
      <c r="A33" t="s">
        <v>20</v>
      </c>
      <c r="B33">
        <v>10073.5</v>
      </c>
      <c r="C33">
        <v>10440.75</v>
      </c>
    </row>
    <row r="34" spans="1:3" x14ac:dyDescent="0.25">
      <c r="A34" t="s">
        <v>21</v>
      </c>
      <c r="B34">
        <v>14090.75</v>
      </c>
      <c r="C34">
        <v>13643.5</v>
      </c>
    </row>
    <row r="35" spans="1:3" x14ac:dyDescent="0.25">
      <c r="A35" t="s">
        <v>22</v>
      </c>
      <c r="B35">
        <v>16149.75</v>
      </c>
      <c r="C35">
        <v>16768.5</v>
      </c>
    </row>
    <row r="36" spans="1:3" x14ac:dyDescent="0.25">
      <c r="A36" t="s">
        <v>23</v>
      </c>
      <c r="B36">
        <v>13256</v>
      </c>
      <c r="C36">
        <v>13309.25</v>
      </c>
    </row>
  </sheetData>
  <sortState ref="X4:X20">
    <sortCondition ref="X4"/>
  </sortState>
  <pageMargins left="0.7" right="0.7" top="0.75" bottom="0.75" header="0.3" footer="0.3"/>
  <pageSetup paperSize="9" orientation="portrait" verticalDpi="0"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7"/>
  <sheetViews>
    <sheetView zoomScaleNormal="100" workbookViewId="0">
      <selection activeCell="G13" sqref="G13"/>
    </sheetView>
  </sheetViews>
  <sheetFormatPr defaultRowHeight="15" x14ac:dyDescent="0.25"/>
  <sheetData>
    <row r="1" spans="1:4" x14ac:dyDescent="0.25">
      <c r="A1" t="s">
        <v>26</v>
      </c>
      <c r="D1" t="s">
        <v>91</v>
      </c>
    </row>
    <row r="2" spans="1:4" x14ac:dyDescent="0.25">
      <c r="A2" t="s">
        <v>5</v>
      </c>
      <c r="B2">
        <v>749.05517762660611</v>
      </c>
      <c r="C2">
        <v>769.23076923076928</v>
      </c>
    </row>
    <row r="3" spans="1:4" x14ac:dyDescent="0.25">
      <c r="A3" t="s">
        <v>11</v>
      </c>
      <c r="B3">
        <v>767.87807737397418</v>
      </c>
      <c r="C3">
        <v>786.89344672336165</v>
      </c>
    </row>
    <row r="4" spans="1:4" x14ac:dyDescent="0.25">
      <c r="A4" t="s">
        <v>17</v>
      </c>
      <c r="B4">
        <v>739.40345368916792</v>
      </c>
      <c r="C4">
        <v>764.85243388271363</v>
      </c>
    </row>
    <row r="5" spans="1:4" x14ac:dyDescent="0.25">
      <c r="A5" t="s">
        <v>20</v>
      </c>
      <c r="B5">
        <v>774.34679334916871</v>
      </c>
    </row>
    <row r="6" spans="1:4" x14ac:dyDescent="0.25">
      <c r="A6" t="s">
        <v>21</v>
      </c>
      <c r="B6">
        <v>774.08207343412528</v>
      </c>
      <c r="C6">
        <v>804.89731437598732</v>
      </c>
    </row>
    <row r="7" spans="1:4" x14ac:dyDescent="0.25">
      <c r="A7" t="s">
        <v>22</v>
      </c>
      <c r="B7">
        <v>755.016332244517</v>
      </c>
      <c r="C7">
        <v>768.91969959560947</v>
      </c>
    </row>
    <row r="8" spans="1:4" x14ac:dyDescent="0.25">
      <c r="A8" t="s">
        <v>23</v>
      </c>
      <c r="B8">
        <v>763.4408602150537</v>
      </c>
      <c r="C8">
        <v>776.84964200477327</v>
      </c>
    </row>
    <row r="10" spans="1:4" x14ac:dyDescent="0.25">
      <c r="A10" t="s">
        <v>25</v>
      </c>
      <c r="B10" t="s">
        <v>74</v>
      </c>
      <c r="C10" t="s">
        <v>78</v>
      </c>
    </row>
    <row r="11" spans="1:4" x14ac:dyDescent="0.25">
      <c r="A11" t="s">
        <v>5</v>
      </c>
      <c r="B11">
        <v>757.30994152046787</v>
      </c>
      <c r="C11">
        <v>751.66112956810628</v>
      </c>
    </row>
    <row r="12" spans="1:4" x14ac:dyDescent="0.25">
      <c r="A12" t="s">
        <v>11</v>
      </c>
      <c r="B12">
        <v>778.32512315270935</v>
      </c>
      <c r="C12">
        <v>780.51282051282044</v>
      </c>
    </row>
    <row r="13" spans="1:4" x14ac:dyDescent="0.25">
      <c r="A13" t="s">
        <v>17</v>
      </c>
      <c r="B13">
        <v>760.35302104548543</v>
      </c>
      <c r="C13">
        <v>788.81469115191999</v>
      </c>
    </row>
    <row r="14" spans="1:4" x14ac:dyDescent="0.25">
      <c r="A14" t="s">
        <v>20</v>
      </c>
      <c r="B14">
        <v>765.98110061145076</v>
      </c>
    </row>
    <row r="15" spans="1:4" x14ac:dyDescent="0.25">
      <c r="A15" t="s">
        <v>21</v>
      </c>
      <c r="B15">
        <v>800.77964710709898</v>
      </c>
      <c r="C15">
        <v>811.43667296786396</v>
      </c>
    </row>
    <row r="16" spans="1:4" x14ac:dyDescent="0.25">
      <c r="A16" t="s">
        <v>22</v>
      </c>
      <c r="B16">
        <v>751.65658311725736</v>
      </c>
      <c r="C16">
        <v>768.63905325443784</v>
      </c>
    </row>
    <row r="17" spans="1:3" x14ac:dyDescent="0.25">
      <c r="A17" t="s">
        <v>23</v>
      </c>
      <c r="B17">
        <v>786.88946015424165</v>
      </c>
      <c r="C17">
        <v>780.23655093475782</v>
      </c>
    </row>
  </sheetData>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35"/>
  <sheetViews>
    <sheetView workbookViewId="0">
      <selection activeCell="N28" sqref="N28"/>
    </sheetView>
  </sheetViews>
  <sheetFormatPr defaultRowHeight="15" x14ac:dyDescent="0.25"/>
  <sheetData>
    <row r="1" spans="1:12" x14ac:dyDescent="0.25">
      <c r="A1" t="s">
        <v>70</v>
      </c>
    </row>
    <row r="2" spans="1:12" x14ac:dyDescent="0.25">
      <c r="A2" s="1" t="s">
        <v>69</v>
      </c>
    </row>
    <row r="3" spans="1:12" x14ac:dyDescent="0.25">
      <c r="A3" t="s">
        <v>26</v>
      </c>
      <c r="B3" t="s">
        <v>67</v>
      </c>
      <c r="C3" t="s">
        <v>68</v>
      </c>
      <c r="D3">
        <v>0</v>
      </c>
      <c r="E3">
        <v>15</v>
      </c>
      <c r="F3">
        <v>30</v>
      </c>
      <c r="G3">
        <v>45</v>
      </c>
      <c r="H3">
        <v>60</v>
      </c>
      <c r="I3">
        <v>75</v>
      </c>
      <c r="J3">
        <v>90</v>
      </c>
      <c r="K3">
        <v>105</v>
      </c>
      <c r="L3">
        <v>120</v>
      </c>
    </row>
    <row r="4" spans="1:12" x14ac:dyDescent="0.25">
      <c r="A4" t="s">
        <v>5</v>
      </c>
      <c r="B4">
        <v>0</v>
      </c>
      <c r="D4">
        <v>7.1166544387380748</v>
      </c>
      <c r="E4">
        <v>7.5441152663104969</v>
      </c>
      <c r="F4">
        <v>8.901932012717042</v>
      </c>
      <c r="G4">
        <v>9.2615562722236042</v>
      </c>
      <c r="H4">
        <v>9.6798029556650356</v>
      </c>
      <c r="I4">
        <v>10.734416445623356</v>
      </c>
      <c r="J4">
        <v>11.001246364769397</v>
      </c>
      <c r="K4">
        <v>10.542342194058122</v>
      </c>
      <c r="L4">
        <v>11.94462864721485</v>
      </c>
    </row>
    <row r="5" spans="1:12" x14ac:dyDescent="0.25">
      <c r="A5" t="s">
        <v>7</v>
      </c>
      <c r="B5">
        <v>0</v>
      </c>
      <c r="D5">
        <v>-3.171679967260093</v>
      </c>
      <c r="E5">
        <v>-2.4490805640306772</v>
      </c>
      <c r="F5">
        <v>-3.8836529086772842</v>
      </c>
      <c r="G5">
        <v>-6.6822599508004927</v>
      </c>
      <c r="H5">
        <v>-6.1580029842319632</v>
      </c>
      <c r="I5">
        <v>-2.0833900334757711</v>
      </c>
      <c r="J5" s="13"/>
      <c r="K5">
        <v>-0.51156128504195464</v>
      </c>
      <c r="L5">
        <v>-9.0006973126642791</v>
      </c>
    </row>
    <row r="6" spans="1:12" x14ac:dyDescent="0.25">
      <c r="A6" t="s">
        <v>10</v>
      </c>
      <c r="B6">
        <v>0</v>
      </c>
      <c r="D6">
        <v>2.3121387283237036</v>
      </c>
      <c r="E6">
        <v>10.612716763005789</v>
      </c>
      <c r="F6">
        <v>3.9084331814875735</v>
      </c>
      <c r="G6">
        <v>5.6999578915132325</v>
      </c>
      <c r="H6">
        <v>5.436615729237757</v>
      </c>
      <c r="I6">
        <v>3.4876052294681514</v>
      </c>
      <c r="J6">
        <v>6.8796449215524493</v>
      </c>
      <c r="K6">
        <v>4.6011560693641664</v>
      </c>
      <c r="L6">
        <v>5.5090244190161535</v>
      </c>
    </row>
    <row r="7" spans="1:12" x14ac:dyDescent="0.25">
      <c r="A7" t="s">
        <v>11</v>
      </c>
      <c r="B7">
        <v>0</v>
      </c>
      <c r="C7">
        <v>10.985586287495144</v>
      </c>
      <c r="D7">
        <v>6.5023847376788648</v>
      </c>
      <c r="E7">
        <v>7.1144674085850612</v>
      </c>
      <c r="F7">
        <v>7.003553099091989</v>
      </c>
      <c r="G7">
        <v>9.0756302521008578</v>
      </c>
      <c r="H7">
        <v>13.777089783281763</v>
      </c>
      <c r="I7">
        <v>9.4521469915197169</v>
      </c>
      <c r="J7">
        <v>6.3955783655744334</v>
      </c>
      <c r="K7">
        <v>6.6571018651363003</v>
      </c>
      <c r="L7">
        <v>8.8288528080915754</v>
      </c>
    </row>
    <row r="8" spans="1:12" x14ac:dyDescent="0.25">
      <c r="A8" t="s">
        <v>12</v>
      </c>
      <c r="B8">
        <v>0</v>
      </c>
      <c r="D8">
        <v>-5.9640453267426563E-2</v>
      </c>
      <c r="E8">
        <v>0.82386113313949372</v>
      </c>
      <c r="F8">
        <v>2.0618556701031077</v>
      </c>
      <c r="G8">
        <v>0.31720856463126595</v>
      </c>
      <c r="H8">
        <v>-0.44277028813108665</v>
      </c>
      <c r="I8">
        <v>6.9036919552383589</v>
      </c>
      <c r="J8">
        <v>5.4953695614188582</v>
      </c>
      <c r="K8">
        <v>0.47178053468460757</v>
      </c>
      <c r="L8">
        <v>4.2481336651262289</v>
      </c>
    </row>
    <row r="9" spans="1:12" x14ac:dyDescent="0.25">
      <c r="A9" t="s">
        <v>13</v>
      </c>
      <c r="B9">
        <v>0</v>
      </c>
      <c r="D9">
        <v>-1.0700909577314277</v>
      </c>
      <c r="E9">
        <v>-0.41125541125542298</v>
      </c>
      <c r="F9">
        <v>2.3809523809523876</v>
      </c>
      <c r="G9">
        <v>2.3809523809523876</v>
      </c>
      <c r="H9">
        <v>2.4600110314396164</v>
      </c>
      <c r="I9">
        <v>1.8359587180879902</v>
      </c>
      <c r="J9">
        <v>-0.14981273408240878</v>
      </c>
      <c r="K9">
        <v>0.43454644215099081</v>
      </c>
      <c r="L9">
        <v>0.60377358490565514</v>
      </c>
    </row>
    <row r="10" spans="1:12" x14ac:dyDescent="0.25">
      <c r="A10" t="s">
        <v>14</v>
      </c>
      <c r="B10">
        <v>0</v>
      </c>
      <c r="D10">
        <v>0.20506108202445089</v>
      </c>
      <c r="E10">
        <v>-0.71936321457456209</v>
      </c>
      <c r="F10">
        <v>1.5706806282722401</v>
      </c>
      <c r="G10">
        <v>4.0154405892270768</v>
      </c>
      <c r="H10">
        <v>2.9594462685242893</v>
      </c>
      <c r="I10">
        <v>2.9594462685242893</v>
      </c>
      <c r="J10">
        <v>2.9594462685242893</v>
      </c>
      <c r="K10">
        <v>0.52356020942408754</v>
      </c>
      <c r="L10">
        <v>-0.52356020942407633</v>
      </c>
    </row>
    <row r="11" spans="1:12" x14ac:dyDescent="0.25">
      <c r="A11" t="s">
        <v>16</v>
      </c>
      <c r="B11">
        <v>0</v>
      </c>
      <c r="D11">
        <v>-1.4107985038217843</v>
      </c>
      <c r="E11">
        <v>-0.43604651162791935</v>
      </c>
      <c r="F11">
        <v>4.8644805086163645</v>
      </c>
      <c r="G11">
        <v>7.5581395348837122</v>
      </c>
      <c r="H11">
        <v>7.1776675786593733</v>
      </c>
      <c r="I11">
        <v>6.5835703530199092</v>
      </c>
      <c r="J11">
        <v>4.8644805086163645</v>
      </c>
      <c r="K11">
        <v>6.5835703530199092</v>
      </c>
      <c r="L11">
        <v>6.49014155712839</v>
      </c>
    </row>
    <row r="12" spans="1:12" x14ac:dyDescent="0.25">
      <c r="A12" t="s">
        <v>17</v>
      </c>
      <c r="B12">
        <v>0</v>
      </c>
      <c r="C12">
        <v>-9.5325850226168516</v>
      </c>
      <c r="D12">
        <v>-3.4640407947951446</v>
      </c>
      <c r="E12">
        <v>-1.1416709911779903</v>
      </c>
      <c r="F12">
        <v>0.97663062434602443</v>
      </c>
      <c r="G12">
        <v>2.9858752011442884</v>
      </c>
      <c r="H12">
        <v>2.2358456545257934</v>
      </c>
      <c r="I12">
        <v>2.9858752011442884</v>
      </c>
      <c r="J12">
        <v>-1.1161492849668431</v>
      </c>
      <c r="K12">
        <v>-1.1161492849668431</v>
      </c>
      <c r="L12">
        <v>-3.4769071094966284</v>
      </c>
    </row>
    <row r="13" spans="1:12" x14ac:dyDescent="0.25">
      <c r="A13" t="s">
        <v>18</v>
      </c>
      <c r="B13">
        <v>0</v>
      </c>
      <c r="D13">
        <v>3.278688524590164</v>
      </c>
      <c r="E13">
        <v>11.540983606557365</v>
      </c>
      <c r="F13">
        <v>9.2035626694204247</v>
      </c>
      <c r="G13">
        <v>12.412177985948475</v>
      </c>
      <c r="H13">
        <v>12.997658079625296</v>
      </c>
    </row>
    <row r="14" spans="1:12" x14ac:dyDescent="0.25">
      <c r="A14" t="s">
        <v>19</v>
      </c>
      <c r="B14">
        <v>0</v>
      </c>
      <c r="D14">
        <v>14.736887397272067</v>
      </c>
      <c r="E14">
        <v>10.714754098360659</v>
      </c>
      <c r="F14">
        <v>14.300946288151398</v>
      </c>
      <c r="G14">
        <v>15.237839290513314</v>
      </c>
      <c r="H14">
        <v>16.190218127624991</v>
      </c>
      <c r="I14">
        <v>15.237839290513314</v>
      </c>
      <c r="J14">
        <v>17.400532899787752</v>
      </c>
      <c r="K14">
        <v>14.300946288151398</v>
      </c>
      <c r="L14">
        <v>15.237839290513314</v>
      </c>
    </row>
    <row r="15" spans="1:12" x14ac:dyDescent="0.25">
      <c r="A15" t="s">
        <v>20</v>
      </c>
      <c r="B15">
        <v>0</v>
      </c>
      <c r="C15">
        <v>-0.24154589371981672</v>
      </c>
      <c r="D15">
        <v>6.2189054726368074</v>
      </c>
      <c r="E15">
        <v>5.5961070559610828</v>
      </c>
      <c r="F15">
        <v>5.2287581699346575</v>
      </c>
      <c r="G15">
        <v>9.2320261437908613</v>
      </c>
      <c r="H15">
        <v>11.95286195286196</v>
      </c>
      <c r="I15">
        <v>9.5959595959595845</v>
      </c>
      <c r="J15">
        <v>14.871794871794867</v>
      </c>
      <c r="K15">
        <v>10.526315789473676</v>
      </c>
      <c r="L15">
        <v>13.953488372093023</v>
      </c>
    </row>
    <row r="16" spans="1:12" x14ac:dyDescent="0.25">
      <c r="A16" t="s">
        <v>21</v>
      </c>
      <c r="B16">
        <v>0</v>
      </c>
      <c r="C16">
        <v>3.3689295703025506</v>
      </c>
      <c r="D16">
        <v>1.9088213491475221</v>
      </c>
      <c r="E16">
        <v>1.4844804318488414</v>
      </c>
      <c r="F16">
        <v>1.0934871425138126</v>
      </c>
      <c r="G16">
        <v>3.6508524833209819</v>
      </c>
      <c r="H16">
        <v>2.3391812865497243</v>
      </c>
      <c r="I16">
        <v>4.2481203007518786</v>
      </c>
      <c r="J16">
        <v>4.5218680504077051</v>
      </c>
      <c r="K16">
        <v>4.837092731829566</v>
      </c>
      <c r="L16">
        <v>5.4260651629072534</v>
      </c>
    </row>
    <row r="17" spans="1:12" x14ac:dyDescent="0.25">
      <c r="A17" t="s">
        <v>22</v>
      </c>
      <c r="B17">
        <v>0</v>
      </c>
      <c r="C17">
        <v>3.0370870997718837</v>
      </c>
      <c r="D17">
        <v>4.076109243008279</v>
      </c>
      <c r="E17">
        <v>2.7479237909135192</v>
      </c>
      <c r="F17">
        <v>5.0439667806545927</v>
      </c>
      <c r="G17">
        <v>6.5887309980171924</v>
      </c>
      <c r="H17">
        <v>10.083443489755442</v>
      </c>
      <c r="I17">
        <v>4.076109243008279</v>
      </c>
      <c r="J17">
        <v>6.3889116706306908</v>
      </c>
      <c r="K17">
        <v>5.0439667806545927</v>
      </c>
      <c r="L17">
        <v>9.5009914077990665</v>
      </c>
    </row>
    <row r="18" spans="1:12" x14ac:dyDescent="0.25">
      <c r="A18" t="s">
        <v>23</v>
      </c>
      <c r="B18">
        <v>0</v>
      </c>
      <c r="C18">
        <v>11.087600507829032</v>
      </c>
      <c r="D18">
        <v>10.997442455242956</v>
      </c>
      <c r="E18">
        <v>9.1026191498497244</v>
      </c>
      <c r="F18" s="13"/>
      <c r="G18">
        <v>13.696224758560122</v>
      </c>
      <c r="H18">
        <v>11.633986928104568</v>
      </c>
      <c r="I18">
        <v>13.696224758560122</v>
      </c>
      <c r="J18">
        <v>13.696224758560122</v>
      </c>
      <c r="K18">
        <v>16.40866873065016</v>
      </c>
      <c r="L18">
        <v>17.290552584670234</v>
      </c>
    </row>
    <row r="20" spans="1:12" x14ac:dyDescent="0.25">
      <c r="A20" t="s">
        <v>25</v>
      </c>
    </row>
    <row r="21" spans="1:12" x14ac:dyDescent="0.25">
      <c r="A21" t="s">
        <v>5</v>
      </c>
      <c r="B21">
        <v>0</v>
      </c>
      <c r="D21">
        <v>22.105263157894729</v>
      </c>
      <c r="E21">
        <v>7.7399380804953717</v>
      </c>
      <c r="F21">
        <v>10.070850202429158</v>
      </c>
      <c r="G21">
        <v>12.175015852885213</v>
      </c>
      <c r="H21">
        <v>20.100436966021007</v>
      </c>
      <c r="I21" s="13"/>
      <c r="J21">
        <v>10.602593440122027</v>
      </c>
      <c r="K21">
        <v>8.4971464806594668</v>
      </c>
      <c r="L21">
        <v>15.297235895494104</v>
      </c>
    </row>
    <row r="22" spans="1:12" x14ac:dyDescent="0.25">
      <c r="A22" t="s">
        <v>7</v>
      </c>
      <c r="B22">
        <v>0</v>
      </c>
      <c r="D22">
        <v>-14.811170816619995</v>
      </c>
      <c r="E22">
        <v>-6.3749401581119924</v>
      </c>
      <c r="F22">
        <v>-4.3590895873535995</v>
      </c>
      <c r="G22">
        <v>-0.38186545336366012</v>
      </c>
      <c r="H22">
        <v>-1.4095135426492404</v>
      </c>
      <c r="I22">
        <v>-2.4929254817409991</v>
      </c>
      <c r="J22">
        <v>-3.5272089558142885</v>
      </c>
      <c r="K22">
        <v>-1.5322646490487997</v>
      </c>
      <c r="L22">
        <v>-1.8881081371024047</v>
      </c>
    </row>
    <row r="23" spans="1:12" x14ac:dyDescent="0.25">
      <c r="A23" t="s">
        <v>10</v>
      </c>
      <c r="B23">
        <v>0</v>
      </c>
      <c r="C23">
        <v>8.9751784382656812</v>
      </c>
      <c r="D23">
        <v>17.108506398153978</v>
      </c>
      <c r="E23">
        <v>16.312420986093557</v>
      </c>
      <c r="F23">
        <v>15.292136591478695</v>
      </c>
      <c r="G23">
        <v>10.897535870243289</v>
      </c>
      <c r="H23">
        <v>13.090028133791801</v>
      </c>
      <c r="I23">
        <v>10.655929038281974</v>
      </c>
      <c r="J23">
        <v>12.194583073404022</v>
      </c>
      <c r="K23">
        <v>12.230494803784683</v>
      </c>
      <c r="L23">
        <v>16.16931216931215</v>
      </c>
    </row>
    <row r="24" spans="1:12" x14ac:dyDescent="0.25">
      <c r="A24" t="s">
        <v>11</v>
      </c>
      <c r="B24">
        <v>0</v>
      </c>
      <c r="C24">
        <v>-3.913432073544429</v>
      </c>
      <c r="D24">
        <v>1.737579281183937</v>
      </c>
      <c r="E24">
        <v>-4.0375538682536201</v>
      </c>
      <c r="F24">
        <v>-0.91116173120728439</v>
      </c>
      <c r="G24">
        <v>1.2390784272935222</v>
      </c>
      <c r="H24">
        <v>-1.1363636363636445</v>
      </c>
      <c r="I24">
        <v>-2.5836916461916548</v>
      </c>
      <c r="J24">
        <v>-1.5888287913459642</v>
      </c>
      <c r="K24">
        <v>-1.2492216687422175</v>
      </c>
      <c r="L24">
        <v>-3.8511545662575268</v>
      </c>
    </row>
    <row r="25" spans="1:12" x14ac:dyDescent="0.25">
      <c r="A25" t="s">
        <v>12</v>
      </c>
      <c r="B25">
        <v>0</v>
      </c>
      <c r="D25">
        <v>0.26583961010189616</v>
      </c>
      <c r="E25">
        <v>5.2252252252252243</v>
      </c>
      <c r="F25">
        <v>3.8406827880512147</v>
      </c>
      <c r="G25">
        <v>4.3555952646861833</v>
      </c>
      <c r="H25">
        <v>2.7250390886754681</v>
      </c>
      <c r="I25">
        <v>5.2252252252252243</v>
      </c>
      <c r="J25">
        <v>6.9152951834516214</v>
      </c>
      <c r="K25">
        <v>8.0701488004858692</v>
      </c>
      <c r="L25">
        <v>5.2991193440631514</v>
      </c>
    </row>
    <row r="26" spans="1:12" x14ac:dyDescent="0.25">
      <c r="A26" t="s">
        <v>13</v>
      </c>
      <c r="B26">
        <v>0</v>
      </c>
      <c r="D26">
        <v>4.0449681897050356</v>
      </c>
      <c r="E26">
        <v>2.7859500574052736</v>
      </c>
      <c r="F26">
        <v>2.4038461538461608</v>
      </c>
      <c r="G26">
        <v>3.5569826852114725</v>
      </c>
      <c r="H26">
        <v>4.2336394948335485</v>
      </c>
      <c r="I26">
        <v>2.7859500574053144</v>
      </c>
      <c r="J26">
        <v>1.2743919683257807</v>
      </c>
      <c r="K26">
        <v>3.1709161624892004</v>
      </c>
      <c r="L26">
        <v>2.7859500574053144</v>
      </c>
    </row>
    <row r="27" spans="1:12" x14ac:dyDescent="0.25">
      <c r="A27" t="s">
        <v>14</v>
      </c>
      <c r="B27">
        <v>0</v>
      </c>
      <c r="C27">
        <v>-3.4838709677419297</v>
      </c>
      <c r="D27">
        <v>-1.9354838709677464</v>
      </c>
      <c r="E27">
        <v>-1.6897081413210384</v>
      </c>
      <c r="F27">
        <v>0.41623309053069679</v>
      </c>
      <c r="G27">
        <v>9.396914446002798</v>
      </c>
      <c r="H27">
        <v>22.074636306135361</v>
      </c>
      <c r="I27">
        <v>21.442125237191657</v>
      </c>
      <c r="J27">
        <v>7.5268817204301381</v>
      </c>
      <c r="K27">
        <v>5.5221432476763486</v>
      </c>
      <c r="L27">
        <v>7.7138849929873743</v>
      </c>
    </row>
    <row r="28" spans="1:12" x14ac:dyDescent="0.25">
      <c r="A28" t="s">
        <v>16</v>
      </c>
      <c r="B28">
        <v>0</v>
      </c>
      <c r="D28">
        <v>-0.77378602447689782</v>
      </c>
      <c r="E28">
        <v>2.2809123649459742</v>
      </c>
      <c r="F28">
        <v>5.2941176470588234</v>
      </c>
      <c r="G28">
        <v>1.3874239350912798</v>
      </c>
      <c r="H28">
        <v>8.4105131414267778</v>
      </c>
      <c r="I28">
        <v>9.2991239048810943</v>
      </c>
      <c r="J28">
        <v>4.8560700876095053</v>
      </c>
      <c r="K28">
        <v>9.1369686560755863</v>
      </c>
      <c r="L28">
        <v>7.3949579831932635</v>
      </c>
    </row>
    <row r="29" spans="1:12" x14ac:dyDescent="0.25">
      <c r="A29" t="s">
        <v>17</v>
      </c>
      <c r="B29">
        <v>0</v>
      </c>
      <c r="C29">
        <v>0.93539645073871669</v>
      </c>
      <c r="D29">
        <v>8.8346883468834747</v>
      </c>
      <c r="G29">
        <v>10.535230352303531</v>
      </c>
      <c r="H29">
        <v>9.7492655598824935</v>
      </c>
      <c r="I29">
        <v>9.7492655598824935</v>
      </c>
      <c r="J29">
        <v>8.2678410117434566</v>
      </c>
      <c r="K29">
        <v>9.4015356820234928</v>
      </c>
      <c r="L29">
        <v>4.0000895876727398</v>
      </c>
    </row>
    <row r="30" spans="1:12" x14ac:dyDescent="0.25">
      <c r="A30" t="s">
        <v>18</v>
      </c>
      <c r="B30">
        <v>0</v>
      </c>
      <c r="D30">
        <v>7.2940479214291685</v>
      </c>
      <c r="E30">
        <v>13.406724697047261</v>
      </c>
      <c r="F30">
        <v>10.189247311827941</v>
      </c>
      <c r="G30">
        <v>9.8993002218808464</v>
      </c>
      <c r="H30">
        <v>9.056430774360237</v>
      </c>
      <c r="I30">
        <v>11.956989247311817</v>
      </c>
      <c r="J30">
        <v>15.235865417967382</v>
      </c>
      <c r="K30">
        <v>17.728714965626672</v>
      </c>
      <c r="L30">
        <v>18.634320465362233</v>
      </c>
    </row>
    <row r="31" spans="1:12" x14ac:dyDescent="0.25">
      <c r="A31" t="s">
        <v>19</v>
      </c>
      <c r="B31">
        <v>0</v>
      </c>
      <c r="D31">
        <v>-7.4766355140186853</v>
      </c>
      <c r="E31">
        <v>-7.6941669352239801</v>
      </c>
      <c r="F31">
        <v>-7.6941669352239801</v>
      </c>
      <c r="G31">
        <v>-8.8785046728971899</v>
      </c>
      <c r="H31">
        <v>-5.7149946241005622</v>
      </c>
      <c r="I31">
        <v>-2.5764081838848005</v>
      </c>
      <c r="K31">
        <v>-1.9435944090645838</v>
      </c>
      <c r="L31">
        <v>-6.1864196509800466</v>
      </c>
    </row>
    <row r="32" spans="1:12" x14ac:dyDescent="0.25">
      <c r="A32" t="s">
        <v>20</v>
      </c>
      <c r="B32">
        <v>0</v>
      </c>
      <c r="C32">
        <v>12.050078247261336</v>
      </c>
      <c r="D32">
        <v>19.806763285024125</v>
      </c>
      <c r="E32">
        <v>21.095008051529753</v>
      </c>
      <c r="F32">
        <v>21.568627450980397</v>
      </c>
      <c r="G32">
        <v>25.373134328358216</v>
      </c>
      <c r="H32">
        <v>24.444444444444454</v>
      </c>
      <c r="I32">
        <v>22.222222222222204</v>
      </c>
      <c r="J32">
        <v>24.83660130718954</v>
      </c>
      <c r="K32">
        <v>24.046434494195672</v>
      </c>
      <c r="L32">
        <v>26.699834162520713</v>
      </c>
    </row>
    <row r="33" spans="1:12" x14ac:dyDescent="0.25">
      <c r="A33" t="s">
        <v>21</v>
      </c>
      <c r="B33">
        <v>0</v>
      </c>
      <c r="C33">
        <v>-1.0424648142920403</v>
      </c>
      <c r="D33">
        <v>1.576210594735123</v>
      </c>
      <c r="E33">
        <v>0.29842319635441683</v>
      </c>
      <c r="F33">
        <v>2.116509587260313</v>
      </c>
      <c r="G33">
        <v>2.7624309392265154</v>
      </c>
      <c r="H33">
        <v>3.5409342039176472</v>
      </c>
      <c r="I33">
        <v>4.4198895027624268</v>
      </c>
      <c r="J33">
        <v>8.0275418487671821</v>
      </c>
      <c r="K33">
        <v>4.4198895027624268</v>
      </c>
      <c r="L33">
        <v>4.6542775824543918</v>
      </c>
    </row>
    <row r="34" spans="1:12" x14ac:dyDescent="0.25">
      <c r="A34" t="s">
        <v>22</v>
      </c>
      <c r="B34">
        <v>0</v>
      </c>
      <c r="C34">
        <v>1.6574585635359116</v>
      </c>
      <c r="D34">
        <v>5.2050014539110148</v>
      </c>
      <c r="E34">
        <v>0.43467663308416615</v>
      </c>
      <c r="F34">
        <v>4.4198895027624268</v>
      </c>
      <c r="G34">
        <v>4.1948025373439677</v>
      </c>
      <c r="H34">
        <v>4.6483612345781502</v>
      </c>
      <c r="I34">
        <v>4.7431962349089245</v>
      </c>
      <c r="J34">
        <v>2.2099447513812076</v>
      </c>
      <c r="K34">
        <v>-0.38186545336366012</v>
      </c>
      <c r="L34">
        <v>2.7624309392265154</v>
      </c>
    </row>
    <row r="35" spans="1:12" x14ac:dyDescent="0.25">
      <c r="A35" t="s">
        <v>23</v>
      </c>
      <c r="B35">
        <v>0</v>
      </c>
      <c r="C35">
        <v>13.712284482758621</v>
      </c>
      <c r="D35">
        <v>11.370468611847944</v>
      </c>
      <c r="E35">
        <v>14.933820968303735</v>
      </c>
      <c r="F35">
        <v>8.5161964472309268</v>
      </c>
      <c r="G35">
        <v>17.92385057471266</v>
      </c>
      <c r="I35">
        <v>16.419719827586206</v>
      </c>
      <c r="J35">
        <v>15.517241379310345</v>
      </c>
      <c r="K35">
        <v>12.830793905372891</v>
      </c>
      <c r="L35">
        <v>16.426825957100206</v>
      </c>
    </row>
  </sheetData>
  <pageMargins left="0.7" right="0.7" top="0.75" bottom="0.75" header="0.3" footer="0.3"/>
  <drawing r:id="rId1"/>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N36"/>
  <sheetViews>
    <sheetView workbookViewId="0">
      <selection activeCell="M23" sqref="M23"/>
    </sheetView>
  </sheetViews>
  <sheetFormatPr defaultRowHeight="15" x14ac:dyDescent="0.25"/>
  <cols>
    <col min="16" max="16" width="12" bestFit="1" customWidth="1"/>
  </cols>
  <sheetData>
    <row r="1" spans="1:9" x14ac:dyDescent="0.25">
      <c r="B1" t="s">
        <v>67</v>
      </c>
      <c r="C1" t="s">
        <v>68</v>
      </c>
      <c r="D1">
        <v>0</v>
      </c>
      <c r="E1">
        <v>15</v>
      </c>
      <c r="F1">
        <v>30</v>
      </c>
      <c r="G1">
        <v>60</v>
      </c>
      <c r="H1">
        <v>90</v>
      </c>
      <c r="I1">
        <v>120</v>
      </c>
    </row>
    <row r="2" spans="1:9" x14ac:dyDescent="0.25">
      <c r="A2" t="s">
        <v>42</v>
      </c>
    </row>
    <row r="3" spans="1:9" x14ac:dyDescent="0.25">
      <c r="A3" t="s">
        <v>5</v>
      </c>
      <c r="B3">
        <v>288</v>
      </c>
      <c r="D3">
        <v>302</v>
      </c>
      <c r="E3">
        <v>303</v>
      </c>
      <c r="F3">
        <v>301</v>
      </c>
      <c r="G3">
        <v>301</v>
      </c>
      <c r="H3">
        <v>299</v>
      </c>
      <c r="I3">
        <v>300</v>
      </c>
    </row>
    <row r="4" spans="1:9" x14ac:dyDescent="0.25">
      <c r="A4" t="s">
        <v>7</v>
      </c>
      <c r="B4">
        <v>289</v>
      </c>
      <c r="D4">
        <v>293</v>
      </c>
      <c r="E4">
        <v>294</v>
      </c>
      <c r="F4">
        <v>295</v>
      </c>
      <c r="G4">
        <v>295</v>
      </c>
      <c r="H4">
        <v>292</v>
      </c>
      <c r="I4">
        <v>295</v>
      </c>
    </row>
    <row r="5" spans="1:9" x14ac:dyDescent="0.25">
      <c r="A5" t="s">
        <v>10</v>
      </c>
      <c r="B5">
        <v>290</v>
      </c>
      <c r="D5">
        <v>303</v>
      </c>
      <c r="E5">
        <v>300</v>
      </c>
      <c r="F5">
        <v>300</v>
      </c>
      <c r="G5">
        <v>301</v>
      </c>
      <c r="H5">
        <v>300</v>
      </c>
      <c r="I5">
        <v>300</v>
      </c>
    </row>
    <row r="6" spans="1:9" x14ac:dyDescent="0.25">
      <c r="A6" t="s">
        <v>11</v>
      </c>
      <c r="B6">
        <v>294</v>
      </c>
      <c r="C6">
        <v>305</v>
      </c>
      <c r="D6">
        <v>301</v>
      </c>
      <c r="E6">
        <v>300</v>
      </c>
      <c r="F6">
        <v>303</v>
      </c>
      <c r="G6">
        <v>302</v>
      </c>
      <c r="H6">
        <v>301</v>
      </c>
      <c r="I6">
        <v>301</v>
      </c>
    </row>
    <row r="7" spans="1:9" x14ac:dyDescent="0.25">
      <c r="A7" t="s">
        <v>12</v>
      </c>
      <c r="B7">
        <v>289</v>
      </c>
      <c r="D7">
        <v>299</v>
      </c>
      <c r="E7">
        <v>297</v>
      </c>
      <c r="F7">
        <v>297</v>
      </c>
      <c r="G7">
        <v>296</v>
      </c>
      <c r="H7">
        <v>295</v>
      </c>
      <c r="I7">
        <v>295</v>
      </c>
    </row>
    <row r="8" spans="1:9" x14ac:dyDescent="0.25">
      <c r="A8" t="s">
        <v>13</v>
      </c>
      <c r="B8">
        <v>290</v>
      </c>
      <c r="D8">
        <v>295</v>
      </c>
      <c r="E8">
        <v>293</v>
      </c>
      <c r="F8">
        <v>292</v>
      </c>
      <c r="G8">
        <v>293</v>
      </c>
      <c r="H8">
        <v>293</v>
      </c>
      <c r="I8">
        <v>294</v>
      </c>
    </row>
    <row r="9" spans="1:9" x14ac:dyDescent="0.25">
      <c r="A9" t="s">
        <v>14</v>
      </c>
      <c r="B9">
        <v>280</v>
      </c>
      <c r="D9">
        <v>287</v>
      </c>
      <c r="E9">
        <v>286</v>
      </c>
      <c r="F9">
        <v>284</v>
      </c>
      <c r="G9">
        <v>289</v>
      </c>
      <c r="H9">
        <v>283</v>
      </c>
      <c r="I9">
        <v>283</v>
      </c>
    </row>
    <row r="10" spans="1:9" x14ac:dyDescent="0.25">
      <c r="A10" t="s">
        <v>15</v>
      </c>
      <c r="B10">
        <v>288</v>
      </c>
      <c r="D10">
        <v>295</v>
      </c>
      <c r="E10">
        <v>299</v>
      </c>
      <c r="F10">
        <v>297</v>
      </c>
      <c r="G10">
        <v>301</v>
      </c>
      <c r="H10">
        <v>299</v>
      </c>
      <c r="I10">
        <v>296</v>
      </c>
    </row>
    <row r="11" spans="1:9" x14ac:dyDescent="0.25">
      <c r="A11" t="s">
        <v>16</v>
      </c>
      <c r="B11">
        <v>290</v>
      </c>
      <c r="D11">
        <v>293</v>
      </c>
      <c r="E11">
        <v>293</v>
      </c>
      <c r="F11">
        <v>296</v>
      </c>
      <c r="G11">
        <v>292</v>
      </c>
      <c r="H11">
        <v>291</v>
      </c>
      <c r="I11">
        <v>293</v>
      </c>
    </row>
    <row r="12" spans="1:9" x14ac:dyDescent="0.25">
      <c r="A12" t="s">
        <v>17</v>
      </c>
      <c r="B12">
        <v>296</v>
      </c>
      <c r="C12">
        <v>306</v>
      </c>
      <c r="D12">
        <v>306</v>
      </c>
      <c r="E12">
        <v>305</v>
      </c>
      <c r="F12">
        <v>304</v>
      </c>
      <c r="G12">
        <v>307</v>
      </c>
      <c r="H12">
        <v>303</v>
      </c>
      <c r="I12">
        <v>303</v>
      </c>
    </row>
    <row r="13" spans="1:9" x14ac:dyDescent="0.25">
      <c r="A13" t="s">
        <v>18</v>
      </c>
      <c r="B13">
        <v>276</v>
      </c>
      <c r="D13">
        <v>292</v>
      </c>
      <c r="E13">
        <v>288</v>
      </c>
      <c r="F13">
        <v>284</v>
      </c>
      <c r="G13">
        <v>284</v>
      </c>
      <c r="I13">
        <v>280</v>
      </c>
    </row>
    <row r="14" spans="1:9" x14ac:dyDescent="0.25">
      <c r="A14" t="s">
        <v>19</v>
      </c>
      <c r="B14">
        <v>276</v>
      </c>
      <c r="D14">
        <v>290</v>
      </c>
      <c r="E14">
        <v>291</v>
      </c>
      <c r="F14">
        <v>292</v>
      </c>
      <c r="G14">
        <v>293</v>
      </c>
      <c r="H14">
        <v>292</v>
      </c>
      <c r="I14">
        <v>293</v>
      </c>
    </row>
    <row r="15" spans="1:9" x14ac:dyDescent="0.25">
      <c r="A15" t="s">
        <v>20</v>
      </c>
      <c r="B15">
        <v>289</v>
      </c>
      <c r="C15">
        <v>298</v>
      </c>
      <c r="D15">
        <v>295</v>
      </c>
      <c r="E15">
        <v>296</v>
      </c>
      <c r="F15">
        <v>298</v>
      </c>
      <c r="G15">
        <v>297</v>
      </c>
      <c r="H15">
        <v>295</v>
      </c>
      <c r="I15">
        <v>294</v>
      </c>
    </row>
    <row r="16" spans="1:9" x14ac:dyDescent="0.25">
      <c r="A16" t="s">
        <v>21</v>
      </c>
      <c r="B16">
        <v>284</v>
      </c>
      <c r="C16">
        <v>291</v>
      </c>
      <c r="D16">
        <v>291</v>
      </c>
      <c r="E16">
        <v>291</v>
      </c>
      <c r="F16">
        <v>290</v>
      </c>
      <c r="G16">
        <v>289</v>
      </c>
      <c r="H16">
        <v>287</v>
      </c>
      <c r="I16">
        <v>288</v>
      </c>
    </row>
    <row r="17" spans="1:14" x14ac:dyDescent="0.25">
      <c r="A17" t="s">
        <v>22</v>
      </c>
      <c r="B17">
        <v>284</v>
      </c>
      <c r="C17">
        <v>295</v>
      </c>
      <c r="D17">
        <v>298</v>
      </c>
      <c r="E17">
        <v>294</v>
      </c>
      <c r="F17">
        <v>296</v>
      </c>
      <c r="G17">
        <v>297</v>
      </c>
      <c r="H17">
        <v>294</v>
      </c>
      <c r="I17">
        <v>293</v>
      </c>
    </row>
    <row r="18" spans="1:14" x14ac:dyDescent="0.25">
      <c r="A18" t="s">
        <v>23</v>
      </c>
      <c r="B18">
        <v>285</v>
      </c>
      <c r="C18">
        <v>293</v>
      </c>
      <c r="D18">
        <v>292</v>
      </c>
      <c r="E18">
        <v>290</v>
      </c>
      <c r="F18">
        <v>292</v>
      </c>
      <c r="G18">
        <v>291</v>
      </c>
      <c r="H18">
        <v>289</v>
      </c>
      <c r="I18">
        <v>290</v>
      </c>
    </row>
    <row r="19" spans="1:14" x14ac:dyDescent="0.25">
      <c r="B19" s="13"/>
      <c r="C19" s="13"/>
      <c r="D19" s="13"/>
      <c r="E19" s="13"/>
      <c r="F19" s="13"/>
      <c r="G19" s="13"/>
      <c r="H19" s="13"/>
      <c r="I19" s="13"/>
      <c r="L19" s="13"/>
      <c r="M19" s="13"/>
      <c r="N19" s="13"/>
    </row>
    <row r="20" spans="1:14" x14ac:dyDescent="0.25">
      <c r="A20" t="s">
        <v>43</v>
      </c>
    </row>
    <row r="21" spans="1:14" x14ac:dyDescent="0.25">
      <c r="A21" t="s">
        <v>5</v>
      </c>
      <c r="B21">
        <v>290</v>
      </c>
      <c r="D21">
        <v>292</v>
      </c>
      <c r="E21">
        <v>292</v>
      </c>
      <c r="F21">
        <v>293</v>
      </c>
      <c r="G21">
        <v>292</v>
      </c>
      <c r="H21">
        <v>291</v>
      </c>
      <c r="I21">
        <v>289</v>
      </c>
    </row>
    <row r="22" spans="1:14" x14ac:dyDescent="0.25">
      <c r="A22" t="s">
        <v>7</v>
      </c>
      <c r="B22">
        <v>288</v>
      </c>
      <c r="D22">
        <v>289</v>
      </c>
      <c r="E22">
        <v>290</v>
      </c>
      <c r="F22">
        <v>289</v>
      </c>
      <c r="G22">
        <v>290</v>
      </c>
      <c r="I22">
        <v>289</v>
      </c>
    </row>
    <row r="23" spans="1:14" x14ac:dyDescent="0.25">
      <c r="A23" t="s">
        <v>10</v>
      </c>
      <c r="B23">
        <v>287</v>
      </c>
      <c r="C23">
        <v>289</v>
      </c>
      <c r="D23">
        <v>288</v>
      </c>
      <c r="E23">
        <v>290</v>
      </c>
      <c r="F23">
        <v>291</v>
      </c>
      <c r="G23">
        <v>294</v>
      </c>
      <c r="H23">
        <v>292</v>
      </c>
      <c r="I23">
        <v>290</v>
      </c>
    </row>
    <row r="24" spans="1:14" x14ac:dyDescent="0.25">
      <c r="A24" t="s">
        <v>11</v>
      </c>
      <c r="B24">
        <v>283</v>
      </c>
      <c r="C24">
        <v>291</v>
      </c>
      <c r="D24">
        <v>287</v>
      </c>
      <c r="E24">
        <v>292</v>
      </c>
      <c r="F24">
        <v>289</v>
      </c>
      <c r="G24">
        <v>289</v>
      </c>
      <c r="H24">
        <v>283</v>
      </c>
      <c r="I24">
        <v>287</v>
      </c>
    </row>
    <row r="25" spans="1:14" x14ac:dyDescent="0.25">
      <c r="A25" t="s">
        <v>12</v>
      </c>
      <c r="B25">
        <v>285</v>
      </c>
      <c r="D25">
        <v>287</v>
      </c>
      <c r="E25">
        <v>287</v>
      </c>
      <c r="F25">
        <v>288</v>
      </c>
      <c r="G25">
        <v>289</v>
      </c>
      <c r="H25">
        <v>284</v>
      </c>
      <c r="I25">
        <v>286</v>
      </c>
    </row>
    <row r="26" spans="1:14" x14ac:dyDescent="0.25">
      <c r="A26" t="s">
        <v>13</v>
      </c>
      <c r="B26">
        <v>278</v>
      </c>
      <c r="E26">
        <v>278</v>
      </c>
      <c r="F26">
        <v>280</v>
      </c>
      <c r="G26">
        <v>290</v>
      </c>
      <c r="H26">
        <v>291</v>
      </c>
      <c r="I26">
        <v>289</v>
      </c>
    </row>
    <row r="27" spans="1:14" x14ac:dyDescent="0.25">
      <c r="A27" t="s">
        <v>14</v>
      </c>
      <c r="B27">
        <v>286</v>
      </c>
      <c r="C27">
        <v>281</v>
      </c>
      <c r="D27">
        <v>278</v>
      </c>
      <c r="E27">
        <v>277</v>
      </c>
      <c r="F27">
        <v>283</v>
      </c>
      <c r="G27">
        <v>282</v>
      </c>
      <c r="H27">
        <v>279</v>
      </c>
      <c r="I27">
        <v>279</v>
      </c>
    </row>
    <row r="28" spans="1:14" x14ac:dyDescent="0.25">
      <c r="A28" t="s">
        <v>15</v>
      </c>
      <c r="B28">
        <v>286</v>
      </c>
      <c r="D28">
        <v>287</v>
      </c>
      <c r="E28">
        <v>286</v>
      </c>
      <c r="F28">
        <v>288</v>
      </c>
      <c r="G28">
        <v>291</v>
      </c>
      <c r="H28">
        <v>288</v>
      </c>
      <c r="I28">
        <v>285</v>
      </c>
    </row>
    <row r="29" spans="1:14" x14ac:dyDescent="0.25">
      <c r="A29" t="s">
        <v>16</v>
      </c>
      <c r="B29">
        <v>291</v>
      </c>
      <c r="D29">
        <v>288</v>
      </c>
      <c r="E29">
        <v>287</v>
      </c>
      <c r="F29">
        <v>290</v>
      </c>
      <c r="G29">
        <v>288</v>
      </c>
      <c r="H29">
        <v>287</v>
      </c>
      <c r="I29">
        <v>289</v>
      </c>
    </row>
    <row r="30" spans="1:14" x14ac:dyDescent="0.25">
      <c r="A30" t="s">
        <v>17</v>
      </c>
      <c r="B30">
        <v>287</v>
      </c>
      <c r="C30">
        <v>290</v>
      </c>
      <c r="D30">
        <v>289</v>
      </c>
      <c r="F30">
        <v>290</v>
      </c>
      <c r="G30">
        <v>288</v>
      </c>
      <c r="H30">
        <v>291</v>
      </c>
      <c r="I30">
        <v>276</v>
      </c>
    </row>
    <row r="31" spans="1:14" x14ac:dyDescent="0.25">
      <c r="A31" t="s">
        <v>18</v>
      </c>
      <c r="B31">
        <v>279</v>
      </c>
      <c r="D31">
        <v>280</v>
      </c>
      <c r="E31">
        <v>280</v>
      </c>
      <c r="F31">
        <v>279</v>
      </c>
      <c r="G31">
        <v>283</v>
      </c>
      <c r="H31">
        <v>281</v>
      </c>
      <c r="I31">
        <v>281</v>
      </c>
    </row>
    <row r="32" spans="1:14" x14ac:dyDescent="0.25">
      <c r="A32" t="s">
        <v>19</v>
      </c>
      <c r="B32">
        <v>280</v>
      </c>
      <c r="D32">
        <v>278</v>
      </c>
      <c r="E32">
        <v>280</v>
      </c>
      <c r="F32">
        <v>279</v>
      </c>
      <c r="G32">
        <v>281</v>
      </c>
      <c r="H32">
        <v>279</v>
      </c>
      <c r="I32">
        <v>279</v>
      </c>
    </row>
    <row r="33" spans="1:9" x14ac:dyDescent="0.25">
      <c r="A33" t="s">
        <v>20</v>
      </c>
      <c r="B33">
        <v>288</v>
      </c>
      <c r="C33">
        <v>288</v>
      </c>
      <c r="D33">
        <v>287</v>
      </c>
      <c r="E33">
        <v>289</v>
      </c>
      <c r="F33">
        <v>290</v>
      </c>
      <c r="G33">
        <v>288</v>
      </c>
      <c r="H33">
        <v>290</v>
      </c>
      <c r="I33">
        <v>291</v>
      </c>
    </row>
    <row r="34" spans="1:9" x14ac:dyDescent="0.25">
      <c r="A34" t="s">
        <v>21</v>
      </c>
      <c r="B34">
        <v>283</v>
      </c>
      <c r="C34">
        <v>280</v>
      </c>
      <c r="D34">
        <v>281</v>
      </c>
      <c r="E34">
        <v>283</v>
      </c>
      <c r="F34">
        <v>283</v>
      </c>
      <c r="G34">
        <v>283</v>
      </c>
      <c r="H34">
        <v>281</v>
      </c>
      <c r="I34">
        <v>281</v>
      </c>
    </row>
    <row r="35" spans="1:9" x14ac:dyDescent="0.25">
      <c r="A35" t="s">
        <v>22</v>
      </c>
      <c r="B35">
        <v>284</v>
      </c>
      <c r="C35">
        <v>285</v>
      </c>
      <c r="D35">
        <v>287</v>
      </c>
      <c r="E35">
        <v>286</v>
      </c>
      <c r="F35">
        <v>286</v>
      </c>
      <c r="G35">
        <v>286</v>
      </c>
      <c r="H35">
        <v>289</v>
      </c>
      <c r="I35">
        <v>285</v>
      </c>
    </row>
    <row r="36" spans="1:9" x14ac:dyDescent="0.25">
      <c r="A36" t="s">
        <v>23</v>
      </c>
      <c r="B36">
        <v>282</v>
      </c>
      <c r="C36">
        <v>286</v>
      </c>
      <c r="D36">
        <v>288</v>
      </c>
      <c r="E36">
        <v>287</v>
      </c>
      <c r="F36">
        <v>290</v>
      </c>
      <c r="G36">
        <v>286</v>
      </c>
      <c r="H36">
        <v>282</v>
      </c>
      <c r="I36">
        <v>283</v>
      </c>
    </row>
  </sheetData>
  <pageMargins left="0.7" right="0.7" top="0.75" bottom="0.75" header="0.3" footer="0.3"/>
  <pageSetup paperSize="9" orientation="portrait" verticalDpi="0"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0"/>
  <sheetViews>
    <sheetView workbookViewId="0">
      <selection activeCell="A17" sqref="A17:A18"/>
    </sheetView>
  </sheetViews>
  <sheetFormatPr defaultRowHeight="15" x14ac:dyDescent="0.25"/>
  <cols>
    <col min="1" max="1" width="33.42578125" customWidth="1"/>
    <col min="2" max="2" width="48.140625" customWidth="1"/>
    <col min="3" max="3" width="92.5703125" customWidth="1"/>
  </cols>
  <sheetData>
    <row r="1" spans="1:3" ht="16.5" thickBot="1" x14ac:dyDescent="0.3">
      <c r="A1" s="31" t="s">
        <v>96</v>
      </c>
    </row>
    <row r="2" spans="1:3" ht="16.5" thickBot="1" x14ac:dyDescent="0.3">
      <c r="A2" s="32" t="s">
        <v>97</v>
      </c>
      <c r="B2" s="32" t="s">
        <v>98</v>
      </c>
      <c r="C2" s="32" t="s">
        <v>99</v>
      </c>
    </row>
    <row r="3" spans="1:3" ht="15" customHeight="1" x14ac:dyDescent="0.25">
      <c r="A3" s="36" t="s">
        <v>100</v>
      </c>
      <c r="B3" s="36" t="s">
        <v>101</v>
      </c>
      <c r="C3" s="36" t="s">
        <v>102</v>
      </c>
    </row>
    <row r="4" spans="1:3" ht="15" customHeight="1" x14ac:dyDescent="0.25">
      <c r="A4" s="35"/>
      <c r="B4" s="35"/>
      <c r="C4" s="35"/>
    </row>
    <row r="5" spans="1:3" ht="24" customHeight="1" x14ac:dyDescent="0.25">
      <c r="A5" s="35"/>
      <c r="B5" s="35"/>
      <c r="C5" s="35"/>
    </row>
    <row r="6" spans="1:3" x14ac:dyDescent="0.25">
      <c r="A6" s="35" t="s">
        <v>103</v>
      </c>
      <c r="B6" s="35" t="s">
        <v>104</v>
      </c>
      <c r="C6" s="35" t="s">
        <v>105</v>
      </c>
    </row>
    <row r="7" spans="1:3" ht="23.25" customHeight="1" x14ac:dyDescent="0.25">
      <c r="A7" s="35"/>
      <c r="B7" s="35"/>
      <c r="C7" s="35"/>
    </row>
    <row r="8" spans="1:3" ht="15" customHeight="1" x14ac:dyDescent="0.25">
      <c r="A8" s="35" t="s">
        <v>106</v>
      </c>
      <c r="B8" s="35" t="s">
        <v>107</v>
      </c>
      <c r="C8" s="35" t="s">
        <v>108</v>
      </c>
    </row>
    <row r="9" spans="1:3" ht="15" customHeight="1" x14ac:dyDescent="0.25">
      <c r="A9" s="35"/>
      <c r="B9" s="35"/>
      <c r="C9" s="35"/>
    </row>
    <row r="10" spans="1:3" ht="15" customHeight="1" x14ac:dyDescent="0.25">
      <c r="A10" s="35" t="s">
        <v>109</v>
      </c>
      <c r="B10" s="35" t="s">
        <v>107</v>
      </c>
      <c r="C10" s="35" t="s">
        <v>108</v>
      </c>
    </row>
    <row r="11" spans="1:3" ht="15" customHeight="1" x14ac:dyDescent="0.25">
      <c r="A11" s="35"/>
      <c r="B11" s="35"/>
      <c r="C11" s="35"/>
    </row>
    <row r="12" spans="1:3" ht="15" customHeight="1" x14ac:dyDescent="0.25">
      <c r="A12" s="35" t="s">
        <v>110</v>
      </c>
      <c r="B12" s="35" t="s">
        <v>111</v>
      </c>
      <c r="C12" s="35" t="s">
        <v>112</v>
      </c>
    </row>
    <row r="13" spans="1:3" ht="15" customHeight="1" x14ac:dyDescent="0.25">
      <c r="A13" s="35"/>
      <c r="B13" s="35"/>
      <c r="C13" s="35"/>
    </row>
    <row r="14" spans="1:3" ht="9" customHeight="1" x14ac:dyDescent="0.25">
      <c r="A14" s="35"/>
      <c r="B14" s="35"/>
      <c r="C14" s="35"/>
    </row>
    <row r="15" spans="1:3" ht="15" customHeight="1" x14ac:dyDescent="0.25">
      <c r="A15" s="35" t="s">
        <v>113</v>
      </c>
      <c r="B15" s="35" t="s">
        <v>114</v>
      </c>
      <c r="C15" s="35" t="s">
        <v>115</v>
      </c>
    </row>
    <row r="16" spans="1:3" ht="48.75" customHeight="1" x14ac:dyDescent="0.25">
      <c r="A16" s="35"/>
      <c r="B16" s="35"/>
      <c r="C16" s="35"/>
    </row>
    <row r="17" spans="1:3" ht="15" customHeight="1" x14ac:dyDescent="0.25">
      <c r="A17" s="35" t="s">
        <v>116</v>
      </c>
      <c r="B17" s="35" t="s">
        <v>117</v>
      </c>
      <c r="C17" s="35" t="s">
        <v>118</v>
      </c>
    </row>
    <row r="18" spans="1:3" ht="35.25" customHeight="1" x14ac:dyDescent="0.25">
      <c r="A18" s="35"/>
      <c r="B18" s="35"/>
      <c r="C18" s="35"/>
    </row>
    <row r="19" spans="1:3" ht="15" customHeight="1" x14ac:dyDescent="0.25">
      <c r="A19" s="35" t="s">
        <v>119</v>
      </c>
      <c r="B19" s="35" t="s">
        <v>120</v>
      </c>
      <c r="C19" s="35" t="s">
        <v>121</v>
      </c>
    </row>
    <row r="20" spans="1:3" ht="71.25" customHeight="1" x14ac:dyDescent="0.25">
      <c r="A20" s="35"/>
      <c r="B20" s="35"/>
      <c r="C20" s="35"/>
    </row>
    <row r="21" spans="1:3" ht="15" customHeight="1" x14ac:dyDescent="0.25">
      <c r="A21" s="35" t="s">
        <v>132</v>
      </c>
      <c r="B21" s="35" t="s">
        <v>133</v>
      </c>
      <c r="C21" s="35" t="s">
        <v>122</v>
      </c>
    </row>
    <row r="22" spans="1:3" ht="33.75" customHeight="1" x14ac:dyDescent="0.25">
      <c r="A22" s="35"/>
      <c r="B22" s="35"/>
      <c r="C22" s="35"/>
    </row>
    <row r="23" spans="1:3" ht="15" customHeight="1" x14ac:dyDescent="0.25">
      <c r="A23" s="35" t="s">
        <v>123</v>
      </c>
      <c r="B23" s="35" t="s">
        <v>124</v>
      </c>
      <c r="C23" s="35" t="s">
        <v>125</v>
      </c>
    </row>
    <row r="24" spans="1:3" ht="33" customHeight="1" x14ac:dyDescent="0.25">
      <c r="A24" s="35"/>
      <c r="B24" s="35"/>
      <c r="C24" s="35"/>
    </row>
    <row r="25" spans="1:3" ht="15" customHeight="1" x14ac:dyDescent="0.25">
      <c r="A25" s="35" t="s">
        <v>126</v>
      </c>
      <c r="B25" s="35" t="s">
        <v>127</v>
      </c>
      <c r="C25" s="35" t="s">
        <v>134</v>
      </c>
    </row>
    <row r="26" spans="1:3" ht="92.25" customHeight="1" x14ac:dyDescent="0.25">
      <c r="A26" s="35"/>
      <c r="B26" s="35"/>
      <c r="C26" s="35"/>
    </row>
    <row r="27" spans="1:3" ht="15" customHeight="1" x14ac:dyDescent="0.25">
      <c r="A27" s="35" t="s">
        <v>128</v>
      </c>
      <c r="B27" s="35" t="s">
        <v>104</v>
      </c>
      <c r="C27" s="35" t="s">
        <v>129</v>
      </c>
    </row>
    <row r="28" spans="1:3" ht="23.25" customHeight="1" x14ac:dyDescent="0.25">
      <c r="A28" s="35"/>
      <c r="B28" s="35"/>
      <c r="C28" s="35"/>
    </row>
    <row r="29" spans="1:3" ht="15" customHeight="1" x14ac:dyDescent="0.25">
      <c r="A29" s="35" t="s">
        <v>130</v>
      </c>
      <c r="B29" s="35" t="s">
        <v>104</v>
      </c>
      <c r="C29" s="35" t="s">
        <v>131</v>
      </c>
    </row>
    <row r="30" spans="1:3" ht="41.25" customHeight="1" thickBot="1" x14ac:dyDescent="0.3">
      <c r="A30" s="37"/>
      <c r="B30" s="37"/>
      <c r="C30" s="37"/>
    </row>
  </sheetData>
  <mergeCells count="39">
    <mergeCell ref="A27:A28"/>
    <mergeCell ref="B27:B28"/>
    <mergeCell ref="C27:C28"/>
    <mergeCell ref="A29:A30"/>
    <mergeCell ref="B29:B30"/>
    <mergeCell ref="C29:C30"/>
    <mergeCell ref="A23:A24"/>
    <mergeCell ref="B23:B24"/>
    <mergeCell ref="C23:C24"/>
    <mergeCell ref="A25:A26"/>
    <mergeCell ref="B25:B26"/>
    <mergeCell ref="C25:C26"/>
    <mergeCell ref="A19:A20"/>
    <mergeCell ref="B19:B20"/>
    <mergeCell ref="C19:C20"/>
    <mergeCell ref="A21:A22"/>
    <mergeCell ref="B21:B22"/>
    <mergeCell ref="C21:C22"/>
    <mergeCell ref="A15:A16"/>
    <mergeCell ref="B15:B16"/>
    <mergeCell ref="C15:C16"/>
    <mergeCell ref="A17:A18"/>
    <mergeCell ref="B17:B18"/>
    <mergeCell ref="C17:C18"/>
    <mergeCell ref="A12:A14"/>
    <mergeCell ref="B12:B14"/>
    <mergeCell ref="C12:C14"/>
    <mergeCell ref="A8:A9"/>
    <mergeCell ref="B8:B9"/>
    <mergeCell ref="C8:C9"/>
    <mergeCell ref="A10:A11"/>
    <mergeCell ref="B10:B11"/>
    <mergeCell ref="C10:C11"/>
    <mergeCell ref="A3:A5"/>
    <mergeCell ref="B3:B5"/>
    <mergeCell ref="C3:C5"/>
    <mergeCell ref="A6:A7"/>
    <mergeCell ref="B6:B7"/>
    <mergeCell ref="C6:C7"/>
  </mergeCells>
  <pageMargins left="0.7" right="0.7" top="0.75" bottom="0.75" header="0.3" footer="0.3"/>
  <pageSetup paperSize="9" orientation="portrait" verticalDpi="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39"/>
  <sheetViews>
    <sheetView zoomScale="85" zoomScaleNormal="85" workbookViewId="0">
      <selection activeCell="U13" sqref="U13"/>
    </sheetView>
  </sheetViews>
  <sheetFormatPr defaultRowHeight="15" x14ac:dyDescent="0.25"/>
  <cols>
    <col min="8" max="8" width="9.140625" style="21"/>
    <col min="9" max="9" width="9.140625" style="2"/>
  </cols>
  <sheetData>
    <row r="1" spans="1:25" x14ac:dyDescent="0.25">
      <c r="A1" t="s">
        <v>82</v>
      </c>
      <c r="I1" s="2" t="s">
        <v>83</v>
      </c>
    </row>
    <row r="2" spans="1:25" x14ac:dyDescent="0.25">
      <c r="A2" t="s">
        <v>26</v>
      </c>
      <c r="B2" t="s">
        <v>67</v>
      </c>
      <c r="C2" t="s">
        <v>72</v>
      </c>
      <c r="D2">
        <v>0</v>
      </c>
      <c r="E2">
        <v>60</v>
      </c>
      <c r="F2">
        <v>120</v>
      </c>
      <c r="J2" t="s">
        <v>26</v>
      </c>
      <c r="K2" t="s">
        <v>67</v>
      </c>
      <c r="L2" t="s">
        <v>72</v>
      </c>
      <c r="M2">
        <v>0</v>
      </c>
      <c r="N2">
        <v>60</v>
      </c>
      <c r="O2">
        <v>120</v>
      </c>
      <c r="U2" t="s">
        <v>94</v>
      </c>
    </row>
    <row r="3" spans="1:25" x14ac:dyDescent="0.25">
      <c r="A3" t="s">
        <v>5</v>
      </c>
      <c r="B3" s="3">
        <v>5.0599999999999996</v>
      </c>
      <c r="C3" s="28"/>
      <c r="D3" s="3">
        <v>22.24</v>
      </c>
      <c r="E3" s="3">
        <v>65.599999999999994</v>
      </c>
      <c r="F3" s="3">
        <v>59.61</v>
      </c>
      <c r="J3" t="s">
        <v>5</v>
      </c>
      <c r="K3" s="3">
        <v>9.02</v>
      </c>
      <c r="L3" s="28"/>
      <c r="M3" s="3">
        <v>35.31</v>
      </c>
      <c r="N3" s="3">
        <v>95.68</v>
      </c>
      <c r="O3" s="3">
        <v>87.6</v>
      </c>
      <c r="U3" t="s">
        <v>92</v>
      </c>
      <c r="X3" t="s">
        <v>93</v>
      </c>
      <c r="Y3" t="s">
        <v>92</v>
      </c>
    </row>
    <row r="4" spans="1:25" x14ac:dyDescent="0.25">
      <c r="A4" t="s">
        <v>7</v>
      </c>
      <c r="B4" s="3">
        <v>0.95</v>
      </c>
      <c r="C4" s="28"/>
      <c r="D4" s="3">
        <v>8.2200000000000006</v>
      </c>
      <c r="E4" s="3">
        <v>25.88</v>
      </c>
      <c r="F4" s="3">
        <v>14.72</v>
      </c>
      <c r="J4" t="s">
        <v>7</v>
      </c>
      <c r="K4" s="3">
        <v>1.94</v>
      </c>
      <c r="L4" s="28"/>
      <c r="M4" s="3">
        <v>14.11</v>
      </c>
      <c r="N4" s="3">
        <v>40.6</v>
      </c>
      <c r="O4" s="3">
        <v>24.13</v>
      </c>
      <c r="U4">
        <v>1000</v>
      </c>
      <c r="V4">
        <v>0.53038399999999997</v>
      </c>
      <c r="W4">
        <v>0.88046100000000005</v>
      </c>
      <c r="X4">
        <v>0.70542250000000006</v>
      </c>
      <c r="Y4">
        <v>1000</v>
      </c>
    </row>
    <row r="5" spans="1:25" x14ac:dyDescent="0.25">
      <c r="A5" t="s">
        <v>10</v>
      </c>
      <c r="B5" s="3">
        <v>10.91</v>
      </c>
      <c r="C5" s="28"/>
      <c r="D5" s="3">
        <v>9.1300000000000008</v>
      </c>
      <c r="E5" s="3">
        <v>8.1300000000000008</v>
      </c>
      <c r="F5" s="3">
        <v>0.73</v>
      </c>
      <c r="J5" t="s">
        <v>10</v>
      </c>
      <c r="K5" s="3">
        <v>18.32</v>
      </c>
      <c r="L5" s="28"/>
      <c r="M5" s="3">
        <v>15.54</v>
      </c>
      <c r="N5" s="3">
        <v>13.96</v>
      </c>
      <c r="O5" s="3">
        <v>1.51</v>
      </c>
      <c r="U5">
        <v>400</v>
      </c>
      <c r="V5">
        <v>0.92798899999999995</v>
      </c>
      <c r="W5">
        <v>1.0380199999999999</v>
      </c>
      <c r="X5">
        <v>0.98300449999999995</v>
      </c>
      <c r="Y5">
        <v>400</v>
      </c>
    </row>
    <row r="6" spans="1:25" x14ac:dyDescent="0.25">
      <c r="A6" t="s">
        <v>11</v>
      </c>
      <c r="B6" s="3">
        <v>6.62</v>
      </c>
      <c r="C6" s="3">
        <v>4.79</v>
      </c>
      <c r="D6" s="3">
        <v>3.21</v>
      </c>
      <c r="E6" s="3">
        <v>12.06</v>
      </c>
      <c r="F6" s="3">
        <v>34.28</v>
      </c>
      <c r="J6" t="s">
        <v>11</v>
      </c>
      <c r="K6" s="3">
        <v>11.55</v>
      </c>
      <c r="L6" s="3">
        <v>8.58</v>
      </c>
      <c r="M6" s="3">
        <v>5.94</v>
      </c>
      <c r="N6" s="3">
        <v>20.09</v>
      </c>
      <c r="O6" s="3">
        <v>52.61</v>
      </c>
      <c r="U6">
        <v>160</v>
      </c>
      <c r="V6">
        <v>1.1817299999999999</v>
      </c>
      <c r="W6">
        <v>1.2302599999999999</v>
      </c>
      <c r="X6">
        <v>1.2059949999999999</v>
      </c>
      <c r="Y6">
        <v>160</v>
      </c>
    </row>
    <row r="7" spans="1:25" x14ac:dyDescent="0.25">
      <c r="A7" t="s">
        <v>12</v>
      </c>
      <c r="B7" s="3">
        <v>7.66</v>
      </c>
      <c r="C7" s="28"/>
      <c r="D7" s="3">
        <v>6.32</v>
      </c>
      <c r="E7" s="3">
        <v>14.93</v>
      </c>
      <c r="F7" s="3">
        <v>10.53</v>
      </c>
      <c r="J7" t="s">
        <v>12</v>
      </c>
      <c r="K7" s="3">
        <v>13.21</v>
      </c>
      <c r="L7" s="28"/>
      <c r="M7" s="3">
        <v>11.07</v>
      </c>
      <c r="N7" s="3">
        <v>24.45</v>
      </c>
      <c r="O7" s="3">
        <v>17.72</v>
      </c>
      <c r="U7">
        <v>64</v>
      </c>
      <c r="V7">
        <v>1.66435</v>
      </c>
      <c r="W7">
        <v>1.5390999999999999</v>
      </c>
      <c r="X7">
        <v>1.6017250000000001</v>
      </c>
      <c r="Y7">
        <v>64</v>
      </c>
    </row>
    <row r="8" spans="1:25" x14ac:dyDescent="0.25">
      <c r="A8" t="s">
        <v>13</v>
      </c>
      <c r="B8" s="3">
        <v>5.7</v>
      </c>
      <c r="C8" s="28"/>
      <c r="D8" s="3">
        <v>6.36</v>
      </c>
      <c r="E8" s="3">
        <v>19.71</v>
      </c>
      <c r="F8" s="3">
        <v>11.05</v>
      </c>
      <c r="J8" t="s">
        <v>13</v>
      </c>
      <c r="K8" s="3">
        <v>10.07</v>
      </c>
      <c r="L8" s="28"/>
      <c r="M8" s="3">
        <v>11.15</v>
      </c>
      <c r="N8" s="3">
        <v>31.59</v>
      </c>
      <c r="O8" s="3">
        <v>18.53</v>
      </c>
      <c r="U8">
        <v>25.6</v>
      </c>
      <c r="V8">
        <v>1.81758</v>
      </c>
      <c r="W8">
        <v>1.82605</v>
      </c>
      <c r="X8">
        <v>1.821815</v>
      </c>
      <c r="Y8">
        <v>25.6</v>
      </c>
    </row>
    <row r="9" spans="1:25" x14ac:dyDescent="0.25">
      <c r="A9" t="s">
        <v>14</v>
      </c>
      <c r="B9" s="3">
        <v>11.18</v>
      </c>
      <c r="C9" s="3">
        <v>9.14</v>
      </c>
      <c r="D9" s="3">
        <v>13.57</v>
      </c>
      <c r="E9" s="3">
        <v>14.06</v>
      </c>
      <c r="F9" s="3">
        <v>7.36</v>
      </c>
      <c r="J9" t="s">
        <v>14</v>
      </c>
      <c r="K9" s="3">
        <v>18.739999999999998</v>
      </c>
      <c r="L9" s="3">
        <v>15.57</v>
      </c>
      <c r="M9" s="3">
        <v>22.39</v>
      </c>
      <c r="N9" s="3">
        <v>23.14</v>
      </c>
      <c r="O9" s="3">
        <v>12.74</v>
      </c>
      <c r="U9">
        <v>10.240000000000002</v>
      </c>
      <c r="V9">
        <v>2.2240099999999998</v>
      </c>
      <c r="W9">
        <v>2.2204600000000001</v>
      </c>
      <c r="X9">
        <v>2.222235</v>
      </c>
      <c r="Y9">
        <v>10.240000000000002</v>
      </c>
    </row>
    <row r="10" spans="1:25" ht="15.75" thickBot="1" x14ac:dyDescent="0.3">
      <c r="A10" t="s">
        <v>15</v>
      </c>
      <c r="B10" s="3">
        <v>6.53</v>
      </c>
      <c r="C10" s="28"/>
      <c r="D10" s="3">
        <v>8.19</v>
      </c>
      <c r="E10" s="3">
        <v>10.33</v>
      </c>
      <c r="F10" s="3">
        <v>23.05</v>
      </c>
      <c r="J10" t="s">
        <v>15</v>
      </c>
      <c r="K10" s="3">
        <v>11.42</v>
      </c>
      <c r="L10" s="28"/>
      <c r="M10" s="3">
        <v>14.06</v>
      </c>
      <c r="N10" s="3">
        <v>17.420000000000002</v>
      </c>
      <c r="O10" s="3">
        <v>36.5</v>
      </c>
      <c r="U10">
        <v>4.0999999999999996</v>
      </c>
      <c r="V10">
        <v>1.7706</v>
      </c>
      <c r="W10">
        <v>1.44194</v>
      </c>
      <c r="X10">
        <v>1.6062699999999999</v>
      </c>
      <c r="Y10">
        <v>4.0999999999999996</v>
      </c>
    </row>
    <row r="11" spans="1:25" ht="15.75" thickTop="1" x14ac:dyDescent="0.25">
      <c r="A11" s="22" t="s">
        <v>16</v>
      </c>
      <c r="B11" s="29"/>
      <c r="C11" s="29"/>
      <c r="D11" s="22">
        <v>16.93</v>
      </c>
      <c r="E11" s="22">
        <v>23.34</v>
      </c>
      <c r="F11" s="22">
        <v>11.39</v>
      </c>
      <c r="G11" s="22"/>
      <c r="H11" s="23"/>
      <c r="I11" s="24"/>
      <c r="J11" s="22" t="s">
        <v>16</v>
      </c>
      <c r="K11" s="29"/>
      <c r="L11" s="29"/>
      <c r="M11" s="22">
        <v>27.46</v>
      </c>
      <c r="N11" s="22">
        <v>36.92</v>
      </c>
      <c r="O11" s="22">
        <v>19.05</v>
      </c>
    </row>
    <row r="12" spans="1:25" x14ac:dyDescent="0.25">
      <c r="A12" t="s">
        <v>17</v>
      </c>
      <c r="B12" s="3">
        <v>0.78</v>
      </c>
      <c r="C12">
        <v>14.52</v>
      </c>
      <c r="D12" s="3">
        <v>9.3699999999999992</v>
      </c>
      <c r="E12" s="3">
        <v>19.64</v>
      </c>
      <c r="F12" s="3">
        <v>40.67</v>
      </c>
      <c r="J12" t="s">
        <v>17</v>
      </c>
      <c r="K12" s="3">
        <v>1.61</v>
      </c>
      <c r="L12">
        <v>23.83</v>
      </c>
      <c r="M12" s="3">
        <v>15.92</v>
      </c>
      <c r="N12" s="3">
        <v>31.49</v>
      </c>
      <c r="O12" s="3">
        <v>61.59</v>
      </c>
      <c r="U12" t="s">
        <v>95</v>
      </c>
    </row>
    <row r="13" spans="1:25" x14ac:dyDescent="0.25">
      <c r="A13" t="s">
        <v>18</v>
      </c>
      <c r="B13" s="3">
        <v>27.08</v>
      </c>
      <c r="C13" s="27"/>
      <c r="D13" s="3">
        <v>35.49</v>
      </c>
      <c r="E13" s="3">
        <v>6.3</v>
      </c>
      <c r="F13" s="3">
        <v>15.45</v>
      </c>
      <c r="J13" t="s">
        <v>18</v>
      </c>
      <c r="K13" s="3">
        <v>42.34</v>
      </c>
      <c r="L13" s="27"/>
      <c r="M13" s="3">
        <v>54.33</v>
      </c>
      <c r="N13" s="3">
        <v>11.03</v>
      </c>
      <c r="O13" s="3">
        <v>25.24</v>
      </c>
      <c r="U13" t="s">
        <v>92</v>
      </c>
      <c r="X13" t="s">
        <v>93</v>
      </c>
      <c r="Y13" t="s">
        <v>92</v>
      </c>
    </row>
    <row r="14" spans="1:25" x14ac:dyDescent="0.25">
      <c r="A14" t="s">
        <v>19</v>
      </c>
      <c r="B14">
        <v>10.8</v>
      </c>
      <c r="C14" s="27"/>
      <c r="D14">
        <v>16.38</v>
      </c>
      <c r="E14">
        <v>10.92</v>
      </c>
      <c r="F14">
        <v>5.68</v>
      </c>
      <c r="J14" t="s">
        <v>19</v>
      </c>
      <c r="K14">
        <v>18.149999999999999</v>
      </c>
      <c r="L14" s="27"/>
      <c r="M14">
        <v>26.64</v>
      </c>
      <c r="N14">
        <v>18.34</v>
      </c>
      <c r="O14">
        <v>10.029999999999999</v>
      </c>
      <c r="U14">
        <v>1000</v>
      </c>
      <c r="V14">
        <v>0.47595100000000001</v>
      </c>
      <c r="W14">
        <v>0.59075900000000003</v>
      </c>
      <c r="X14">
        <v>0.53335500000000002</v>
      </c>
      <c r="Y14">
        <v>1000</v>
      </c>
    </row>
    <row r="15" spans="1:25" x14ac:dyDescent="0.25">
      <c r="A15" t="s">
        <v>20</v>
      </c>
      <c r="B15">
        <v>13.14</v>
      </c>
      <c r="C15">
        <v>7.68</v>
      </c>
      <c r="D15">
        <v>23.87</v>
      </c>
      <c r="E15">
        <v>20.46</v>
      </c>
      <c r="F15">
        <v>18.47</v>
      </c>
      <c r="J15" t="s">
        <v>20</v>
      </c>
      <c r="K15">
        <v>21.75</v>
      </c>
      <c r="L15">
        <v>13.25</v>
      </c>
      <c r="M15">
        <v>37.700000000000003</v>
      </c>
      <c r="N15">
        <v>32.700000000000003</v>
      </c>
      <c r="O15">
        <v>29.75</v>
      </c>
      <c r="U15">
        <v>400</v>
      </c>
      <c r="V15">
        <v>0.871116</v>
      </c>
      <c r="W15">
        <v>0.84981300000000004</v>
      </c>
      <c r="X15">
        <v>0.86046449999999997</v>
      </c>
      <c r="Y15">
        <v>400</v>
      </c>
    </row>
    <row r="16" spans="1:25" x14ac:dyDescent="0.25">
      <c r="A16" t="s">
        <v>21</v>
      </c>
      <c r="B16">
        <v>16.25</v>
      </c>
      <c r="C16">
        <v>55.15</v>
      </c>
      <c r="D16">
        <v>13.62</v>
      </c>
      <c r="E16">
        <v>16.07</v>
      </c>
      <c r="F16">
        <v>15.62</v>
      </c>
      <c r="J16" t="s">
        <v>21</v>
      </c>
      <c r="K16">
        <v>26.44</v>
      </c>
      <c r="L16">
        <v>81.540000000000006</v>
      </c>
      <c r="M16">
        <v>22.47</v>
      </c>
      <c r="N16">
        <v>26.17</v>
      </c>
      <c r="O16">
        <v>25.5</v>
      </c>
      <c r="U16">
        <v>160</v>
      </c>
      <c r="V16">
        <v>1.64741</v>
      </c>
      <c r="W16">
        <v>1.22946</v>
      </c>
      <c r="X16">
        <v>1.4384350000000001</v>
      </c>
      <c r="Y16">
        <v>160</v>
      </c>
    </row>
    <row r="17" spans="1:25" x14ac:dyDescent="0.25">
      <c r="A17" t="s">
        <v>22</v>
      </c>
      <c r="B17">
        <v>26.14</v>
      </c>
      <c r="C17">
        <v>25.08</v>
      </c>
      <c r="D17">
        <v>18.940000000000001</v>
      </c>
      <c r="E17">
        <v>18.489999999999998</v>
      </c>
      <c r="F17">
        <v>14.39</v>
      </c>
      <c r="J17" t="s">
        <v>22</v>
      </c>
      <c r="K17">
        <v>40.98</v>
      </c>
      <c r="L17">
        <v>39.450000000000003</v>
      </c>
      <c r="M17">
        <v>30.46</v>
      </c>
      <c r="N17">
        <v>29.78</v>
      </c>
      <c r="O17">
        <v>23.63</v>
      </c>
      <c r="U17">
        <v>64</v>
      </c>
      <c r="V17">
        <v>1.44323</v>
      </c>
      <c r="W17">
        <v>1.4575100000000001</v>
      </c>
      <c r="X17">
        <v>1.4503699999999999</v>
      </c>
      <c r="Y17">
        <v>64</v>
      </c>
    </row>
    <row r="18" spans="1:25" x14ac:dyDescent="0.25">
      <c r="A18" t="s">
        <v>23</v>
      </c>
      <c r="B18">
        <v>16.64</v>
      </c>
      <c r="C18">
        <v>13.1</v>
      </c>
      <c r="D18">
        <v>11.18</v>
      </c>
      <c r="E18">
        <v>19.53</v>
      </c>
      <c r="F18" s="27"/>
      <c r="J18" t="s">
        <v>23</v>
      </c>
      <c r="K18">
        <v>27.02</v>
      </c>
      <c r="L18" s="2">
        <v>21.68</v>
      </c>
      <c r="M18">
        <v>18.739999999999998</v>
      </c>
      <c r="N18">
        <v>31.33</v>
      </c>
      <c r="O18" s="27"/>
      <c r="U18">
        <v>25.6</v>
      </c>
      <c r="V18">
        <v>1.8243400000000001</v>
      </c>
      <c r="W18">
        <v>2.0820099999999999</v>
      </c>
      <c r="X18">
        <v>1.9531749999999999</v>
      </c>
      <c r="Y18">
        <v>25.6</v>
      </c>
    </row>
    <row r="19" spans="1:25" x14ac:dyDescent="0.25">
      <c r="U19">
        <v>10.240000000000002</v>
      </c>
      <c r="V19">
        <v>2.38219</v>
      </c>
      <c r="W19">
        <v>2.7877299999999998</v>
      </c>
      <c r="X19">
        <v>2.5849599999999997</v>
      </c>
      <c r="Y19">
        <v>10.240000000000002</v>
      </c>
    </row>
    <row r="20" spans="1:25" x14ac:dyDescent="0.25">
      <c r="A20" t="s">
        <v>25</v>
      </c>
      <c r="J20" t="s">
        <v>25</v>
      </c>
      <c r="U20">
        <v>4.0999999999999996</v>
      </c>
      <c r="V20">
        <v>1.90021</v>
      </c>
      <c r="W20">
        <v>2.0332699999999999</v>
      </c>
      <c r="X20">
        <v>1.9667399999999999</v>
      </c>
      <c r="Y20">
        <v>4.0999999999999996</v>
      </c>
    </row>
    <row r="21" spans="1:25" x14ac:dyDescent="0.25">
      <c r="A21" t="s">
        <v>5</v>
      </c>
      <c r="B21" s="3">
        <v>51.97</v>
      </c>
      <c r="C21" s="28"/>
      <c r="D21" s="3">
        <v>10.51</v>
      </c>
      <c r="E21" s="3">
        <v>10.15</v>
      </c>
      <c r="F21" s="3">
        <v>65.680000000000007</v>
      </c>
      <c r="J21" t="s">
        <v>5</v>
      </c>
      <c r="K21" s="3">
        <v>77.2</v>
      </c>
      <c r="L21" s="28"/>
      <c r="M21" s="3">
        <v>17.690000000000001</v>
      </c>
      <c r="N21" s="3">
        <v>17.14</v>
      </c>
      <c r="O21" s="3">
        <v>95.8</v>
      </c>
    </row>
    <row r="22" spans="1:25" x14ac:dyDescent="0.25">
      <c r="A22" t="s">
        <v>7</v>
      </c>
      <c r="B22" s="3">
        <v>6.83</v>
      </c>
      <c r="C22" s="28"/>
      <c r="D22" s="3">
        <v>8.15</v>
      </c>
      <c r="E22" s="3">
        <v>15.93</v>
      </c>
      <c r="F22" s="3">
        <v>9.99</v>
      </c>
      <c r="J22" t="s">
        <v>7</v>
      </c>
      <c r="K22" s="3">
        <v>11.9</v>
      </c>
      <c r="L22" s="28"/>
      <c r="M22" s="3">
        <v>14.01</v>
      </c>
      <c r="N22" s="3">
        <v>25.96</v>
      </c>
      <c r="O22" s="3">
        <v>16.89</v>
      </c>
    </row>
    <row r="23" spans="1:25" x14ac:dyDescent="0.25">
      <c r="A23" t="s">
        <v>10</v>
      </c>
      <c r="B23" s="3">
        <v>0.62</v>
      </c>
      <c r="C23" s="3">
        <v>1.38</v>
      </c>
      <c r="D23" s="3">
        <v>12.9</v>
      </c>
      <c r="E23" s="3">
        <v>10.82</v>
      </c>
      <c r="F23" s="3">
        <v>3.13</v>
      </c>
      <c r="J23" t="s">
        <v>10</v>
      </c>
      <c r="K23" s="3">
        <v>1.3</v>
      </c>
      <c r="L23" s="3">
        <v>2.73</v>
      </c>
      <c r="M23" s="3">
        <v>21.37</v>
      </c>
      <c r="N23" s="3">
        <v>18.18</v>
      </c>
      <c r="O23" s="3">
        <v>5.79</v>
      </c>
    </row>
    <row r="24" spans="1:25" x14ac:dyDescent="0.25">
      <c r="A24" t="s">
        <v>11</v>
      </c>
      <c r="B24" s="3">
        <v>14.67</v>
      </c>
      <c r="C24" s="3">
        <v>10.17</v>
      </c>
      <c r="D24" s="3">
        <v>5.66</v>
      </c>
      <c r="E24" s="3">
        <v>9.11</v>
      </c>
      <c r="F24" s="3">
        <v>13.02</v>
      </c>
      <c r="J24" t="s">
        <v>11</v>
      </c>
      <c r="K24" s="3">
        <v>24.07</v>
      </c>
      <c r="L24" s="3">
        <v>17.170000000000002</v>
      </c>
      <c r="M24" s="3">
        <v>10</v>
      </c>
      <c r="N24" s="3">
        <v>15.52</v>
      </c>
      <c r="O24" s="3">
        <v>21.55</v>
      </c>
    </row>
    <row r="25" spans="1:25" x14ac:dyDescent="0.25">
      <c r="A25" t="s">
        <v>12</v>
      </c>
      <c r="B25" s="3">
        <v>5.42</v>
      </c>
      <c r="C25" s="28"/>
      <c r="D25" s="3">
        <v>8.51</v>
      </c>
      <c r="E25" s="3">
        <v>9.26</v>
      </c>
      <c r="F25" s="3">
        <v>9.75</v>
      </c>
      <c r="J25" t="s">
        <v>12</v>
      </c>
      <c r="K25" s="3">
        <v>9.6199999999999992</v>
      </c>
      <c r="L25" s="28"/>
      <c r="M25" s="3">
        <v>14.57</v>
      </c>
      <c r="N25" s="3">
        <v>15.75</v>
      </c>
      <c r="O25" s="3">
        <v>16.510000000000002</v>
      </c>
    </row>
    <row r="26" spans="1:25" x14ac:dyDescent="0.25">
      <c r="A26" t="s">
        <v>13</v>
      </c>
      <c r="B26" s="3">
        <v>8.7899999999999991</v>
      </c>
      <c r="C26" s="28"/>
      <c r="D26" s="3">
        <v>3.73</v>
      </c>
      <c r="E26" s="3">
        <v>6.94</v>
      </c>
      <c r="F26" s="3">
        <v>7.35</v>
      </c>
      <c r="J26" t="s">
        <v>13</v>
      </c>
      <c r="K26" s="3">
        <v>15.02</v>
      </c>
      <c r="L26" s="28"/>
      <c r="M26" s="3">
        <v>6.82</v>
      </c>
      <c r="N26" s="3">
        <v>12.08</v>
      </c>
      <c r="O26" s="3">
        <v>12.72</v>
      </c>
    </row>
    <row r="27" spans="1:25" x14ac:dyDescent="0.25">
      <c r="A27" t="s">
        <v>14</v>
      </c>
      <c r="B27" s="3">
        <v>12.32</v>
      </c>
      <c r="C27" s="28"/>
      <c r="D27" s="3">
        <v>9.75</v>
      </c>
      <c r="E27" s="3">
        <v>9.9600000000000009</v>
      </c>
      <c r="F27" s="3">
        <v>10.99</v>
      </c>
      <c r="J27" t="s">
        <v>14</v>
      </c>
      <c r="K27" s="3">
        <v>20.49</v>
      </c>
      <c r="L27" s="28"/>
      <c r="M27" s="3">
        <v>16.510000000000002</v>
      </c>
      <c r="N27" s="3">
        <v>16.850000000000001</v>
      </c>
      <c r="O27" s="3">
        <v>18.440000000000001</v>
      </c>
    </row>
    <row r="28" spans="1:25" ht="15.75" thickBot="1" x14ac:dyDescent="0.3">
      <c r="A28" t="s">
        <v>15</v>
      </c>
      <c r="B28" s="3">
        <v>11.81</v>
      </c>
      <c r="C28" s="28"/>
      <c r="D28" s="3">
        <v>9.7200000000000006</v>
      </c>
      <c r="E28" s="3">
        <v>11.35</v>
      </c>
      <c r="F28" s="3">
        <v>16.43</v>
      </c>
      <c r="J28" t="s">
        <v>15</v>
      </c>
      <c r="K28" s="3">
        <v>19.71</v>
      </c>
      <c r="L28" s="28"/>
      <c r="M28" s="3">
        <v>16.47</v>
      </c>
      <c r="N28" s="3">
        <v>18.989999999999998</v>
      </c>
      <c r="O28" s="3">
        <v>26.71</v>
      </c>
    </row>
    <row r="29" spans="1:25" ht="15.75" thickTop="1" x14ac:dyDescent="0.25">
      <c r="A29" s="22" t="s">
        <v>16</v>
      </c>
      <c r="B29" s="25">
        <v>16.21</v>
      </c>
      <c r="C29" s="29"/>
      <c r="D29" s="25">
        <v>15.43</v>
      </c>
      <c r="E29" s="25">
        <v>22.72</v>
      </c>
      <c r="F29" s="25">
        <v>24.02</v>
      </c>
      <c r="G29" s="22"/>
      <c r="H29" s="23"/>
      <c r="I29" s="24"/>
      <c r="J29" s="22" t="s">
        <v>16</v>
      </c>
      <c r="K29" s="25">
        <v>26.38</v>
      </c>
      <c r="L29" s="29"/>
      <c r="M29" s="22">
        <v>25.21</v>
      </c>
      <c r="N29" s="25">
        <v>36.01</v>
      </c>
      <c r="O29" s="25">
        <v>37.9</v>
      </c>
    </row>
    <row r="30" spans="1:25" x14ac:dyDescent="0.25">
      <c r="A30" t="s">
        <v>17</v>
      </c>
      <c r="B30" s="26">
        <v>7.33</v>
      </c>
      <c r="C30">
        <v>8.85</v>
      </c>
      <c r="D30" s="26">
        <v>11.33</v>
      </c>
      <c r="E30" s="26">
        <v>17.21</v>
      </c>
      <c r="F30" s="26">
        <v>15.76</v>
      </c>
      <c r="J30" t="s">
        <v>17</v>
      </c>
      <c r="K30" s="26">
        <v>12.69</v>
      </c>
      <c r="L30">
        <v>15.11</v>
      </c>
      <c r="M30" s="3">
        <v>18.97</v>
      </c>
      <c r="N30" s="26">
        <v>27.88</v>
      </c>
      <c r="O30" s="26">
        <v>25.72</v>
      </c>
    </row>
    <row r="31" spans="1:25" x14ac:dyDescent="0.25">
      <c r="A31" t="s">
        <v>18</v>
      </c>
      <c r="B31" s="26">
        <v>12.75</v>
      </c>
      <c r="C31" s="27"/>
      <c r="D31">
        <v>21.47</v>
      </c>
      <c r="E31" s="26">
        <v>26.8</v>
      </c>
      <c r="F31" s="26">
        <v>13.15</v>
      </c>
      <c r="J31" t="s">
        <v>18</v>
      </c>
      <c r="K31" s="26">
        <v>21.15</v>
      </c>
      <c r="L31" s="27"/>
      <c r="M31">
        <v>34.18</v>
      </c>
      <c r="N31" s="3">
        <v>41.94</v>
      </c>
      <c r="O31" s="26">
        <v>21.76</v>
      </c>
    </row>
    <row r="32" spans="1:25" x14ac:dyDescent="0.25">
      <c r="A32" t="s">
        <v>19</v>
      </c>
      <c r="B32" s="26">
        <v>18.22</v>
      </c>
      <c r="C32" s="27"/>
      <c r="D32" s="26">
        <v>24.01</v>
      </c>
      <c r="E32" s="26">
        <v>24.55</v>
      </c>
      <c r="F32" s="26">
        <v>20.12</v>
      </c>
      <c r="J32" t="s">
        <v>19</v>
      </c>
      <c r="K32" s="26">
        <v>29.38</v>
      </c>
      <c r="L32" s="27"/>
      <c r="M32">
        <v>37.89</v>
      </c>
      <c r="N32">
        <v>38.68</v>
      </c>
      <c r="O32" s="26">
        <v>32.200000000000003</v>
      </c>
    </row>
    <row r="33" spans="1:15" x14ac:dyDescent="0.25">
      <c r="A33" t="s">
        <v>20</v>
      </c>
      <c r="B33">
        <v>17.91</v>
      </c>
      <c r="C33">
        <v>21.72</v>
      </c>
      <c r="D33">
        <v>17.07</v>
      </c>
      <c r="E33">
        <v>5.85</v>
      </c>
      <c r="F33">
        <v>21.75</v>
      </c>
      <c r="J33" t="s">
        <v>20</v>
      </c>
      <c r="K33">
        <v>28.92</v>
      </c>
      <c r="L33">
        <v>34.54</v>
      </c>
      <c r="M33">
        <v>27.67</v>
      </c>
      <c r="N33">
        <v>10.32</v>
      </c>
      <c r="O33">
        <v>34.590000000000003</v>
      </c>
    </row>
    <row r="34" spans="1:15" x14ac:dyDescent="0.25">
      <c r="A34" t="s">
        <v>21</v>
      </c>
      <c r="B34">
        <v>12.7</v>
      </c>
      <c r="C34">
        <v>13.95</v>
      </c>
      <c r="D34">
        <v>15.05</v>
      </c>
      <c r="E34">
        <v>15.08</v>
      </c>
      <c r="F34">
        <v>23.73</v>
      </c>
      <c r="J34" t="s">
        <v>21</v>
      </c>
      <c r="K34">
        <v>21.07</v>
      </c>
      <c r="L34">
        <v>22.97</v>
      </c>
      <c r="M34">
        <v>24.63</v>
      </c>
      <c r="N34">
        <v>24.69</v>
      </c>
      <c r="O34">
        <v>37.479999999999997</v>
      </c>
    </row>
    <row r="35" spans="1:15" x14ac:dyDescent="0.25">
      <c r="A35" t="s">
        <v>22</v>
      </c>
      <c r="B35">
        <v>27.51</v>
      </c>
      <c r="C35">
        <v>23.93</v>
      </c>
      <c r="D35">
        <v>17.579999999999998</v>
      </c>
      <c r="E35">
        <v>17.809999999999999</v>
      </c>
      <c r="F35">
        <v>22.64</v>
      </c>
      <c r="J35" t="s">
        <v>22</v>
      </c>
      <c r="K35">
        <v>42.96</v>
      </c>
      <c r="L35">
        <v>37.770000000000003</v>
      </c>
      <c r="M35">
        <v>28.42</v>
      </c>
      <c r="N35">
        <v>28.77</v>
      </c>
      <c r="O35">
        <v>35.9</v>
      </c>
    </row>
    <row r="36" spans="1:15" x14ac:dyDescent="0.25">
      <c r="A36" t="s">
        <v>23</v>
      </c>
      <c r="B36">
        <v>30.47</v>
      </c>
      <c r="C36">
        <v>13.4</v>
      </c>
      <c r="D36">
        <v>62.07</v>
      </c>
      <c r="E36">
        <v>25.91</v>
      </c>
      <c r="F36">
        <v>15.09</v>
      </c>
      <c r="J36" t="s">
        <v>23</v>
      </c>
      <c r="K36">
        <v>47.2</v>
      </c>
      <c r="L36">
        <v>22.14</v>
      </c>
      <c r="M36">
        <v>90.94</v>
      </c>
      <c r="N36">
        <v>40.64</v>
      </c>
      <c r="O36">
        <v>24.7</v>
      </c>
    </row>
    <row r="38" spans="1:15" x14ac:dyDescent="0.25">
      <c r="B38" s="3"/>
      <c r="C38" s="3"/>
      <c r="D38" s="3"/>
      <c r="E38" s="3"/>
      <c r="F38" s="3"/>
      <c r="G38" s="3"/>
      <c r="I38" s="3"/>
      <c r="K38" s="3"/>
      <c r="L38" s="3"/>
      <c r="M38" s="3"/>
      <c r="N38" s="3"/>
      <c r="O38" s="3"/>
    </row>
    <row r="39" spans="1:15" x14ac:dyDescent="0.25">
      <c r="B39" s="3"/>
      <c r="C39" s="3"/>
      <c r="D39" s="3"/>
      <c r="E39" s="3"/>
      <c r="F39" s="3"/>
      <c r="G39" s="3"/>
      <c r="I39" s="3"/>
      <c r="K39" s="3"/>
      <c r="L39" s="3"/>
      <c r="M39" s="3"/>
      <c r="N39" s="3"/>
      <c r="O39" s="3"/>
    </row>
  </sheetData>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A35"/>
  <sheetViews>
    <sheetView zoomScale="85" zoomScaleNormal="85" workbookViewId="0">
      <selection activeCell="L40" sqref="L40"/>
    </sheetView>
  </sheetViews>
  <sheetFormatPr defaultRowHeight="15" x14ac:dyDescent="0.25"/>
  <cols>
    <col min="27" max="27" width="12.28515625" bestFit="1" customWidth="1"/>
  </cols>
  <sheetData>
    <row r="1" spans="1:20" x14ac:dyDescent="0.25">
      <c r="A1" t="s">
        <v>26</v>
      </c>
      <c r="B1" t="s">
        <v>67</v>
      </c>
      <c r="C1" t="s">
        <v>72</v>
      </c>
      <c r="D1">
        <v>0</v>
      </c>
      <c r="E1">
        <v>15</v>
      </c>
      <c r="F1">
        <v>30</v>
      </c>
      <c r="G1">
        <v>45</v>
      </c>
      <c r="H1">
        <v>60</v>
      </c>
      <c r="I1">
        <v>75</v>
      </c>
      <c r="J1">
        <v>90</v>
      </c>
      <c r="K1">
        <v>105</v>
      </c>
      <c r="L1">
        <v>120</v>
      </c>
    </row>
    <row r="2" spans="1:20" x14ac:dyDescent="0.25">
      <c r="A2" t="s">
        <v>5</v>
      </c>
      <c r="B2">
        <v>3.2189999999999999</v>
      </c>
      <c r="D2">
        <v>108.9</v>
      </c>
      <c r="E2">
        <v>76.34</v>
      </c>
      <c r="F2">
        <v>56.78</v>
      </c>
      <c r="G2">
        <v>44.71</v>
      </c>
      <c r="H2">
        <v>40.32</v>
      </c>
      <c r="I2">
        <v>38.450000000000003</v>
      </c>
      <c r="J2">
        <v>36.22</v>
      </c>
      <c r="K2">
        <v>34.17</v>
      </c>
      <c r="L2">
        <v>30.09</v>
      </c>
    </row>
    <row r="3" spans="1:20" x14ac:dyDescent="0.25">
      <c r="A3" t="s">
        <v>7</v>
      </c>
      <c r="B3">
        <v>3.8959999999999999</v>
      </c>
      <c r="C3" s="13"/>
      <c r="D3">
        <v>12.22</v>
      </c>
      <c r="E3">
        <v>11.07</v>
      </c>
      <c r="F3">
        <v>11.33</v>
      </c>
      <c r="G3">
        <v>11.7</v>
      </c>
      <c r="H3">
        <v>10.69</v>
      </c>
      <c r="I3">
        <v>9.9120000000000008</v>
      </c>
      <c r="J3">
        <v>10.09</v>
      </c>
      <c r="K3">
        <v>9.0809999999999995</v>
      </c>
      <c r="L3">
        <v>8.0429999999999993</v>
      </c>
      <c r="N3" s="2"/>
      <c r="O3" s="2"/>
      <c r="P3" s="2"/>
      <c r="Q3" s="2"/>
      <c r="R3" s="2"/>
      <c r="S3" s="2"/>
      <c r="T3" s="2"/>
    </row>
    <row r="4" spans="1:20" x14ac:dyDescent="0.25">
      <c r="A4" t="s">
        <v>10</v>
      </c>
      <c r="B4">
        <v>4.6230000000000002</v>
      </c>
      <c r="C4" s="13"/>
      <c r="D4">
        <v>13.26</v>
      </c>
      <c r="E4">
        <v>12.27</v>
      </c>
      <c r="F4">
        <v>12.42</v>
      </c>
      <c r="G4">
        <v>11.44</v>
      </c>
      <c r="H4">
        <v>10.08</v>
      </c>
      <c r="I4">
        <v>10.69</v>
      </c>
      <c r="J4">
        <v>10.95</v>
      </c>
      <c r="K4">
        <v>10.65</v>
      </c>
      <c r="L4">
        <v>11.38</v>
      </c>
    </row>
    <row r="5" spans="1:20" x14ac:dyDescent="0.25">
      <c r="A5" t="s">
        <v>11</v>
      </c>
      <c r="B5">
        <v>4.17</v>
      </c>
      <c r="C5">
        <v>28.79</v>
      </c>
      <c r="D5">
        <v>59.65</v>
      </c>
      <c r="E5">
        <v>35.26</v>
      </c>
      <c r="F5">
        <v>30.25</v>
      </c>
      <c r="G5">
        <v>24.46</v>
      </c>
      <c r="H5">
        <v>23.57</v>
      </c>
      <c r="I5">
        <v>24.23</v>
      </c>
      <c r="J5">
        <v>20.260000000000002</v>
      </c>
      <c r="K5">
        <v>20.07</v>
      </c>
      <c r="L5">
        <v>20.41</v>
      </c>
    </row>
    <row r="6" spans="1:20" x14ac:dyDescent="0.25">
      <c r="A6" t="s">
        <v>12</v>
      </c>
      <c r="B6">
        <v>3.8889999999999998</v>
      </c>
      <c r="C6" s="13"/>
      <c r="D6">
        <v>34.79</v>
      </c>
      <c r="E6">
        <v>31.4</v>
      </c>
      <c r="F6">
        <v>30.96</v>
      </c>
      <c r="G6">
        <v>32.51</v>
      </c>
      <c r="H6">
        <v>31.84</v>
      </c>
      <c r="I6">
        <v>33.590000000000003</v>
      </c>
      <c r="J6">
        <v>33.369999999999997</v>
      </c>
      <c r="K6">
        <v>33.049999999999997</v>
      </c>
      <c r="L6">
        <v>33.74</v>
      </c>
    </row>
    <row r="7" spans="1:20" x14ac:dyDescent="0.25">
      <c r="A7" t="s">
        <v>13</v>
      </c>
      <c r="B7">
        <v>0.69899999999999995</v>
      </c>
      <c r="D7">
        <v>0.97199999999999998</v>
      </c>
      <c r="E7">
        <v>0.7782</v>
      </c>
      <c r="F7" s="17">
        <v>0.69899999999999995</v>
      </c>
      <c r="G7" s="17">
        <v>0.69899999999999995</v>
      </c>
      <c r="H7" s="17">
        <v>0.69899999999999995</v>
      </c>
      <c r="I7" s="17">
        <v>0.77090000000000003</v>
      </c>
      <c r="J7" s="17">
        <v>0.80479999999999996</v>
      </c>
      <c r="K7" s="17">
        <v>0.69899999999999995</v>
      </c>
      <c r="L7" s="17">
        <v>0.69899999999999995</v>
      </c>
      <c r="M7" s="17"/>
      <c r="Q7" s="17"/>
      <c r="R7" s="17"/>
      <c r="S7" s="17"/>
    </row>
    <row r="8" spans="1:20" x14ac:dyDescent="0.25">
      <c r="A8" t="s">
        <v>14</v>
      </c>
      <c r="B8">
        <v>7.4240000000000004</v>
      </c>
      <c r="D8">
        <v>17.39</v>
      </c>
      <c r="E8">
        <v>14.68</v>
      </c>
      <c r="F8">
        <v>14.85</v>
      </c>
      <c r="G8">
        <v>13.92</v>
      </c>
      <c r="H8">
        <v>13.72</v>
      </c>
      <c r="I8">
        <v>13.09</v>
      </c>
      <c r="J8">
        <v>13.18</v>
      </c>
      <c r="K8">
        <v>15.19</v>
      </c>
      <c r="L8">
        <v>13.06</v>
      </c>
    </row>
    <row r="9" spans="1:20" x14ac:dyDescent="0.25">
      <c r="A9" t="s">
        <v>15</v>
      </c>
      <c r="B9">
        <v>3.02</v>
      </c>
      <c r="D9">
        <v>26.82</v>
      </c>
      <c r="E9">
        <v>20.23</v>
      </c>
      <c r="F9">
        <v>18.36</v>
      </c>
      <c r="G9">
        <v>16.88</v>
      </c>
      <c r="H9">
        <v>16.059999999999999</v>
      </c>
      <c r="I9">
        <v>15.44</v>
      </c>
      <c r="J9">
        <v>15.84</v>
      </c>
      <c r="K9">
        <v>14.9</v>
      </c>
      <c r="L9">
        <v>15.71</v>
      </c>
    </row>
    <row r="10" spans="1:20" x14ac:dyDescent="0.25">
      <c r="A10" t="s">
        <v>16</v>
      </c>
      <c r="B10">
        <v>7.3959999999999999</v>
      </c>
      <c r="D10">
        <v>19.2</v>
      </c>
      <c r="E10">
        <v>17.07</v>
      </c>
      <c r="F10">
        <v>18.100000000000001</v>
      </c>
      <c r="G10">
        <v>16.559999999999999</v>
      </c>
      <c r="H10">
        <v>14.7</v>
      </c>
      <c r="I10">
        <v>17.760000000000002</v>
      </c>
      <c r="J10">
        <v>17.52</v>
      </c>
      <c r="K10">
        <v>17.95</v>
      </c>
      <c r="L10">
        <v>17.25</v>
      </c>
    </row>
    <row r="11" spans="1:20" x14ac:dyDescent="0.25">
      <c r="A11" t="s">
        <v>17</v>
      </c>
      <c r="B11">
        <v>6.3049999999999997</v>
      </c>
      <c r="C11">
        <v>38.020000000000003</v>
      </c>
      <c r="D11">
        <v>157.9</v>
      </c>
      <c r="E11">
        <v>118</v>
      </c>
      <c r="F11">
        <v>98.95</v>
      </c>
      <c r="G11">
        <v>87.69</v>
      </c>
      <c r="H11">
        <v>84.36</v>
      </c>
      <c r="I11">
        <v>79.72</v>
      </c>
      <c r="J11">
        <v>74.73</v>
      </c>
      <c r="K11">
        <v>67.38</v>
      </c>
      <c r="L11">
        <v>69.48</v>
      </c>
    </row>
    <row r="12" spans="1:20" x14ac:dyDescent="0.25">
      <c r="A12" t="s">
        <v>18</v>
      </c>
      <c r="B12">
        <v>6.2839999999999998</v>
      </c>
      <c r="D12">
        <v>15.58</v>
      </c>
      <c r="E12">
        <v>14.69</v>
      </c>
      <c r="F12">
        <v>14.68</v>
      </c>
      <c r="G12">
        <v>13.31</v>
      </c>
      <c r="H12">
        <v>13.71</v>
      </c>
      <c r="I12" s="2"/>
      <c r="J12" s="2"/>
      <c r="K12" s="2"/>
      <c r="L12">
        <v>12.23</v>
      </c>
      <c r="N12" s="2"/>
      <c r="O12" s="2"/>
      <c r="P12" s="2"/>
      <c r="Q12" s="2"/>
      <c r="R12" s="2"/>
      <c r="S12" s="2"/>
      <c r="T12" s="2"/>
    </row>
    <row r="13" spans="1:20" x14ac:dyDescent="0.25">
      <c r="A13" t="s">
        <v>19</v>
      </c>
      <c r="B13">
        <v>2.7440000000000002</v>
      </c>
      <c r="D13">
        <v>18.7</v>
      </c>
      <c r="E13">
        <v>23.54</v>
      </c>
      <c r="F13">
        <v>20.91</v>
      </c>
      <c r="G13">
        <v>19.5</v>
      </c>
      <c r="H13">
        <v>17.84</v>
      </c>
      <c r="I13">
        <v>18.34</v>
      </c>
      <c r="J13">
        <v>18.670000000000002</v>
      </c>
      <c r="K13">
        <v>19.170000000000002</v>
      </c>
      <c r="L13">
        <v>19.25</v>
      </c>
    </row>
    <row r="14" spans="1:20" x14ac:dyDescent="0.25">
      <c r="A14" t="s">
        <v>20</v>
      </c>
      <c r="B14">
        <v>2.7450000000000001</v>
      </c>
      <c r="C14">
        <v>10.81</v>
      </c>
      <c r="D14">
        <v>17.600000000000001</v>
      </c>
      <c r="E14">
        <v>10.82</v>
      </c>
      <c r="F14">
        <v>11.47</v>
      </c>
      <c r="G14">
        <v>9.4770000000000003</v>
      </c>
      <c r="H14">
        <v>9.3469999999999995</v>
      </c>
      <c r="I14">
        <v>9.7319999999999993</v>
      </c>
      <c r="J14">
        <v>10.26</v>
      </c>
      <c r="K14">
        <v>9.3070000000000004</v>
      </c>
      <c r="L14">
        <v>9.548</v>
      </c>
    </row>
    <row r="15" spans="1:20" x14ac:dyDescent="0.25">
      <c r="A15" t="s">
        <v>21</v>
      </c>
      <c r="B15">
        <v>5.0919999999999996</v>
      </c>
      <c r="C15">
        <v>12.58</v>
      </c>
      <c r="D15">
        <v>20.329999999999998</v>
      </c>
      <c r="E15">
        <v>14.74</v>
      </c>
      <c r="F15">
        <v>12.42</v>
      </c>
      <c r="G15">
        <v>12.4</v>
      </c>
      <c r="H15">
        <v>12.7</v>
      </c>
      <c r="I15">
        <v>12.97</v>
      </c>
      <c r="J15">
        <v>12.79</v>
      </c>
      <c r="K15">
        <v>13.05</v>
      </c>
      <c r="L15">
        <v>12.25</v>
      </c>
    </row>
    <row r="16" spans="1:20" x14ac:dyDescent="0.25">
      <c r="A16" t="s">
        <v>22</v>
      </c>
      <c r="B16">
        <v>7.2460000000000004</v>
      </c>
      <c r="C16">
        <v>22.83</v>
      </c>
      <c r="D16">
        <v>69.650000000000006</v>
      </c>
      <c r="E16">
        <v>46.15</v>
      </c>
      <c r="F16">
        <v>37.17</v>
      </c>
      <c r="G16">
        <v>32.86</v>
      </c>
      <c r="H16">
        <v>31.73</v>
      </c>
      <c r="I16">
        <v>30.48</v>
      </c>
      <c r="J16">
        <v>30.44</v>
      </c>
      <c r="K16">
        <v>29.64</v>
      </c>
      <c r="L16">
        <v>26.19</v>
      </c>
    </row>
    <row r="17" spans="1:27" x14ac:dyDescent="0.25">
      <c r="A17" t="s">
        <v>23</v>
      </c>
      <c r="B17">
        <v>2.4590000000000001</v>
      </c>
      <c r="C17" s="2"/>
      <c r="D17">
        <v>10.76</v>
      </c>
      <c r="E17">
        <v>9.1980000000000004</v>
      </c>
      <c r="F17">
        <v>9.5129999999999999</v>
      </c>
      <c r="G17">
        <v>8.5050000000000008</v>
      </c>
      <c r="H17">
        <v>8.8960000000000008</v>
      </c>
      <c r="I17">
        <v>9.0150000000000006</v>
      </c>
      <c r="J17">
        <v>9.5139999999999993</v>
      </c>
      <c r="K17">
        <v>9.9250000000000007</v>
      </c>
      <c r="L17">
        <v>8.7210000000000001</v>
      </c>
    </row>
    <row r="19" spans="1:27" ht="15.75" x14ac:dyDescent="0.25">
      <c r="A19" t="s">
        <v>25</v>
      </c>
      <c r="AA19" s="30"/>
    </row>
    <row r="20" spans="1:27" ht="15.75" x14ac:dyDescent="0.25">
      <c r="A20" t="s">
        <v>5</v>
      </c>
      <c r="B20">
        <v>3.4740000000000002</v>
      </c>
      <c r="D20">
        <v>208.6</v>
      </c>
      <c r="E20">
        <v>74.81</v>
      </c>
      <c r="F20">
        <v>56.31</v>
      </c>
      <c r="G20">
        <v>44.03</v>
      </c>
      <c r="H20">
        <v>36.42</v>
      </c>
      <c r="I20">
        <v>31.17</v>
      </c>
      <c r="J20">
        <v>27.46</v>
      </c>
      <c r="K20">
        <v>23.97</v>
      </c>
      <c r="L20">
        <v>20.100000000000001</v>
      </c>
      <c r="AA20" s="30"/>
    </row>
    <row r="21" spans="1:27" x14ac:dyDescent="0.25">
      <c r="A21" t="s">
        <v>7</v>
      </c>
      <c r="B21">
        <v>2.4359999999999999</v>
      </c>
      <c r="D21">
        <v>3.63</v>
      </c>
      <c r="E21">
        <v>3.9140000000000001</v>
      </c>
      <c r="F21">
        <v>3.5609999999999999</v>
      </c>
      <c r="G21">
        <v>3.2679999999999998</v>
      </c>
      <c r="H21">
        <v>3.5030000000000001</v>
      </c>
      <c r="I21">
        <v>3.641</v>
      </c>
      <c r="J21">
        <v>3.528</v>
      </c>
      <c r="K21">
        <v>3.59</v>
      </c>
      <c r="L21">
        <v>3.177</v>
      </c>
    </row>
    <row r="22" spans="1:27" x14ac:dyDescent="0.25">
      <c r="A22" t="s">
        <v>10</v>
      </c>
      <c r="B22">
        <v>3.355</v>
      </c>
      <c r="C22">
        <v>3.2629999999999999</v>
      </c>
      <c r="D22">
        <v>3.1779999999999999</v>
      </c>
      <c r="E22">
        <v>2.7730000000000001</v>
      </c>
      <c r="F22">
        <v>2.9350000000000001</v>
      </c>
      <c r="G22">
        <v>2.903</v>
      </c>
      <c r="H22">
        <v>2.5760000000000001</v>
      </c>
      <c r="I22">
        <v>2.9020000000000001</v>
      </c>
      <c r="J22">
        <v>3.3860000000000001</v>
      </c>
      <c r="K22">
        <v>2.9470000000000001</v>
      </c>
      <c r="L22">
        <v>2.9369999999999998</v>
      </c>
    </row>
    <row r="23" spans="1:27" x14ac:dyDescent="0.25">
      <c r="A23" t="s">
        <v>11</v>
      </c>
      <c r="B23">
        <v>5.5289999999999999</v>
      </c>
      <c r="C23">
        <v>4.9619999999999997</v>
      </c>
      <c r="D23">
        <v>14.19</v>
      </c>
      <c r="E23">
        <v>6.0629999999999997</v>
      </c>
      <c r="F23">
        <v>4.7640000000000002</v>
      </c>
      <c r="G23">
        <v>5.2939999999999996</v>
      </c>
      <c r="H23">
        <v>3.9390000000000001</v>
      </c>
      <c r="I23">
        <v>4.6849999999999996</v>
      </c>
      <c r="J23">
        <v>4.7030000000000003</v>
      </c>
      <c r="K23">
        <v>4.2309999999999999</v>
      </c>
      <c r="L23">
        <v>4.57</v>
      </c>
    </row>
    <row r="24" spans="1:27" x14ac:dyDescent="0.25">
      <c r="A24" t="s">
        <v>12</v>
      </c>
      <c r="B24">
        <v>3.4790000000000001</v>
      </c>
      <c r="D24">
        <v>2.9889999999999999</v>
      </c>
      <c r="E24">
        <v>3.2719999999999998</v>
      </c>
      <c r="F24">
        <v>3.028</v>
      </c>
      <c r="G24">
        <v>3.04</v>
      </c>
      <c r="H24">
        <v>3.1389999999999998</v>
      </c>
      <c r="I24">
        <v>3.1440000000000001</v>
      </c>
      <c r="J24">
        <v>3.1819999999999999</v>
      </c>
      <c r="K24">
        <v>3.66</v>
      </c>
      <c r="L24">
        <v>3.15</v>
      </c>
    </row>
    <row r="25" spans="1:27" x14ac:dyDescent="0.25">
      <c r="A25" t="s">
        <v>13</v>
      </c>
      <c r="B25">
        <v>0.69899999999999995</v>
      </c>
      <c r="D25">
        <v>0.74260000000000004</v>
      </c>
      <c r="E25">
        <v>0.74480000000000002</v>
      </c>
      <c r="F25">
        <v>0.69899999999999995</v>
      </c>
      <c r="G25">
        <v>0.69899999999999995</v>
      </c>
      <c r="H25">
        <v>0.80130000000000001</v>
      </c>
      <c r="I25">
        <v>0.84670000000000001</v>
      </c>
      <c r="J25">
        <v>0.69899999999999995</v>
      </c>
      <c r="K25">
        <v>0.69899999999999995</v>
      </c>
      <c r="L25">
        <v>0.87529999999999997</v>
      </c>
      <c r="P25" s="17"/>
      <c r="Q25" s="17"/>
      <c r="R25" s="17"/>
      <c r="S25" s="17"/>
    </row>
    <row r="26" spans="1:27" x14ac:dyDescent="0.25">
      <c r="A26" t="s">
        <v>14</v>
      </c>
      <c r="B26">
        <v>6.33</v>
      </c>
      <c r="C26">
        <v>5.5140000000000002</v>
      </c>
      <c r="D26">
        <v>10.55</v>
      </c>
      <c r="E26">
        <v>7.0750000000000002</v>
      </c>
      <c r="F26">
        <v>6.7690000000000001</v>
      </c>
      <c r="G26">
        <v>5.6280000000000001</v>
      </c>
      <c r="H26">
        <v>5.3769999999999998</v>
      </c>
      <c r="I26">
        <v>5.125</v>
      </c>
      <c r="J26">
        <v>4.5949999999999998</v>
      </c>
      <c r="K26">
        <v>4.8860000000000001</v>
      </c>
      <c r="L26">
        <v>4.8170000000000002</v>
      </c>
      <c r="P26" s="17"/>
      <c r="Q26" s="17"/>
      <c r="R26" s="17"/>
      <c r="S26" s="17"/>
    </row>
    <row r="27" spans="1:27" x14ac:dyDescent="0.25">
      <c r="A27" t="s">
        <v>15</v>
      </c>
      <c r="B27">
        <v>5</v>
      </c>
      <c r="D27">
        <v>4.1550000000000002</v>
      </c>
      <c r="E27">
        <v>3.0779999999999998</v>
      </c>
      <c r="F27">
        <v>2.4780000000000002</v>
      </c>
      <c r="G27">
        <v>2.62</v>
      </c>
      <c r="H27">
        <v>2.1269999999999998</v>
      </c>
      <c r="I27">
        <v>2.2010000000000001</v>
      </c>
      <c r="J27">
        <v>2.399</v>
      </c>
      <c r="K27">
        <v>2.786</v>
      </c>
      <c r="L27">
        <v>2.6040000000000001</v>
      </c>
    </row>
    <row r="28" spans="1:27" x14ac:dyDescent="0.25">
      <c r="A28" t="s">
        <v>16</v>
      </c>
      <c r="B28">
        <v>7.6760000000000002</v>
      </c>
      <c r="D28">
        <v>7.6740000000000004</v>
      </c>
      <c r="E28">
        <v>7.04</v>
      </c>
      <c r="F28">
        <v>5.9850000000000003</v>
      </c>
      <c r="G28">
        <v>6.242</v>
      </c>
      <c r="H28">
        <v>5.2080000000000002</v>
      </c>
      <c r="I28">
        <v>4.9080000000000004</v>
      </c>
      <c r="J28">
        <v>5.077</v>
      </c>
      <c r="K28">
        <v>5.0510000000000002</v>
      </c>
      <c r="L28">
        <v>5.2469999999999999</v>
      </c>
    </row>
    <row r="29" spans="1:27" x14ac:dyDescent="0.25">
      <c r="A29" t="s">
        <v>17</v>
      </c>
      <c r="B29">
        <v>4.5069999999999997</v>
      </c>
      <c r="C29">
        <v>13</v>
      </c>
      <c r="D29">
        <v>57.98</v>
      </c>
      <c r="E29" s="2"/>
      <c r="F29">
        <v>40.24</v>
      </c>
      <c r="G29">
        <v>28.63</v>
      </c>
      <c r="H29">
        <v>21.3</v>
      </c>
      <c r="I29">
        <v>16.28</v>
      </c>
      <c r="J29">
        <v>15.28</v>
      </c>
      <c r="K29">
        <v>13.22</v>
      </c>
      <c r="L29">
        <v>11.31</v>
      </c>
    </row>
    <row r="30" spans="1:27" x14ac:dyDescent="0.25">
      <c r="A30" t="s">
        <v>18</v>
      </c>
      <c r="B30">
        <v>4.742</v>
      </c>
      <c r="D30">
        <v>4.5289999999999999</v>
      </c>
      <c r="E30">
        <v>4.2670000000000003</v>
      </c>
      <c r="F30">
        <v>4.13</v>
      </c>
      <c r="G30">
        <v>3.8250000000000002</v>
      </c>
      <c r="H30">
        <v>3.996</v>
      </c>
      <c r="I30">
        <v>3.6669999999999998</v>
      </c>
      <c r="J30">
        <v>3.0510000000000002</v>
      </c>
      <c r="K30">
        <v>2.3849999999999998</v>
      </c>
      <c r="L30">
        <v>2.7690000000000001</v>
      </c>
    </row>
    <row r="31" spans="1:27" x14ac:dyDescent="0.25">
      <c r="A31" t="s">
        <v>19</v>
      </c>
      <c r="B31">
        <v>3.403</v>
      </c>
      <c r="D31">
        <v>3.8450000000000002</v>
      </c>
      <c r="E31">
        <v>3.6629999999999998</v>
      </c>
      <c r="F31">
        <v>3.6880000000000002</v>
      </c>
      <c r="G31">
        <v>3.6840000000000002</v>
      </c>
      <c r="H31">
        <v>3.1259999999999999</v>
      </c>
      <c r="I31">
        <v>2.7029999999999998</v>
      </c>
      <c r="J31">
        <v>3.077</v>
      </c>
      <c r="K31">
        <v>2.8319999999999999</v>
      </c>
      <c r="L31">
        <v>2.5819999999999999</v>
      </c>
    </row>
    <row r="32" spans="1:27" x14ac:dyDescent="0.25">
      <c r="A32" t="s">
        <v>20</v>
      </c>
      <c r="B32">
        <v>2.2839999999999998</v>
      </c>
      <c r="C32">
        <v>2.2749999999999999</v>
      </c>
      <c r="D32">
        <v>13.17</v>
      </c>
      <c r="E32">
        <v>7.9889999999999999</v>
      </c>
      <c r="F32">
        <v>6.2670000000000003</v>
      </c>
      <c r="G32">
        <v>5.1719999999999997</v>
      </c>
      <c r="H32">
        <v>4.915</v>
      </c>
      <c r="I32">
        <v>4.9569999999999999</v>
      </c>
      <c r="J32">
        <v>4.2869999999999999</v>
      </c>
      <c r="K32">
        <v>3.9260000000000002</v>
      </c>
      <c r="L32">
        <v>4.4279999999999999</v>
      </c>
    </row>
    <row r="33" spans="1:12" x14ac:dyDescent="0.25">
      <c r="A33" t="s">
        <v>21</v>
      </c>
      <c r="B33">
        <v>5.0259999999999998</v>
      </c>
      <c r="C33">
        <v>3.673</v>
      </c>
      <c r="D33">
        <v>4.4790000000000001</v>
      </c>
      <c r="E33">
        <v>4.4400000000000004</v>
      </c>
      <c r="F33">
        <v>3.6539999999999999</v>
      </c>
      <c r="G33">
        <v>2.9710000000000001</v>
      </c>
      <c r="H33">
        <v>2.5680000000000001</v>
      </c>
      <c r="I33">
        <v>3.0390000000000001</v>
      </c>
      <c r="J33">
        <v>2.78</v>
      </c>
      <c r="K33">
        <v>2.8849999999999998</v>
      </c>
      <c r="L33">
        <v>3.0179999999999998</v>
      </c>
    </row>
    <row r="34" spans="1:12" x14ac:dyDescent="0.25">
      <c r="A34" t="s">
        <v>22</v>
      </c>
      <c r="B34">
        <v>6.9409999999999998</v>
      </c>
      <c r="C34">
        <v>6.6970000000000001</v>
      </c>
      <c r="D34">
        <v>10.37</v>
      </c>
      <c r="E34">
        <v>8.0449999999999999</v>
      </c>
      <c r="F34">
        <v>8.2579999999999991</v>
      </c>
      <c r="G34">
        <v>7.5110000000000001</v>
      </c>
      <c r="H34">
        <v>6.8769999999999998</v>
      </c>
      <c r="I34">
        <v>6.94</v>
      </c>
      <c r="J34">
        <v>6.88</v>
      </c>
      <c r="K34">
        <v>6.891</v>
      </c>
      <c r="L34">
        <v>6.97</v>
      </c>
    </row>
    <row r="35" spans="1:12" x14ac:dyDescent="0.25">
      <c r="A35" t="s">
        <v>23</v>
      </c>
      <c r="B35">
        <v>3.1030000000000002</v>
      </c>
      <c r="C35">
        <v>4.484</v>
      </c>
      <c r="D35">
        <v>4.4240000000000004</v>
      </c>
      <c r="E35">
        <v>3.512</v>
      </c>
      <c r="F35">
        <v>3.9529999999999998</v>
      </c>
      <c r="G35">
        <v>3.5409999999999999</v>
      </c>
      <c r="H35">
        <v>3.6320000000000001</v>
      </c>
      <c r="I35">
        <v>3.3639999999999999</v>
      </c>
      <c r="J35">
        <v>3.6030000000000002</v>
      </c>
      <c r="K35">
        <v>4.2960000000000003</v>
      </c>
      <c r="L35">
        <v>3.274</v>
      </c>
    </row>
  </sheetData>
  <pageMargins left="0.7" right="0.7" top="0.75" bottom="0.75" header="0.3" footer="0.3"/>
  <pageSetup paperSize="9" orientation="portrait" verticalDpi="0" r:id="rId1"/>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5"/>
  <sheetViews>
    <sheetView workbookViewId="0">
      <selection activeCell="F34" sqref="F34"/>
    </sheetView>
  </sheetViews>
  <sheetFormatPr defaultRowHeight="15" x14ac:dyDescent="0.25"/>
  <sheetData>
    <row r="1" spans="1:6" x14ac:dyDescent="0.25">
      <c r="A1" s="2" t="s">
        <v>26</v>
      </c>
      <c r="B1" s="2" t="s">
        <v>67</v>
      </c>
      <c r="C1" s="2" t="s">
        <v>68</v>
      </c>
      <c r="D1" s="2">
        <v>0</v>
      </c>
      <c r="E1" s="2">
        <v>60</v>
      </c>
      <c r="F1" s="2">
        <v>120</v>
      </c>
    </row>
    <row r="2" spans="1:6" x14ac:dyDescent="0.25">
      <c r="A2" s="2" t="s">
        <v>5</v>
      </c>
      <c r="B2" s="2">
        <v>2.75</v>
      </c>
      <c r="C2" s="2"/>
      <c r="D2" s="2">
        <v>17.21</v>
      </c>
      <c r="E2" s="2">
        <v>3.41</v>
      </c>
      <c r="F2" s="2">
        <v>2.0099999999999998</v>
      </c>
    </row>
    <row r="3" spans="1:6" x14ac:dyDescent="0.25">
      <c r="A3" s="2" t="s">
        <v>7</v>
      </c>
      <c r="B3" s="2">
        <v>3.44</v>
      </c>
      <c r="C3" s="2"/>
      <c r="D3" s="7">
        <v>5.47</v>
      </c>
      <c r="E3" s="2">
        <v>2.98</v>
      </c>
      <c r="F3" s="2">
        <v>3.36</v>
      </c>
    </row>
    <row r="4" spans="1:6" x14ac:dyDescent="0.25">
      <c r="A4" s="2" t="s">
        <v>10</v>
      </c>
      <c r="B4" s="2">
        <v>9.19</v>
      </c>
      <c r="C4" s="7"/>
      <c r="D4" s="2">
        <v>4.22</v>
      </c>
      <c r="E4" s="2">
        <v>3.95</v>
      </c>
      <c r="F4" s="2">
        <v>3.23</v>
      </c>
    </row>
    <row r="5" spans="1:6" x14ac:dyDescent="0.25">
      <c r="A5" s="2" t="s">
        <v>11</v>
      </c>
      <c r="B5" s="2">
        <v>1.78</v>
      </c>
      <c r="C5" s="2">
        <v>1.7</v>
      </c>
      <c r="D5" s="2">
        <v>5.95</v>
      </c>
      <c r="E5" s="2">
        <v>1.81</v>
      </c>
      <c r="F5" s="2">
        <v>2.46</v>
      </c>
    </row>
    <row r="6" spans="1:6" x14ac:dyDescent="0.25">
      <c r="A6" s="2" t="s">
        <v>12</v>
      </c>
      <c r="B6" s="2">
        <v>2.92</v>
      </c>
      <c r="C6" s="2"/>
      <c r="D6" s="7">
        <v>2.35</v>
      </c>
      <c r="E6" s="2">
        <v>3.42</v>
      </c>
      <c r="F6" s="2">
        <v>2.56</v>
      </c>
    </row>
    <row r="7" spans="1:6" x14ac:dyDescent="0.25">
      <c r="A7" s="2" t="s">
        <v>13</v>
      </c>
      <c r="B7" s="2">
        <v>3.31</v>
      </c>
      <c r="D7" s="2">
        <v>2.33</v>
      </c>
      <c r="E7" s="2">
        <v>3.54</v>
      </c>
      <c r="F7" s="2">
        <v>3.58</v>
      </c>
    </row>
    <row r="8" spans="1:6" x14ac:dyDescent="0.25">
      <c r="A8" s="2" t="s">
        <v>14</v>
      </c>
      <c r="B8" s="2">
        <v>3.26</v>
      </c>
      <c r="C8" s="2"/>
      <c r="D8" s="2">
        <v>2.09</v>
      </c>
      <c r="E8" s="2">
        <v>2.86</v>
      </c>
      <c r="F8" s="2">
        <v>4.6399999999999997</v>
      </c>
    </row>
    <row r="9" spans="1:6" x14ac:dyDescent="0.25">
      <c r="A9" s="2" t="s">
        <v>15</v>
      </c>
      <c r="B9" s="2">
        <v>3.87</v>
      </c>
      <c r="C9" s="2"/>
      <c r="D9" s="2">
        <v>3.91</v>
      </c>
      <c r="E9" s="2">
        <v>1.8</v>
      </c>
      <c r="F9" s="2">
        <v>2.02</v>
      </c>
    </row>
    <row r="10" spans="1:6" x14ac:dyDescent="0.25">
      <c r="A10" s="2" t="s">
        <v>16</v>
      </c>
      <c r="B10" s="2">
        <v>3.13</v>
      </c>
      <c r="C10" s="2"/>
      <c r="D10" s="2">
        <v>2.09</v>
      </c>
      <c r="E10" s="2">
        <v>3.6</v>
      </c>
      <c r="F10" s="2">
        <v>3.13</v>
      </c>
    </row>
    <row r="11" spans="1:6" x14ac:dyDescent="0.25">
      <c r="A11" s="2" t="s">
        <v>17</v>
      </c>
      <c r="B11" s="2">
        <v>7.19</v>
      </c>
      <c r="C11" s="2">
        <v>3.26</v>
      </c>
      <c r="D11" s="2">
        <v>9.18</v>
      </c>
      <c r="E11" s="2">
        <v>1.65</v>
      </c>
      <c r="F11" s="2">
        <v>1.1100000000000001</v>
      </c>
    </row>
    <row r="12" spans="1:6" x14ac:dyDescent="0.25">
      <c r="A12" s="2" t="s">
        <v>18</v>
      </c>
      <c r="B12" s="2">
        <v>1.37</v>
      </c>
      <c r="C12" s="2"/>
      <c r="D12" s="2">
        <v>1.08</v>
      </c>
      <c r="E12" s="2">
        <v>0.625</v>
      </c>
      <c r="F12" s="2">
        <v>1.24</v>
      </c>
    </row>
    <row r="13" spans="1:6" x14ac:dyDescent="0.25">
      <c r="A13" s="2" t="s">
        <v>19</v>
      </c>
      <c r="B13" s="2">
        <v>1.7</v>
      </c>
      <c r="C13" s="2"/>
      <c r="D13" s="2">
        <v>1.1499999999999999</v>
      </c>
      <c r="E13" s="2">
        <v>0.64700000000000002</v>
      </c>
      <c r="F13" s="2">
        <v>0.70899999999999996</v>
      </c>
    </row>
    <row r="14" spans="1:6" x14ac:dyDescent="0.25">
      <c r="A14" s="2" t="s">
        <v>20</v>
      </c>
      <c r="B14" s="2">
        <v>2.76</v>
      </c>
      <c r="C14" s="2">
        <v>2.88</v>
      </c>
      <c r="D14" s="2">
        <v>16.39</v>
      </c>
      <c r="E14" s="2">
        <v>3.5</v>
      </c>
      <c r="F14" s="2">
        <v>2.92</v>
      </c>
    </row>
    <row r="15" spans="1:6" x14ac:dyDescent="0.25">
      <c r="A15" s="2" t="s">
        <v>21</v>
      </c>
      <c r="B15" s="2">
        <v>3.04</v>
      </c>
      <c r="C15" s="2">
        <v>1.64</v>
      </c>
      <c r="D15" s="2">
        <v>2.44</v>
      </c>
      <c r="E15" s="2">
        <v>1.42</v>
      </c>
      <c r="F15" s="2">
        <v>1.8</v>
      </c>
    </row>
    <row r="16" spans="1:6" x14ac:dyDescent="0.25">
      <c r="A16" s="2" t="s">
        <v>22</v>
      </c>
      <c r="B16" s="2">
        <v>3.44</v>
      </c>
      <c r="C16" s="2">
        <v>1.81</v>
      </c>
      <c r="D16" s="2">
        <v>14.14</v>
      </c>
      <c r="E16" s="2">
        <v>1.88</v>
      </c>
      <c r="F16" s="2">
        <v>1.05</v>
      </c>
    </row>
    <row r="17" spans="1:6" x14ac:dyDescent="0.25">
      <c r="A17" s="2" t="s">
        <v>23</v>
      </c>
      <c r="B17" s="2">
        <v>3.41</v>
      </c>
      <c r="C17" s="2">
        <v>2.61</v>
      </c>
      <c r="D17" s="2">
        <v>3.62</v>
      </c>
      <c r="E17" s="2">
        <v>4.21</v>
      </c>
      <c r="F17" s="2">
        <v>3.8</v>
      </c>
    </row>
    <row r="18" spans="1:6" x14ac:dyDescent="0.25">
      <c r="A18" s="2"/>
      <c r="B18" s="2"/>
      <c r="C18" s="2"/>
      <c r="D18" s="2"/>
      <c r="E18" s="2"/>
      <c r="F18" s="2"/>
    </row>
    <row r="19" spans="1:6" x14ac:dyDescent="0.25">
      <c r="A19" s="2" t="s">
        <v>25</v>
      </c>
      <c r="B19" s="2"/>
      <c r="C19" s="2"/>
      <c r="D19" s="2"/>
      <c r="E19" s="2"/>
      <c r="F19" s="2"/>
    </row>
    <row r="20" spans="1:6" x14ac:dyDescent="0.25">
      <c r="A20" s="2" t="s">
        <v>5</v>
      </c>
      <c r="B20" s="2">
        <v>4.55</v>
      </c>
      <c r="D20" s="2">
        <v>26.73</v>
      </c>
      <c r="E20" s="2">
        <v>3.74</v>
      </c>
      <c r="F20" s="2">
        <v>1.67</v>
      </c>
    </row>
    <row r="21" spans="1:6" x14ac:dyDescent="0.25">
      <c r="A21" s="2" t="s">
        <v>7</v>
      </c>
      <c r="B21" s="2">
        <v>2.78</v>
      </c>
      <c r="C21" s="2"/>
      <c r="D21" s="2">
        <v>4.25</v>
      </c>
      <c r="E21" s="2">
        <v>3.45</v>
      </c>
      <c r="F21" s="2">
        <v>3.14</v>
      </c>
    </row>
    <row r="22" spans="1:6" x14ac:dyDescent="0.25">
      <c r="A22" s="2" t="s">
        <v>10</v>
      </c>
      <c r="B22" s="2">
        <v>5.8</v>
      </c>
      <c r="C22" s="2">
        <v>6.43</v>
      </c>
      <c r="D22" s="2">
        <v>5.21</v>
      </c>
      <c r="E22" s="2">
        <v>3.91</v>
      </c>
      <c r="F22" s="2">
        <v>2.74</v>
      </c>
    </row>
    <row r="23" spans="1:6" x14ac:dyDescent="0.25">
      <c r="A23" s="2" t="s">
        <v>11</v>
      </c>
      <c r="B23" s="2">
        <v>1.77</v>
      </c>
      <c r="C23" s="2">
        <v>2.41</v>
      </c>
      <c r="D23" s="2">
        <v>9.4499999999999993</v>
      </c>
      <c r="E23" s="2">
        <v>3.05</v>
      </c>
      <c r="F23" s="2">
        <v>3.21</v>
      </c>
    </row>
    <row r="24" spans="1:6" x14ac:dyDescent="0.25">
      <c r="A24" s="2" t="s">
        <v>12</v>
      </c>
      <c r="B24" s="2">
        <v>2.88</v>
      </c>
      <c r="C24" s="2"/>
      <c r="D24" s="2">
        <v>3.41</v>
      </c>
      <c r="E24" s="2">
        <v>3.31</v>
      </c>
      <c r="F24" s="2">
        <v>4.0599999999999996</v>
      </c>
    </row>
    <row r="25" spans="1:6" x14ac:dyDescent="0.25">
      <c r="A25" s="2" t="s">
        <v>13</v>
      </c>
      <c r="B25" s="2">
        <v>3.05</v>
      </c>
      <c r="C25" s="2"/>
      <c r="D25" s="2">
        <v>3.1</v>
      </c>
      <c r="E25" s="2">
        <v>2.21</v>
      </c>
      <c r="F25" s="2">
        <v>2.57</v>
      </c>
    </row>
    <row r="26" spans="1:6" x14ac:dyDescent="0.25">
      <c r="A26" s="2" t="s">
        <v>14</v>
      </c>
      <c r="B26" s="2">
        <v>2.69</v>
      </c>
      <c r="C26" s="2">
        <v>1.95</v>
      </c>
      <c r="D26" s="2">
        <v>3.28</v>
      </c>
      <c r="E26" s="2">
        <v>1.51</v>
      </c>
      <c r="F26" s="2">
        <v>1.88</v>
      </c>
    </row>
    <row r="27" spans="1:6" x14ac:dyDescent="0.25">
      <c r="A27" s="2" t="s">
        <v>15</v>
      </c>
      <c r="B27" s="2">
        <v>6.14</v>
      </c>
      <c r="C27" s="2"/>
      <c r="D27" s="2">
        <v>6</v>
      </c>
      <c r="E27" s="2">
        <v>3.12</v>
      </c>
      <c r="F27" s="2">
        <v>2.71</v>
      </c>
    </row>
    <row r="28" spans="1:6" x14ac:dyDescent="0.25">
      <c r="A28" s="2" t="s">
        <v>16</v>
      </c>
      <c r="B28" s="2">
        <v>3.58</v>
      </c>
      <c r="D28" s="2">
        <v>2.81</v>
      </c>
      <c r="E28" s="2">
        <v>3.39</v>
      </c>
      <c r="F28" s="2">
        <v>3.02</v>
      </c>
    </row>
    <row r="29" spans="1:6" x14ac:dyDescent="0.25">
      <c r="A29" s="2" t="s">
        <v>17</v>
      </c>
      <c r="B29" s="2">
        <v>5.58</v>
      </c>
      <c r="C29" s="2">
        <v>4</v>
      </c>
      <c r="D29" s="2">
        <v>11.75</v>
      </c>
      <c r="E29" s="2">
        <v>3.03</v>
      </c>
      <c r="F29" s="2">
        <v>1.2</v>
      </c>
    </row>
    <row r="30" spans="1:6" x14ac:dyDescent="0.25">
      <c r="A30" s="2" t="s">
        <v>18</v>
      </c>
      <c r="B30" s="2">
        <v>1.61</v>
      </c>
      <c r="C30" s="2"/>
      <c r="D30" s="2">
        <v>1.74</v>
      </c>
      <c r="E30" s="2">
        <v>2.83</v>
      </c>
      <c r="F30" s="2">
        <v>2.04</v>
      </c>
    </row>
    <row r="31" spans="1:6" x14ac:dyDescent="0.25">
      <c r="A31" s="2" t="s">
        <v>19</v>
      </c>
      <c r="B31" s="2">
        <v>3.28</v>
      </c>
      <c r="C31" s="2"/>
      <c r="D31" s="2">
        <v>3.63</v>
      </c>
      <c r="E31" s="2">
        <v>1.44</v>
      </c>
      <c r="F31" s="2">
        <v>0.89200000000000002</v>
      </c>
    </row>
    <row r="32" spans="1:6" x14ac:dyDescent="0.25">
      <c r="A32" s="2" t="s">
        <v>20</v>
      </c>
      <c r="B32" s="2">
        <v>4.58</v>
      </c>
      <c r="C32" s="2">
        <v>4.8</v>
      </c>
      <c r="D32" s="2">
        <v>23.66</v>
      </c>
      <c r="E32" s="2">
        <v>4.09</v>
      </c>
      <c r="F32" s="2">
        <v>2.73</v>
      </c>
    </row>
    <row r="33" spans="1:6" x14ac:dyDescent="0.25">
      <c r="A33" s="2" t="s">
        <v>21</v>
      </c>
      <c r="B33" s="2">
        <v>3.18</v>
      </c>
      <c r="C33" s="2">
        <v>2.19</v>
      </c>
      <c r="D33" s="2">
        <v>2.85</v>
      </c>
      <c r="E33" s="2">
        <v>2.1</v>
      </c>
      <c r="F33" s="2">
        <v>2.87</v>
      </c>
    </row>
    <row r="34" spans="1:6" x14ac:dyDescent="0.25">
      <c r="A34" s="2" t="s">
        <v>22</v>
      </c>
      <c r="B34" s="2">
        <v>1.52</v>
      </c>
      <c r="C34" s="2">
        <v>1.27</v>
      </c>
      <c r="D34" s="2">
        <v>3.89</v>
      </c>
      <c r="E34" s="2">
        <v>1.56</v>
      </c>
      <c r="F34" s="2">
        <v>1.5</v>
      </c>
    </row>
    <row r="35" spans="1:6" x14ac:dyDescent="0.25">
      <c r="A35" s="2" t="s">
        <v>23</v>
      </c>
      <c r="B35" s="2">
        <v>4.82</v>
      </c>
      <c r="C35" s="2">
        <v>3.02</v>
      </c>
      <c r="D35" s="2">
        <v>3.48</v>
      </c>
      <c r="E35" s="2">
        <v>4.16</v>
      </c>
      <c r="F35" s="2">
        <v>4.42</v>
      </c>
    </row>
  </sheetData>
  <pageMargins left="0.7" right="0.7" top="0.75" bottom="0.75" header="0.3" footer="0.3"/>
  <pageSetup paperSize="9" orientation="portrait" verticalDpi="0"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8"/>
  <sheetViews>
    <sheetView workbookViewId="0">
      <selection activeCell="H19" sqref="H19"/>
    </sheetView>
  </sheetViews>
  <sheetFormatPr defaultRowHeight="15" x14ac:dyDescent="0.25"/>
  <sheetData>
    <row r="1" spans="1:6" x14ac:dyDescent="0.25">
      <c r="A1" s="2" t="s">
        <v>26</v>
      </c>
      <c r="B1" s="2" t="s">
        <v>67</v>
      </c>
      <c r="C1" s="2" t="s">
        <v>68</v>
      </c>
      <c r="D1" s="2">
        <v>0</v>
      </c>
      <c r="E1" s="2">
        <v>60</v>
      </c>
      <c r="F1" s="2">
        <v>120</v>
      </c>
    </row>
    <row r="2" spans="1:6" x14ac:dyDescent="0.25">
      <c r="A2" s="2" t="s">
        <v>5</v>
      </c>
      <c r="B2" s="2">
        <v>211</v>
      </c>
      <c r="C2" s="2"/>
      <c r="D2" s="2">
        <v>388</v>
      </c>
      <c r="E2" s="2">
        <v>315</v>
      </c>
      <c r="F2" s="2">
        <v>193</v>
      </c>
    </row>
    <row r="3" spans="1:6" x14ac:dyDescent="0.25">
      <c r="A3" s="2" t="s">
        <v>7</v>
      </c>
      <c r="B3" s="2">
        <v>248</v>
      </c>
      <c r="C3" s="2"/>
      <c r="D3" s="7">
        <v>393</v>
      </c>
      <c r="E3" s="2">
        <v>287</v>
      </c>
      <c r="F3" s="2">
        <v>210</v>
      </c>
    </row>
    <row r="4" spans="1:6" x14ac:dyDescent="0.25">
      <c r="A4" s="2" t="s">
        <v>10</v>
      </c>
      <c r="B4" s="2">
        <v>382</v>
      </c>
      <c r="C4" s="7"/>
      <c r="D4" s="2">
        <v>245</v>
      </c>
      <c r="E4" s="2">
        <v>167</v>
      </c>
      <c r="F4" s="2">
        <v>131</v>
      </c>
    </row>
    <row r="5" spans="1:6" x14ac:dyDescent="0.25">
      <c r="A5" s="2" t="s">
        <v>11</v>
      </c>
      <c r="B5" s="2">
        <v>178</v>
      </c>
      <c r="C5" s="2">
        <v>317</v>
      </c>
      <c r="D5" s="2">
        <v>506</v>
      </c>
      <c r="E5" s="2">
        <v>243</v>
      </c>
      <c r="F5" s="2">
        <v>180</v>
      </c>
    </row>
    <row r="6" spans="1:6" x14ac:dyDescent="0.25">
      <c r="A6" s="2" t="s">
        <v>12</v>
      </c>
      <c r="B6" s="2">
        <v>242</v>
      </c>
      <c r="C6" s="2"/>
      <c r="D6" s="7">
        <v>244</v>
      </c>
      <c r="E6" s="2">
        <v>283</v>
      </c>
      <c r="F6" s="2">
        <v>192</v>
      </c>
    </row>
    <row r="7" spans="1:6" x14ac:dyDescent="0.25">
      <c r="A7" s="2" t="s">
        <v>13</v>
      </c>
      <c r="B7" s="2">
        <v>240</v>
      </c>
      <c r="C7" s="2"/>
      <c r="D7" s="2">
        <v>217</v>
      </c>
      <c r="E7" s="2">
        <v>194</v>
      </c>
      <c r="F7" s="7">
        <v>254</v>
      </c>
    </row>
    <row r="8" spans="1:6" x14ac:dyDescent="0.25">
      <c r="A8" s="2" t="s">
        <v>14</v>
      </c>
      <c r="B8" s="2">
        <v>335</v>
      </c>
      <c r="C8" s="2"/>
      <c r="D8" s="2">
        <v>352</v>
      </c>
      <c r="E8" s="2">
        <v>237</v>
      </c>
      <c r="F8" s="2">
        <v>238</v>
      </c>
    </row>
    <row r="9" spans="1:6" x14ac:dyDescent="0.25">
      <c r="A9" s="2" t="s">
        <v>15</v>
      </c>
      <c r="B9" s="2">
        <v>261</v>
      </c>
      <c r="C9" s="2"/>
      <c r="D9" s="2">
        <v>400</v>
      </c>
      <c r="E9" s="2">
        <v>228</v>
      </c>
      <c r="F9" s="2">
        <v>150</v>
      </c>
    </row>
    <row r="10" spans="1:6" x14ac:dyDescent="0.25">
      <c r="A10" s="2" t="s">
        <v>16</v>
      </c>
      <c r="B10" s="2">
        <v>216</v>
      </c>
      <c r="C10" s="2"/>
      <c r="D10" s="2">
        <v>182</v>
      </c>
      <c r="E10" s="2">
        <v>181</v>
      </c>
      <c r="F10" s="2">
        <v>260</v>
      </c>
    </row>
    <row r="11" spans="1:6" x14ac:dyDescent="0.25">
      <c r="A11" s="2" t="s">
        <v>17</v>
      </c>
      <c r="B11" s="2">
        <v>422</v>
      </c>
      <c r="C11" s="2">
        <v>327</v>
      </c>
      <c r="D11" s="2">
        <v>628</v>
      </c>
      <c r="E11" s="2">
        <v>439</v>
      </c>
      <c r="F11" s="2">
        <v>295</v>
      </c>
    </row>
    <row r="12" spans="1:6" x14ac:dyDescent="0.25">
      <c r="A12" s="2" t="s">
        <v>18</v>
      </c>
      <c r="B12" s="2">
        <v>351</v>
      </c>
      <c r="C12" s="2"/>
      <c r="D12" s="2">
        <v>301</v>
      </c>
      <c r="E12" s="2">
        <v>194</v>
      </c>
      <c r="F12" s="2">
        <v>178</v>
      </c>
    </row>
    <row r="13" spans="1:6" x14ac:dyDescent="0.25">
      <c r="A13" s="2" t="s">
        <v>19</v>
      </c>
      <c r="B13" s="2">
        <v>847</v>
      </c>
      <c r="C13" s="2"/>
      <c r="D13" s="2">
        <v>942</v>
      </c>
      <c r="E13" s="2">
        <v>775</v>
      </c>
      <c r="F13" s="2">
        <v>641</v>
      </c>
    </row>
    <row r="14" spans="1:6" x14ac:dyDescent="0.25">
      <c r="A14" s="2" t="s">
        <v>20</v>
      </c>
      <c r="B14" s="2">
        <v>153</v>
      </c>
      <c r="C14" s="2">
        <v>214</v>
      </c>
      <c r="D14" s="2">
        <v>302</v>
      </c>
      <c r="E14" s="2">
        <v>200</v>
      </c>
      <c r="F14" s="2">
        <v>115</v>
      </c>
    </row>
    <row r="15" spans="1:6" x14ac:dyDescent="0.25">
      <c r="A15" s="2" t="s">
        <v>21</v>
      </c>
      <c r="B15" s="2">
        <v>290</v>
      </c>
      <c r="C15" s="2">
        <v>280</v>
      </c>
      <c r="D15" s="2">
        <v>352</v>
      </c>
      <c r="E15" s="2">
        <v>190</v>
      </c>
      <c r="F15" s="2">
        <v>172</v>
      </c>
    </row>
    <row r="16" spans="1:6" x14ac:dyDescent="0.25">
      <c r="A16" s="2" t="s">
        <v>22</v>
      </c>
      <c r="B16" s="2">
        <v>271</v>
      </c>
      <c r="C16" s="2">
        <v>248</v>
      </c>
      <c r="D16" s="2">
        <v>362</v>
      </c>
      <c r="E16" s="2">
        <v>265</v>
      </c>
      <c r="F16" s="2">
        <v>205</v>
      </c>
    </row>
    <row r="17" spans="1:6" x14ac:dyDescent="0.25">
      <c r="A17" s="2" t="s">
        <v>23</v>
      </c>
      <c r="B17" s="2">
        <v>401</v>
      </c>
      <c r="C17" s="2">
        <v>414</v>
      </c>
      <c r="D17" s="2">
        <v>361</v>
      </c>
      <c r="E17" s="2">
        <v>325</v>
      </c>
      <c r="F17" s="2">
        <v>269</v>
      </c>
    </row>
    <row r="18" spans="1:6" x14ac:dyDescent="0.25">
      <c r="A18" s="2"/>
      <c r="B18" s="2"/>
      <c r="C18" s="2"/>
      <c r="D18" s="2"/>
      <c r="E18" s="2"/>
      <c r="F18" s="2"/>
    </row>
    <row r="19" spans="1:6" x14ac:dyDescent="0.25">
      <c r="A19" s="2" t="s">
        <v>25</v>
      </c>
      <c r="B19" s="2"/>
      <c r="C19" s="2"/>
      <c r="D19" s="2"/>
      <c r="E19" s="2"/>
      <c r="F19" s="2"/>
    </row>
    <row r="20" spans="1:6" x14ac:dyDescent="0.25">
      <c r="A20" s="2" t="s">
        <v>5</v>
      </c>
      <c r="B20" s="2">
        <v>231</v>
      </c>
      <c r="C20" s="2"/>
      <c r="D20" s="2">
        <v>383</v>
      </c>
      <c r="E20" s="2">
        <v>298</v>
      </c>
      <c r="F20" s="2">
        <v>191</v>
      </c>
    </row>
    <row r="21" spans="1:6" x14ac:dyDescent="0.25">
      <c r="A21" s="2" t="s">
        <v>7</v>
      </c>
      <c r="B21" s="2">
        <v>238</v>
      </c>
      <c r="C21" s="2"/>
      <c r="D21" s="2">
        <v>356</v>
      </c>
      <c r="E21" s="2">
        <v>259</v>
      </c>
      <c r="F21" s="2">
        <v>195</v>
      </c>
    </row>
    <row r="22" spans="1:6" x14ac:dyDescent="0.25">
      <c r="A22" s="2" t="s">
        <v>10</v>
      </c>
      <c r="B22" s="2">
        <v>210</v>
      </c>
      <c r="C22" s="2">
        <v>331</v>
      </c>
      <c r="D22" s="2">
        <v>319</v>
      </c>
      <c r="E22" s="2">
        <v>180</v>
      </c>
      <c r="F22" s="2">
        <v>143</v>
      </c>
    </row>
    <row r="23" spans="1:6" x14ac:dyDescent="0.25">
      <c r="A23" s="2" t="s">
        <v>11</v>
      </c>
      <c r="B23" s="2">
        <v>171</v>
      </c>
      <c r="C23" s="2">
        <v>243</v>
      </c>
      <c r="D23" s="2">
        <v>432</v>
      </c>
      <c r="E23" s="2">
        <v>239</v>
      </c>
      <c r="F23" s="2">
        <v>259</v>
      </c>
    </row>
    <row r="24" spans="1:6" x14ac:dyDescent="0.25">
      <c r="A24" s="2" t="s">
        <v>12</v>
      </c>
      <c r="B24" s="2">
        <v>277</v>
      </c>
      <c r="C24" s="2"/>
      <c r="D24" s="2">
        <v>239</v>
      </c>
      <c r="E24" s="2">
        <v>174</v>
      </c>
      <c r="F24" s="2">
        <v>134</v>
      </c>
    </row>
    <row r="25" spans="1:6" x14ac:dyDescent="0.25">
      <c r="A25" s="2" t="s">
        <v>13</v>
      </c>
      <c r="B25" s="2">
        <v>256</v>
      </c>
      <c r="C25" s="2"/>
      <c r="D25" s="2">
        <v>287</v>
      </c>
      <c r="E25" s="2">
        <v>190</v>
      </c>
      <c r="F25" s="2">
        <v>149</v>
      </c>
    </row>
    <row r="26" spans="1:6" x14ac:dyDescent="0.25">
      <c r="A26" s="2" t="s">
        <v>14</v>
      </c>
      <c r="B26" s="2">
        <v>340</v>
      </c>
      <c r="C26" s="2">
        <v>380</v>
      </c>
      <c r="D26" s="2">
        <v>415</v>
      </c>
      <c r="E26" s="2">
        <v>223</v>
      </c>
      <c r="F26" s="2">
        <v>140</v>
      </c>
    </row>
    <row r="27" spans="1:6" x14ac:dyDescent="0.25">
      <c r="A27" s="2" t="s">
        <v>15</v>
      </c>
      <c r="B27" s="2">
        <v>316</v>
      </c>
      <c r="C27" s="2"/>
      <c r="D27" s="2">
        <v>373</v>
      </c>
      <c r="E27" s="2">
        <v>210</v>
      </c>
      <c r="F27" s="2">
        <v>147</v>
      </c>
    </row>
    <row r="28" spans="1:6" x14ac:dyDescent="0.25">
      <c r="A28" s="2" t="s">
        <v>16</v>
      </c>
      <c r="B28" s="2">
        <v>257</v>
      </c>
      <c r="C28" s="2"/>
      <c r="D28" s="2">
        <v>174</v>
      </c>
      <c r="E28" s="2">
        <v>203</v>
      </c>
      <c r="F28" s="2">
        <v>196</v>
      </c>
    </row>
    <row r="29" spans="1:6" x14ac:dyDescent="0.25">
      <c r="A29" s="2" t="s">
        <v>17</v>
      </c>
      <c r="B29" s="2">
        <v>380</v>
      </c>
      <c r="C29" s="2">
        <v>370</v>
      </c>
      <c r="D29" s="2">
        <v>538</v>
      </c>
      <c r="E29" s="2">
        <v>426</v>
      </c>
      <c r="F29" s="2">
        <v>281</v>
      </c>
    </row>
    <row r="30" spans="1:6" x14ac:dyDescent="0.25">
      <c r="A30" s="2" t="s">
        <v>18</v>
      </c>
      <c r="B30" s="2">
        <v>264</v>
      </c>
      <c r="C30" s="2"/>
      <c r="D30" s="2">
        <v>141</v>
      </c>
      <c r="E30" s="2">
        <v>325</v>
      </c>
      <c r="F30" s="2">
        <v>266</v>
      </c>
    </row>
    <row r="31" spans="1:6" x14ac:dyDescent="0.25">
      <c r="A31" s="2" t="s">
        <v>19</v>
      </c>
      <c r="B31" s="2">
        <v>1307</v>
      </c>
      <c r="C31" s="2"/>
      <c r="D31" s="2">
        <v>1166</v>
      </c>
      <c r="E31" s="2">
        <v>1046</v>
      </c>
      <c r="F31" s="2">
        <v>927</v>
      </c>
    </row>
    <row r="32" spans="1:6" x14ac:dyDescent="0.25">
      <c r="A32" s="2" t="s">
        <v>20</v>
      </c>
      <c r="B32" s="2">
        <v>265</v>
      </c>
      <c r="C32" s="2">
        <v>306</v>
      </c>
      <c r="D32" s="2">
        <v>446</v>
      </c>
      <c r="E32" s="2">
        <v>308</v>
      </c>
      <c r="F32" s="2">
        <v>197</v>
      </c>
    </row>
    <row r="33" spans="1:6" x14ac:dyDescent="0.25">
      <c r="A33" s="2" t="s">
        <v>21</v>
      </c>
      <c r="B33" s="2">
        <v>192</v>
      </c>
      <c r="C33" s="2">
        <v>204</v>
      </c>
      <c r="D33" s="2">
        <v>246</v>
      </c>
      <c r="E33" s="2">
        <v>150</v>
      </c>
      <c r="F33" s="2">
        <v>204</v>
      </c>
    </row>
    <row r="34" spans="1:6" x14ac:dyDescent="0.25">
      <c r="A34" s="2" t="s">
        <v>22</v>
      </c>
      <c r="B34" s="2">
        <v>183</v>
      </c>
      <c r="C34" s="2">
        <v>222</v>
      </c>
      <c r="D34" s="2">
        <v>324</v>
      </c>
      <c r="E34" s="2">
        <v>185</v>
      </c>
      <c r="F34" s="2">
        <v>124</v>
      </c>
    </row>
    <row r="35" spans="1:6" x14ac:dyDescent="0.25">
      <c r="A35" s="2" t="s">
        <v>23</v>
      </c>
      <c r="B35" s="2">
        <v>387</v>
      </c>
      <c r="C35" s="2">
        <v>318</v>
      </c>
      <c r="D35" s="2">
        <v>328</v>
      </c>
      <c r="E35" s="2">
        <v>346</v>
      </c>
      <c r="F35" s="2">
        <v>338</v>
      </c>
    </row>
    <row r="36" spans="1:6" x14ac:dyDescent="0.25">
      <c r="A36" s="2"/>
      <c r="B36" s="2"/>
      <c r="C36" s="2"/>
      <c r="D36" s="2"/>
      <c r="E36" s="2"/>
      <c r="F36" s="2"/>
    </row>
    <row r="37" spans="1:6" x14ac:dyDescent="0.25">
      <c r="A37" s="2"/>
      <c r="B37" s="2"/>
      <c r="C37" s="2"/>
      <c r="D37" s="2"/>
      <c r="E37" s="2"/>
      <c r="F37" s="2"/>
    </row>
    <row r="38" spans="1:6" x14ac:dyDescent="0.25">
      <c r="A38" s="2"/>
      <c r="B38" s="2"/>
      <c r="C38" s="2"/>
      <c r="D38" s="2"/>
      <c r="E38" s="2"/>
      <c r="F38" s="2"/>
    </row>
  </sheetData>
  <pageMargins left="0.7" right="0.7" top="0.75" bottom="0.75" header="0.3" footer="0.3"/>
  <pageSetup paperSize="9" orientation="portrait" verticalDpi="0" r:id="rId1"/>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35"/>
  <sheetViews>
    <sheetView workbookViewId="0">
      <selection activeCell="F34" sqref="F34"/>
    </sheetView>
  </sheetViews>
  <sheetFormatPr defaultRowHeight="15" x14ac:dyDescent="0.25"/>
  <sheetData>
    <row r="1" spans="1:13" x14ac:dyDescent="0.25">
      <c r="A1" s="2" t="s">
        <v>26</v>
      </c>
      <c r="B1" s="2" t="s">
        <v>67</v>
      </c>
      <c r="C1" s="2" t="s">
        <v>68</v>
      </c>
      <c r="D1" s="2">
        <v>0</v>
      </c>
      <c r="E1" s="2">
        <v>15</v>
      </c>
      <c r="F1" s="2">
        <v>30</v>
      </c>
      <c r="G1" s="2">
        <v>60</v>
      </c>
      <c r="H1" s="2">
        <v>90</v>
      </c>
      <c r="I1" s="2">
        <v>120</v>
      </c>
      <c r="J1" s="2"/>
      <c r="K1" s="2"/>
      <c r="L1" s="2"/>
      <c r="M1" s="2"/>
    </row>
    <row r="2" spans="1:13" x14ac:dyDescent="0.25">
      <c r="A2" s="2" t="s">
        <v>5</v>
      </c>
      <c r="B2">
        <v>17.994</v>
      </c>
      <c r="D2">
        <v>49.809000000000005</v>
      </c>
      <c r="E2">
        <v>233.17499999999998</v>
      </c>
      <c r="F2">
        <v>473.23199999999997</v>
      </c>
      <c r="G2">
        <v>537.702</v>
      </c>
      <c r="H2">
        <v>75.789000000000001</v>
      </c>
      <c r="I2">
        <v>139.59299999999999</v>
      </c>
    </row>
    <row r="3" spans="1:13" x14ac:dyDescent="0.25">
      <c r="A3" s="2" t="s">
        <v>7</v>
      </c>
      <c r="B3">
        <v>50.262</v>
      </c>
      <c r="D3">
        <v>28.152000000000001</v>
      </c>
      <c r="E3">
        <v>134.45699999999999</v>
      </c>
      <c r="F3">
        <v>287.64300000000003</v>
      </c>
      <c r="G3">
        <v>230.66699999999997</v>
      </c>
      <c r="H3">
        <v>150.42000000000002</v>
      </c>
      <c r="I3">
        <v>73.277999999999992</v>
      </c>
    </row>
    <row r="4" spans="1:13" x14ac:dyDescent="0.25">
      <c r="A4" s="2" t="s">
        <v>10</v>
      </c>
      <c r="B4">
        <v>22.740000000000002</v>
      </c>
      <c r="D4">
        <v>17.994</v>
      </c>
      <c r="E4">
        <v>57.864000000000004</v>
      </c>
      <c r="F4">
        <v>160.476</v>
      </c>
      <c r="G4">
        <v>154.68299999999999</v>
      </c>
      <c r="H4">
        <v>93.668999999999997</v>
      </c>
      <c r="I4">
        <v>109.37700000000001</v>
      </c>
    </row>
    <row r="5" spans="1:13" x14ac:dyDescent="0.25">
      <c r="A5" s="2" t="s">
        <v>11</v>
      </c>
      <c r="B5">
        <v>42.866999999999997</v>
      </c>
      <c r="C5">
        <v>22.640999999999998</v>
      </c>
      <c r="D5">
        <v>29.634</v>
      </c>
      <c r="E5">
        <v>123.40799999999999</v>
      </c>
      <c r="F5">
        <v>132.23400000000001</v>
      </c>
      <c r="G5">
        <v>190.851</v>
      </c>
      <c r="H5">
        <v>195.58799999999999</v>
      </c>
      <c r="I5">
        <v>202.971</v>
      </c>
    </row>
    <row r="6" spans="1:13" x14ac:dyDescent="0.25">
      <c r="A6" s="2" t="s">
        <v>12</v>
      </c>
      <c r="B6">
        <v>41.360999999999997</v>
      </c>
      <c r="D6">
        <v>30.183</v>
      </c>
      <c r="E6">
        <v>187.923</v>
      </c>
      <c r="F6">
        <v>394.24500000000006</v>
      </c>
      <c r="G6">
        <v>166.536</v>
      </c>
      <c r="H6">
        <v>194.39099999999999</v>
      </c>
      <c r="I6">
        <v>84.48599999999999</v>
      </c>
    </row>
    <row r="7" spans="1:13" x14ac:dyDescent="0.25">
      <c r="A7" s="2" t="s">
        <v>13</v>
      </c>
      <c r="B7">
        <v>27.429000000000002</v>
      </c>
      <c r="D7">
        <v>24.567</v>
      </c>
      <c r="E7">
        <v>99.182999999999993</v>
      </c>
      <c r="F7">
        <v>92.691000000000003</v>
      </c>
      <c r="G7">
        <v>158.589</v>
      </c>
      <c r="H7">
        <v>151.98599999999999</v>
      </c>
      <c r="I7">
        <v>124.155</v>
      </c>
    </row>
    <row r="8" spans="1:13" x14ac:dyDescent="0.25">
      <c r="A8" s="2" t="s">
        <v>14</v>
      </c>
      <c r="B8">
        <v>26.795999999999999</v>
      </c>
      <c r="D8">
        <v>21.084</v>
      </c>
      <c r="E8">
        <v>96.49799999999999</v>
      </c>
      <c r="F8">
        <v>76.143000000000001</v>
      </c>
      <c r="G8">
        <v>140.03700000000001</v>
      </c>
      <c r="H8">
        <v>121.059</v>
      </c>
      <c r="I8">
        <v>104.52000000000001</v>
      </c>
    </row>
    <row r="9" spans="1:13" x14ac:dyDescent="0.25">
      <c r="A9" s="2" t="s">
        <v>15</v>
      </c>
      <c r="B9">
        <v>47.319000000000003</v>
      </c>
      <c r="D9">
        <v>48.570000000000007</v>
      </c>
      <c r="E9">
        <v>165.94200000000001</v>
      </c>
      <c r="F9">
        <v>247.52100000000002</v>
      </c>
      <c r="G9">
        <v>381.25799999999998</v>
      </c>
      <c r="H9">
        <v>502.89600000000002</v>
      </c>
      <c r="I9">
        <v>459.096</v>
      </c>
    </row>
    <row r="10" spans="1:13" x14ac:dyDescent="0.25">
      <c r="A10" s="2" t="s">
        <v>16</v>
      </c>
      <c r="B10">
        <v>17.994</v>
      </c>
      <c r="D10">
        <v>17.994</v>
      </c>
      <c r="E10">
        <v>131.79599999999999</v>
      </c>
      <c r="F10">
        <v>299.29200000000003</v>
      </c>
      <c r="G10">
        <v>282.66300000000001</v>
      </c>
      <c r="H10">
        <v>242.87700000000001</v>
      </c>
      <c r="I10">
        <v>169.40100000000001</v>
      </c>
    </row>
    <row r="11" spans="1:13" x14ac:dyDescent="0.25">
      <c r="A11" s="2" t="s">
        <v>17</v>
      </c>
      <c r="B11">
        <v>21.756</v>
      </c>
      <c r="C11">
        <v>21.624000000000002</v>
      </c>
      <c r="D11">
        <v>24.066000000000003</v>
      </c>
      <c r="E11">
        <v>128.01900000000001</v>
      </c>
      <c r="F11">
        <v>247.50300000000001</v>
      </c>
      <c r="G11">
        <v>414.92100000000005</v>
      </c>
      <c r="H11">
        <v>339.25799999999998</v>
      </c>
      <c r="I11">
        <v>142.04399999999998</v>
      </c>
    </row>
    <row r="12" spans="1:13" x14ac:dyDescent="0.25">
      <c r="A12" s="2" t="s">
        <v>18</v>
      </c>
      <c r="B12">
        <v>29.052000000000003</v>
      </c>
      <c r="D12">
        <v>21.848999999999997</v>
      </c>
      <c r="E12">
        <v>109.57499999999999</v>
      </c>
      <c r="F12">
        <v>158.10300000000001</v>
      </c>
      <c r="G12">
        <v>253.62299999999999</v>
      </c>
      <c r="I12">
        <v>229.65599999999998</v>
      </c>
    </row>
    <row r="13" spans="1:13" x14ac:dyDescent="0.25">
      <c r="A13" s="2" t="s">
        <v>19</v>
      </c>
      <c r="B13">
        <v>23.151000000000003</v>
      </c>
      <c r="D13">
        <v>24.75</v>
      </c>
      <c r="E13">
        <v>162.62700000000001</v>
      </c>
      <c r="F13">
        <v>259.983</v>
      </c>
      <c r="G13">
        <v>400.851</v>
      </c>
      <c r="H13">
        <v>396.74699999999996</v>
      </c>
      <c r="I13">
        <v>294.36899999999997</v>
      </c>
    </row>
    <row r="14" spans="1:13" x14ac:dyDescent="0.25">
      <c r="A14" s="2" t="s">
        <v>20</v>
      </c>
      <c r="B14">
        <v>45.018000000000001</v>
      </c>
      <c r="C14">
        <v>25.632000000000001</v>
      </c>
      <c r="D14">
        <v>53.469000000000001</v>
      </c>
      <c r="E14">
        <v>171.267</v>
      </c>
      <c r="F14">
        <v>261.21600000000001</v>
      </c>
      <c r="G14">
        <v>413.35500000000002</v>
      </c>
      <c r="H14">
        <v>148.32</v>
      </c>
      <c r="I14">
        <v>104.88600000000001</v>
      </c>
    </row>
    <row r="15" spans="1:13" x14ac:dyDescent="0.25">
      <c r="A15" s="2" t="s">
        <v>21</v>
      </c>
      <c r="B15">
        <v>31.476000000000003</v>
      </c>
      <c r="C15">
        <v>33.155999999999999</v>
      </c>
      <c r="D15">
        <v>32.508000000000003</v>
      </c>
      <c r="E15">
        <v>262.00200000000001</v>
      </c>
      <c r="F15">
        <v>441.03</v>
      </c>
      <c r="G15">
        <v>204.34500000000003</v>
      </c>
      <c r="H15">
        <v>133.911</v>
      </c>
      <c r="I15">
        <v>146.42699999999999</v>
      </c>
    </row>
    <row r="16" spans="1:13" x14ac:dyDescent="0.25">
      <c r="A16" s="2" t="s">
        <v>22</v>
      </c>
      <c r="B16">
        <v>22.589999999999996</v>
      </c>
      <c r="C16">
        <v>27.42</v>
      </c>
      <c r="D16">
        <v>30.804000000000002</v>
      </c>
      <c r="E16">
        <v>185.10300000000001</v>
      </c>
      <c r="F16">
        <v>191.25</v>
      </c>
      <c r="G16">
        <v>315.37800000000004</v>
      </c>
      <c r="H16">
        <v>180.654</v>
      </c>
      <c r="I16">
        <v>82.311000000000007</v>
      </c>
    </row>
    <row r="17" spans="1:9" x14ac:dyDescent="0.25">
      <c r="A17" s="2" t="s">
        <v>23</v>
      </c>
      <c r="B17">
        <v>17.994</v>
      </c>
      <c r="C17">
        <v>17.994</v>
      </c>
      <c r="D17">
        <v>17.994</v>
      </c>
      <c r="E17">
        <v>101.56800000000001</v>
      </c>
      <c r="F17">
        <v>195.49499999999998</v>
      </c>
      <c r="G17">
        <v>66.474000000000004</v>
      </c>
      <c r="H17">
        <v>53.663999999999994</v>
      </c>
      <c r="I17">
        <v>37.838999999999999</v>
      </c>
    </row>
    <row r="18" spans="1:9" x14ac:dyDescent="0.25">
      <c r="A18" s="2"/>
    </row>
    <row r="19" spans="1:9" x14ac:dyDescent="0.25">
      <c r="A19" s="2" t="s">
        <v>25</v>
      </c>
    </row>
    <row r="20" spans="1:9" x14ac:dyDescent="0.25">
      <c r="A20" s="2" t="s">
        <v>5</v>
      </c>
      <c r="B20">
        <v>17.994</v>
      </c>
      <c r="D20">
        <v>39.608999999999995</v>
      </c>
      <c r="E20">
        <v>202.26</v>
      </c>
      <c r="F20">
        <v>581.80500000000006</v>
      </c>
      <c r="G20">
        <v>198.30600000000001</v>
      </c>
      <c r="H20">
        <v>173.14500000000001</v>
      </c>
      <c r="I20">
        <v>113.67</v>
      </c>
    </row>
    <row r="21" spans="1:9" x14ac:dyDescent="0.25">
      <c r="A21" s="2" t="s">
        <v>7</v>
      </c>
      <c r="B21">
        <v>31.388999999999996</v>
      </c>
      <c r="D21">
        <v>20.975999999999999</v>
      </c>
      <c r="E21">
        <v>220.71299999999999</v>
      </c>
      <c r="F21">
        <v>268.53300000000002</v>
      </c>
      <c r="G21">
        <v>261.096</v>
      </c>
      <c r="H21">
        <v>218.98500000000001</v>
      </c>
      <c r="I21">
        <v>164.36399999999998</v>
      </c>
    </row>
    <row r="22" spans="1:9" x14ac:dyDescent="0.25">
      <c r="A22" s="2" t="s">
        <v>10</v>
      </c>
      <c r="B22">
        <v>17.994</v>
      </c>
      <c r="C22">
        <v>17.994</v>
      </c>
      <c r="D22">
        <v>21.039000000000001</v>
      </c>
      <c r="E22">
        <v>98.241</v>
      </c>
      <c r="F22">
        <v>191.268</v>
      </c>
      <c r="G22">
        <v>256.005</v>
      </c>
      <c r="H22">
        <v>145.017</v>
      </c>
      <c r="I22">
        <v>147.096</v>
      </c>
    </row>
    <row r="23" spans="1:9" x14ac:dyDescent="0.25">
      <c r="A23" s="2" t="s">
        <v>11</v>
      </c>
      <c r="B23">
        <v>44.954999999999998</v>
      </c>
      <c r="C23">
        <v>20.523</v>
      </c>
      <c r="D23">
        <v>25.043999999999997</v>
      </c>
      <c r="E23">
        <v>142.536</v>
      </c>
      <c r="F23">
        <v>234.13799999999998</v>
      </c>
      <c r="G23">
        <v>203.36399999999998</v>
      </c>
      <c r="H23">
        <v>155.49</v>
      </c>
      <c r="I23">
        <v>108.369</v>
      </c>
    </row>
    <row r="24" spans="1:9" x14ac:dyDescent="0.25">
      <c r="A24" s="2" t="s">
        <v>12</v>
      </c>
      <c r="B24">
        <v>46.962000000000003</v>
      </c>
      <c r="D24">
        <v>32.483999999999995</v>
      </c>
      <c r="E24">
        <v>274.87199999999996</v>
      </c>
      <c r="F24">
        <v>325.24199999999996</v>
      </c>
      <c r="G24">
        <v>220.90499999999997</v>
      </c>
      <c r="H24">
        <v>198.46800000000002</v>
      </c>
      <c r="I24">
        <v>88.224000000000004</v>
      </c>
    </row>
    <row r="25" spans="1:9" x14ac:dyDescent="0.25">
      <c r="A25" s="2" t="s">
        <v>13</v>
      </c>
      <c r="B25">
        <v>36.305999999999997</v>
      </c>
      <c r="D25">
        <v>41.597999999999999</v>
      </c>
      <c r="E25">
        <v>26.420999999999999</v>
      </c>
      <c r="F25">
        <v>120.91200000000001</v>
      </c>
      <c r="G25">
        <v>155.733</v>
      </c>
      <c r="H25">
        <v>207.29999999999998</v>
      </c>
      <c r="I25">
        <v>161.67600000000002</v>
      </c>
    </row>
    <row r="26" spans="1:9" x14ac:dyDescent="0.25">
      <c r="A26" s="2" t="s">
        <v>14</v>
      </c>
      <c r="B26">
        <v>24.791999999999998</v>
      </c>
      <c r="C26">
        <v>28.701000000000001</v>
      </c>
      <c r="D26">
        <v>27.108000000000004</v>
      </c>
      <c r="E26">
        <v>84.24</v>
      </c>
      <c r="F26">
        <v>104.36399999999999</v>
      </c>
      <c r="G26">
        <v>153.768</v>
      </c>
      <c r="H26">
        <v>171.87</v>
      </c>
      <c r="I26">
        <v>116.05799999999999</v>
      </c>
    </row>
    <row r="27" spans="1:9" x14ac:dyDescent="0.25">
      <c r="A27" s="2" t="s">
        <v>15</v>
      </c>
      <c r="B27">
        <v>36.666000000000004</v>
      </c>
      <c r="D27">
        <v>43.277999999999999</v>
      </c>
      <c r="E27">
        <v>142.959</v>
      </c>
      <c r="F27">
        <v>299.61599999999999</v>
      </c>
      <c r="G27">
        <v>517.88400000000001</v>
      </c>
      <c r="H27">
        <v>603.51</v>
      </c>
      <c r="I27">
        <v>412.51800000000003</v>
      </c>
    </row>
    <row r="28" spans="1:9" x14ac:dyDescent="0.25">
      <c r="A28" s="2" t="s">
        <v>16</v>
      </c>
      <c r="B28">
        <v>33.756</v>
      </c>
      <c r="D28">
        <v>29.679000000000002</v>
      </c>
      <c r="E28">
        <v>191.11500000000001</v>
      </c>
      <c r="F28">
        <v>294.54899999999998</v>
      </c>
      <c r="G28">
        <v>398.10599999999999</v>
      </c>
      <c r="H28">
        <v>162.768</v>
      </c>
      <c r="I28">
        <v>345.84000000000003</v>
      </c>
    </row>
    <row r="29" spans="1:9" x14ac:dyDescent="0.25">
      <c r="A29" s="2" t="s">
        <v>17</v>
      </c>
      <c r="B29">
        <v>24.527999999999999</v>
      </c>
      <c r="C29">
        <v>17.994</v>
      </c>
      <c r="D29">
        <v>47.007000000000005</v>
      </c>
      <c r="E29">
        <v>155.09699999999998</v>
      </c>
      <c r="G29">
        <v>303.53700000000003</v>
      </c>
      <c r="H29">
        <v>215.91</v>
      </c>
      <c r="I29">
        <v>135.13800000000001</v>
      </c>
    </row>
    <row r="30" spans="1:9" x14ac:dyDescent="0.25">
      <c r="A30" s="2" t="s">
        <v>18</v>
      </c>
      <c r="B30">
        <v>47.646000000000001</v>
      </c>
      <c r="D30">
        <v>39.521999999999998</v>
      </c>
      <c r="E30">
        <v>139.54199999999997</v>
      </c>
      <c r="F30">
        <v>169.49699999999999</v>
      </c>
      <c r="G30">
        <v>234.048</v>
      </c>
      <c r="H30">
        <v>322.14300000000003</v>
      </c>
      <c r="I30">
        <v>170.988</v>
      </c>
    </row>
    <row r="31" spans="1:9" x14ac:dyDescent="0.25">
      <c r="A31" s="2" t="s">
        <v>19</v>
      </c>
      <c r="B31">
        <v>17.994</v>
      </c>
      <c r="D31">
        <v>20.366999999999997</v>
      </c>
      <c r="E31">
        <v>170.001</v>
      </c>
      <c r="F31">
        <v>233.09400000000002</v>
      </c>
      <c r="G31">
        <v>351.87599999999998</v>
      </c>
      <c r="H31">
        <v>385.70700000000005</v>
      </c>
      <c r="I31">
        <v>381.34499999999997</v>
      </c>
    </row>
    <row r="32" spans="1:9" x14ac:dyDescent="0.25">
      <c r="A32" s="2" t="s">
        <v>20</v>
      </c>
      <c r="B32">
        <v>22.652999999999999</v>
      </c>
      <c r="C32">
        <v>21.419999999999998</v>
      </c>
      <c r="D32">
        <v>35.225999999999999</v>
      </c>
      <c r="E32">
        <v>154.00799999999998</v>
      </c>
      <c r="F32">
        <v>183.86700000000002</v>
      </c>
      <c r="G32">
        <v>203.66700000000003</v>
      </c>
      <c r="H32">
        <v>139.46100000000001</v>
      </c>
      <c r="I32">
        <v>125.13900000000001</v>
      </c>
    </row>
    <row r="33" spans="1:9" x14ac:dyDescent="0.25">
      <c r="A33" s="2" t="s">
        <v>21</v>
      </c>
      <c r="B33">
        <v>37.850999999999999</v>
      </c>
      <c r="C33">
        <v>29.313000000000002</v>
      </c>
      <c r="D33">
        <v>24.102000000000004</v>
      </c>
      <c r="E33">
        <v>284.88900000000001</v>
      </c>
      <c r="F33">
        <v>336.738</v>
      </c>
      <c r="G33">
        <v>265.35900000000004</v>
      </c>
      <c r="H33">
        <v>164.51100000000002</v>
      </c>
      <c r="I33">
        <v>177.83699999999999</v>
      </c>
    </row>
    <row r="34" spans="1:9" x14ac:dyDescent="0.25">
      <c r="A34" s="2" t="s">
        <v>22</v>
      </c>
      <c r="B34">
        <v>17.994</v>
      </c>
      <c r="C34">
        <v>20.390999999999998</v>
      </c>
      <c r="D34">
        <v>33.387</v>
      </c>
      <c r="E34">
        <v>166.56</v>
      </c>
      <c r="F34">
        <v>258.74399999999997</v>
      </c>
      <c r="G34">
        <v>367.24200000000002</v>
      </c>
      <c r="H34">
        <v>199.107</v>
      </c>
      <c r="I34">
        <v>122.649</v>
      </c>
    </row>
    <row r="35" spans="1:9" x14ac:dyDescent="0.25">
      <c r="A35" s="2" t="s">
        <v>23</v>
      </c>
      <c r="B35">
        <v>17.994</v>
      </c>
      <c r="C35">
        <v>17.994</v>
      </c>
      <c r="D35">
        <v>17.994</v>
      </c>
      <c r="E35">
        <v>71.832000000000008</v>
      </c>
      <c r="F35">
        <v>280.09800000000001</v>
      </c>
      <c r="G35">
        <v>223.82400000000001</v>
      </c>
      <c r="H35">
        <v>31.5</v>
      </c>
      <c r="I35">
        <v>26.58</v>
      </c>
    </row>
  </sheetData>
  <pageMargins left="0.7" right="0.7" top="0.75" bottom="0.75" header="0.3" footer="0.3"/>
  <pageSetup paperSize="9" orientation="portrait" verticalDpi="0"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T35"/>
  <sheetViews>
    <sheetView workbookViewId="0">
      <selection activeCell="O29" sqref="O29"/>
    </sheetView>
  </sheetViews>
  <sheetFormatPr defaultRowHeight="15" x14ac:dyDescent="0.25"/>
  <sheetData>
    <row r="1" spans="1:20" x14ac:dyDescent="0.25">
      <c r="A1" t="s">
        <v>26</v>
      </c>
      <c r="B1" t="s">
        <v>67</v>
      </c>
      <c r="C1" t="s">
        <v>72</v>
      </c>
      <c r="D1">
        <v>0</v>
      </c>
      <c r="E1">
        <v>15</v>
      </c>
      <c r="F1">
        <v>30</v>
      </c>
      <c r="G1">
        <v>45</v>
      </c>
      <c r="H1">
        <v>60</v>
      </c>
      <c r="I1">
        <v>75</v>
      </c>
      <c r="J1">
        <v>90</v>
      </c>
      <c r="K1">
        <v>105</v>
      </c>
      <c r="L1">
        <v>120</v>
      </c>
    </row>
    <row r="2" spans="1:20" x14ac:dyDescent="0.25">
      <c r="A2" t="s">
        <v>5</v>
      </c>
      <c r="B2" s="3">
        <v>4.8899999999999997</v>
      </c>
      <c r="C2" s="3"/>
      <c r="D2" s="3">
        <v>5.8</v>
      </c>
      <c r="E2" s="3">
        <v>8.3800000000000008</v>
      </c>
      <c r="F2" s="3">
        <v>9.7799999999999994</v>
      </c>
      <c r="G2" s="3">
        <v>9.16</v>
      </c>
      <c r="H2" s="3">
        <v>7.52</v>
      </c>
      <c r="I2" s="3">
        <v>5.7</v>
      </c>
      <c r="J2" s="3">
        <v>3.74</v>
      </c>
      <c r="K2" s="3">
        <v>4.4400000000000004</v>
      </c>
      <c r="L2" s="3">
        <v>5.5</v>
      </c>
      <c r="M2" s="3"/>
      <c r="N2" s="3"/>
      <c r="O2" s="3"/>
      <c r="P2" s="3"/>
      <c r="Q2" s="3"/>
      <c r="R2" s="3"/>
      <c r="S2" s="3"/>
      <c r="T2" s="3"/>
    </row>
    <row r="3" spans="1:20" x14ac:dyDescent="0.25">
      <c r="A3" t="s">
        <v>7</v>
      </c>
      <c r="B3" s="3">
        <v>5.09</v>
      </c>
      <c r="C3" s="3"/>
      <c r="D3" s="3">
        <v>5.08</v>
      </c>
      <c r="E3" s="3">
        <v>5.93</v>
      </c>
      <c r="F3" s="3">
        <v>8.34</v>
      </c>
      <c r="G3" s="3">
        <v>7.6</v>
      </c>
      <c r="H3" s="3">
        <v>6.89</v>
      </c>
      <c r="I3" s="3">
        <v>6.35</v>
      </c>
      <c r="J3" s="3">
        <v>5.87</v>
      </c>
      <c r="K3" s="3">
        <v>5.87</v>
      </c>
      <c r="L3" s="3">
        <v>5.99</v>
      </c>
      <c r="M3" s="3"/>
    </row>
    <row r="4" spans="1:20" x14ac:dyDescent="0.25">
      <c r="A4" t="s">
        <v>10</v>
      </c>
      <c r="B4" s="3">
        <v>5.3</v>
      </c>
      <c r="C4" s="3"/>
      <c r="D4" s="3">
        <v>5.37</v>
      </c>
      <c r="E4" s="3">
        <v>6.18</v>
      </c>
      <c r="F4" s="3">
        <v>7.83</v>
      </c>
      <c r="G4" s="3">
        <v>8.0500000000000007</v>
      </c>
      <c r="H4" s="3">
        <v>7.86</v>
      </c>
      <c r="I4" s="3">
        <v>6.27</v>
      </c>
      <c r="J4" s="3">
        <v>6.23</v>
      </c>
      <c r="K4" s="3">
        <v>5.88</v>
      </c>
      <c r="L4" s="3">
        <v>6.59</v>
      </c>
      <c r="M4" s="3"/>
      <c r="N4" s="3"/>
      <c r="O4" s="3"/>
      <c r="P4" s="3"/>
      <c r="Q4" s="3"/>
      <c r="R4" s="3"/>
      <c r="S4" s="3"/>
      <c r="T4" s="3"/>
    </row>
    <row r="5" spans="1:20" x14ac:dyDescent="0.25">
      <c r="A5" t="s">
        <v>11</v>
      </c>
      <c r="B5" s="3">
        <v>4.93</v>
      </c>
      <c r="C5" s="3">
        <v>5.45</v>
      </c>
      <c r="D5" s="3">
        <v>6</v>
      </c>
      <c r="E5" s="3">
        <v>7.48</v>
      </c>
      <c r="F5" s="3">
        <v>8.81</v>
      </c>
      <c r="G5" s="3">
        <v>10.199999999999999</v>
      </c>
      <c r="H5" s="3">
        <v>10.72</v>
      </c>
      <c r="I5" s="3">
        <v>11.11</v>
      </c>
      <c r="J5" s="3">
        <v>9.92</v>
      </c>
      <c r="K5" s="3">
        <v>8.26</v>
      </c>
      <c r="L5" s="3">
        <v>9.02</v>
      </c>
      <c r="M5" s="3"/>
      <c r="N5" s="3"/>
      <c r="O5" s="3"/>
      <c r="P5" s="3"/>
      <c r="Q5" s="3"/>
      <c r="R5" s="3"/>
      <c r="S5" s="3"/>
      <c r="T5" s="3"/>
    </row>
    <row r="6" spans="1:20" x14ac:dyDescent="0.25">
      <c r="A6" t="s">
        <v>12</v>
      </c>
      <c r="B6" s="3">
        <v>4.66</v>
      </c>
      <c r="C6" s="3"/>
      <c r="D6" s="3">
        <v>4.71</v>
      </c>
      <c r="E6" s="3">
        <v>6.54</v>
      </c>
      <c r="F6" s="3">
        <v>8.59</v>
      </c>
      <c r="G6" s="3">
        <v>6.96</v>
      </c>
      <c r="H6" s="3">
        <v>6.09</v>
      </c>
      <c r="I6" s="3">
        <v>5.4</v>
      </c>
      <c r="J6" s="3">
        <v>6.04</v>
      </c>
      <c r="K6" s="3">
        <v>4.96</v>
      </c>
      <c r="L6" s="3">
        <v>5.16</v>
      </c>
      <c r="M6" s="3"/>
      <c r="N6" s="3"/>
      <c r="O6" s="3"/>
      <c r="P6" s="3"/>
      <c r="Q6" s="3"/>
      <c r="R6" s="3"/>
      <c r="S6" s="3"/>
      <c r="T6" s="3"/>
    </row>
    <row r="7" spans="1:20" x14ac:dyDescent="0.25">
      <c r="A7" t="s">
        <v>13</v>
      </c>
      <c r="B7" s="3">
        <v>4.87</v>
      </c>
      <c r="C7" s="3"/>
      <c r="D7" s="3">
        <v>4.2</v>
      </c>
      <c r="E7" s="3">
        <v>5.44</v>
      </c>
      <c r="F7" s="3">
        <v>5.97</v>
      </c>
      <c r="G7" s="3">
        <v>6.15</v>
      </c>
      <c r="H7" s="3">
        <v>8.01</v>
      </c>
      <c r="I7" s="3">
        <v>7.24</v>
      </c>
      <c r="J7" s="3">
        <v>7.45</v>
      </c>
      <c r="K7" s="3">
        <v>5.21</v>
      </c>
      <c r="L7" s="3">
        <v>6.16</v>
      </c>
      <c r="M7" s="3"/>
      <c r="N7" s="3"/>
      <c r="O7" s="3"/>
      <c r="P7" s="3"/>
      <c r="Q7" s="3"/>
      <c r="R7" s="3"/>
      <c r="S7" s="3"/>
      <c r="T7" s="3"/>
    </row>
    <row r="8" spans="1:20" x14ac:dyDescent="0.25">
      <c r="A8" t="s">
        <v>14</v>
      </c>
      <c r="B8" s="3">
        <v>4.74</v>
      </c>
      <c r="C8" s="3"/>
      <c r="D8" s="3">
        <v>4.6900000000000004</v>
      </c>
      <c r="E8" s="3">
        <v>7.52</v>
      </c>
      <c r="F8" s="3">
        <v>9.1</v>
      </c>
      <c r="G8" s="3">
        <v>10.47</v>
      </c>
      <c r="H8" s="3">
        <v>10.66</v>
      </c>
      <c r="I8" s="3">
        <v>9.93</v>
      </c>
      <c r="J8" s="3">
        <v>7.99</v>
      </c>
      <c r="K8" s="3">
        <v>6.53</v>
      </c>
      <c r="L8" s="3">
        <v>6.6</v>
      </c>
      <c r="M8" s="3"/>
      <c r="N8" s="3"/>
      <c r="O8" s="3"/>
      <c r="P8" s="3"/>
      <c r="Q8" s="3"/>
      <c r="R8" s="3"/>
      <c r="S8" s="3"/>
      <c r="T8" s="3"/>
    </row>
    <row r="9" spans="1:20" x14ac:dyDescent="0.25">
      <c r="A9" t="s">
        <v>15</v>
      </c>
      <c r="B9" s="3">
        <v>5.3</v>
      </c>
      <c r="C9" s="3"/>
      <c r="D9" s="3">
        <v>5.45</v>
      </c>
      <c r="E9" s="3">
        <v>7.4</v>
      </c>
      <c r="F9" s="3">
        <v>10.7</v>
      </c>
      <c r="G9" s="3">
        <v>11.64</v>
      </c>
      <c r="H9" s="3">
        <v>11.52</v>
      </c>
      <c r="I9" s="3">
        <v>11.09</v>
      </c>
      <c r="J9" s="3">
        <v>10.07</v>
      </c>
      <c r="K9" s="3">
        <v>9.1999999999999993</v>
      </c>
      <c r="L9" s="3">
        <v>8.14</v>
      </c>
      <c r="M9" s="3"/>
      <c r="N9" s="3"/>
      <c r="O9" s="3"/>
      <c r="P9" s="3"/>
      <c r="Q9" s="3"/>
      <c r="R9" s="3"/>
      <c r="S9" s="3"/>
      <c r="T9" s="3"/>
    </row>
    <row r="10" spans="1:20" x14ac:dyDescent="0.25">
      <c r="A10" t="s">
        <v>16</v>
      </c>
      <c r="B10" s="3">
        <v>4.78</v>
      </c>
      <c r="C10" s="3"/>
      <c r="D10" s="3">
        <v>4.62</v>
      </c>
      <c r="E10" s="3">
        <v>7.11</v>
      </c>
      <c r="F10" s="3">
        <v>9.7899999999999991</v>
      </c>
      <c r="G10" s="3">
        <v>10.039999999999999</v>
      </c>
      <c r="H10" s="3">
        <v>9.83</v>
      </c>
      <c r="I10" s="3">
        <v>7.59</v>
      </c>
      <c r="J10" s="3">
        <v>6.78</v>
      </c>
      <c r="K10" s="3">
        <v>7.29</v>
      </c>
      <c r="L10" s="3">
        <v>8.4700000000000006</v>
      </c>
      <c r="M10" s="3"/>
      <c r="N10" s="3"/>
      <c r="O10" s="3"/>
      <c r="P10" s="3"/>
      <c r="Q10" s="3"/>
      <c r="R10" s="3"/>
      <c r="S10" s="3"/>
      <c r="T10" s="3"/>
    </row>
    <row r="11" spans="1:20" x14ac:dyDescent="0.25">
      <c r="A11" t="s">
        <v>17</v>
      </c>
      <c r="B11" s="3">
        <v>5.74</v>
      </c>
      <c r="C11" s="3">
        <v>5.22</v>
      </c>
      <c r="D11" s="3">
        <v>6.11</v>
      </c>
      <c r="E11" s="3">
        <v>8.68</v>
      </c>
      <c r="F11" s="3">
        <v>12.88</v>
      </c>
      <c r="G11" s="3">
        <v>13.91</v>
      </c>
      <c r="H11" s="3">
        <v>13.86</v>
      </c>
      <c r="I11" s="3">
        <v>11.45</v>
      </c>
      <c r="J11" s="3">
        <v>8.58</v>
      </c>
      <c r="K11" s="3">
        <v>6.2</v>
      </c>
      <c r="L11" s="3">
        <v>5.56</v>
      </c>
      <c r="M11" s="3"/>
      <c r="N11" s="3"/>
      <c r="O11" s="3"/>
      <c r="P11" s="3"/>
      <c r="Q11" s="3"/>
      <c r="R11" s="3"/>
      <c r="S11" s="3"/>
      <c r="T11" s="3"/>
    </row>
    <row r="12" spans="1:20" x14ac:dyDescent="0.25">
      <c r="A12" t="s">
        <v>18</v>
      </c>
      <c r="B12" s="3">
        <v>4.8600000000000003</v>
      </c>
      <c r="C12" s="3"/>
      <c r="D12" s="3">
        <v>4.8899999999999997</v>
      </c>
      <c r="E12" s="3">
        <v>6.94</v>
      </c>
      <c r="F12" s="3">
        <v>8.7899999999999991</v>
      </c>
      <c r="G12" s="3">
        <v>10.210000000000001</v>
      </c>
      <c r="H12" s="3">
        <v>10.88</v>
      </c>
      <c r="L12" s="3">
        <v>6.41</v>
      </c>
      <c r="M12" s="3"/>
    </row>
    <row r="13" spans="1:20" x14ac:dyDescent="0.25">
      <c r="A13" t="s">
        <v>19</v>
      </c>
      <c r="B13" s="3">
        <v>4.7</v>
      </c>
      <c r="C13" s="3"/>
      <c r="D13" s="3">
        <v>4.95</v>
      </c>
      <c r="E13" s="3">
        <v>6.8</v>
      </c>
      <c r="F13" s="3">
        <v>9.6</v>
      </c>
      <c r="G13" s="3">
        <v>11.14</v>
      </c>
      <c r="H13" s="3">
        <v>11.21</v>
      </c>
      <c r="I13" s="3">
        <v>10.06</v>
      </c>
      <c r="J13" s="3">
        <v>8.74</v>
      </c>
      <c r="K13" s="3">
        <v>8.01</v>
      </c>
      <c r="L13" s="3">
        <v>6.23</v>
      </c>
      <c r="M13" s="3"/>
      <c r="N13" s="3"/>
      <c r="O13" s="3"/>
      <c r="P13" s="3"/>
      <c r="Q13" s="3"/>
      <c r="R13" s="3"/>
      <c r="S13" s="3"/>
      <c r="T13" s="3"/>
    </row>
    <row r="14" spans="1:20" x14ac:dyDescent="0.25">
      <c r="A14" t="s">
        <v>20</v>
      </c>
      <c r="B14" s="3">
        <v>5.26</v>
      </c>
      <c r="C14" s="3">
        <v>5.24</v>
      </c>
      <c r="D14" s="3">
        <v>5.54</v>
      </c>
      <c r="E14" s="3">
        <v>7.77</v>
      </c>
      <c r="F14" s="3">
        <v>9.94</v>
      </c>
      <c r="G14" s="3">
        <v>10.61</v>
      </c>
      <c r="H14" s="3">
        <v>10.34</v>
      </c>
      <c r="I14" s="3">
        <v>8.6999999999999993</v>
      </c>
      <c r="J14" s="3">
        <v>6.99</v>
      </c>
      <c r="K14" s="3">
        <v>6</v>
      </c>
      <c r="L14" s="3">
        <v>6.04</v>
      </c>
      <c r="M14" s="3"/>
      <c r="N14" s="3"/>
      <c r="O14" s="3"/>
      <c r="P14" s="3"/>
      <c r="Q14" s="3"/>
      <c r="R14" s="3"/>
      <c r="S14" s="3"/>
      <c r="T14" s="3"/>
    </row>
    <row r="15" spans="1:20" x14ac:dyDescent="0.25">
      <c r="A15" t="s">
        <v>21</v>
      </c>
      <c r="B15" s="3">
        <v>4.9400000000000004</v>
      </c>
      <c r="C15" s="3">
        <v>5.29</v>
      </c>
      <c r="D15" s="3">
        <v>5.19</v>
      </c>
      <c r="E15" s="3">
        <v>7.79</v>
      </c>
      <c r="F15" s="3">
        <v>9.39</v>
      </c>
      <c r="G15" s="3">
        <v>8.14</v>
      </c>
      <c r="H15" s="3">
        <v>7.65</v>
      </c>
      <c r="I15" s="3">
        <v>7.24</v>
      </c>
      <c r="J15" s="3">
        <v>6.46</v>
      </c>
      <c r="K15" s="3">
        <v>6.52</v>
      </c>
      <c r="L15" s="3">
        <v>7.27</v>
      </c>
      <c r="M15" s="3"/>
      <c r="N15" s="3"/>
      <c r="O15" s="3"/>
      <c r="P15" s="3"/>
      <c r="Q15" s="3"/>
      <c r="R15" s="3"/>
      <c r="S15" s="3"/>
      <c r="T15" s="3"/>
    </row>
    <row r="16" spans="1:20" x14ac:dyDescent="0.25">
      <c r="A16" t="s">
        <v>22</v>
      </c>
      <c r="B16" s="3">
        <v>5.41</v>
      </c>
      <c r="C16" s="3">
        <v>5.63</v>
      </c>
      <c r="D16" s="3">
        <v>6.23</v>
      </c>
      <c r="E16" s="3">
        <v>8.5</v>
      </c>
      <c r="F16" s="3">
        <v>8.57</v>
      </c>
      <c r="G16" s="3">
        <v>10.45</v>
      </c>
      <c r="H16" s="3">
        <v>10.38</v>
      </c>
      <c r="I16" s="3">
        <v>8.27</v>
      </c>
      <c r="J16" s="3">
        <v>7.59</v>
      </c>
      <c r="K16" s="3">
        <v>6.77</v>
      </c>
      <c r="L16" s="3">
        <v>6.12</v>
      </c>
      <c r="M16" s="3"/>
      <c r="N16" s="3"/>
      <c r="O16" s="3"/>
      <c r="P16" s="3"/>
      <c r="Q16" s="3"/>
      <c r="R16" s="3"/>
      <c r="S16" s="3"/>
      <c r="T16" s="3"/>
    </row>
    <row r="17" spans="1:20" x14ac:dyDescent="0.25">
      <c r="A17" t="s">
        <v>23</v>
      </c>
      <c r="B17" s="3">
        <v>5.09</v>
      </c>
      <c r="C17" s="20">
        <v>5.08</v>
      </c>
      <c r="D17" s="3">
        <v>5.08</v>
      </c>
      <c r="E17" s="3">
        <v>6.61</v>
      </c>
      <c r="F17" s="3">
        <v>9.33</v>
      </c>
      <c r="G17" s="3">
        <v>8.51</v>
      </c>
      <c r="H17" s="3">
        <v>6.24</v>
      </c>
      <c r="I17" s="3">
        <v>4.8600000000000003</v>
      </c>
      <c r="J17" s="3">
        <v>6</v>
      </c>
      <c r="K17" s="3">
        <v>6.82</v>
      </c>
      <c r="L17" s="3">
        <v>6.66</v>
      </c>
      <c r="M17" s="3"/>
      <c r="N17" s="3"/>
      <c r="O17" s="3"/>
      <c r="P17" s="3"/>
      <c r="Q17" s="3"/>
      <c r="R17" s="3"/>
      <c r="S17" s="3"/>
      <c r="T17" s="3"/>
    </row>
    <row r="19" spans="1:20" x14ac:dyDescent="0.25">
      <c r="A19" t="s">
        <v>25</v>
      </c>
    </row>
    <row r="20" spans="1:20" x14ac:dyDescent="0.25">
      <c r="A20" t="s">
        <v>5</v>
      </c>
      <c r="B20" s="3">
        <v>4.68</v>
      </c>
      <c r="C20" s="3"/>
      <c r="D20" s="3">
        <v>6.07</v>
      </c>
      <c r="E20" s="3">
        <v>7.76</v>
      </c>
      <c r="F20" s="3">
        <v>9.58</v>
      </c>
      <c r="G20" s="3">
        <v>6.56</v>
      </c>
      <c r="H20" s="3">
        <v>5.12</v>
      </c>
      <c r="I20" s="3">
        <v>5.01</v>
      </c>
      <c r="J20" s="3">
        <v>5.53</v>
      </c>
      <c r="K20" s="3">
        <v>6.04</v>
      </c>
      <c r="L20" s="3">
        <v>5.89</v>
      </c>
      <c r="M20" s="3"/>
      <c r="N20" s="3"/>
      <c r="O20" s="3"/>
      <c r="P20" s="3"/>
      <c r="Q20" s="3"/>
      <c r="R20" s="3"/>
      <c r="S20" s="3"/>
      <c r="T20" s="3"/>
    </row>
    <row r="21" spans="1:20" x14ac:dyDescent="0.25">
      <c r="A21" t="s">
        <v>7</v>
      </c>
      <c r="B21" s="3">
        <v>4.71</v>
      </c>
      <c r="C21" s="3"/>
      <c r="D21" s="3">
        <v>4.79</v>
      </c>
      <c r="E21" s="3">
        <v>7.37</v>
      </c>
      <c r="F21" s="3">
        <v>8.32</v>
      </c>
      <c r="G21" s="3">
        <v>8.66</v>
      </c>
      <c r="H21" s="3">
        <v>7.44</v>
      </c>
      <c r="I21" s="3">
        <v>7.16</v>
      </c>
      <c r="J21" s="3">
        <v>6.57</v>
      </c>
      <c r="K21" s="3">
        <v>6.93</v>
      </c>
      <c r="L21" s="3">
        <v>6.79</v>
      </c>
      <c r="M21" s="3"/>
      <c r="N21" s="3"/>
      <c r="O21" s="3"/>
      <c r="P21" s="3"/>
      <c r="Q21" s="3"/>
      <c r="R21" s="3"/>
      <c r="S21" s="3"/>
      <c r="T21" s="3"/>
    </row>
    <row r="22" spans="1:20" x14ac:dyDescent="0.25">
      <c r="A22" t="s">
        <v>10</v>
      </c>
      <c r="B22" s="3">
        <v>5.32</v>
      </c>
      <c r="C22" s="3">
        <v>4.99</v>
      </c>
      <c r="D22" s="3">
        <v>5.21</v>
      </c>
      <c r="E22" s="3">
        <v>6.51</v>
      </c>
      <c r="F22" s="3">
        <v>8.1</v>
      </c>
      <c r="G22" s="3">
        <v>8.3800000000000008</v>
      </c>
      <c r="H22" s="3">
        <v>8.18</v>
      </c>
      <c r="I22" s="3">
        <v>7.34</v>
      </c>
      <c r="J22" s="3">
        <v>6.32</v>
      </c>
      <c r="K22" s="3">
        <v>5.85</v>
      </c>
      <c r="L22" s="3">
        <v>6.29</v>
      </c>
      <c r="M22" s="3"/>
      <c r="N22" s="3"/>
      <c r="O22" s="3"/>
      <c r="P22" s="3"/>
      <c r="Q22" s="3"/>
      <c r="R22" s="3"/>
      <c r="S22" s="3"/>
      <c r="T22" s="3"/>
    </row>
    <row r="23" spans="1:20" x14ac:dyDescent="0.25">
      <c r="A23" t="s">
        <v>11</v>
      </c>
      <c r="B23" s="3">
        <v>4.78</v>
      </c>
      <c r="C23" s="3">
        <v>4.99</v>
      </c>
      <c r="D23" s="3">
        <v>5.14</v>
      </c>
      <c r="E23" s="3">
        <v>7.26</v>
      </c>
      <c r="F23" s="3">
        <v>9.4700000000000006</v>
      </c>
      <c r="G23" s="3">
        <v>9.3699999999999992</v>
      </c>
      <c r="H23" s="3">
        <v>8.75</v>
      </c>
      <c r="I23" s="3">
        <v>7.95</v>
      </c>
      <c r="J23" s="3">
        <v>7.47</v>
      </c>
      <c r="K23" s="3">
        <v>6.47</v>
      </c>
      <c r="L23" s="3">
        <v>6.4</v>
      </c>
      <c r="M23" s="3"/>
      <c r="N23" s="3"/>
      <c r="O23" s="3"/>
      <c r="P23" s="3"/>
      <c r="Q23" s="3"/>
      <c r="R23" s="3"/>
      <c r="S23" s="3"/>
      <c r="T23" s="3"/>
    </row>
    <row r="24" spans="1:20" x14ac:dyDescent="0.25">
      <c r="A24" t="s">
        <v>12</v>
      </c>
      <c r="B24" s="3">
        <v>4.8899999999999997</v>
      </c>
      <c r="C24" s="3"/>
      <c r="D24" s="3">
        <v>4.74</v>
      </c>
      <c r="E24" s="3">
        <v>6.75</v>
      </c>
      <c r="F24" s="3">
        <v>7.3</v>
      </c>
      <c r="G24" s="3">
        <v>6.36</v>
      </c>
      <c r="H24" s="3">
        <v>5.5</v>
      </c>
      <c r="I24" s="3">
        <v>6.11</v>
      </c>
      <c r="J24" s="3">
        <v>6.11</v>
      </c>
      <c r="K24" s="3">
        <v>5.34</v>
      </c>
      <c r="L24" s="3">
        <v>5.2</v>
      </c>
      <c r="M24" s="3"/>
      <c r="N24" s="3"/>
      <c r="O24" s="3"/>
      <c r="P24" s="3"/>
      <c r="Q24" s="3"/>
      <c r="R24" s="3"/>
      <c r="S24" s="3"/>
      <c r="T24" s="3"/>
    </row>
    <row r="25" spans="1:20" x14ac:dyDescent="0.25">
      <c r="A25" t="s">
        <v>13</v>
      </c>
      <c r="B25" s="3">
        <v>4.96</v>
      </c>
      <c r="C25" s="3"/>
      <c r="D25" s="3">
        <v>4.83</v>
      </c>
      <c r="E25" s="3">
        <v>4.9400000000000004</v>
      </c>
      <c r="F25" s="3">
        <v>5.5</v>
      </c>
      <c r="G25" s="3">
        <v>5.19</v>
      </c>
      <c r="H25" s="3">
        <v>7.86</v>
      </c>
      <c r="I25" s="3">
        <v>8.4700000000000006</v>
      </c>
      <c r="J25" s="3">
        <v>5.58</v>
      </c>
      <c r="K25" s="3">
        <v>8.1300000000000008</v>
      </c>
      <c r="L25" s="3">
        <v>7.56</v>
      </c>
      <c r="M25" s="3"/>
      <c r="N25" s="3"/>
      <c r="O25" s="3"/>
      <c r="P25" s="3"/>
      <c r="Q25" s="3"/>
      <c r="R25" s="3"/>
      <c r="S25" s="3"/>
      <c r="T25" s="3"/>
    </row>
    <row r="26" spans="1:20" x14ac:dyDescent="0.25">
      <c r="A26" t="s">
        <v>14</v>
      </c>
      <c r="B26" s="3">
        <v>5.49</v>
      </c>
      <c r="C26" s="3">
        <v>4.93</v>
      </c>
      <c r="D26" s="3">
        <v>5.2</v>
      </c>
      <c r="E26" s="3">
        <v>6.86</v>
      </c>
      <c r="F26" s="3">
        <v>9.51</v>
      </c>
      <c r="G26" s="3">
        <v>10.96</v>
      </c>
      <c r="H26" s="3">
        <v>11.66</v>
      </c>
      <c r="I26" s="3">
        <v>10.95</v>
      </c>
      <c r="J26" s="3">
        <v>9.27</v>
      </c>
      <c r="K26" s="3">
        <v>8.14</v>
      </c>
      <c r="L26" s="3">
        <v>6.88</v>
      </c>
      <c r="M26" s="3"/>
      <c r="N26" s="3"/>
      <c r="O26" s="3"/>
      <c r="P26" s="3"/>
      <c r="Q26" s="3"/>
      <c r="R26" s="3"/>
      <c r="S26" s="3"/>
      <c r="T26" s="3"/>
    </row>
    <row r="27" spans="1:20" x14ac:dyDescent="0.25">
      <c r="A27" t="s">
        <v>15</v>
      </c>
      <c r="B27" s="3">
        <v>5.0999999999999996</v>
      </c>
      <c r="C27" s="3"/>
      <c r="D27" s="3">
        <v>5.29</v>
      </c>
      <c r="E27" s="3">
        <v>6.43</v>
      </c>
      <c r="F27" s="3">
        <v>9.24</v>
      </c>
      <c r="G27" s="3">
        <v>10.36</v>
      </c>
      <c r="H27" s="3">
        <v>11.06</v>
      </c>
      <c r="I27" s="3">
        <v>10.47</v>
      </c>
      <c r="J27" s="3">
        <v>9.9700000000000006</v>
      </c>
      <c r="K27" s="3">
        <v>8.57</v>
      </c>
      <c r="L27" s="3">
        <v>7.32</v>
      </c>
      <c r="M27" s="3"/>
      <c r="N27" s="3"/>
      <c r="O27" s="3"/>
      <c r="P27" s="3"/>
      <c r="Q27" s="3"/>
      <c r="R27" s="3"/>
      <c r="S27" s="3"/>
      <c r="T27" s="3"/>
    </row>
    <row r="28" spans="1:20" x14ac:dyDescent="0.25">
      <c r="A28" t="s">
        <v>16</v>
      </c>
      <c r="B28" s="3">
        <v>4.25</v>
      </c>
      <c r="C28" s="3"/>
      <c r="D28" s="3">
        <v>4.5199999999999996</v>
      </c>
      <c r="E28" s="3">
        <v>6.63</v>
      </c>
      <c r="F28" s="3">
        <v>9.77</v>
      </c>
      <c r="G28" s="3">
        <v>9.9499999999999993</v>
      </c>
      <c r="H28" s="3">
        <v>9.0500000000000007</v>
      </c>
      <c r="I28" s="3">
        <v>8.06</v>
      </c>
      <c r="J28" s="3">
        <v>7.26</v>
      </c>
      <c r="K28" s="3">
        <v>6.44</v>
      </c>
      <c r="L28" s="3">
        <v>6.85</v>
      </c>
      <c r="M28" s="3"/>
      <c r="N28" s="3"/>
      <c r="O28" s="3"/>
      <c r="P28" s="3"/>
      <c r="Q28" s="3"/>
      <c r="R28" s="3"/>
      <c r="S28" s="3"/>
      <c r="T28" s="3"/>
    </row>
    <row r="29" spans="1:20" x14ac:dyDescent="0.25">
      <c r="A29" t="s">
        <v>17</v>
      </c>
      <c r="B29" s="3">
        <v>6.16</v>
      </c>
      <c r="C29" s="3">
        <v>5.67</v>
      </c>
      <c r="D29" s="3">
        <v>6.03</v>
      </c>
      <c r="E29" s="20"/>
      <c r="F29" s="3">
        <v>10.81</v>
      </c>
      <c r="G29" s="3">
        <v>11.64</v>
      </c>
      <c r="H29" s="3">
        <v>12.62</v>
      </c>
      <c r="I29" s="3">
        <v>10.67</v>
      </c>
      <c r="J29" s="3">
        <v>8.4700000000000006</v>
      </c>
      <c r="K29" s="3">
        <v>7.09</v>
      </c>
      <c r="L29" s="3">
        <v>6.56</v>
      </c>
      <c r="M29" s="3"/>
      <c r="N29" s="3"/>
      <c r="O29" s="3"/>
      <c r="P29" s="3"/>
      <c r="Q29" s="3"/>
      <c r="R29" s="3"/>
      <c r="S29" s="3"/>
      <c r="T29" s="3"/>
    </row>
    <row r="30" spans="1:20" x14ac:dyDescent="0.25">
      <c r="A30" t="s">
        <v>18</v>
      </c>
      <c r="B30" s="3">
        <v>4.5999999999999996</v>
      </c>
      <c r="C30" s="3"/>
      <c r="D30" s="3">
        <v>4.51</v>
      </c>
      <c r="E30" s="3">
        <v>7.2</v>
      </c>
      <c r="F30" s="3">
        <v>8.91</v>
      </c>
      <c r="G30" s="3">
        <v>9.85</v>
      </c>
      <c r="H30" s="3">
        <v>10.15</v>
      </c>
      <c r="I30" s="3">
        <v>9.44</v>
      </c>
      <c r="J30" s="3">
        <v>8.84</v>
      </c>
      <c r="K30" s="3">
        <v>7.87</v>
      </c>
      <c r="L30" s="3">
        <v>6.41</v>
      </c>
      <c r="M30" s="3"/>
      <c r="N30" s="3"/>
      <c r="O30" s="3"/>
      <c r="P30" s="3"/>
      <c r="Q30" s="3"/>
      <c r="R30" s="3"/>
      <c r="S30" s="3"/>
      <c r="T30" s="3"/>
    </row>
    <row r="31" spans="1:20" x14ac:dyDescent="0.25">
      <c r="A31" t="s">
        <v>19</v>
      </c>
      <c r="B31" s="3">
        <v>4.6100000000000003</v>
      </c>
      <c r="C31" s="3"/>
      <c r="D31" s="3">
        <v>4.7300000000000004</v>
      </c>
      <c r="E31" s="3">
        <v>6.73</v>
      </c>
      <c r="F31" s="3">
        <v>8.98</v>
      </c>
      <c r="G31" s="3">
        <v>10</v>
      </c>
      <c r="H31" s="3">
        <v>10.5</v>
      </c>
      <c r="I31" s="3">
        <v>10.25</v>
      </c>
      <c r="J31" s="3">
        <v>9.5399999999999991</v>
      </c>
      <c r="K31" s="3">
        <v>9.52</v>
      </c>
      <c r="L31" s="3">
        <v>8.86</v>
      </c>
      <c r="M31" s="3"/>
      <c r="N31" s="3"/>
      <c r="O31" s="3"/>
      <c r="P31" s="3"/>
      <c r="Q31" s="3"/>
      <c r="R31" s="3"/>
      <c r="S31" s="3"/>
      <c r="T31" s="3"/>
    </row>
    <row r="32" spans="1:20" x14ac:dyDescent="0.25">
      <c r="A32" t="s">
        <v>20</v>
      </c>
      <c r="B32" s="3">
        <v>5.12</v>
      </c>
      <c r="C32" s="3">
        <v>5.15</v>
      </c>
      <c r="D32" s="3">
        <v>5.45</v>
      </c>
      <c r="E32" s="3">
        <v>8.1300000000000008</v>
      </c>
      <c r="F32" s="3">
        <v>9.6199999999999992</v>
      </c>
      <c r="G32" s="3">
        <v>10.199999999999999</v>
      </c>
      <c r="H32" s="3">
        <v>9.36</v>
      </c>
      <c r="I32" s="3">
        <v>7.8</v>
      </c>
      <c r="J32" s="3">
        <v>6.89</v>
      </c>
      <c r="K32" s="3">
        <v>6.72</v>
      </c>
      <c r="L32" s="3">
        <v>6.9</v>
      </c>
      <c r="M32" s="3"/>
      <c r="N32" s="3"/>
      <c r="O32" s="3"/>
      <c r="P32" s="3"/>
      <c r="Q32" s="3"/>
      <c r="R32" s="3"/>
      <c r="S32" s="3"/>
      <c r="T32" s="3"/>
    </row>
    <row r="33" spans="1:20" x14ac:dyDescent="0.25">
      <c r="A33" t="s">
        <v>21</v>
      </c>
      <c r="B33" s="3">
        <v>4.91</v>
      </c>
      <c r="C33" s="3">
        <v>5.07</v>
      </c>
      <c r="D33" s="3">
        <v>5.31</v>
      </c>
      <c r="E33" s="3">
        <v>8.49</v>
      </c>
      <c r="F33" s="3">
        <v>9.76</v>
      </c>
      <c r="G33" s="3">
        <v>9.94</v>
      </c>
      <c r="H33" s="3">
        <v>9.77</v>
      </c>
      <c r="I33" s="3">
        <v>8.7200000000000006</v>
      </c>
      <c r="J33" s="3">
        <v>7.86</v>
      </c>
      <c r="K33" s="3">
        <v>7.82</v>
      </c>
      <c r="L33" s="3">
        <v>7.6</v>
      </c>
      <c r="M33" s="3"/>
      <c r="N33" s="3"/>
      <c r="O33" s="3"/>
      <c r="P33" s="3"/>
      <c r="Q33" s="3"/>
      <c r="R33" s="3"/>
      <c r="S33" s="3"/>
      <c r="T33" s="3"/>
    </row>
    <row r="34" spans="1:20" x14ac:dyDescent="0.25">
      <c r="A34" t="s">
        <v>22</v>
      </c>
      <c r="B34" s="3">
        <v>5.42</v>
      </c>
      <c r="C34" s="3">
        <v>5.34</v>
      </c>
      <c r="D34" s="3">
        <v>5.39</v>
      </c>
      <c r="E34" s="3">
        <v>7.31</v>
      </c>
      <c r="F34" s="3">
        <v>9.5500000000000007</v>
      </c>
      <c r="G34" s="3">
        <v>10.35</v>
      </c>
      <c r="H34" s="3">
        <v>8.7100000000000009</v>
      </c>
      <c r="I34" s="3">
        <v>7.78</v>
      </c>
      <c r="J34" s="3">
        <v>6.85</v>
      </c>
      <c r="K34" s="3">
        <v>6.69</v>
      </c>
      <c r="L34" s="3">
        <v>5.59</v>
      </c>
      <c r="M34" s="3"/>
      <c r="N34" s="3"/>
      <c r="O34" s="3"/>
      <c r="P34" s="3"/>
      <c r="Q34" s="3"/>
      <c r="R34" s="3"/>
      <c r="S34" s="3"/>
      <c r="T34" s="3"/>
    </row>
    <row r="35" spans="1:20" x14ac:dyDescent="0.25">
      <c r="A35" t="s">
        <v>23</v>
      </c>
      <c r="B35" s="3">
        <v>4.6500000000000004</v>
      </c>
      <c r="C35" s="3">
        <v>4.75</v>
      </c>
      <c r="D35" s="3">
        <v>4.57</v>
      </c>
      <c r="E35" s="3">
        <v>6.9</v>
      </c>
      <c r="F35" s="3">
        <v>10.34</v>
      </c>
      <c r="G35" s="3">
        <v>10.08</v>
      </c>
      <c r="H35" s="3">
        <v>7.89</v>
      </c>
      <c r="I35" s="3">
        <v>5.29</v>
      </c>
      <c r="J35" s="3">
        <v>4.49</v>
      </c>
      <c r="K35" s="3">
        <v>4.6500000000000004</v>
      </c>
      <c r="L35" s="3">
        <v>5.0999999999999996</v>
      </c>
      <c r="M35" s="3"/>
      <c r="N35" s="3"/>
      <c r="O35" s="3"/>
      <c r="P35" s="3"/>
      <c r="Q35" s="3"/>
      <c r="R35" s="3"/>
      <c r="S35" s="3"/>
      <c r="T35" s="3"/>
    </row>
  </sheetData>
  <pageMargins left="0.7" right="0.7" top="0.75" bottom="0.75" header="0.3" footer="0.3"/>
  <legacyDrawing r:id="rId1"/>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G36"/>
  <sheetViews>
    <sheetView zoomScaleNormal="100" workbookViewId="0">
      <selection activeCell="G2" sqref="G2"/>
    </sheetView>
  </sheetViews>
  <sheetFormatPr defaultRowHeight="15" x14ac:dyDescent="0.25"/>
  <sheetData>
    <row r="1" spans="1:7" x14ac:dyDescent="0.25">
      <c r="A1" s="1" t="s">
        <v>73</v>
      </c>
      <c r="G1" t="s">
        <v>87</v>
      </c>
    </row>
    <row r="2" spans="1:7" x14ac:dyDescent="0.25">
      <c r="A2" t="s">
        <v>26</v>
      </c>
      <c r="B2" t="s">
        <v>74</v>
      </c>
      <c r="C2">
        <v>30</v>
      </c>
      <c r="D2">
        <v>60</v>
      </c>
      <c r="E2">
        <v>120</v>
      </c>
    </row>
    <row r="3" spans="1:7" x14ac:dyDescent="0.25">
      <c r="A3" t="s">
        <v>5</v>
      </c>
      <c r="B3">
        <v>106.98264020086626</v>
      </c>
      <c r="D3">
        <v>114.05887140127389</v>
      </c>
      <c r="E3">
        <v>114.56365282619109</v>
      </c>
    </row>
    <row r="4" spans="1:7" x14ac:dyDescent="0.25">
      <c r="A4" t="s">
        <v>7</v>
      </c>
      <c r="B4">
        <v>84.271455497382206</v>
      </c>
      <c r="D4">
        <v>91.215581151832467</v>
      </c>
      <c r="E4">
        <v>91.084146596858645</v>
      </c>
    </row>
    <row r="5" spans="1:7" x14ac:dyDescent="0.25">
      <c r="A5" t="s">
        <v>10</v>
      </c>
      <c r="B5">
        <v>104.65493696749643</v>
      </c>
      <c r="D5">
        <v>107.44320457796852</v>
      </c>
      <c r="E5">
        <v>105.22849785407725</v>
      </c>
    </row>
    <row r="6" spans="1:7" x14ac:dyDescent="0.25">
      <c r="A6" t="s">
        <v>11</v>
      </c>
      <c r="B6">
        <v>99.944213649851633</v>
      </c>
      <c r="D6">
        <v>98.826824925816027</v>
      </c>
      <c r="E6">
        <v>105.84154302670622</v>
      </c>
    </row>
    <row r="7" spans="1:7" x14ac:dyDescent="0.25">
      <c r="A7" t="s">
        <v>12</v>
      </c>
      <c r="B7">
        <v>101.10178807947021</v>
      </c>
      <c r="C7">
        <v>105.50052980132449</v>
      </c>
      <c r="D7">
        <v>95.456158940397358</v>
      </c>
      <c r="E7">
        <v>100.58225165562915</v>
      </c>
    </row>
    <row r="8" spans="1:7" x14ac:dyDescent="0.25">
      <c r="A8" t="s">
        <v>13</v>
      </c>
      <c r="B8">
        <v>96.990096818810542</v>
      </c>
      <c r="D8">
        <v>99.94146611341634</v>
      </c>
      <c r="E8">
        <v>101.21460580912863</v>
      </c>
    </row>
    <row r="9" spans="1:7" x14ac:dyDescent="0.25">
      <c r="A9" s="2" t="s">
        <v>14</v>
      </c>
      <c r="B9">
        <v>98.801347626339975</v>
      </c>
      <c r="C9" s="2">
        <v>148.77868300153142</v>
      </c>
      <c r="D9" s="2">
        <v>136.4124961715161</v>
      </c>
      <c r="E9" s="2">
        <v>107.6434915773354</v>
      </c>
      <c r="F9" t="s">
        <v>75</v>
      </c>
    </row>
    <row r="10" spans="1:7" x14ac:dyDescent="0.25">
      <c r="A10" s="2" t="s">
        <v>15</v>
      </c>
      <c r="B10">
        <v>102.54566284779051</v>
      </c>
      <c r="C10">
        <v>103.67554828150574</v>
      </c>
      <c r="D10">
        <v>99.635351882160407</v>
      </c>
      <c r="E10">
        <v>100.52556464811785</v>
      </c>
    </row>
    <row r="11" spans="1:7" x14ac:dyDescent="0.25">
      <c r="A11" s="2" t="s">
        <v>16</v>
      </c>
      <c r="B11">
        <v>87.226875981161697</v>
      </c>
      <c r="C11">
        <v>97.933186813186808</v>
      </c>
      <c r="D11">
        <v>107.58857142857141</v>
      </c>
      <c r="E11">
        <v>103.91032967032967</v>
      </c>
    </row>
    <row r="12" spans="1:7" x14ac:dyDescent="0.25">
      <c r="A12" s="2" t="s">
        <v>17</v>
      </c>
      <c r="B12">
        <v>125.08089955022488</v>
      </c>
      <c r="C12">
        <v>135.05475262368816</v>
      </c>
      <c r="D12">
        <v>134.992023988006</v>
      </c>
      <c r="E12">
        <v>144.27586206896552</v>
      </c>
    </row>
    <row r="13" spans="1:7" x14ac:dyDescent="0.25">
      <c r="A13" s="2" t="s">
        <v>18</v>
      </c>
      <c r="B13">
        <v>88.884976076555034</v>
      </c>
      <c r="C13">
        <v>77.807719298245615</v>
      </c>
      <c r="D13">
        <v>151.81180223285486</v>
      </c>
      <c r="E13">
        <v>108.37027113237639</v>
      </c>
    </row>
    <row r="14" spans="1:7" x14ac:dyDescent="0.25">
      <c r="A14" s="2" t="s">
        <v>19</v>
      </c>
      <c r="B14">
        <v>77.886235489220567</v>
      </c>
      <c r="C14">
        <v>88.883980099502494</v>
      </c>
      <c r="D14">
        <v>97.21034825870646</v>
      </c>
      <c r="E14">
        <v>109.90805970149256</v>
      </c>
    </row>
    <row r="15" spans="1:7" x14ac:dyDescent="0.25">
      <c r="A15" s="2" t="s">
        <v>20</v>
      </c>
      <c r="B15">
        <v>95.901684210526312</v>
      </c>
      <c r="C15">
        <v>101.24178947368422</v>
      </c>
      <c r="D15">
        <v>98.489157894736849</v>
      </c>
      <c r="E15">
        <v>89.350421052631589</v>
      </c>
    </row>
    <row r="16" spans="1:7" x14ac:dyDescent="0.25">
      <c r="A16" s="2" t="s">
        <v>21</v>
      </c>
      <c r="B16">
        <v>85.2720427236315</v>
      </c>
      <c r="C16">
        <v>90.215754339118817</v>
      </c>
      <c r="D16">
        <v>96.360480640854476</v>
      </c>
      <c r="E16">
        <v>88.930947930574106</v>
      </c>
    </row>
    <row r="17" spans="1:6" x14ac:dyDescent="0.25">
      <c r="A17" s="2" t="s">
        <v>22</v>
      </c>
      <c r="B17">
        <v>95.313199527744985</v>
      </c>
      <c r="C17">
        <v>89.80533648170011</v>
      </c>
      <c r="D17">
        <v>109.02110979929162</v>
      </c>
      <c r="E17">
        <v>95.831877213695407</v>
      </c>
      <c r="F17" t="s">
        <v>86</v>
      </c>
    </row>
    <row r="18" spans="1:6" x14ac:dyDescent="0.25">
      <c r="A18" s="2" t="s">
        <v>23</v>
      </c>
      <c r="B18">
        <v>91.672267884322693</v>
      </c>
      <c r="C18">
        <v>105.84182648401827</v>
      </c>
      <c r="D18">
        <v>103.80395738203957</v>
      </c>
      <c r="E18">
        <v>96.225631659056319</v>
      </c>
    </row>
    <row r="19" spans="1:6" x14ac:dyDescent="0.25">
      <c r="A19" s="2"/>
      <c r="B19" s="2"/>
      <c r="C19" s="2"/>
      <c r="D19" s="2"/>
      <c r="E19" s="2"/>
    </row>
    <row r="20" spans="1:6" x14ac:dyDescent="0.25">
      <c r="A20" s="2" t="s">
        <v>25</v>
      </c>
      <c r="B20" s="2"/>
      <c r="C20" s="2"/>
      <c r="D20" s="2"/>
      <c r="E20" s="2"/>
    </row>
    <row r="21" spans="1:6" x14ac:dyDescent="0.25">
      <c r="A21" s="2" t="s">
        <v>5</v>
      </c>
      <c r="B21">
        <v>98.152173278898601</v>
      </c>
      <c r="D21">
        <v>114.81621512931163</v>
      </c>
      <c r="E21">
        <v>108.28013868425531</v>
      </c>
    </row>
    <row r="22" spans="1:6" x14ac:dyDescent="0.25">
      <c r="A22" s="2" t="s">
        <v>7</v>
      </c>
      <c r="B22">
        <v>78.781977107180026</v>
      </c>
      <c r="D22">
        <v>81.459562955254938</v>
      </c>
      <c r="E22">
        <v>80.458189386056219</v>
      </c>
    </row>
    <row r="23" spans="1:6" x14ac:dyDescent="0.25">
      <c r="A23" s="2" t="s">
        <v>10</v>
      </c>
      <c r="B23">
        <v>108.62196403872754</v>
      </c>
      <c r="D23">
        <v>107.43562932226833</v>
      </c>
      <c r="E23">
        <v>111.92055325034578</v>
      </c>
    </row>
    <row r="24" spans="1:6" x14ac:dyDescent="0.25">
      <c r="A24" s="2" t="s">
        <v>11</v>
      </c>
      <c r="B24">
        <v>103.47982633863965</v>
      </c>
      <c r="D24">
        <v>112.25956584659916</v>
      </c>
      <c r="E24">
        <v>113.34946454413894</v>
      </c>
    </row>
    <row r="25" spans="1:6" x14ac:dyDescent="0.25">
      <c r="A25" s="2" t="s">
        <v>12</v>
      </c>
      <c r="B25">
        <v>96.221548709408836</v>
      </c>
      <c r="C25">
        <v>109.25082431307243</v>
      </c>
      <c r="D25">
        <v>107.99666944213156</v>
      </c>
      <c r="E25">
        <v>106.95154038301418</v>
      </c>
    </row>
    <row r="26" spans="1:6" x14ac:dyDescent="0.25">
      <c r="A26" s="2" t="s">
        <v>13</v>
      </c>
      <c r="B26">
        <v>92.722838709677433</v>
      </c>
      <c r="D26">
        <v>99.490506912442399</v>
      </c>
      <c r="E26">
        <v>105.44836866359449</v>
      </c>
    </row>
    <row r="27" spans="1:6" x14ac:dyDescent="0.25">
      <c r="A27" s="2" t="s">
        <v>14</v>
      </c>
      <c r="B27" s="2">
        <v>77.077025796661601</v>
      </c>
      <c r="C27" s="2">
        <v>87.044977238239753</v>
      </c>
      <c r="D27" s="2">
        <v>116.31393019726859</v>
      </c>
      <c r="E27" s="2">
        <v>106.21899848254931</v>
      </c>
      <c r="F27" t="s">
        <v>75</v>
      </c>
    </row>
    <row r="28" spans="1:6" x14ac:dyDescent="0.25">
      <c r="A28" s="2" t="s">
        <v>15</v>
      </c>
      <c r="B28">
        <v>111.22745600000002</v>
      </c>
      <c r="C28">
        <v>116.549504</v>
      </c>
      <c r="D28">
        <v>120.96780800000002</v>
      </c>
      <c r="E28">
        <v>123.24390400000001</v>
      </c>
    </row>
    <row r="29" spans="1:6" x14ac:dyDescent="0.25">
      <c r="A29" s="2" t="s">
        <v>16</v>
      </c>
      <c r="B29">
        <v>84.487098765432108</v>
      </c>
      <c r="C29">
        <v>102.72753086419752</v>
      </c>
      <c r="D29">
        <v>112.73555555555556</v>
      </c>
      <c r="E29">
        <v>90.71790123456789</v>
      </c>
    </row>
    <row r="30" spans="1:6" x14ac:dyDescent="0.25">
      <c r="A30" s="2" t="s">
        <v>17</v>
      </c>
      <c r="B30">
        <v>124.33927641099856</v>
      </c>
      <c r="C30">
        <v>139.99143270622287</v>
      </c>
      <c r="D30">
        <v>132.78599131693201</v>
      </c>
      <c r="E30">
        <v>138.17493487698988</v>
      </c>
    </row>
    <row r="31" spans="1:6" x14ac:dyDescent="0.25">
      <c r="A31" s="2" t="s">
        <v>18</v>
      </c>
      <c r="B31">
        <v>90.575974643423137</v>
      </c>
      <c r="C31">
        <v>107.61698890649762</v>
      </c>
      <c r="D31">
        <v>104.63315372424724</v>
      </c>
      <c r="E31">
        <v>97.273026941362929</v>
      </c>
    </row>
    <row r="32" spans="1:6" x14ac:dyDescent="0.25">
      <c r="A32" s="2" t="s">
        <v>19</v>
      </c>
      <c r="B32">
        <v>80.062512234910287</v>
      </c>
      <c r="C32">
        <v>96.17057096247963</v>
      </c>
      <c r="D32">
        <v>99.242022838499182</v>
      </c>
      <c r="E32">
        <v>118.14851549755303</v>
      </c>
    </row>
    <row r="33" spans="1:6" x14ac:dyDescent="0.25">
      <c r="A33" t="s">
        <v>20</v>
      </c>
      <c r="B33">
        <v>85.977726692209444</v>
      </c>
      <c r="C33">
        <v>93.993052362707544</v>
      </c>
      <c r="D33">
        <v>96.504521072796933</v>
      </c>
      <c r="E33">
        <v>92.870906768837798</v>
      </c>
    </row>
    <row r="34" spans="1:6" x14ac:dyDescent="0.25">
      <c r="A34" t="s">
        <v>21</v>
      </c>
      <c r="B34">
        <v>83.68</v>
      </c>
      <c r="C34">
        <v>95.809148936170203</v>
      </c>
      <c r="D34">
        <v>98.924893617021269</v>
      </c>
      <c r="E34">
        <v>82.622872340425531</v>
      </c>
    </row>
    <row r="35" spans="1:6" x14ac:dyDescent="0.25">
      <c r="A35" t="s">
        <v>22</v>
      </c>
      <c r="B35">
        <v>92.704313725490195</v>
      </c>
      <c r="C35">
        <v>97.095824682814296</v>
      </c>
      <c r="D35">
        <v>87.733702422145328</v>
      </c>
      <c r="E35">
        <v>97.433633217993076</v>
      </c>
      <c r="F35" t="s">
        <v>86</v>
      </c>
    </row>
    <row r="36" spans="1:6" x14ac:dyDescent="0.25">
      <c r="A36" t="s">
        <v>23</v>
      </c>
      <c r="B36">
        <v>93.143055975794283</v>
      </c>
      <c r="C36">
        <v>97.542269288956149</v>
      </c>
      <c r="D36">
        <v>105.0747352496218</v>
      </c>
      <c r="E36">
        <v>98.365143721633899</v>
      </c>
    </row>
  </sheetData>
  <conditionalFormatting sqref="W47:Z47">
    <cfRule type="colorScale" priority="1">
      <colorScale>
        <cfvo type="min"/>
        <cfvo type="max"/>
        <color rgb="FFFF7128"/>
        <color rgb="FFFFEF9C"/>
      </colorScale>
    </cfRule>
  </conditionalFormatting>
  <pageMargins left="0.7" right="0.7" top="0.75" bottom="0.75" header="0.3" footer="0.3"/>
  <legacyDrawing r:id="rId1"/>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F36"/>
  <sheetViews>
    <sheetView zoomScaleNormal="100" workbookViewId="0">
      <selection activeCell="K25" sqref="K25"/>
    </sheetView>
  </sheetViews>
  <sheetFormatPr defaultRowHeight="15" x14ac:dyDescent="0.25"/>
  <sheetData>
    <row r="1" spans="1:6" x14ac:dyDescent="0.25">
      <c r="A1" s="1" t="s">
        <v>73</v>
      </c>
    </row>
    <row r="2" spans="1:6" x14ac:dyDescent="0.25">
      <c r="A2" t="s">
        <v>26</v>
      </c>
      <c r="B2" t="s">
        <v>74</v>
      </c>
      <c r="C2">
        <v>30</v>
      </c>
      <c r="D2">
        <v>60</v>
      </c>
      <c r="E2">
        <v>120</v>
      </c>
    </row>
    <row r="3" spans="1:6" x14ac:dyDescent="0.25">
      <c r="A3" t="s">
        <v>5</v>
      </c>
      <c r="B3" s="3">
        <f>(0.85+0.9)/2</f>
        <v>0.875</v>
      </c>
      <c r="C3" s="3"/>
      <c r="D3">
        <v>0.87</v>
      </c>
      <c r="E3">
        <v>0.81</v>
      </c>
    </row>
    <row r="4" spans="1:6" x14ac:dyDescent="0.25">
      <c r="A4" t="s">
        <v>7</v>
      </c>
      <c r="B4" s="3">
        <f>(0.86+0.91)/2</f>
        <v>0.88500000000000001</v>
      </c>
      <c r="C4" s="3"/>
      <c r="D4">
        <v>0.93</v>
      </c>
      <c r="E4">
        <v>0.87</v>
      </c>
    </row>
    <row r="5" spans="1:6" x14ac:dyDescent="0.25">
      <c r="A5" t="s">
        <v>10</v>
      </c>
      <c r="B5" s="3">
        <f>(0.8+0.85)/2</f>
        <v>0.82499999999999996</v>
      </c>
      <c r="C5" s="3"/>
      <c r="D5">
        <v>0.84</v>
      </c>
      <c r="E5">
        <v>0.81</v>
      </c>
    </row>
    <row r="6" spans="1:6" x14ac:dyDescent="0.25">
      <c r="A6" t="s">
        <v>11</v>
      </c>
      <c r="B6" s="3">
        <f>(0.92+0.83)/2</f>
        <v>0.875</v>
      </c>
      <c r="C6" s="3"/>
      <c r="D6">
        <v>0.91</v>
      </c>
      <c r="E6">
        <v>0.87</v>
      </c>
    </row>
    <row r="7" spans="1:6" x14ac:dyDescent="0.25">
      <c r="A7" t="s">
        <v>12</v>
      </c>
      <c r="B7" s="3">
        <f>(0.84+0.83)/2</f>
        <v>0.83499999999999996</v>
      </c>
      <c r="C7">
        <v>0.83</v>
      </c>
      <c r="D7">
        <v>0.9</v>
      </c>
      <c r="E7">
        <v>0.93</v>
      </c>
    </row>
    <row r="8" spans="1:6" x14ac:dyDescent="0.25">
      <c r="A8" t="s">
        <v>13</v>
      </c>
      <c r="B8" s="3">
        <f>(0.89+0.94)/2</f>
        <v>0.91500000000000004</v>
      </c>
      <c r="C8" s="3"/>
      <c r="D8" s="3">
        <v>0.9</v>
      </c>
      <c r="E8">
        <v>0.92</v>
      </c>
    </row>
    <row r="9" spans="1:6" x14ac:dyDescent="0.25">
      <c r="A9" s="2" t="s">
        <v>14</v>
      </c>
      <c r="B9" s="2">
        <f>(0.7+0.72)/2</f>
        <v>0.71</v>
      </c>
      <c r="C9" s="2">
        <v>1.02</v>
      </c>
      <c r="D9" s="2">
        <v>0.93</v>
      </c>
      <c r="E9" s="2">
        <v>1.06</v>
      </c>
      <c r="F9" t="s">
        <v>75</v>
      </c>
    </row>
    <row r="10" spans="1:6" x14ac:dyDescent="0.25">
      <c r="A10" s="2" t="s">
        <v>15</v>
      </c>
      <c r="B10" s="2">
        <f>(0.87+0.93)/2</f>
        <v>0.9</v>
      </c>
      <c r="C10" s="2">
        <v>0.89</v>
      </c>
      <c r="D10" s="2">
        <v>0.94</v>
      </c>
      <c r="E10" s="2">
        <v>0.99</v>
      </c>
    </row>
    <row r="11" spans="1:6" x14ac:dyDescent="0.25">
      <c r="A11" s="2" t="s">
        <v>16</v>
      </c>
      <c r="B11" s="20">
        <f>(0.79+0.83)/2</f>
        <v>0.81</v>
      </c>
      <c r="C11" s="20">
        <v>0.73</v>
      </c>
      <c r="D11" s="20">
        <v>0.86</v>
      </c>
      <c r="E11" s="20">
        <v>0.68</v>
      </c>
    </row>
    <row r="12" spans="1:6" x14ac:dyDescent="0.25">
      <c r="A12" s="2" t="s">
        <v>17</v>
      </c>
      <c r="B12" s="2">
        <f>(0.71+0.77)/2</f>
        <v>0.74</v>
      </c>
      <c r="C12" s="2">
        <v>0.78</v>
      </c>
      <c r="D12" s="2">
        <v>0.83</v>
      </c>
      <c r="E12" s="2">
        <v>0.84</v>
      </c>
    </row>
    <row r="13" spans="1:6" x14ac:dyDescent="0.25">
      <c r="A13" s="2" t="s">
        <v>18</v>
      </c>
      <c r="B13" s="20">
        <f>(0.75+0.9)/2</f>
        <v>0.82499999999999996</v>
      </c>
      <c r="C13" s="2">
        <v>0.76</v>
      </c>
      <c r="D13" s="20">
        <v>0.8</v>
      </c>
      <c r="E13" s="2">
        <v>0.83</v>
      </c>
    </row>
    <row r="14" spans="1:6" x14ac:dyDescent="0.25">
      <c r="A14" s="2" t="s">
        <v>19</v>
      </c>
      <c r="B14" s="2">
        <f>(0.76+0.8)/2</f>
        <v>0.78</v>
      </c>
      <c r="C14" s="2">
        <v>0.76</v>
      </c>
      <c r="D14" s="2">
        <v>0.89</v>
      </c>
      <c r="E14" s="2">
        <v>0.94</v>
      </c>
    </row>
    <row r="15" spans="1:6" x14ac:dyDescent="0.25">
      <c r="A15" s="2" t="s">
        <v>20</v>
      </c>
      <c r="B15" s="20">
        <f>(0.82+0.85)/2</f>
        <v>0.83499999999999996</v>
      </c>
      <c r="C15" s="2">
        <v>0.84</v>
      </c>
      <c r="D15" s="20">
        <v>0.93</v>
      </c>
      <c r="E15" s="20">
        <v>0.9</v>
      </c>
    </row>
    <row r="16" spans="1:6" x14ac:dyDescent="0.25">
      <c r="A16" s="2" t="s">
        <v>21</v>
      </c>
      <c r="B16" s="20">
        <f>(0.84+0.83)/2</f>
        <v>0.83499999999999996</v>
      </c>
      <c r="C16" s="2">
        <v>0.81</v>
      </c>
      <c r="D16" s="2">
        <v>0.87</v>
      </c>
      <c r="E16" s="2">
        <v>0.86</v>
      </c>
    </row>
    <row r="17" spans="1:6" x14ac:dyDescent="0.25">
      <c r="A17" s="2" t="s">
        <v>22</v>
      </c>
      <c r="B17" s="20">
        <f>(0.86+1.01)/2</f>
        <v>0.93500000000000005</v>
      </c>
      <c r="C17" s="2">
        <v>0.82</v>
      </c>
      <c r="D17" s="20">
        <v>0.79</v>
      </c>
      <c r="E17" s="2">
        <v>0.94</v>
      </c>
      <c r="F17" t="s">
        <v>86</v>
      </c>
    </row>
    <row r="18" spans="1:6" x14ac:dyDescent="0.25">
      <c r="A18" s="2" t="s">
        <v>23</v>
      </c>
      <c r="B18" s="20">
        <f>(0.75+0.86)/2</f>
        <v>0.80499999999999994</v>
      </c>
      <c r="C18" s="2">
        <v>0.81</v>
      </c>
      <c r="D18" s="2">
        <v>0.86</v>
      </c>
      <c r="E18" s="2">
        <v>0.88</v>
      </c>
    </row>
    <row r="19" spans="1:6" x14ac:dyDescent="0.25">
      <c r="A19" s="2"/>
      <c r="B19" s="2"/>
      <c r="C19" s="2"/>
      <c r="D19" s="2"/>
      <c r="E19" s="2"/>
    </row>
    <row r="20" spans="1:6" x14ac:dyDescent="0.25">
      <c r="A20" s="2" t="s">
        <v>25</v>
      </c>
      <c r="B20" s="2"/>
      <c r="C20" s="2"/>
      <c r="D20" s="2"/>
      <c r="E20" s="2"/>
    </row>
    <row r="21" spans="1:6" x14ac:dyDescent="0.25">
      <c r="A21" s="2" t="s">
        <v>5</v>
      </c>
      <c r="B21" s="20">
        <f>(0.85+0.89)/2</f>
        <v>0.87</v>
      </c>
      <c r="C21" s="20"/>
      <c r="D21" s="20">
        <v>0.93</v>
      </c>
      <c r="E21" s="20">
        <v>0.91</v>
      </c>
    </row>
    <row r="22" spans="1:6" x14ac:dyDescent="0.25">
      <c r="A22" s="2" t="s">
        <v>7</v>
      </c>
      <c r="B22" s="2">
        <f>(0.85+0.87)/2</f>
        <v>0.86</v>
      </c>
      <c r="C22" s="2"/>
      <c r="D22" s="20">
        <v>0.9</v>
      </c>
      <c r="E22" s="2">
        <v>0.94</v>
      </c>
    </row>
    <row r="23" spans="1:6" x14ac:dyDescent="0.25">
      <c r="A23" s="2" t="s">
        <v>10</v>
      </c>
      <c r="B23" s="20">
        <f>(0.85+0.84)/2</f>
        <v>0.84499999999999997</v>
      </c>
      <c r="C23" s="20"/>
      <c r="D23" s="2">
        <f>(1.09+0.87)/2</f>
        <v>0.98</v>
      </c>
      <c r="E23" s="2">
        <v>0.89</v>
      </c>
    </row>
    <row r="24" spans="1:6" x14ac:dyDescent="0.25">
      <c r="A24" s="2" t="s">
        <v>11</v>
      </c>
      <c r="B24" s="2">
        <v>0.92</v>
      </c>
      <c r="C24" s="2"/>
      <c r="D24" s="2">
        <v>1.18</v>
      </c>
      <c r="E24" s="2">
        <v>1.0900000000000001</v>
      </c>
    </row>
    <row r="25" spans="1:6" x14ac:dyDescent="0.25">
      <c r="A25" s="2" t="s">
        <v>12</v>
      </c>
      <c r="B25" s="20">
        <f>(0.8+0.83)/2</f>
        <v>0.81499999999999995</v>
      </c>
      <c r="C25" s="20">
        <v>0.76</v>
      </c>
      <c r="D25" s="20">
        <v>0.86</v>
      </c>
      <c r="E25" s="20">
        <v>0.92</v>
      </c>
    </row>
    <row r="26" spans="1:6" x14ac:dyDescent="0.25">
      <c r="A26" s="2" t="s">
        <v>13</v>
      </c>
      <c r="B26" s="2">
        <f>(0.84+0.92)/2</f>
        <v>0.88</v>
      </c>
      <c r="C26" s="2"/>
      <c r="D26" s="2">
        <v>0.93</v>
      </c>
      <c r="E26" s="2">
        <v>0.93</v>
      </c>
    </row>
    <row r="27" spans="1:6" x14ac:dyDescent="0.25">
      <c r="A27" s="2" t="s">
        <v>14</v>
      </c>
      <c r="B27" s="2">
        <v>1.1100000000000001</v>
      </c>
      <c r="C27" s="2">
        <v>0.88</v>
      </c>
      <c r="D27" s="2">
        <v>0.86</v>
      </c>
      <c r="E27" s="2">
        <v>0.98</v>
      </c>
      <c r="F27" t="s">
        <v>75</v>
      </c>
    </row>
    <row r="28" spans="1:6" x14ac:dyDescent="0.25">
      <c r="A28" s="2" t="s">
        <v>15</v>
      </c>
      <c r="B28" s="2">
        <f>(0.8+0.82)/2</f>
        <v>0.81</v>
      </c>
      <c r="C28" s="2">
        <v>0.81</v>
      </c>
      <c r="D28" s="2">
        <v>0.93</v>
      </c>
      <c r="E28" s="2">
        <v>0.92</v>
      </c>
    </row>
    <row r="29" spans="1:6" x14ac:dyDescent="0.25">
      <c r="A29" s="2" t="s">
        <v>16</v>
      </c>
      <c r="B29" s="2">
        <f>(0.65+0.71)/2</f>
        <v>0.67999999999999994</v>
      </c>
      <c r="C29" s="2">
        <v>0.66</v>
      </c>
      <c r="D29" s="2">
        <v>0.83</v>
      </c>
      <c r="E29" s="2">
        <v>0.74</v>
      </c>
    </row>
    <row r="30" spans="1:6" x14ac:dyDescent="0.25">
      <c r="A30" s="2" t="s">
        <v>17</v>
      </c>
      <c r="B30" s="2">
        <f>(0.75+0.79)/2</f>
        <v>0.77</v>
      </c>
      <c r="C30" s="2">
        <v>0.82</v>
      </c>
      <c r="D30" s="2">
        <v>0.86</v>
      </c>
      <c r="E30" s="2">
        <v>0.87</v>
      </c>
    </row>
    <row r="31" spans="1:6" x14ac:dyDescent="0.25">
      <c r="A31" s="2" t="s">
        <v>18</v>
      </c>
      <c r="B31" s="2">
        <f>(0.97+0.75)/2</f>
        <v>0.86</v>
      </c>
      <c r="C31" s="2">
        <v>0.83</v>
      </c>
      <c r="D31" s="2">
        <v>0.91</v>
      </c>
      <c r="E31" s="2">
        <v>0.93</v>
      </c>
    </row>
    <row r="32" spans="1:6" x14ac:dyDescent="0.25">
      <c r="A32" s="2" t="s">
        <v>19</v>
      </c>
      <c r="B32" s="2">
        <f>(0.82+0.86)/2</f>
        <v>0.84</v>
      </c>
      <c r="C32" s="2">
        <v>0.85</v>
      </c>
      <c r="D32" s="2">
        <v>0.97</v>
      </c>
      <c r="E32" s="2">
        <v>0.92</v>
      </c>
    </row>
    <row r="33" spans="1:6" x14ac:dyDescent="0.25">
      <c r="A33" s="2" t="s">
        <v>20</v>
      </c>
      <c r="B33" s="20">
        <f>(0.9+0.93)/2</f>
        <v>0.91500000000000004</v>
      </c>
      <c r="C33" s="2">
        <v>0.85</v>
      </c>
      <c r="D33" s="2">
        <v>0.98</v>
      </c>
      <c r="E33" s="2">
        <v>0.93</v>
      </c>
    </row>
    <row r="34" spans="1:6" x14ac:dyDescent="0.25">
      <c r="A34" s="2" t="s">
        <v>21</v>
      </c>
      <c r="B34" s="2">
        <f>(0.81+0.81)/2</f>
        <v>0.81</v>
      </c>
      <c r="C34" s="2">
        <v>0.8</v>
      </c>
      <c r="D34" s="2">
        <v>0.85</v>
      </c>
      <c r="E34" s="2">
        <v>0.85</v>
      </c>
    </row>
    <row r="35" spans="1:6" x14ac:dyDescent="0.25">
      <c r="A35" s="2" t="s">
        <v>22</v>
      </c>
      <c r="B35" s="2">
        <f>(1.31+1.37)/2</f>
        <v>1.34</v>
      </c>
      <c r="C35" s="2">
        <v>0.96</v>
      </c>
      <c r="D35" s="2">
        <v>0.98</v>
      </c>
      <c r="E35" s="2">
        <v>0.88</v>
      </c>
      <c r="F35" t="s">
        <v>86</v>
      </c>
    </row>
    <row r="36" spans="1:6" x14ac:dyDescent="0.25">
      <c r="A36" t="s">
        <v>23</v>
      </c>
      <c r="B36" s="3">
        <f>(0.9+0.89)/2</f>
        <v>0.89500000000000002</v>
      </c>
      <c r="C36">
        <v>0.88</v>
      </c>
      <c r="D36">
        <v>0.9</v>
      </c>
      <c r="E36">
        <v>0.89</v>
      </c>
    </row>
  </sheetData>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7" workbookViewId="0"/>
  </sheetViews>
  <sheetFormatPr defaultRowHeight="15" x14ac:dyDescent="0.25"/>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4:F33"/>
  <sheetViews>
    <sheetView workbookViewId="0">
      <selection activeCell="G23" sqref="G23"/>
    </sheetView>
  </sheetViews>
  <sheetFormatPr defaultRowHeight="15" x14ac:dyDescent="0.25"/>
  <cols>
    <col min="2" max="2" width="35.5703125" customWidth="1"/>
    <col min="3" max="3" width="33.7109375" customWidth="1"/>
    <col min="4" max="4" width="20" customWidth="1"/>
    <col min="5" max="6" width="21" customWidth="1"/>
  </cols>
  <sheetData>
    <row r="24" spans="2:6" ht="16.5" thickBot="1" x14ac:dyDescent="0.3">
      <c r="B24" s="31" t="s">
        <v>182</v>
      </c>
    </row>
    <row r="25" spans="2:6" ht="32.25" customHeight="1" thickBot="1" x14ac:dyDescent="0.3">
      <c r="B25" s="38" t="s">
        <v>183</v>
      </c>
      <c r="C25" s="38" t="s">
        <v>184</v>
      </c>
      <c r="D25" s="38" t="s">
        <v>185</v>
      </c>
      <c r="E25" s="38" t="s">
        <v>186</v>
      </c>
      <c r="F25" s="38" t="s">
        <v>187</v>
      </c>
    </row>
    <row r="26" spans="2:6" ht="18.75" x14ac:dyDescent="0.25">
      <c r="B26" s="33" t="s">
        <v>188</v>
      </c>
      <c r="C26" s="40" t="s">
        <v>189</v>
      </c>
      <c r="D26" s="40" t="s">
        <v>190</v>
      </c>
      <c r="E26" s="40" t="s">
        <v>191</v>
      </c>
      <c r="F26" s="40" t="s">
        <v>192</v>
      </c>
    </row>
    <row r="27" spans="2:6" ht="15.75" x14ac:dyDescent="0.25">
      <c r="B27" s="33" t="s">
        <v>193</v>
      </c>
      <c r="C27" s="40" t="s">
        <v>194</v>
      </c>
      <c r="D27" s="40" t="s">
        <v>195</v>
      </c>
      <c r="E27" s="40" t="s">
        <v>196</v>
      </c>
      <c r="F27" s="40" t="s">
        <v>197</v>
      </c>
    </row>
    <row r="28" spans="2:6" ht="15.75" x14ac:dyDescent="0.25">
      <c r="B28" s="33" t="s">
        <v>198</v>
      </c>
      <c r="C28" s="40" t="s">
        <v>199</v>
      </c>
      <c r="D28" s="40" t="s">
        <v>200</v>
      </c>
      <c r="E28" s="40" t="s">
        <v>201</v>
      </c>
      <c r="F28" s="40" t="s">
        <v>201</v>
      </c>
    </row>
    <row r="29" spans="2:6" ht="15.75" x14ac:dyDescent="0.25">
      <c r="B29" s="33" t="s">
        <v>202</v>
      </c>
      <c r="C29" s="40" t="s">
        <v>199</v>
      </c>
      <c r="D29" s="42">
        <v>0.05</v>
      </c>
      <c r="E29" s="40" t="s">
        <v>201</v>
      </c>
      <c r="F29" s="40" t="s">
        <v>201</v>
      </c>
    </row>
    <row r="30" spans="2:6" ht="15.75" x14ac:dyDescent="0.25">
      <c r="B30" s="33" t="s">
        <v>203</v>
      </c>
      <c r="C30" s="40" t="s">
        <v>204</v>
      </c>
      <c r="D30" s="40" t="s">
        <v>205</v>
      </c>
      <c r="E30" s="40" t="s">
        <v>206</v>
      </c>
      <c r="F30" s="40" t="s">
        <v>201</v>
      </c>
    </row>
    <row r="31" spans="2:6" ht="15.75" x14ac:dyDescent="0.25">
      <c r="B31" s="33" t="s">
        <v>207</v>
      </c>
      <c r="C31" s="40" t="s">
        <v>208</v>
      </c>
      <c r="D31" s="40" t="s">
        <v>209</v>
      </c>
      <c r="E31" s="40" t="s">
        <v>210</v>
      </c>
      <c r="F31" s="40" t="s">
        <v>201</v>
      </c>
    </row>
    <row r="32" spans="2:6" ht="16.5" thickBot="1" x14ac:dyDescent="0.3">
      <c r="B32" s="34" t="s">
        <v>211</v>
      </c>
      <c r="C32" s="41" t="s">
        <v>212</v>
      </c>
      <c r="D32" s="43">
        <v>0.01</v>
      </c>
      <c r="E32" s="41" t="s">
        <v>201</v>
      </c>
      <c r="F32" s="41" t="s">
        <v>213</v>
      </c>
    </row>
    <row r="33" spans="2:2" ht="15.75" x14ac:dyDescent="0.25">
      <c r="B33" s="30" t="s">
        <v>214</v>
      </c>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8"/>
  <sheetViews>
    <sheetView workbookViewId="0">
      <selection activeCell="I15" sqref="I15"/>
    </sheetView>
  </sheetViews>
  <sheetFormatPr defaultRowHeight="15" x14ac:dyDescent="0.25"/>
  <sheetData>
    <row r="1" spans="1:9" x14ac:dyDescent="0.25">
      <c r="A1" s="1" t="s">
        <v>0</v>
      </c>
      <c r="B1" s="1" t="s">
        <v>1</v>
      </c>
      <c r="C1" s="1" t="s">
        <v>33</v>
      </c>
      <c r="D1" s="1" t="s">
        <v>2</v>
      </c>
      <c r="E1" s="1" t="s">
        <v>3</v>
      </c>
      <c r="F1" s="1" t="s">
        <v>24</v>
      </c>
      <c r="G1" s="1" t="s">
        <v>27</v>
      </c>
      <c r="H1" s="1" t="s">
        <v>84</v>
      </c>
      <c r="I1" s="1" t="s">
        <v>4</v>
      </c>
    </row>
    <row r="2" spans="1:9" x14ac:dyDescent="0.25">
      <c r="A2" t="s">
        <v>5</v>
      </c>
      <c r="B2" s="2" t="s">
        <v>6</v>
      </c>
      <c r="C2" s="2" t="s">
        <v>34</v>
      </c>
      <c r="D2">
        <v>25</v>
      </c>
      <c r="E2">
        <v>1.93</v>
      </c>
      <c r="F2" t="s">
        <v>25</v>
      </c>
      <c r="G2" s="4" t="s">
        <v>28</v>
      </c>
      <c r="H2" t="s">
        <v>30</v>
      </c>
    </row>
    <row r="3" spans="1:9" x14ac:dyDescent="0.25">
      <c r="A3" t="s">
        <v>7</v>
      </c>
      <c r="B3" s="2" t="s">
        <v>8</v>
      </c>
      <c r="C3" s="2" t="s">
        <v>34</v>
      </c>
      <c r="D3">
        <v>36</v>
      </c>
      <c r="E3">
        <v>1.72</v>
      </c>
      <c r="F3" t="s">
        <v>25</v>
      </c>
      <c r="G3" s="4" t="s">
        <v>29</v>
      </c>
    </row>
    <row r="4" spans="1:9" x14ac:dyDescent="0.25">
      <c r="A4" t="s">
        <v>9</v>
      </c>
      <c r="B4" s="2" t="s">
        <v>8</v>
      </c>
      <c r="C4" s="2" t="s">
        <v>34</v>
      </c>
      <c r="F4" t="s">
        <v>26</v>
      </c>
      <c r="G4" s="4"/>
      <c r="I4" t="s">
        <v>88</v>
      </c>
    </row>
    <row r="5" spans="1:9" x14ac:dyDescent="0.25">
      <c r="A5" t="s">
        <v>10</v>
      </c>
      <c r="B5" s="2" t="s">
        <v>6</v>
      </c>
      <c r="C5" s="2" t="s">
        <v>34</v>
      </c>
      <c r="D5">
        <v>22</v>
      </c>
      <c r="E5">
        <v>1.79</v>
      </c>
      <c r="F5" t="s">
        <v>25</v>
      </c>
      <c r="G5" s="4" t="s">
        <v>28</v>
      </c>
      <c r="H5" t="s">
        <v>31</v>
      </c>
      <c r="I5" t="s">
        <v>89</v>
      </c>
    </row>
    <row r="6" spans="1:9" x14ac:dyDescent="0.25">
      <c r="A6" t="s">
        <v>11</v>
      </c>
      <c r="B6" s="2" t="s">
        <v>6</v>
      </c>
      <c r="C6" s="2" t="s">
        <v>34</v>
      </c>
      <c r="D6">
        <v>41</v>
      </c>
      <c r="E6">
        <v>1.76</v>
      </c>
      <c r="F6" t="s">
        <v>26</v>
      </c>
      <c r="G6" s="4" t="s">
        <v>28</v>
      </c>
      <c r="H6" t="s">
        <v>31</v>
      </c>
    </row>
    <row r="7" spans="1:9" x14ac:dyDescent="0.25">
      <c r="A7" t="s">
        <v>12</v>
      </c>
      <c r="B7" s="2" t="s">
        <v>8</v>
      </c>
      <c r="C7" s="2" t="s">
        <v>34</v>
      </c>
      <c r="D7">
        <v>36</v>
      </c>
      <c r="E7">
        <v>1.69</v>
      </c>
      <c r="F7" t="s">
        <v>25</v>
      </c>
      <c r="G7" s="4" t="s">
        <v>29</v>
      </c>
    </row>
    <row r="8" spans="1:9" x14ac:dyDescent="0.25">
      <c r="A8" t="s">
        <v>13</v>
      </c>
      <c r="B8" s="2" t="s">
        <v>8</v>
      </c>
      <c r="C8" s="2" t="s">
        <v>34</v>
      </c>
      <c r="D8">
        <v>25</v>
      </c>
      <c r="E8">
        <v>1.79</v>
      </c>
      <c r="F8" t="s">
        <v>26</v>
      </c>
      <c r="G8" s="4" t="s">
        <v>29</v>
      </c>
    </row>
    <row r="9" spans="1:9" x14ac:dyDescent="0.25">
      <c r="A9" t="s">
        <v>14</v>
      </c>
      <c r="B9" s="2" t="s">
        <v>8</v>
      </c>
      <c r="C9" s="2" t="s">
        <v>35</v>
      </c>
      <c r="D9">
        <v>28</v>
      </c>
      <c r="E9">
        <v>1.63</v>
      </c>
      <c r="F9" t="s">
        <v>25</v>
      </c>
      <c r="G9" s="4" t="s">
        <v>28</v>
      </c>
      <c r="H9" t="s">
        <v>31</v>
      </c>
      <c r="I9" t="s">
        <v>32</v>
      </c>
    </row>
    <row r="10" spans="1:9" x14ac:dyDescent="0.25">
      <c r="A10" t="s">
        <v>15</v>
      </c>
      <c r="B10" s="2" t="s">
        <v>8</v>
      </c>
      <c r="C10" s="2" t="s">
        <v>34</v>
      </c>
      <c r="D10">
        <v>24</v>
      </c>
      <c r="E10">
        <v>1.57</v>
      </c>
      <c r="F10" t="s">
        <v>25</v>
      </c>
      <c r="G10" s="4" t="s">
        <v>29</v>
      </c>
    </row>
    <row r="11" spans="1:9" x14ac:dyDescent="0.25">
      <c r="A11" t="s">
        <v>16</v>
      </c>
      <c r="B11" s="2" t="s">
        <v>6</v>
      </c>
      <c r="C11" s="2" t="s">
        <v>34</v>
      </c>
      <c r="D11">
        <v>44</v>
      </c>
      <c r="E11">
        <v>1.74</v>
      </c>
      <c r="F11" t="s">
        <v>26</v>
      </c>
      <c r="G11" s="4" t="s">
        <v>29</v>
      </c>
    </row>
    <row r="12" spans="1:9" x14ac:dyDescent="0.25">
      <c r="A12" t="s">
        <v>17</v>
      </c>
      <c r="B12" s="2" t="s">
        <v>6</v>
      </c>
      <c r="C12" s="2" t="s">
        <v>34</v>
      </c>
      <c r="D12">
        <v>23</v>
      </c>
      <c r="E12">
        <v>1.77</v>
      </c>
      <c r="F12" t="s">
        <v>25</v>
      </c>
      <c r="G12" s="4" t="s">
        <v>28</v>
      </c>
      <c r="H12" t="s">
        <v>30</v>
      </c>
    </row>
    <row r="13" spans="1:9" x14ac:dyDescent="0.25">
      <c r="A13" t="s">
        <v>18</v>
      </c>
      <c r="B13" s="2" t="s">
        <v>8</v>
      </c>
      <c r="C13" s="2" t="s">
        <v>36</v>
      </c>
      <c r="D13">
        <v>23</v>
      </c>
      <c r="E13" s="3">
        <v>1.7</v>
      </c>
      <c r="F13" s="3" t="s">
        <v>25</v>
      </c>
      <c r="G13" s="4" t="s">
        <v>29</v>
      </c>
      <c r="H13" s="3"/>
    </row>
    <row r="14" spans="1:9" x14ac:dyDescent="0.25">
      <c r="A14" t="s">
        <v>19</v>
      </c>
      <c r="B14" s="2" t="s">
        <v>8</v>
      </c>
      <c r="C14" s="2" t="s">
        <v>34</v>
      </c>
      <c r="D14">
        <v>22</v>
      </c>
      <c r="E14">
        <v>1.64</v>
      </c>
      <c r="F14" t="s">
        <v>26</v>
      </c>
      <c r="G14" s="4" t="s">
        <v>29</v>
      </c>
    </row>
    <row r="15" spans="1:9" x14ac:dyDescent="0.25">
      <c r="A15" t="s">
        <v>20</v>
      </c>
      <c r="B15" s="2" t="s">
        <v>8</v>
      </c>
      <c r="C15" s="2" t="s">
        <v>34</v>
      </c>
      <c r="D15">
        <v>25</v>
      </c>
      <c r="E15">
        <v>1.62</v>
      </c>
      <c r="F15" t="s">
        <v>26</v>
      </c>
      <c r="G15" s="4" t="s">
        <v>28</v>
      </c>
      <c r="H15" t="s">
        <v>30</v>
      </c>
      <c r="I15" t="s">
        <v>90</v>
      </c>
    </row>
    <row r="16" spans="1:9" x14ac:dyDescent="0.25">
      <c r="A16" t="s">
        <v>21</v>
      </c>
      <c r="B16" s="2" t="s">
        <v>6</v>
      </c>
      <c r="C16" s="2" t="s">
        <v>34</v>
      </c>
      <c r="D16">
        <v>37</v>
      </c>
      <c r="E16">
        <v>1.66</v>
      </c>
      <c r="F16" t="s">
        <v>25</v>
      </c>
      <c r="G16" s="4" t="s">
        <v>28</v>
      </c>
      <c r="H16" t="s">
        <v>31</v>
      </c>
    </row>
    <row r="17" spans="1:8" x14ac:dyDescent="0.25">
      <c r="A17" t="s">
        <v>22</v>
      </c>
      <c r="B17" s="2" t="s">
        <v>6</v>
      </c>
      <c r="C17" s="2" t="s">
        <v>34</v>
      </c>
      <c r="D17">
        <v>50</v>
      </c>
      <c r="E17">
        <v>1.83</v>
      </c>
      <c r="F17" t="s">
        <v>26</v>
      </c>
      <c r="G17" s="4" t="s">
        <v>28</v>
      </c>
      <c r="H17" t="s">
        <v>30</v>
      </c>
    </row>
    <row r="18" spans="1:8" x14ac:dyDescent="0.25">
      <c r="A18" t="s">
        <v>23</v>
      </c>
      <c r="B18" s="2" t="s">
        <v>6</v>
      </c>
      <c r="C18" s="2" t="s">
        <v>34</v>
      </c>
      <c r="D18">
        <v>24</v>
      </c>
      <c r="E18">
        <v>1.86</v>
      </c>
      <c r="F18" t="s">
        <v>26</v>
      </c>
      <c r="G18" s="4" t="s">
        <v>28</v>
      </c>
      <c r="H18" t="s">
        <v>31</v>
      </c>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F36"/>
  <sheetViews>
    <sheetView workbookViewId="0">
      <selection activeCell="I35" sqref="I35"/>
    </sheetView>
  </sheetViews>
  <sheetFormatPr defaultRowHeight="15" x14ac:dyDescent="0.25"/>
  <sheetData>
    <row r="1" spans="1:6" x14ac:dyDescent="0.25">
      <c r="B1" t="s">
        <v>37</v>
      </c>
      <c r="C1" t="s">
        <v>38</v>
      </c>
      <c r="D1" t="s">
        <v>39</v>
      </c>
      <c r="E1" t="s">
        <v>40</v>
      </c>
      <c r="F1" t="s">
        <v>41</v>
      </c>
    </row>
    <row r="2" spans="1:6" x14ac:dyDescent="0.25">
      <c r="A2" t="s">
        <v>26</v>
      </c>
    </row>
    <row r="3" spans="1:6" x14ac:dyDescent="0.25">
      <c r="A3" t="s">
        <v>5</v>
      </c>
      <c r="B3">
        <v>79.5</v>
      </c>
      <c r="C3">
        <v>79.2</v>
      </c>
      <c r="D3">
        <v>80.5</v>
      </c>
      <c r="E3">
        <v>80</v>
      </c>
      <c r="F3">
        <v>78.5</v>
      </c>
    </row>
    <row r="4" spans="1:6" x14ac:dyDescent="0.25">
      <c r="A4" t="s">
        <v>7</v>
      </c>
      <c r="B4">
        <v>95.9</v>
      </c>
      <c r="C4">
        <v>96</v>
      </c>
      <c r="D4">
        <v>96.2</v>
      </c>
      <c r="E4">
        <v>96.7</v>
      </c>
      <c r="F4">
        <v>95.5</v>
      </c>
    </row>
    <row r="5" spans="1:6" x14ac:dyDescent="0.25">
      <c r="A5" t="s">
        <v>10</v>
      </c>
      <c r="B5">
        <v>73</v>
      </c>
      <c r="C5">
        <v>72.5</v>
      </c>
      <c r="D5">
        <v>72.5</v>
      </c>
      <c r="E5">
        <v>71.099999999999994</v>
      </c>
      <c r="F5">
        <v>69.900000000000006</v>
      </c>
    </row>
    <row r="6" spans="1:6" x14ac:dyDescent="0.25">
      <c r="A6" t="s">
        <v>11</v>
      </c>
      <c r="B6">
        <v>69.599999999999994</v>
      </c>
      <c r="C6">
        <v>69.5</v>
      </c>
      <c r="D6">
        <v>69.099999999999994</v>
      </c>
      <c r="E6">
        <v>70.3</v>
      </c>
      <c r="F6">
        <v>67.400000000000006</v>
      </c>
    </row>
    <row r="7" spans="1:6" x14ac:dyDescent="0.25">
      <c r="A7" t="s">
        <v>12</v>
      </c>
      <c r="B7">
        <v>62.1</v>
      </c>
      <c r="C7">
        <v>61.6</v>
      </c>
      <c r="D7">
        <v>61.7</v>
      </c>
      <c r="E7">
        <v>61.4</v>
      </c>
      <c r="F7">
        <v>60.4</v>
      </c>
    </row>
    <row r="8" spans="1:6" x14ac:dyDescent="0.25">
      <c r="A8" t="s">
        <v>13</v>
      </c>
      <c r="B8" s="5">
        <f>(72+72+72.1)/3</f>
        <v>72.033333333333331</v>
      </c>
      <c r="C8">
        <v>72.400000000000006</v>
      </c>
      <c r="D8" s="5">
        <f>(72.4+72.5+72.5)/3</f>
        <v>72.466666666666669</v>
      </c>
      <c r="E8">
        <f>(72.8+73+72.9)/3</f>
        <v>72.900000000000006</v>
      </c>
      <c r="F8">
        <v>72.3</v>
      </c>
    </row>
    <row r="9" spans="1:6" x14ac:dyDescent="0.25">
      <c r="A9" t="s">
        <v>14</v>
      </c>
      <c r="B9">
        <v>67.7</v>
      </c>
      <c r="C9">
        <v>67.900000000000006</v>
      </c>
      <c r="D9" s="5">
        <f>(67+67+66.8)/3</f>
        <v>66.933333333333337</v>
      </c>
      <c r="E9">
        <v>66.2</v>
      </c>
      <c r="F9">
        <v>65.3</v>
      </c>
    </row>
    <row r="10" spans="1:6" x14ac:dyDescent="0.25">
      <c r="A10" t="s">
        <v>15</v>
      </c>
      <c r="B10">
        <v>62.8</v>
      </c>
      <c r="C10" s="5">
        <v>62</v>
      </c>
      <c r="D10">
        <v>61.6</v>
      </c>
      <c r="E10">
        <v>61.9</v>
      </c>
      <c r="F10">
        <v>61.1</v>
      </c>
    </row>
    <row r="11" spans="1:6" x14ac:dyDescent="0.25">
      <c r="A11" t="s">
        <v>16</v>
      </c>
      <c r="C11">
        <v>64.3</v>
      </c>
      <c r="D11">
        <v>64.5</v>
      </c>
      <c r="E11">
        <v>64.3</v>
      </c>
      <c r="F11">
        <v>63.7</v>
      </c>
    </row>
    <row r="12" spans="1:6" x14ac:dyDescent="0.25">
      <c r="A12" t="s">
        <v>17</v>
      </c>
      <c r="B12">
        <v>70.099999999999994</v>
      </c>
      <c r="C12" s="5">
        <f>(70.4+70.4+70.8)/3</f>
        <v>70.533333333333346</v>
      </c>
      <c r="D12">
        <v>70</v>
      </c>
      <c r="E12">
        <v>70.3</v>
      </c>
      <c r="F12">
        <v>66.7</v>
      </c>
    </row>
    <row r="13" spans="1:6" x14ac:dyDescent="0.25">
      <c r="A13" t="s">
        <v>18</v>
      </c>
      <c r="B13">
        <v>63.6</v>
      </c>
      <c r="C13">
        <v>62.7</v>
      </c>
      <c r="D13">
        <v>63</v>
      </c>
      <c r="E13">
        <v>63.5</v>
      </c>
      <c r="F13">
        <v>62.7</v>
      </c>
    </row>
    <row r="14" spans="1:6" x14ac:dyDescent="0.25">
      <c r="A14" t="s">
        <v>19</v>
      </c>
      <c r="B14">
        <v>62</v>
      </c>
      <c r="C14">
        <v>61.6</v>
      </c>
      <c r="D14">
        <v>61.3</v>
      </c>
      <c r="E14">
        <v>61.1</v>
      </c>
      <c r="F14">
        <v>60.3</v>
      </c>
    </row>
    <row r="15" spans="1:6" x14ac:dyDescent="0.25">
      <c r="A15" t="s">
        <v>20</v>
      </c>
      <c r="B15">
        <v>76.900000000000006</v>
      </c>
      <c r="C15">
        <v>76.599999999999994</v>
      </c>
      <c r="D15">
        <v>76.099999999999994</v>
      </c>
      <c r="E15">
        <v>76.7</v>
      </c>
      <c r="F15">
        <v>76</v>
      </c>
    </row>
    <row r="16" spans="1:6" x14ac:dyDescent="0.25">
      <c r="A16" t="s">
        <v>21</v>
      </c>
      <c r="B16">
        <v>76.7</v>
      </c>
      <c r="C16">
        <v>76.400000000000006</v>
      </c>
      <c r="D16">
        <v>76.099999999999994</v>
      </c>
      <c r="E16">
        <v>76.900000000000006</v>
      </c>
      <c r="F16">
        <v>74.900000000000006</v>
      </c>
    </row>
    <row r="17" spans="1:6" x14ac:dyDescent="0.25">
      <c r="A17" t="s">
        <v>22</v>
      </c>
      <c r="B17">
        <v>84.9</v>
      </c>
      <c r="C17">
        <v>86.5</v>
      </c>
      <c r="D17">
        <v>86.1</v>
      </c>
      <c r="E17">
        <v>86.1</v>
      </c>
      <c r="F17">
        <v>84.7</v>
      </c>
    </row>
    <row r="18" spans="1:6" x14ac:dyDescent="0.25">
      <c r="A18" t="s">
        <v>23</v>
      </c>
      <c r="B18">
        <v>66.5</v>
      </c>
      <c r="C18">
        <v>66.900000000000006</v>
      </c>
      <c r="D18">
        <v>66.8</v>
      </c>
      <c r="E18">
        <v>66.5</v>
      </c>
      <c r="F18">
        <v>65.7</v>
      </c>
    </row>
    <row r="19" spans="1:6" x14ac:dyDescent="0.25">
      <c r="B19" s="6"/>
      <c r="C19" s="6"/>
      <c r="D19" s="6"/>
      <c r="E19" s="6"/>
      <c r="F19" s="6"/>
    </row>
    <row r="20" spans="1:6" x14ac:dyDescent="0.25">
      <c r="A20" t="s">
        <v>25</v>
      </c>
    </row>
    <row r="21" spans="1:6" x14ac:dyDescent="0.25">
      <c r="A21" t="s">
        <v>5</v>
      </c>
      <c r="B21" s="5">
        <v>78.8</v>
      </c>
      <c r="C21">
        <v>79.400000000000006</v>
      </c>
      <c r="D21" s="5">
        <v>79.8</v>
      </c>
      <c r="E21" s="5">
        <v>80</v>
      </c>
      <c r="F21" s="5">
        <v>79.900000000000006</v>
      </c>
    </row>
    <row r="22" spans="1:6" x14ac:dyDescent="0.25">
      <c r="A22" t="s">
        <v>7</v>
      </c>
      <c r="B22">
        <v>97.1</v>
      </c>
      <c r="C22">
        <v>96.7</v>
      </c>
      <c r="D22">
        <v>97.3</v>
      </c>
      <c r="E22">
        <v>96.5</v>
      </c>
      <c r="F22">
        <v>96.1</v>
      </c>
    </row>
    <row r="23" spans="1:6" x14ac:dyDescent="0.25">
      <c r="A23" t="s">
        <v>10</v>
      </c>
      <c r="B23">
        <v>73.8</v>
      </c>
      <c r="C23">
        <v>73.599999999999994</v>
      </c>
      <c r="D23" s="5">
        <f>(72.9+73)/2</f>
        <v>72.95</v>
      </c>
      <c r="E23">
        <f>(72.2+72.3+72.1)/3</f>
        <v>72.2</v>
      </c>
      <c r="F23">
        <v>72.3</v>
      </c>
    </row>
    <row r="24" spans="1:6" x14ac:dyDescent="0.25">
      <c r="A24" t="s">
        <v>11</v>
      </c>
      <c r="B24">
        <v>68.099999999999994</v>
      </c>
      <c r="C24">
        <v>68.900000000000006</v>
      </c>
      <c r="D24">
        <v>69.099999999999994</v>
      </c>
      <c r="E24">
        <v>68.900000000000006</v>
      </c>
      <c r="F24">
        <v>69.099999999999994</v>
      </c>
    </row>
    <row r="25" spans="1:6" x14ac:dyDescent="0.25">
      <c r="A25" t="s">
        <v>12</v>
      </c>
      <c r="B25">
        <v>62</v>
      </c>
      <c r="C25">
        <v>61.7</v>
      </c>
      <c r="D25">
        <v>61.7</v>
      </c>
      <c r="E25">
        <v>61.3</v>
      </c>
      <c r="F25" s="5">
        <f>(60+60.1)/2</f>
        <v>60.05</v>
      </c>
    </row>
    <row r="26" spans="1:6" x14ac:dyDescent="0.25">
      <c r="A26" t="s">
        <v>13</v>
      </c>
      <c r="B26">
        <v>72.400000000000006</v>
      </c>
      <c r="C26" s="5">
        <f>(72.6+72.6+72.7)/3</f>
        <v>72.633333333333326</v>
      </c>
      <c r="E26">
        <f>(72.3+72.2+72.1)/3</f>
        <v>72.2</v>
      </c>
      <c r="F26" s="5">
        <f>(72.4+72.3+72.3)/3</f>
        <v>72.333333333333329</v>
      </c>
    </row>
    <row r="27" spans="1:6" x14ac:dyDescent="0.25">
      <c r="A27" t="s">
        <v>14</v>
      </c>
      <c r="B27" s="2">
        <v>67.2</v>
      </c>
      <c r="C27" s="2">
        <v>66.900000000000006</v>
      </c>
      <c r="D27" s="2">
        <v>66.2</v>
      </c>
      <c r="E27" s="2">
        <v>66</v>
      </c>
      <c r="F27" s="2">
        <v>65.900000000000006</v>
      </c>
    </row>
    <row r="28" spans="1:6" x14ac:dyDescent="0.25">
      <c r="A28" t="s">
        <v>15</v>
      </c>
      <c r="B28" s="2">
        <v>62.5</v>
      </c>
      <c r="C28" s="2">
        <v>62.4</v>
      </c>
      <c r="D28" s="2">
        <v>62.4</v>
      </c>
      <c r="E28" s="2">
        <v>62.2</v>
      </c>
      <c r="F28" s="2">
        <v>62.5</v>
      </c>
    </row>
    <row r="29" spans="1:6" x14ac:dyDescent="0.25">
      <c r="A29" t="s">
        <v>16</v>
      </c>
      <c r="C29" s="2">
        <v>64.900000000000006</v>
      </c>
      <c r="D29" s="2">
        <v>64.400000000000006</v>
      </c>
      <c r="E29" s="2">
        <v>64.7</v>
      </c>
      <c r="F29" s="2">
        <v>64.8</v>
      </c>
    </row>
    <row r="30" spans="1:6" x14ac:dyDescent="0.25">
      <c r="A30" t="s">
        <v>17</v>
      </c>
      <c r="B30">
        <v>69.099999999999994</v>
      </c>
      <c r="C30">
        <v>69.8</v>
      </c>
      <c r="D30">
        <v>69.5</v>
      </c>
      <c r="E30">
        <v>69.099999999999994</v>
      </c>
      <c r="F30">
        <v>69.099999999999994</v>
      </c>
    </row>
    <row r="31" spans="1:6" x14ac:dyDescent="0.25">
      <c r="A31" t="s">
        <v>18</v>
      </c>
      <c r="B31" s="5">
        <f>(63.8+63.6+63.6)/3</f>
        <v>63.666666666666664</v>
      </c>
      <c r="C31">
        <v>63.6</v>
      </c>
      <c r="D31" s="5">
        <f>(63.6+63.5+63.5)/3</f>
        <v>63.533333333333331</v>
      </c>
      <c r="E31">
        <v>63.5</v>
      </c>
      <c r="F31">
        <v>63.1</v>
      </c>
    </row>
    <row r="32" spans="1:6" x14ac:dyDescent="0.25">
      <c r="A32" t="s">
        <v>19</v>
      </c>
      <c r="B32">
        <v>61.7</v>
      </c>
      <c r="C32">
        <v>62.2</v>
      </c>
      <c r="D32">
        <v>62</v>
      </c>
      <c r="E32">
        <v>61.8</v>
      </c>
      <c r="F32">
        <v>61.3</v>
      </c>
    </row>
    <row r="33" spans="1:6" x14ac:dyDescent="0.25">
      <c r="A33" t="s">
        <v>20</v>
      </c>
      <c r="B33">
        <v>78.900000000000006</v>
      </c>
      <c r="C33">
        <v>78.900000000000006</v>
      </c>
      <c r="D33">
        <v>77.900000000000006</v>
      </c>
      <c r="E33">
        <v>78.2</v>
      </c>
      <c r="F33">
        <v>78.3</v>
      </c>
    </row>
    <row r="34" spans="1:6" x14ac:dyDescent="0.25">
      <c r="A34" t="s">
        <v>21</v>
      </c>
      <c r="B34">
        <v>76.099999999999994</v>
      </c>
      <c r="C34">
        <v>75.7</v>
      </c>
      <c r="D34">
        <v>75.3</v>
      </c>
      <c r="E34">
        <v>75.599999999999994</v>
      </c>
      <c r="F34">
        <v>75.2</v>
      </c>
    </row>
    <row r="35" spans="1:6" x14ac:dyDescent="0.25">
      <c r="A35" t="s">
        <v>22</v>
      </c>
      <c r="B35">
        <v>87.6</v>
      </c>
      <c r="C35">
        <v>86.5</v>
      </c>
      <c r="D35">
        <v>86.5</v>
      </c>
      <c r="E35">
        <v>86.3</v>
      </c>
      <c r="F35">
        <v>86.7</v>
      </c>
    </row>
    <row r="36" spans="1:6" x14ac:dyDescent="0.25">
      <c r="A36" t="s">
        <v>23</v>
      </c>
      <c r="B36">
        <v>66.5</v>
      </c>
      <c r="C36">
        <v>66.599999999999994</v>
      </c>
      <c r="D36">
        <v>66.8</v>
      </c>
      <c r="E36">
        <v>66</v>
      </c>
      <c r="F36">
        <v>66.099999999999994</v>
      </c>
    </row>
  </sheetData>
  <pageMargins left="0.7" right="0.7" top="0.75" bottom="0.75" header="0.3" footer="0.3"/>
  <pageSetup paperSize="9" orientation="portrait" verticalDpi="0"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G36"/>
  <sheetViews>
    <sheetView zoomScale="85" zoomScaleNormal="85" workbookViewId="0">
      <selection activeCell="H33" sqref="H33"/>
    </sheetView>
  </sheetViews>
  <sheetFormatPr defaultRowHeight="15" x14ac:dyDescent="0.25"/>
  <sheetData>
    <row r="1" spans="1:7" x14ac:dyDescent="0.25">
      <c r="B1" t="s">
        <v>37</v>
      </c>
      <c r="C1" t="s">
        <v>38</v>
      </c>
      <c r="D1" t="s">
        <v>39</v>
      </c>
      <c r="E1" t="s">
        <v>40</v>
      </c>
      <c r="F1" t="s">
        <v>41</v>
      </c>
    </row>
    <row r="2" spans="1:7" x14ac:dyDescent="0.25">
      <c r="A2" t="s">
        <v>26</v>
      </c>
    </row>
    <row r="3" spans="1:7" x14ac:dyDescent="0.25">
      <c r="A3" t="s">
        <v>5</v>
      </c>
      <c r="B3">
        <v>57.9</v>
      </c>
      <c r="C3">
        <f>(58+58.6)/2</f>
        <v>58.3</v>
      </c>
      <c r="D3">
        <f>(57.7+58.3)/2</f>
        <v>58</v>
      </c>
      <c r="E3" s="5">
        <f>(57.3+58.4)/2</f>
        <v>57.849999999999994</v>
      </c>
      <c r="F3">
        <v>58.2</v>
      </c>
    </row>
    <row r="4" spans="1:7" x14ac:dyDescent="0.25">
      <c r="A4" t="s">
        <v>7</v>
      </c>
      <c r="E4">
        <v>40.6</v>
      </c>
      <c r="F4">
        <v>40.799999999999997</v>
      </c>
    </row>
    <row r="5" spans="1:7" x14ac:dyDescent="0.25">
      <c r="A5" t="s">
        <v>10</v>
      </c>
      <c r="B5">
        <v>62.1</v>
      </c>
      <c r="C5">
        <v>61</v>
      </c>
      <c r="D5">
        <v>61.9</v>
      </c>
      <c r="E5">
        <v>61.5</v>
      </c>
      <c r="F5" s="5">
        <f>(60.8+60.7)/2</f>
        <v>60.75</v>
      </c>
    </row>
    <row r="6" spans="1:7" x14ac:dyDescent="0.25">
      <c r="A6" t="s">
        <v>11</v>
      </c>
      <c r="F6">
        <v>55</v>
      </c>
    </row>
    <row r="7" spans="1:7" x14ac:dyDescent="0.25">
      <c r="A7" t="s">
        <v>12</v>
      </c>
      <c r="B7">
        <v>51.4</v>
      </c>
      <c r="C7">
        <v>51.1</v>
      </c>
      <c r="D7">
        <v>50.8</v>
      </c>
      <c r="E7">
        <v>51.1</v>
      </c>
      <c r="F7">
        <v>54.9</v>
      </c>
    </row>
    <row r="8" spans="1:7" x14ac:dyDescent="0.25">
      <c r="A8" t="s">
        <v>13</v>
      </c>
      <c r="B8" s="5">
        <f>(53.3+53.4+53.3)/3</f>
        <v>53.333333333333336</v>
      </c>
      <c r="C8" s="5">
        <f>(53.8+54+54.1)/3</f>
        <v>53.966666666666669</v>
      </c>
      <c r="D8" s="5">
        <f>(53.7+53.8+54)/3</f>
        <v>53.833333333333336</v>
      </c>
      <c r="E8" s="5">
        <f>(54.8+54.8+54.9)/3</f>
        <v>54.833333333333336</v>
      </c>
      <c r="F8">
        <v>54.6</v>
      </c>
    </row>
    <row r="9" spans="1:7" x14ac:dyDescent="0.25">
      <c r="A9" t="s">
        <v>14</v>
      </c>
      <c r="B9">
        <v>29.3</v>
      </c>
      <c r="C9">
        <v>30.9</v>
      </c>
      <c r="D9">
        <v>31.5</v>
      </c>
      <c r="E9">
        <v>31.5</v>
      </c>
      <c r="F9">
        <v>31.3</v>
      </c>
      <c r="G9" t="s">
        <v>44</v>
      </c>
    </row>
    <row r="10" spans="1:7" x14ac:dyDescent="0.25">
      <c r="A10" t="s">
        <v>15</v>
      </c>
      <c r="B10">
        <v>48</v>
      </c>
      <c r="C10">
        <v>47.6</v>
      </c>
      <c r="D10">
        <v>47.4</v>
      </c>
      <c r="E10">
        <v>47.6</v>
      </c>
      <c r="F10">
        <v>47.4</v>
      </c>
    </row>
    <row r="11" spans="1:7" x14ac:dyDescent="0.25">
      <c r="A11" t="s">
        <v>16</v>
      </c>
      <c r="C11">
        <v>59.2</v>
      </c>
      <c r="D11" s="5">
        <f>(58.2+59.1)/2</f>
        <v>58.650000000000006</v>
      </c>
      <c r="E11">
        <v>59.9</v>
      </c>
      <c r="F11" s="5">
        <f>(59.2+58.5)/2</f>
        <v>58.85</v>
      </c>
    </row>
    <row r="12" spans="1:7" x14ac:dyDescent="0.25">
      <c r="A12" t="s">
        <v>17</v>
      </c>
      <c r="B12">
        <v>61.3</v>
      </c>
      <c r="C12">
        <v>60.4</v>
      </c>
      <c r="D12">
        <v>60.2</v>
      </c>
      <c r="E12">
        <v>60.4</v>
      </c>
      <c r="F12">
        <v>60.7</v>
      </c>
    </row>
    <row r="13" spans="1:7" x14ac:dyDescent="0.25">
      <c r="A13" t="s">
        <v>18</v>
      </c>
      <c r="B13">
        <v>50.9</v>
      </c>
      <c r="C13">
        <v>50.1</v>
      </c>
      <c r="D13">
        <v>50.6</v>
      </c>
      <c r="E13">
        <v>50.5</v>
      </c>
      <c r="F13">
        <v>51.1</v>
      </c>
    </row>
    <row r="14" spans="1:7" x14ac:dyDescent="0.25">
      <c r="A14" t="s">
        <v>19</v>
      </c>
      <c r="B14">
        <v>49.9</v>
      </c>
      <c r="C14">
        <v>49.4</v>
      </c>
      <c r="D14">
        <v>50.1</v>
      </c>
      <c r="E14">
        <v>50.2</v>
      </c>
      <c r="F14">
        <v>50.6</v>
      </c>
    </row>
    <row r="15" spans="1:7" x14ac:dyDescent="0.25">
      <c r="A15" t="s">
        <v>20</v>
      </c>
      <c r="B15">
        <v>47.3</v>
      </c>
      <c r="C15">
        <v>47.4</v>
      </c>
      <c r="D15">
        <v>47.5</v>
      </c>
      <c r="E15">
        <v>48.3</v>
      </c>
      <c r="F15">
        <v>48.7</v>
      </c>
    </row>
    <row r="16" spans="1:7" x14ac:dyDescent="0.25">
      <c r="A16" t="s">
        <v>21</v>
      </c>
      <c r="B16">
        <v>54.3</v>
      </c>
      <c r="C16">
        <v>54.6</v>
      </c>
      <c r="D16">
        <v>54.6</v>
      </c>
      <c r="E16" s="5">
        <f>(54.2+54.5)/2</f>
        <v>54.35</v>
      </c>
      <c r="F16">
        <v>54.4</v>
      </c>
    </row>
    <row r="17" spans="1:6" x14ac:dyDescent="0.25">
      <c r="A17" t="s">
        <v>22</v>
      </c>
      <c r="B17" s="5">
        <f>(51.2+50.9+51)/3</f>
        <v>51.033333333333331</v>
      </c>
      <c r="C17" s="5">
        <v>52.1</v>
      </c>
      <c r="D17" s="5">
        <v>52.2</v>
      </c>
      <c r="E17" s="5">
        <v>52</v>
      </c>
      <c r="F17" s="5">
        <v>52.6</v>
      </c>
    </row>
    <row r="18" spans="1:6" x14ac:dyDescent="0.25">
      <c r="A18" t="s">
        <v>23</v>
      </c>
      <c r="B18">
        <v>61.1</v>
      </c>
      <c r="C18">
        <v>60.9</v>
      </c>
      <c r="D18">
        <v>61</v>
      </c>
      <c r="E18" s="5">
        <v>61</v>
      </c>
      <c r="F18">
        <v>61.4</v>
      </c>
    </row>
    <row r="19" spans="1:6" x14ac:dyDescent="0.25">
      <c r="B19" s="5"/>
      <c r="C19" s="5"/>
      <c r="D19" s="5"/>
      <c r="E19" s="6"/>
      <c r="F19" s="6"/>
    </row>
    <row r="20" spans="1:6" x14ac:dyDescent="0.25">
      <c r="A20" t="s">
        <v>25</v>
      </c>
    </row>
    <row r="21" spans="1:6" x14ac:dyDescent="0.25">
      <c r="A21" t="s">
        <v>5</v>
      </c>
      <c r="B21" s="5">
        <v>57.9</v>
      </c>
      <c r="C21">
        <v>57.8</v>
      </c>
      <c r="D21" s="5">
        <v>58.4</v>
      </c>
      <c r="E21" s="5">
        <v>57.6</v>
      </c>
      <c r="F21" s="5">
        <v>58</v>
      </c>
    </row>
    <row r="22" spans="1:6" x14ac:dyDescent="0.25">
      <c r="A22" t="s">
        <v>7</v>
      </c>
      <c r="E22">
        <v>40.700000000000003</v>
      </c>
      <c r="F22">
        <v>40.200000000000003</v>
      </c>
    </row>
    <row r="23" spans="1:6" x14ac:dyDescent="0.25">
      <c r="A23" t="s">
        <v>10</v>
      </c>
      <c r="B23" s="5">
        <v>61</v>
      </c>
      <c r="C23">
        <f>(60.6+60.7+60.8)/3</f>
        <v>60.70000000000001</v>
      </c>
      <c r="D23" s="5">
        <f>(61.4+61.3+61.4)/3</f>
        <v>61.366666666666667</v>
      </c>
      <c r="E23" s="5">
        <f>(60.9+60.8+60.9)/3</f>
        <v>60.866666666666667</v>
      </c>
      <c r="F23">
        <f>(61+61.2)/2</f>
        <v>61.1</v>
      </c>
    </row>
    <row r="24" spans="1:6" x14ac:dyDescent="0.25">
      <c r="A24" t="s">
        <v>11</v>
      </c>
      <c r="B24" s="5">
        <f>(56.5+56.5+56.6)/3</f>
        <v>56.533333333333331</v>
      </c>
      <c r="C24" s="5">
        <f>(56.8+56.9+56.9)/3</f>
        <v>56.866666666666667</v>
      </c>
      <c r="D24" s="5">
        <f>(56.7+56.6+56.6)/3</f>
        <v>56.633333333333333</v>
      </c>
      <c r="E24" s="5">
        <v>56.2</v>
      </c>
      <c r="F24" s="5">
        <f>(55.2+55.3)/2</f>
        <v>55.25</v>
      </c>
    </row>
    <row r="25" spans="1:6" x14ac:dyDescent="0.25">
      <c r="A25" t="s">
        <v>12</v>
      </c>
      <c r="B25" s="5">
        <f>(50.8+51)/2</f>
        <v>50.9</v>
      </c>
      <c r="C25" s="5">
        <f>(50.9+51)/2</f>
        <v>50.95</v>
      </c>
      <c r="D25" s="5">
        <f>(51+50.9)/2</f>
        <v>50.95</v>
      </c>
      <c r="E25" s="5">
        <f>(50.8+50.9)/2</f>
        <v>50.849999999999994</v>
      </c>
      <c r="F25" s="5">
        <f>(51.8+51.9)/2</f>
        <v>51.849999999999994</v>
      </c>
    </row>
    <row r="26" spans="1:6" x14ac:dyDescent="0.25">
      <c r="A26" t="s">
        <v>13</v>
      </c>
      <c r="B26">
        <v>54</v>
      </c>
      <c r="C26" s="5">
        <f>(54.4+54.3+54.3)/3</f>
        <v>54.333333333333336</v>
      </c>
      <c r="D26" s="5"/>
      <c r="E26" s="5">
        <f>(53.9+53.8+53.9)/3</f>
        <v>53.866666666666667</v>
      </c>
      <c r="F26" s="5">
        <f>(52.3+52.4+52.4)/3</f>
        <v>52.366666666666667</v>
      </c>
    </row>
    <row r="27" spans="1:6" x14ac:dyDescent="0.25">
      <c r="A27" t="s">
        <v>14</v>
      </c>
      <c r="B27" s="2">
        <v>48.3</v>
      </c>
      <c r="C27" s="2">
        <v>48.2</v>
      </c>
      <c r="D27" s="2">
        <v>48.7</v>
      </c>
      <c r="E27" s="2">
        <v>48.6</v>
      </c>
      <c r="F27" s="2">
        <v>48.8</v>
      </c>
    </row>
    <row r="28" spans="1:6" x14ac:dyDescent="0.25">
      <c r="A28" t="s">
        <v>15</v>
      </c>
      <c r="B28" s="5">
        <v>47.8</v>
      </c>
      <c r="C28">
        <v>47.8</v>
      </c>
      <c r="D28">
        <v>46.9</v>
      </c>
      <c r="E28">
        <v>47.3</v>
      </c>
      <c r="F28">
        <v>47.7</v>
      </c>
    </row>
    <row r="29" spans="1:6" x14ac:dyDescent="0.25">
      <c r="A29" t="s">
        <v>16</v>
      </c>
      <c r="F29">
        <f>(59.8+59.2)/2</f>
        <v>59.5</v>
      </c>
    </row>
    <row r="30" spans="1:6" x14ac:dyDescent="0.25">
      <c r="A30" t="s">
        <v>17</v>
      </c>
      <c r="B30">
        <v>61.4</v>
      </c>
      <c r="C30">
        <v>60.7</v>
      </c>
      <c r="D30">
        <v>60.1</v>
      </c>
      <c r="E30">
        <v>60.7</v>
      </c>
      <c r="F30">
        <v>60.2</v>
      </c>
    </row>
    <row r="31" spans="1:6" x14ac:dyDescent="0.25">
      <c r="A31" t="s">
        <v>18</v>
      </c>
      <c r="B31">
        <f>(49.7+50+50)/3</f>
        <v>49.9</v>
      </c>
      <c r="C31" s="5">
        <f>(50+49.9)/2</f>
        <v>49.95</v>
      </c>
      <c r="D31" s="5">
        <f>(50+50.3+50.2)/3</f>
        <v>50.166666666666664</v>
      </c>
      <c r="E31" s="5">
        <f>(49.7+49.6)/2</f>
        <v>49.650000000000006</v>
      </c>
      <c r="F31">
        <v>50.7</v>
      </c>
    </row>
    <row r="32" spans="1:6" x14ac:dyDescent="0.25">
      <c r="A32" t="s">
        <v>19</v>
      </c>
      <c r="B32">
        <v>51.8</v>
      </c>
      <c r="C32">
        <v>51.4</v>
      </c>
      <c r="D32" s="5">
        <f>(51.6+51.5+51.3)/3</f>
        <v>51.466666666666661</v>
      </c>
      <c r="E32" s="5">
        <f>(50+50.9)/2</f>
        <v>50.45</v>
      </c>
      <c r="F32">
        <f>(52.2+52.2+51.9)/3</f>
        <v>52.1</v>
      </c>
    </row>
    <row r="33" spans="1:6" x14ac:dyDescent="0.25">
      <c r="A33" t="s">
        <v>20</v>
      </c>
      <c r="C33">
        <v>41.1</v>
      </c>
      <c r="D33">
        <v>41.3</v>
      </c>
      <c r="E33" s="5">
        <f>(41.5+41.3+41.5)/3</f>
        <v>41.43333333333333</v>
      </c>
      <c r="F33">
        <v>45</v>
      </c>
    </row>
    <row r="34" spans="1:6" x14ac:dyDescent="0.25">
      <c r="A34" t="s">
        <v>21</v>
      </c>
      <c r="B34">
        <f>(54.7+54.8+54.9)/3</f>
        <v>54.800000000000004</v>
      </c>
      <c r="C34">
        <f>(54.7+54.8+54.9)/3</f>
        <v>54.800000000000004</v>
      </c>
      <c r="D34">
        <v>54.6</v>
      </c>
      <c r="E34">
        <v>55</v>
      </c>
      <c r="F34">
        <v>54.7</v>
      </c>
    </row>
    <row r="35" spans="1:6" x14ac:dyDescent="0.25">
      <c r="A35" t="s">
        <v>22</v>
      </c>
      <c r="B35" s="5">
        <f>(53.4+53.6+53.6)/3</f>
        <v>53.533333333333331</v>
      </c>
      <c r="C35" s="5">
        <f>(53.3+53.5+53.5)/3</f>
        <v>53.433333333333337</v>
      </c>
      <c r="D35" s="5">
        <v>54</v>
      </c>
      <c r="E35" s="5">
        <v>53.1</v>
      </c>
      <c r="F35" s="5">
        <v>52.9</v>
      </c>
    </row>
    <row r="36" spans="1:6" x14ac:dyDescent="0.25">
      <c r="A36" t="s">
        <v>23</v>
      </c>
      <c r="B36">
        <v>61</v>
      </c>
      <c r="C36">
        <v>61</v>
      </c>
      <c r="D36">
        <v>60.8</v>
      </c>
      <c r="E36">
        <v>61.4</v>
      </c>
      <c r="F36">
        <v>61.1</v>
      </c>
    </row>
  </sheetData>
  <pageMargins left="0.7" right="0.7" top="0.75" bottom="0.75" header="0.3" footer="0.3"/>
  <pageSetup paperSize="9" orientation="portrait" verticalDpi="0"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E36"/>
  <sheetViews>
    <sheetView workbookViewId="0">
      <selection activeCell="K27" sqref="K27"/>
    </sheetView>
  </sheetViews>
  <sheetFormatPr defaultRowHeight="15" x14ac:dyDescent="0.25"/>
  <sheetData>
    <row r="1" spans="1:5" x14ac:dyDescent="0.25">
      <c r="A1" t="s">
        <v>85</v>
      </c>
      <c r="B1" t="s">
        <v>37</v>
      </c>
      <c r="C1" t="s">
        <v>38</v>
      </c>
      <c r="D1" t="s">
        <v>39</v>
      </c>
      <c r="E1" t="s">
        <v>40</v>
      </c>
    </row>
    <row r="2" spans="1:5" x14ac:dyDescent="0.25">
      <c r="A2" t="s">
        <v>26</v>
      </c>
    </row>
    <row r="3" spans="1:5" x14ac:dyDescent="0.25">
      <c r="A3" t="s">
        <v>5</v>
      </c>
      <c r="B3">
        <v>8150.4320000000007</v>
      </c>
      <c r="C3">
        <v>5334.6</v>
      </c>
      <c r="D3">
        <v>7209.0320000000002</v>
      </c>
      <c r="E3">
        <v>4715.3680000000004</v>
      </c>
    </row>
    <row r="4" spans="1:5" x14ac:dyDescent="0.25">
      <c r="A4" t="s">
        <v>7</v>
      </c>
      <c r="B4">
        <v>8497.7039999999997</v>
      </c>
      <c r="C4" s="2"/>
      <c r="D4" s="2"/>
      <c r="E4" s="2"/>
    </row>
    <row r="5" spans="1:5" x14ac:dyDescent="0.25">
      <c r="A5" t="s">
        <v>10</v>
      </c>
      <c r="B5">
        <v>7811.5280000000002</v>
      </c>
      <c r="C5">
        <v>6593.9840000000004</v>
      </c>
      <c r="D5">
        <v>4623.3200000000006</v>
      </c>
      <c r="E5">
        <v>3108.712</v>
      </c>
    </row>
    <row r="6" spans="1:5" x14ac:dyDescent="0.25">
      <c r="A6" t="s">
        <v>11</v>
      </c>
      <c r="B6" s="2"/>
      <c r="C6" s="2"/>
      <c r="D6" s="2"/>
      <c r="E6" s="2"/>
    </row>
    <row r="7" spans="1:5" x14ac:dyDescent="0.25">
      <c r="A7" t="s">
        <v>12</v>
      </c>
      <c r="B7">
        <v>5447.5680000000002</v>
      </c>
      <c r="C7">
        <v>2502.0320000000002</v>
      </c>
      <c r="D7">
        <v>5439.2</v>
      </c>
      <c r="E7">
        <v>2309.5680000000002</v>
      </c>
    </row>
    <row r="8" spans="1:5" x14ac:dyDescent="0.25">
      <c r="A8" t="s">
        <v>13</v>
      </c>
      <c r="B8">
        <v>8635.7759999999998</v>
      </c>
      <c r="C8">
        <v>8267.5840000000007</v>
      </c>
      <c r="D8">
        <v>8665.0640000000003</v>
      </c>
      <c r="E8">
        <v>3782.3360000000002</v>
      </c>
    </row>
    <row r="9" spans="1:5" x14ac:dyDescent="0.25">
      <c r="A9" t="s">
        <v>14</v>
      </c>
      <c r="B9">
        <v>3271.8879999999999</v>
      </c>
      <c r="C9">
        <v>2832.5680000000002</v>
      </c>
      <c r="D9">
        <v>4041.7440000000001</v>
      </c>
      <c r="E9">
        <v>3025.0320000000002</v>
      </c>
    </row>
    <row r="10" spans="1:5" x14ac:dyDescent="0.25">
      <c r="A10" t="s">
        <v>15</v>
      </c>
      <c r="B10">
        <v>5426.6480000000001</v>
      </c>
      <c r="C10">
        <v>5158.8720000000003</v>
      </c>
      <c r="D10">
        <v>3317.9120000000003</v>
      </c>
      <c r="E10">
        <v>4840.8879999999999</v>
      </c>
    </row>
    <row r="11" spans="1:5" x14ac:dyDescent="0.25">
      <c r="A11" t="s">
        <v>16</v>
      </c>
      <c r="B11">
        <v>824.24800000000005</v>
      </c>
      <c r="C11">
        <v>1485.3200000000002</v>
      </c>
      <c r="D11">
        <v>1761.4640000000002</v>
      </c>
      <c r="E11">
        <v>1669.4160000000002</v>
      </c>
    </row>
    <row r="12" spans="1:5" x14ac:dyDescent="0.25">
      <c r="A12" t="s">
        <v>17</v>
      </c>
      <c r="B12">
        <v>2376.5120000000002</v>
      </c>
      <c r="C12">
        <v>4686.08</v>
      </c>
      <c r="D12">
        <v>2409.9839999999999</v>
      </c>
      <c r="E12">
        <v>7648.3519999999999</v>
      </c>
    </row>
    <row r="13" spans="1:5" x14ac:dyDescent="0.25">
      <c r="A13" t="s">
        <v>18</v>
      </c>
      <c r="B13">
        <v>1376.5360000000001</v>
      </c>
      <c r="C13" s="2"/>
      <c r="D13" s="2"/>
      <c r="E13" s="2"/>
    </row>
    <row r="14" spans="1:5" x14ac:dyDescent="0.25">
      <c r="A14" t="s">
        <v>19</v>
      </c>
      <c r="B14">
        <v>2531.3200000000002</v>
      </c>
      <c r="C14">
        <v>5435.0160000000005</v>
      </c>
      <c r="D14">
        <v>3460.1680000000001</v>
      </c>
      <c r="E14">
        <v>3020.848</v>
      </c>
    </row>
    <row r="15" spans="1:5" x14ac:dyDescent="0.25">
      <c r="A15" t="s">
        <v>20</v>
      </c>
      <c r="B15">
        <v>2677.76</v>
      </c>
      <c r="C15">
        <v>2556.424</v>
      </c>
      <c r="D15">
        <v>3238.4160000000002</v>
      </c>
      <c r="E15">
        <v>2619.1840000000002</v>
      </c>
    </row>
    <row r="16" spans="1:5" x14ac:dyDescent="0.25">
      <c r="A16" t="s">
        <v>21</v>
      </c>
      <c r="B16">
        <v>1615.0240000000001</v>
      </c>
      <c r="C16">
        <v>2292.8319999999999</v>
      </c>
      <c r="D16">
        <v>2811.6480000000001</v>
      </c>
      <c r="E16">
        <v>1811.672</v>
      </c>
    </row>
    <row r="17" spans="1:5" x14ac:dyDescent="0.25">
      <c r="A17" t="s">
        <v>22</v>
      </c>
      <c r="B17">
        <v>6434.9920000000002</v>
      </c>
      <c r="C17">
        <v>4389.0160000000005</v>
      </c>
      <c r="D17">
        <v>3652.6320000000001</v>
      </c>
      <c r="E17">
        <v>1916.2720000000002</v>
      </c>
    </row>
    <row r="18" spans="1:5" x14ac:dyDescent="0.25">
      <c r="A18" t="s">
        <v>23</v>
      </c>
      <c r="B18">
        <v>4581.4800000000005</v>
      </c>
      <c r="C18">
        <v>4250.9440000000004</v>
      </c>
      <c r="D18">
        <v>4970.5920000000006</v>
      </c>
      <c r="E18">
        <v>2355.5920000000001</v>
      </c>
    </row>
    <row r="20" spans="1:5" x14ac:dyDescent="0.25">
      <c r="A20" t="s">
        <v>25</v>
      </c>
      <c r="E20" s="8"/>
    </row>
    <row r="21" spans="1:5" x14ac:dyDescent="0.25">
      <c r="A21" t="s">
        <v>5</v>
      </c>
      <c r="B21">
        <v>8690.1679999999997</v>
      </c>
      <c r="C21">
        <v>5999.8560000000007</v>
      </c>
      <c r="D21">
        <v>2849.3040000000001</v>
      </c>
      <c r="E21">
        <v>2464.3760000000002</v>
      </c>
    </row>
    <row r="22" spans="1:5" x14ac:dyDescent="0.25">
      <c r="A22" t="s">
        <v>7</v>
      </c>
      <c r="B22">
        <v>6535.4080000000004</v>
      </c>
      <c r="C22">
        <v>7158.8240000000005</v>
      </c>
      <c r="D22" s="2"/>
      <c r="E22" s="2"/>
    </row>
    <row r="23" spans="1:5" x14ac:dyDescent="0.25">
      <c r="A23" t="s">
        <v>10</v>
      </c>
      <c r="B23">
        <v>6560.5120000000006</v>
      </c>
      <c r="C23">
        <v>4179.8159999999998</v>
      </c>
      <c r="D23">
        <v>4660.9760000000006</v>
      </c>
      <c r="E23">
        <v>5623.2960000000003</v>
      </c>
    </row>
    <row r="24" spans="1:5" x14ac:dyDescent="0.25">
      <c r="A24" t="s">
        <v>11</v>
      </c>
      <c r="B24">
        <v>5518.6959999999999</v>
      </c>
      <c r="C24">
        <v>2870.2240000000002</v>
      </c>
      <c r="D24">
        <v>1522.9760000000001</v>
      </c>
      <c r="E24">
        <v>1937.192</v>
      </c>
    </row>
    <row r="25" spans="1:5" x14ac:dyDescent="0.25">
      <c r="A25" t="s">
        <v>12</v>
      </c>
      <c r="B25">
        <v>4213.2880000000005</v>
      </c>
      <c r="C25">
        <v>1983.2160000000001</v>
      </c>
      <c r="D25">
        <v>3765.6000000000004</v>
      </c>
      <c r="E25">
        <v>3071.056</v>
      </c>
    </row>
    <row r="26" spans="1:5" x14ac:dyDescent="0.25">
      <c r="A26" t="s">
        <v>13</v>
      </c>
      <c r="B26">
        <v>9414</v>
      </c>
      <c r="C26">
        <v>4987.3280000000004</v>
      </c>
      <c r="D26">
        <v>5163.0560000000005</v>
      </c>
      <c r="E26">
        <v>5020.8</v>
      </c>
    </row>
    <row r="27" spans="1:5" x14ac:dyDescent="0.25">
      <c r="A27" t="s">
        <v>14</v>
      </c>
      <c r="B27">
        <v>3317.9120000000003</v>
      </c>
      <c r="C27">
        <v>2451.8240000000001</v>
      </c>
      <c r="D27">
        <v>3368.1200000000003</v>
      </c>
      <c r="E27">
        <v>3284.44</v>
      </c>
    </row>
    <row r="28" spans="1:5" x14ac:dyDescent="0.25">
      <c r="A28" t="s">
        <v>15</v>
      </c>
      <c r="B28">
        <v>7401.4960000000001</v>
      </c>
      <c r="C28">
        <v>6154.6640000000007</v>
      </c>
      <c r="D28">
        <v>6200.6880000000001</v>
      </c>
      <c r="E28">
        <v>4677.7120000000004</v>
      </c>
    </row>
    <row r="29" spans="1:5" x14ac:dyDescent="0.25">
      <c r="A29" t="s">
        <v>16</v>
      </c>
      <c r="B29">
        <v>2029.24</v>
      </c>
      <c r="C29">
        <v>1493.6880000000001</v>
      </c>
      <c r="D29">
        <v>1280.3040000000001</v>
      </c>
      <c r="E29">
        <v>1681.9680000000001</v>
      </c>
    </row>
    <row r="30" spans="1:5" x14ac:dyDescent="0.25">
      <c r="A30" t="s">
        <v>17</v>
      </c>
      <c r="B30">
        <v>2702.864</v>
      </c>
      <c r="C30">
        <v>6895.232</v>
      </c>
      <c r="D30">
        <v>5037.5360000000001</v>
      </c>
      <c r="E30">
        <v>7384.76</v>
      </c>
    </row>
    <row r="31" spans="1:5" x14ac:dyDescent="0.25">
      <c r="A31" t="s">
        <v>18</v>
      </c>
      <c r="B31" s="2"/>
      <c r="C31" s="2"/>
      <c r="D31" s="2"/>
      <c r="E31">
        <v>1527.16</v>
      </c>
    </row>
    <row r="32" spans="1:5" x14ac:dyDescent="0.25">
      <c r="A32" t="s">
        <v>19</v>
      </c>
      <c r="B32">
        <v>6397.3360000000002</v>
      </c>
      <c r="C32">
        <v>3995.7200000000003</v>
      </c>
      <c r="D32">
        <v>3259.3360000000002</v>
      </c>
      <c r="E32">
        <v>2594.08</v>
      </c>
    </row>
    <row r="33" spans="1:5" x14ac:dyDescent="0.25">
      <c r="A33" t="s">
        <v>20</v>
      </c>
      <c r="B33">
        <v>1560.6320000000001</v>
      </c>
      <c r="C33">
        <v>903.74400000000003</v>
      </c>
      <c r="D33">
        <v>1727.992</v>
      </c>
      <c r="E33">
        <v>1531.3440000000001</v>
      </c>
    </row>
    <row r="34" spans="1:5" x14ac:dyDescent="0.25">
      <c r="A34" t="s">
        <v>21</v>
      </c>
      <c r="B34">
        <v>2075.2640000000001</v>
      </c>
      <c r="C34">
        <v>1979.0320000000002</v>
      </c>
      <c r="D34">
        <v>3083.6080000000002</v>
      </c>
      <c r="E34">
        <v>3221.6800000000003</v>
      </c>
    </row>
    <row r="35" spans="1:5" x14ac:dyDescent="0.25">
      <c r="A35" t="s">
        <v>22</v>
      </c>
      <c r="B35">
        <v>3694.4720000000002</v>
      </c>
      <c r="C35">
        <v>4886.9120000000003</v>
      </c>
      <c r="D35">
        <v>4296.9679999999998</v>
      </c>
      <c r="E35">
        <v>1966.48</v>
      </c>
    </row>
    <row r="36" spans="1:5" x14ac:dyDescent="0.25">
      <c r="A36" t="s">
        <v>23</v>
      </c>
      <c r="B36">
        <v>5075.192</v>
      </c>
      <c r="C36">
        <v>3284.44</v>
      </c>
      <c r="D36">
        <v>6665.1120000000001</v>
      </c>
      <c r="E36">
        <v>2338.8560000000002</v>
      </c>
    </row>
  </sheetData>
  <pageMargins left="0.7" right="0.7" top="0.75" bottom="0.75" header="0.3" footer="0.3"/>
  <pageSetup paperSize="9" orientation="portrait" verticalDpi="0"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W86"/>
  <sheetViews>
    <sheetView topLeftCell="AD1" zoomScale="70" zoomScaleNormal="70" workbookViewId="0">
      <selection activeCell="AS33" sqref="AS33"/>
    </sheetView>
  </sheetViews>
  <sheetFormatPr defaultRowHeight="15" x14ac:dyDescent="0.25"/>
  <cols>
    <col min="11" max="11" width="9.140625" style="10"/>
    <col min="21" max="21" width="9.140625" style="10"/>
    <col min="22" max="23" width="9.140625" style="14"/>
    <col min="31" max="31" width="9.140625" style="10"/>
    <col min="32" max="33" width="9.140625" style="14"/>
    <col min="43" max="43" width="9.140625" style="10"/>
    <col min="44" max="44" width="9.140625" style="14"/>
    <col min="45" max="45" width="30.42578125" customWidth="1"/>
    <col min="46" max="47" width="14.85546875" bestFit="1" customWidth="1"/>
  </cols>
  <sheetData>
    <row r="1" spans="1:49" x14ac:dyDescent="0.25">
      <c r="B1" t="s">
        <v>45</v>
      </c>
      <c r="L1" t="s">
        <v>46</v>
      </c>
      <c r="V1" s="14" t="s">
        <v>47</v>
      </c>
      <c r="AF1" s="14" t="s">
        <v>48</v>
      </c>
      <c r="AS1" s="2"/>
      <c r="AT1" s="2"/>
      <c r="AU1" s="2"/>
      <c r="AV1" s="2"/>
      <c r="AW1" s="2"/>
    </row>
    <row r="2" spans="1:49" x14ac:dyDescent="0.25">
      <c r="A2" t="s">
        <v>26</v>
      </c>
      <c r="B2" t="s">
        <v>49</v>
      </c>
      <c r="C2" t="s">
        <v>81</v>
      </c>
      <c r="D2" t="s">
        <v>50</v>
      </c>
      <c r="E2" t="s">
        <v>51</v>
      </c>
      <c r="F2" t="s">
        <v>52</v>
      </c>
      <c r="G2" t="s">
        <v>53</v>
      </c>
      <c r="H2" t="s">
        <v>54</v>
      </c>
      <c r="I2" t="s">
        <v>55</v>
      </c>
      <c r="J2" t="s">
        <v>56</v>
      </c>
      <c r="K2" s="10" t="s">
        <v>57</v>
      </c>
      <c r="L2" t="s">
        <v>49</v>
      </c>
      <c r="M2" t="s">
        <v>81</v>
      </c>
      <c r="N2" t="s">
        <v>50</v>
      </c>
      <c r="O2" t="s">
        <v>51</v>
      </c>
      <c r="P2" t="s">
        <v>52</v>
      </c>
      <c r="Q2" t="s">
        <v>53</v>
      </c>
      <c r="R2" t="s">
        <v>54</v>
      </c>
      <c r="S2" t="s">
        <v>55</v>
      </c>
      <c r="T2" t="s">
        <v>56</v>
      </c>
      <c r="U2" s="10" t="s">
        <v>57</v>
      </c>
      <c r="V2" t="s">
        <v>49</v>
      </c>
      <c r="W2" t="s">
        <v>81</v>
      </c>
      <c r="X2" t="s">
        <v>50</v>
      </c>
      <c r="Y2" t="s">
        <v>51</v>
      </c>
      <c r="Z2" t="s">
        <v>52</v>
      </c>
      <c r="AA2" t="s">
        <v>53</v>
      </c>
      <c r="AB2" t="s">
        <v>54</v>
      </c>
      <c r="AC2" t="s">
        <v>55</v>
      </c>
      <c r="AD2" t="s">
        <v>56</v>
      </c>
      <c r="AE2" s="10" t="s">
        <v>57</v>
      </c>
      <c r="AF2" t="s">
        <v>49</v>
      </c>
      <c r="AG2" t="s">
        <v>81</v>
      </c>
      <c r="AH2" t="s">
        <v>50</v>
      </c>
      <c r="AI2" t="s">
        <v>51</v>
      </c>
      <c r="AJ2" t="s">
        <v>52</v>
      </c>
      <c r="AK2" t="s">
        <v>53</v>
      </c>
      <c r="AL2" t="s">
        <v>54</v>
      </c>
      <c r="AM2" t="s">
        <v>55</v>
      </c>
      <c r="AN2" t="s">
        <v>56</v>
      </c>
      <c r="AO2" s="14" t="s">
        <v>57</v>
      </c>
      <c r="AP2" s="14" t="s">
        <v>58</v>
      </c>
      <c r="AQ2" s="10" t="s">
        <v>59</v>
      </c>
      <c r="AS2" s="2"/>
      <c r="AT2" s="2"/>
      <c r="AU2" s="2"/>
      <c r="AV2" s="2"/>
      <c r="AW2" s="2"/>
    </row>
    <row r="3" spans="1:49" ht="16.5" thickBot="1" x14ac:dyDescent="0.3">
      <c r="A3" t="s">
        <v>5</v>
      </c>
      <c r="B3">
        <v>2061</v>
      </c>
      <c r="C3">
        <f>B3*4.184</f>
        <v>8623.2240000000002</v>
      </c>
      <c r="D3">
        <v>192</v>
      </c>
      <c r="E3">
        <v>95</v>
      </c>
      <c r="F3">
        <v>159</v>
      </c>
      <c r="G3">
        <v>72</v>
      </c>
      <c r="H3">
        <v>1578</v>
      </c>
      <c r="I3">
        <v>4192</v>
      </c>
      <c r="J3">
        <v>2581</v>
      </c>
      <c r="K3" s="10">
        <v>4161</v>
      </c>
      <c r="L3">
        <v>5405</v>
      </c>
      <c r="M3">
        <f>L3*4.184</f>
        <v>22614.52</v>
      </c>
      <c r="N3">
        <v>429</v>
      </c>
      <c r="O3">
        <v>217</v>
      </c>
      <c r="P3">
        <v>209</v>
      </c>
      <c r="Q3">
        <v>315</v>
      </c>
      <c r="R3">
        <v>5784</v>
      </c>
      <c r="S3">
        <v>5363</v>
      </c>
      <c r="T3">
        <v>7537</v>
      </c>
      <c r="U3" s="10">
        <v>2532</v>
      </c>
      <c r="V3" s="14">
        <v>2344</v>
      </c>
      <c r="W3" s="14">
        <f>V3*4.184</f>
        <v>9807.2960000000003</v>
      </c>
      <c r="X3" s="11">
        <v>285</v>
      </c>
      <c r="Y3" s="11">
        <v>175</v>
      </c>
      <c r="Z3" s="11">
        <v>140</v>
      </c>
      <c r="AA3" s="11">
        <v>70</v>
      </c>
      <c r="AB3" s="11">
        <v>1919</v>
      </c>
      <c r="AC3" s="11">
        <v>4121</v>
      </c>
      <c r="AD3" s="11">
        <v>3192</v>
      </c>
      <c r="AE3" s="10">
        <v>2146</v>
      </c>
      <c r="AF3" s="14">
        <v>3526</v>
      </c>
      <c r="AG3" s="14">
        <f>AF3*4.184</f>
        <v>14752.784000000001</v>
      </c>
      <c r="AH3">
        <v>332</v>
      </c>
      <c r="AI3">
        <v>99</v>
      </c>
      <c r="AJ3">
        <v>112</v>
      </c>
      <c r="AK3">
        <v>187</v>
      </c>
      <c r="AL3">
        <v>1986</v>
      </c>
      <c r="AM3">
        <v>1093</v>
      </c>
      <c r="AN3">
        <v>2947</v>
      </c>
      <c r="AO3" s="2">
        <v>401</v>
      </c>
      <c r="AP3" s="2">
        <f>AO3-AQ3</f>
        <v>161</v>
      </c>
      <c r="AQ3" s="12">
        <v>240</v>
      </c>
      <c r="AR3" s="15"/>
      <c r="AS3" s="31" t="s">
        <v>135</v>
      </c>
      <c r="AW3" s="2"/>
    </row>
    <row r="4" spans="1:49" s="2" customFormat="1" ht="16.5" thickBot="1" x14ac:dyDescent="0.3">
      <c r="A4" s="2" t="s">
        <v>7</v>
      </c>
      <c r="B4" s="2">
        <v>2585</v>
      </c>
      <c r="C4">
        <f t="shared" ref="C4:C36" si="0">B4*4.184</f>
        <v>10815.640000000001</v>
      </c>
      <c r="D4" s="2">
        <v>304</v>
      </c>
      <c r="E4" s="2">
        <v>89</v>
      </c>
      <c r="F4" s="2">
        <v>71</v>
      </c>
      <c r="G4" s="2">
        <v>115</v>
      </c>
      <c r="H4" s="2">
        <v>2739</v>
      </c>
      <c r="I4" s="2">
        <v>1275</v>
      </c>
      <c r="J4" s="2">
        <v>3740</v>
      </c>
      <c r="K4" s="12">
        <v>2828</v>
      </c>
      <c r="L4" s="11">
        <v>2274</v>
      </c>
      <c r="M4">
        <f t="shared" ref="M4:M36" si="1">L4*4.184</f>
        <v>9514.4160000000011</v>
      </c>
      <c r="N4" s="11">
        <v>218</v>
      </c>
      <c r="O4" s="11">
        <v>113</v>
      </c>
      <c r="P4" s="11">
        <v>57</v>
      </c>
      <c r="Q4" s="11">
        <v>85</v>
      </c>
      <c r="R4" s="11">
        <v>1419</v>
      </c>
      <c r="S4" s="11">
        <v>2799</v>
      </c>
      <c r="T4" s="11">
        <v>2518</v>
      </c>
      <c r="U4" s="12">
        <v>4481</v>
      </c>
      <c r="V4" s="11">
        <v>2443</v>
      </c>
      <c r="W4" s="14">
        <f t="shared" ref="W4:W36" si="2">V4*4.184</f>
        <v>10221.512000000001</v>
      </c>
      <c r="X4" s="11">
        <v>296</v>
      </c>
      <c r="Y4" s="11">
        <v>74</v>
      </c>
      <c r="Z4" s="11">
        <v>67</v>
      </c>
      <c r="AA4" s="11">
        <v>104</v>
      </c>
      <c r="AB4" s="11">
        <v>4967</v>
      </c>
      <c r="AC4" s="11">
        <v>2680</v>
      </c>
      <c r="AD4" s="11">
        <v>5244</v>
      </c>
      <c r="AE4" s="12">
        <v>3769</v>
      </c>
      <c r="AF4" s="11">
        <v>2297</v>
      </c>
      <c r="AG4" s="14">
        <f t="shared" ref="AG4:AG36" si="3">AF4*4.184</f>
        <v>9610.648000000001</v>
      </c>
      <c r="AH4" s="11">
        <v>315</v>
      </c>
      <c r="AI4" s="11">
        <v>100</v>
      </c>
      <c r="AJ4" s="11">
        <v>68</v>
      </c>
      <c r="AK4" s="11">
        <v>79</v>
      </c>
      <c r="AL4" s="11">
        <v>2496</v>
      </c>
      <c r="AM4" s="11">
        <v>144</v>
      </c>
      <c r="AN4" s="11">
        <v>3444</v>
      </c>
      <c r="AO4" s="2">
        <v>635</v>
      </c>
      <c r="AP4" s="2">
        <f t="shared" ref="AP4:AP36" si="4">AO4-AQ4</f>
        <v>345</v>
      </c>
      <c r="AQ4" s="12">
        <v>290</v>
      </c>
      <c r="AR4" s="16"/>
      <c r="AS4" s="32"/>
      <c r="AT4" s="38" t="s">
        <v>136</v>
      </c>
      <c r="AU4" s="38" t="s">
        <v>137</v>
      </c>
      <c r="AV4" s="39" t="s">
        <v>138</v>
      </c>
    </row>
    <row r="5" spans="1:49" s="2" customFormat="1" ht="31.5" x14ac:dyDescent="0.25">
      <c r="A5" s="2" t="s">
        <v>10</v>
      </c>
      <c r="B5" s="2">
        <v>2055</v>
      </c>
      <c r="C5">
        <f t="shared" si="0"/>
        <v>8598.1200000000008</v>
      </c>
      <c r="D5" s="2">
        <v>241</v>
      </c>
      <c r="E5" s="2">
        <v>121</v>
      </c>
      <c r="F5" s="2">
        <v>104</v>
      </c>
      <c r="G5" s="2">
        <v>67</v>
      </c>
      <c r="H5" s="2">
        <v>1466</v>
      </c>
      <c r="I5" s="2">
        <v>3146</v>
      </c>
      <c r="J5" s="2">
        <v>2772</v>
      </c>
      <c r="K5" s="12">
        <v>3466</v>
      </c>
      <c r="L5" s="2">
        <v>2677</v>
      </c>
      <c r="M5">
        <f t="shared" si="1"/>
        <v>11200.568000000001</v>
      </c>
      <c r="N5" s="2">
        <v>252</v>
      </c>
      <c r="O5" s="2">
        <v>87</v>
      </c>
      <c r="P5" s="2">
        <v>114</v>
      </c>
      <c r="Q5" s="2">
        <v>109</v>
      </c>
      <c r="R5" s="2">
        <v>9624</v>
      </c>
      <c r="S5" s="2">
        <v>3632</v>
      </c>
      <c r="T5" s="2">
        <v>15302</v>
      </c>
      <c r="U5" s="12">
        <v>3352</v>
      </c>
      <c r="V5" s="11">
        <v>2688</v>
      </c>
      <c r="W5" s="14">
        <f t="shared" si="2"/>
        <v>11246.592000000001</v>
      </c>
      <c r="X5" s="11">
        <v>404</v>
      </c>
      <c r="Y5" s="11">
        <v>274</v>
      </c>
      <c r="Z5" s="11">
        <v>94</v>
      </c>
      <c r="AA5" s="11">
        <v>70</v>
      </c>
      <c r="AB5" s="11">
        <v>5254</v>
      </c>
      <c r="AC5" s="11">
        <v>23849</v>
      </c>
      <c r="AD5" s="11">
        <v>2841</v>
      </c>
      <c r="AE5" s="12">
        <v>2252</v>
      </c>
      <c r="AF5" s="11">
        <v>2533</v>
      </c>
      <c r="AG5" s="14">
        <f t="shared" si="3"/>
        <v>10598.072</v>
      </c>
      <c r="AH5" s="11">
        <v>329</v>
      </c>
      <c r="AI5" s="11">
        <v>117</v>
      </c>
      <c r="AJ5" s="11">
        <v>102</v>
      </c>
      <c r="AK5" s="11">
        <v>86</v>
      </c>
      <c r="AL5" s="11">
        <v>2847</v>
      </c>
      <c r="AM5" s="11">
        <v>314</v>
      </c>
      <c r="AN5" s="11">
        <v>4362</v>
      </c>
      <c r="AO5" s="11">
        <v>500</v>
      </c>
      <c r="AP5" s="2">
        <f t="shared" si="4"/>
        <v>290</v>
      </c>
      <c r="AQ5" s="12">
        <v>210</v>
      </c>
      <c r="AR5" s="16"/>
      <c r="AS5" s="33" t="s">
        <v>139</v>
      </c>
      <c r="AT5" s="40" t="s">
        <v>140</v>
      </c>
      <c r="AU5" s="40" t="s">
        <v>141</v>
      </c>
      <c r="AV5" s="40">
        <v>0.54400000000000004</v>
      </c>
    </row>
    <row r="6" spans="1:49" s="2" customFormat="1" ht="15.75" x14ac:dyDescent="0.25">
      <c r="A6" s="2" t="s">
        <v>11</v>
      </c>
      <c r="B6" s="2">
        <v>1806</v>
      </c>
      <c r="C6">
        <f t="shared" si="0"/>
        <v>7556.3040000000001</v>
      </c>
      <c r="D6" s="2">
        <v>225</v>
      </c>
      <c r="E6" s="2">
        <v>94</v>
      </c>
      <c r="F6" s="2">
        <v>97</v>
      </c>
      <c r="G6" s="2">
        <v>55</v>
      </c>
      <c r="H6" s="2">
        <v>1597</v>
      </c>
      <c r="I6" s="2">
        <v>3216</v>
      </c>
      <c r="J6" s="2">
        <v>2811</v>
      </c>
      <c r="K6" s="12">
        <v>1961</v>
      </c>
      <c r="L6" s="11">
        <v>2171</v>
      </c>
      <c r="M6">
        <f t="shared" si="1"/>
        <v>9083.4639999999999</v>
      </c>
      <c r="N6" s="11">
        <v>169</v>
      </c>
      <c r="O6" s="11">
        <v>70</v>
      </c>
      <c r="P6" s="11">
        <v>89</v>
      </c>
      <c r="Q6" s="11">
        <v>123</v>
      </c>
      <c r="R6" s="11">
        <v>2662</v>
      </c>
      <c r="S6" s="11">
        <v>1867</v>
      </c>
      <c r="T6" s="11">
        <v>4424</v>
      </c>
      <c r="U6" s="12">
        <v>1822</v>
      </c>
      <c r="V6" s="11">
        <v>1744</v>
      </c>
      <c r="W6" s="14">
        <f t="shared" si="2"/>
        <v>7296.8960000000006</v>
      </c>
      <c r="X6" s="11">
        <v>228</v>
      </c>
      <c r="Y6" s="11">
        <v>52</v>
      </c>
      <c r="Z6" s="11">
        <v>124</v>
      </c>
      <c r="AA6" s="11">
        <v>32.200000000000003</v>
      </c>
      <c r="AB6" s="11">
        <v>1035</v>
      </c>
      <c r="AC6" s="11">
        <v>2833</v>
      </c>
      <c r="AD6" s="11">
        <v>1734</v>
      </c>
      <c r="AE6" s="12">
        <v>1580</v>
      </c>
      <c r="AF6" s="11">
        <v>1076</v>
      </c>
      <c r="AG6" s="14">
        <f t="shared" si="3"/>
        <v>4501.9840000000004</v>
      </c>
      <c r="AH6" s="11">
        <v>163</v>
      </c>
      <c r="AI6" s="11">
        <v>64</v>
      </c>
      <c r="AJ6" s="11">
        <v>37.1</v>
      </c>
      <c r="AK6" s="11">
        <v>30.5</v>
      </c>
      <c r="AL6" s="11">
        <v>858</v>
      </c>
      <c r="AM6" s="11">
        <v>429</v>
      </c>
      <c r="AN6" s="11">
        <v>1385</v>
      </c>
      <c r="AO6" s="11">
        <v>414</v>
      </c>
      <c r="AP6" s="2">
        <f t="shared" si="4"/>
        <v>204</v>
      </c>
      <c r="AQ6" s="12">
        <v>210</v>
      </c>
      <c r="AR6" s="16"/>
      <c r="AS6" s="33" t="s">
        <v>142</v>
      </c>
      <c r="AT6" s="40" t="s">
        <v>143</v>
      </c>
      <c r="AU6" s="40" t="s">
        <v>144</v>
      </c>
      <c r="AV6" s="40">
        <v>0.82899999999999996</v>
      </c>
    </row>
    <row r="7" spans="1:49" s="2" customFormat="1" ht="15.75" x14ac:dyDescent="0.25">
      <c r="A7" s="2" t="s">
        <v>12</v>
      </c>
      <c r="B7" s="2">
        <v>2161</v>
      </c>
      <c r="C7">
        <f t="shared" si="0"/>
        <v>9041.6239999999998</v>
      </c>
      <c r="D7" s="2">
        <v>286</v>
      </c>
      <c r="E7" s="2">
        <v>115</v>
      </c>
      <c r="F7" s="2">
        <v>104</v>
      </c>
      <c r="G7" s="2">
        <v>68</v>
      </c>
      <c r="H7" s="2">
        <v>760</v>
      </c>
      <c r="I7" s="2">
        <v>2747</v>
      </c>
      <c r="J7" s="2">
        <v>1225</v>
      </c>
      <c r="K7" s="12">
        <v>2467</v>
      </c>
      <c r="L7" s="11">
        <v>1999</v>
      </c>
      <c r="M7">
        <f t="shared" si="1"/>
        <v>8363.8160000000007</v>
      </c>
      <c r="N7" s="11">
        <v>222</v>
      </c>
      <c r="O7" s="11">
        <v>79</v>
      </c>
      <c r="P7" s="11">
        <v>98</v>
      </c>
      <c r="Q7" s="11">
        <v>78</v>
      </c>
      <c r="R7" s="11">
        <v>1925</v>
      </c>
      <c r="S7" s="11">
        <v>3186</v>
      </c>
      <c r="T7" s="11">
        <v>2921</v>
      </c>
      <c r="U7" s="12">
        <v>2369</v>
      </c>
      <c r="V7" s="11">
        <v>2637</v>
      </c>
      <c r="W7" s="14">
        <f t="shared" si="2"/>
        <v>11033.208000000001</v>
      </c>
      <c r="X7" s="11">
        <v>336</v>
      </c>
      <c r="Y7" s="11">
        <v>162</v>
      </c>
      <c r="Z7" s="11">
        <v>122</v>
      </c>
      <c r="AA7" s="11">
        <v>87</v>
      </c>
      <c r="AB7" s="11">
        <v>2360</v>
      </c>
      <c r="AC7" s="11">
        <v>4086</v>
      </c>
      <c r="AD7" s="11">
        <v>2398</v>
      </c>
      <c r="AE7" s="12">
        <v>3549</v>
      </c>
      <c r="AF7" s="11">
        <v>2779</v>
      </c>
      <c r="AG7" s="14">
        <f t="shared" si="3"/>
        <v>11627.336000000001</v>
      </c>
      <c r="AH7" s="11">
        <v>332</v>
      </c>
      <c r="AI7" s="11">
        <v>85</v>
      </c>
      <c r="AJ7" s="11">
        <v>80</v>
      </c>
      <c r="AK7" s="11">
        <v>122</v>
      </c>
      <c r="AL7" s="11">
        <v>3521</v>
      </c>
      <c r="AM7" s="11">
        <v>1783</v>
      </c>
      <c r="AN7" s="11">
        <v>5459</v>
      </c>
      <c r="AO7" s="11">
        <v>604</v>
      </c>
      <c r="AP7" s="2">
        <f t="shared" si="4"/>
        <v>414</v>
      </c>
      <c r="AQ7" s="12">
        <v>190</v>
      </c>
      <c r="AR7" s="16"/>
      <c r="AS7" s="33" t="s">
        <v>145</v>
      </c>
      <c r="AT7" s="40" t="s">
        <v>146</v>
      </c>
      <c r="AU7" s="40" t="s">
        <v>147</v>
      </c>
      <c r="AV7" s="40">
        <v>0.64</v>
      </c>
    </row>
    <row r="8" spans="1:49" s="2" customFormat="1" ht="15.75" x14ac:dyDescent="0.25">
      <c r="A8" s="2" t="s">
        <v>13</v>
      </c>
      <c r="B8" s="2">
        <v>3350</v>
      </c>
      <c r="C8">
        <f t="shared" si="0"/>
        <v>14016.400000000001</v>
      </c>
      <c r="D8" s="2">
        <v>473</v>
      </c>
      <c r="E8" s="2">
        <v>200</v>
      </c>
      <c r="F8" s="2">
        <v>146</v>
      </c>
      <c r="G8" s="2">
        <v>101</v>
      </c>
      <c r="H8" s="2">
        <v>1904</v>
      </c>
      <c r="I8" s="2">
        <v>4963</v>
      </c>
      <c r="J8" s="2">
        <v>3240</v>
      </c>
      <c r="K8" s="12">
        <v>6714</v>
      </c>
      <c r="L8" s="11">
        <v>3163</v>
      </c>
      <c r="M8">
        <f t="shared" si="1"/>
        <v>13233.992</v>
      </c>
      <c r="N8" s="11">
        <v>434</v>
      </c>
      <c r="O8" s="11">
        <v>220</v>
      </c>
      <c r="P8" s="11">
        <v>129</v>
      </c>
      <c r="Q8" s="11">
        <v>108</v>
      </c>
      <c r="R8" s="11">
        <v>1669</v>
      </c>
      <c r="S8" s="11">
        <v>5486</v>
      </c>
      <c r="T8" s="11">
        <v>3300</v>
      </c>
      <c r="U8" s="12">
        <v>6559</v>
      </c>
      <c r="V8" s="11">
        <v>2329</v>
      </c>
      <c r="W8" s="14">
        <f t="shared" si="2"/>
        <v>9744.5360000000001</v>
      </c>
      <c r="X8" s="11">
        <v>259</v>
      </c>
      <c r="Y8" s="11">
        <v>168</v>
      </c>
      <c r="Z8" s="11">
        <v>81</v>
      </c>
      <c r="AA8" s="11">
        <v>110</v>
      </c>
      <c r="AB8" s="11">
        <v>2718</v>
      </c>
      <c r="AC8" s="11">
        <v>4207</v>
      </c>
      <c r="AD8" s="11">
        <v>4968</v>
      </c>
      <c r="AE8" s="12">
        <v>7406</v>
      </c>
      <c r="AF8" s="11">
        <v>2222</v>
      </c>
      <c r="AG8" s="14">
        <f t="shared" si="3"/>
        <v>9296.848</v>
      </c>
      <c r="AH8" s="11">
        <v>243</v>
      </c>
      <c r="AI8" s="11">
        <v>150</v>
      </c>
      <c r="AJ8" s="11">
        <v>74</v>
      </c>
      <c r="AK8" s="11">
        <v>108</v>
      </c>
      <c r="AL8" s="11">
        <v>2061</v>
      </c>
      <c r="AM8" s="11">
        <v>557</v>
      </c>
      <c r="AN8" s="11">
        <v>2936</v>
      </c>
      <c r="AO8" s="11">
        <v>693</v>
      </c>
      <c r="AP8" s="2">
        <f t="shared" si="4"/>
        <v>473</v>
      </c>
      <c r="AQ8" s="12">
        <v>220</v>
      </c>
      <c r="AR8" s="16"/>
      <c r="AS8" s="33" t="s">
        <v>148</v>
      </c>
      <c r="AT8" s="40" t="s">
        <v>149</v>
      </c>
      <c r="AU8" s="40" t="s">
        <v>150</v>
      </c>
      <c r="AV8" s="40">
        <v>0.72899999999999998</v>
      </c>
    </row>
    <row r="9" spans="1:49" s="2" customFormat="1" ht="15.75" x14ac:dyDescent="0.25">
      <c r="A9" s="2" t="s">
        <v>14</v>
      </c>
      <c r="B9" s="2">
        <v>1817</v>
      </c>
      <c r="C9">
        <f t="shared" si="0"/>
        <v>7602.3280000000004</v>
      </c>
      <c r="D9" s="2">
        <v>195</v>
      </c>
      <c r="E9" s="2">
        <v>47</v>
      </c>
      <c r="F9" s="2">
        <v>70</v>
      </c>
      <c r="G9" s="2">
        <v>72</v>
      </c>
      <c r="H9" s="2">
        <v>2366</v>
      </c>
      <c r="I9" s="2">
        <v>1375</v>
      </c>
      <c r="J9" s="2">
        <v>3858</v>
      </c>
      <c r="K9" s="12">
        <v>674</v>
      </c>
      <c r="L9" s="11">
        <v>1728</v>
      </c>
      <c r="M9">
        <f t="shared" si="1"/>
        <v>7229.9520000000002</v>
      </c>
      <c r="N9" s="11">
        <v>146</v>
      </c>
      <c r="O9" s="11">
        <v>41</v>
      </c>
      <c r="P9" s="11">
        <v>98</v>
      </c>
      <c r="Q9" s="11">
        <v>82</v>
      </c>
      <c r="R9" s="11">
        <v>1839</v>
      </c>
      <c r="S9" s="11">
        <v>830</v>
      </c>
      <c r="T9" s="11">
        <v>2485</v>
      </c>
      <c r="U9" s="12">
        <v>2871</v>
      </c>
      <c r="V9" s="11">
        <v>2164</v>
      </c>
      <c r="W9" s="14">
        <f t="shared" si="2"/>
        <v>9054.1759999999995</v>
      </c>
      <c r="X9" s="11">
        <v>222</v>
      </c>
      <c r="Y9" s="11">
        <v>105</v>
      </c>
      <c r="Z9" s="11">
        <v>141</v>
      </c>
      <c r="AA9" s="11">
        <v>79</v>
      </c>
      <c r="AB9" s="11">
        <v>1613</v>
      </c>
      <c r="AC9" s="11">
        <v>1903</v>
      </c>
      <c r="AD9" s="11">
        <v>2361</v>
      </c>
      <c r="AE9" s="12">
        <v>3578</v>
      </c>
      <c r="AF9" s="11">
        <v>1282</v>
      </c>
      <c r="AG9" s="14">
        <f t="shared" si="3"/>
        <v>5363.8879999999999</v>
      </c>
      <c r="AH9" s="11">
        <v>166</v>
      </c>
      <c r="AI9" s="11">
        <v>40</v>
      </c>
      <c r="AJ9" s="11">
        <v>50</v>
      </c>
      <c r="AK9" s="11">
        <v>45</v>
      </c>
      <c r="AL9" s="11">
        <v>909</v>
      </c>
      <c r="AM9" s="11">
        <v>1127</v>
      </c>
      <c r="AN9" s="11">
        <v>1585</v>
      </c>
      <c r="AO9" s="11">
        <v>488</v>
      </c>
      <c r="AP9" s="2">
        <f t="shared" si="4"/>
        <v>288</v>
      </c>
      <c r="AQ9" s="12">
        <v>200</v>
      </c>
      <c r="AR9" s="16"/>
      <c r="AS9" s="33" t="s">
        <v>151</v>
      </c>
      <c r="AT9" s="40" t="s">
        <v>152</v>
      </c>
      <c r="AU9" s="40" t="s">
        <v>153</v>
      </c>
      <c r="AV9" s="40">
        <v>0.25800000000000001</v>
      </c>
    </row>
    <row r="10" spans="1:49" s="2" customFormat="1" ht="21.75" customHeight="1" x14ac:dyDescent="0.25">
      <c r="A10" s="2" t="s">
        <v>15</v>
      </c>
      <c r="B10" s="2">
        <v>2623</v>
      </c>
      <c r="C10">
        <f t="shared" si="0"/>
        <v>10974.632</v>
      </c>
      <c r="D10" s="2">
        <v>270</v>
      </c>
      <c r="E10" s="2">
        <v>122</v>
      </c>
      <c r="F10" s="2">
        <v>105</v>
      </c>
      <c r="G10" s="2">
        <v>120</v>
      </c>
      <c r="H10" s="2">
        <v>1728</v>
      </c>
      <c r="I10" s="2">
        <v>1514</v>
      </c>
      <c r="J10" s="2">
        <v>2750</v>
      </c>
      <c r="K10" s="12">
        <v>4221</v>
      </c>
      <c r="L10" s="11">
        <v>1788</v>
      </c>
      <c r="M10">
        <f t="shared" si="1"/>
        <v>7480.9920000000002</v>
      </c>
      <c r="N10" s="11">
        <v>167</v>
      </c>
      <c r="O10" s="11">
        <v>102</v>
      </c>
      <c r="P10" s="11">
        <v>103</v>
      </c>
      <c r="Q10" s="11">
        <v>75</v>
      </c>
      <c r="R10" s="11">
        <v>3882</v>
      </c>
      <c r="S10" s="11">
        <v>2600</v>
      </c>
      <c r="T10" s="11">
        <v>6363</v>
      </c>
      <c r="U10" s="12">
        <v>4131</v>
      </c>
      <c r="V10" s="11">
        <v>1710</v>
      </c>
      <c r="W10" s="14">
        <f t="shared" si="2"/>
        <v>7154.64</v>
      </c>
      <c r="X10" s="11">
        <v>223</v>
      </c>
      <c r="Y10" s="11">
        <v>123</v>
      </c>
      <c r="Z10" s="11">
        <v>76</v>
      </c>
      <c r="AA10" s="11">
        <v>49</v>
      </c>
      <c r="AB10" s="11">
        <v>3547</v>
      </c>
      <c r="AC10" s="11">
        <v>2741</v>
      </c>
      <c r="AD10" s="11">
        <v>5283</v>
      </c>
      <c r="AE10" s="12">
        <v>4635</v>
      </c>
      <c r="AF10" s="11">
        <v>1756</v>
      </c>
      <c r="AG10" s="14">
        <f t="shared" si="3"/>
        <v>7347.1040000000003</v>
      </c>
      <c r="AH10" s="11">
        <v>157</v>
      </c>
      <c r="AI10" s="11">
        <v>60</v>
      </c>
      <c r="AJ10" s="11">
        <v>77</v>
      </c>
      <c r="AK10" s="11">
        <v>66</v>
      </c>
      <c r="AL10" s="11">
        <v>1764</v>
      </c>
      <c r="AM10" s="11">
        <v>67</v>
      </c>
      <c r="AN10" s="11">
        <v>2741</v>
      </c>
      <c r="AO10" s="11">
        <v>479</v>
      </c>
      <c r="AP10" s="2">
        <f t="shared" si="4"/>
        <v>289</v>
      </c>
      <c r="AQ10" s="12">
        <v>190</v>
      </c>
      <c r="AR10" s="16"/>
      <c r="AS10" s="33" t="s">
        <v>154</v>
      </c>
      <c r="AT10" s="40" t="s">
        <v>155</v>
      </c>
      <c r="AU10" s="40" t="s">
        <v>156</v>
      </c>
      <c r="AV10" s="40">
        <v>0.97</v>
      </c>
    </row>
    <row r="11" spans="1:49" s="2" customFormat="1" ht="16.5" customHeight="1" x14ac:dyDescent="0.25">
      <c r="A11" s="2" t="s">
        <v>16</v>
      </c>
      <c r="B11" s="2">
        <v>1674</v>
      </c>
      <c r="C11">
        <f t="shared" si="0"/>
        <v>7004.0160000000005</v>
      </c>
      <c r="D11" s="2">
        <v>175</v>
      </c>
      <c r="E11" s="2">
        <v>48</v>
      </c>
      <c r="F11" s="2">
        <v>72</v>
      </c>
      <c r="G11" s="2">
        <v>52</v>
      </c>
      <c r="H11" s="2">
        <v>2739</v>
      </c>
      <c r="I11" s="2">
        <v>1968</v>
      </c>
      <c r="J11" s="2">
        <v>3906</v>
      </c>
      <c r="K11" s="12">
        <v>1576</v>
      </c>
      <c r="L11" s="11">
        <v>1384</v>
      </c>
      <c r="M11">
        <f t="shared" si="1"/>
        <v>5790.6559999999999</v>
      </c>
      <c r="N11" s="11">
        <v>131</v>
      </c>
      <c r="O11" s="11">
        <v>46</v>
      </c>
      <c r="P11" s="11">
        <v>64</v>
      </c>
      <c r="Q11" s="11">
        <v>51</v>
      </c>
      <c r="R11" s="11">
        <v>2477</v>
      </c>
      <c r="S11" s="11">
        <v>2170</v>
      </c>
      <c r="T11" s="11">
        <v>3395</v>
      </c>
      <c r="U11" s="12">
        <v>1317</v>
      </c>
      <c r="V11" s="11">
        <v>1357</v>
      </c>
      <c r="W11" s="14">
        <f t="shared" si="2"/>
        <v>5677.6880000000001</v>
      </c>
      <c r="X11" s="11">
        <v>171</v>
      </c>
      <c r="Y11" s="11">
        <v>22.7</v>
      </c>
      <c r="Z11" s="11">
        <v>52</v>
      </c>
      <c r="AA11" s="11">
        <v>56</v>
      </c>
      <c r="AB11" s="11">
        <v>2750</v>
      </c>
      <c r="AC11" s="11">
        <v>1856</v>
      </c>
      <c r="AD11" s="11">
        <v>4426</v>
      </c>
      <c r="AE11" s="12">
        <v>3665</v>
      </c>
      <c r="AF11" s="11">
        <v>3052</v>
      </c>
      <c r="AG11" s="14">
        <f t="shared" si="3"/>
        <v>12769.568000000001</v>
      </c>
      <c r="AH11" s="11">
        <v>354</v>
      </c>
      <c r="AI11" s="11">
        <v>39</v>
      </c>
      <c r="AJ11" s="11">
        <v>118</v>
      </c>
      <c r="AK11" s="11">
        <v>123</v>
      </c>
      <c r="AL11" s="11">
        <v>4523</v>
      </c>
      <c r="AM11" s="11">
        <v>1194</v>
      </c>
      <c r="AN11" s="11">
        <v>8622</v>
      </c>
      <c r="AO11" s="11">
        <v>661</v>
      </c>
      <c r="AP11" s="2">
        <f t="shared" si="4"/>
        <v>461</v>
      </c>
      <c r="AQ11" s="12">
        <v>200</v>
      </c>
      <c r="AR11" s="16"/>
      <c r="AS11" s="33" t="s">
        <v>157</v>
      </c>
      <c r="AT11" s="40" t="s">
        <v>158</v>
      </c>
      <c r="AU11" s="40" t="s">
        <v>159</v>
      </c>
      <c r="AV11" s="40">
        <v>0.128</v>
      </c>
    </row>
    <row r="12" spans="1:49" s="2" customFormat="1" ht="16.5" thickBot="1" x14ac:dyDescent="0.3">
      <c r="A12" s="2" t="s">
        <v>17</v>
      </c>
      <c r="B12" s="2">
        <v>5476</v>
      </c>
      <c r="C12">
        <f t="shared" si="0"/>
        <v>22911.584000000003</v>
      </c>
      <c r="D12" s="2">
        <v>503</v>
      </c>
      <c r="E12" s="2">
        <v>216</v>
      </c>
      <c r="F12" s="2">
        <v>277</v>
      </c>
      <c r="G12" s="2">
        <v>247</v>
      </c>
      <c r="H12" s="2">
        <v>6312</v>
      </c>
      <c r="I12" s="2">
        <v>8213</v>
      </c>
      <c r="J12" s="2">
        <v>8897</v>
      </c>
      <c r="K12" s="12">
        <v>4563</v>
      </c>
      <c r="L12" s="11">
        <v>4769</v>
      </c>
      <c r="M12">
        <f t="shared" si="1"/>
        <v>19953.495999999999</v>
      </c>
      <c r="N12" s="11">
        <v>637</v>
      </c>
      <c r="O12" s="11">
        <v>217</v>
      </c>
      <c r="P12" s="11">
        <v>205</v>
      </c>
      <c r="Q12" s="11">
        <v>137</v>
      </c>
      <c r="R12" s="11">
        <v>3809</v>
      </c>
      <c r="S12" s="11">
        <v>4734</v>
      </c>
      <c r="T12" s="11">
        <v>4113</v>
      </c>
      <c r="U12" s="12">
        <v>4958</v>
      </c>
      <c r="V12" s="11">
        <v>4180</v>
      </c>
      <c r="W12" s="14">
        <f t="shared" si="2"/>
        <v>17489.12</v>
      </c>
      <c r="X12" s="11">
        <v>485</v>
      </c>
      <c r="Y12" s="11">
        <v>206</v>
      </c>
      <c r="Z12" s="11">
        <v>249</v>
      </c>
      <c r="AA12" s="11">
        <v>128</v>
      </c>
      <c r="AB12" s="11">
        <v>4252</v>
      </c>
      <c r="AC12" s="11">
        <v>6434</v>
      </c>
      <c r="AD12" s="11">
        <v>2932</v>
      </c>
      <c r="AE12" s="12">
        <v>5044</v>
      </c>
      <c r="AF12" s="11">
        <v>2955</v>
      </c>
      <c r="AG12" s="14">
        <f t="shared" si="3"/>
        <v>12363.720000000001</v>
      </c>
      <c r="AH12" s="11">
        <v>273</v>
      </c>
      <c r="AI12" s="11">
        <v>73</v>
      </c>
      <c r="AJ12" s="11">
        <v>108</v>
      </c>
      <c r="AK12" s="11">
        <v>153</v>
      </c>
      <c r="AL12" s="11">
        <v>2279</v>
      </c>
      <c r="AM12" s="11">
        <v>2096</v>
      </c>
      <c r="AN12" s="11">
        <v>3698</v>
      </c>
      <c r="AO12" s="11">
        <v>564</v>
      </c>
      <c r="AP12" s="2">
        <f t="shared" si="4"/>
        <v>434</v>
      </c>
      <c r="AQ12" s="12">
        <v>130</v>
      </c>
      <c r="AR12" s="16"/>
      <c r="AS12" s="34" t="s">
        <v>160</v>
      </c>
      <c r="AT12" s="41" t="s">
        <v>161</v>
      </c>
      <c r="AU12" s="41" t="s">
        <v>162</v>
      </c>
      <c r="AV12" s="41">
        <v>0.315</v>
      </c>
    </row>
    <row r="13" spans="1:49" s="2" customFormat="1" ht="15.75" x14ac:dyDescent="0.25">
      <c r="A13" s="2" t="s">
        <v>18</v>
      </c>
      <c r="B13" s="2">
        <v>785</v>
      </c>
      <c r="C13">
        <f t="shared" si="0"/>
        <v>3284.44</v>
      </c>
      <c r="D13" s="2">
        <v>37.799999999999997</v>
      </c>
      <c r="E13" s="2">
        <v>32.9</v>
      </c>
      <c r="F13" s="2">
        <v>77</v>
      </c>
      <c r="G13" s="2">
        <v>37.200000000000003</v>
      </c>
      <c r="H13" s="2">
        <v>357</v>
      </c>
      <c r="I13" s="2">
        <v>1640</v>
      </c>
      <c r="J13" s="2">
        <v>712</v>
      </c>
      <c r="K13" s="12">
        <v>733</v>
      </c>
      <c r="L13" s="11">
        <v>1468</v>
      </c>
      <c r="M13">
        <f t="shared" si="1"/>
        <v>6142.1120000000001</v>
      </c>
      <c r="N13" s="11">
        <v>145</v>
      </c>
      <c r="O13" s="11">
        <v>83</v>
      </c>
      <c r="P13" s="11">
        <v>106</v>
      </c>
      <c r="Q13" s="11">
        <v>45</v>
      </c>
      <c r="R13" s="11">
        <v>4897</v>
      </c>
      <c r="S13" s="11">
        <v>2135</v>
      </c>
      <c r="T13" s="11">
        <v>7493</v>
      </c>
      <c r="U13" s="12">
        <v>1147</v>
      </c>
      <c r="V13" s="11">
        <v>1006</v>
      </c>
      <c r="W13" s="14">
        <f t="shared" si="2"/>
        <v>4209.1040000000003</v>
      </c>
      <c r="X13" s="11">
        <v>102</v>
      </c>
      <c r="Y13" s="11">
        <v>60</v>
      </c>
      <c r="Z13" s="11">
        <v>53</v>
      </c>
      <c r="AA13" s="11">
        <v>39.299999999999997</v>
      </c>
      <c r="AB13" s="11">
        <v>1418</v>
      </c>
      <c r="AC13" s="11">
        <v>1429</v>
      </c>
      <c r="AD13" s="11">
        <v>1941</v>
      </c>
      <c r="AE13" s="12">
        <v>2483</v>
      </c>
      <c r="AF13" s="11">
        <v>1094</v>
      </c>
      <c r="AG13" s="14">
        <f t="shared" si="3"/>
        <v>4577.2960000000003</v>
      </c>
      <c r="AH13" s="11">
        <v>139</v>
      </c>
      <c r="AI13" s="11">
        <v>49</v>
      </c>
      <c r="AJ13" s="11">
        <v>31.8</v>
      </c>
      <c r="AK13" s="11">
        <v>44</v>
      </c>
      <c r="AL13" s="11">
        <v>1134</v>
      </c>
      <c r="AM13" s="11">
        <v>309</v>
      </c>
      <c r="AN13" s="11">
        <v>1436</v>
      </c>
      <c r="AO13" s="11">
        <v>395</v>
      </c>
      <c r="AP13" s="2">
        <f t="shared" si="4"/>
        <v>206</v>
      </c>
      <c r="AQ13" s="12">
        <v>189</v>
      </c>
      <c r="AR13" s="16"/>
      <c r="AS13" s="30" t="s">
        <v>163</v>
      </c>
      <c r="AT13"/>
      <c r="AU13"/>
      <c r="AV13"/>
    </row>
    <row r="14" spans="1:49" s="2" customFormat="1" x14ac:dyDescent="0.25">
      <c r="A14" s="2" t="s">
        <v>19</v>
      </c>
      <c r="B14" s="2">
        <v>1861</v>
      </c>
      <c r="C14">
        <f t="shared" si="0"/>
        <v>7786.424</v>
      </c>
      <c r="D14" s="2">
        <v>362</v>
      </c>
      <c r="E14" s="2">
        <v>221</v>
      </c>
      <c r="F14" s="2">
        <v>44</v>
      </c>
      <c r="G14" s="2">
        <v>25.2</v>
      </c>
      <c r="H14" s="2">
        <v>786</v>
      </c>
      <c r="I14" s="2">
        <v>3298</v>
      </c>
      <c r="J14" s="2">
        <v>1572</v>
      </c>
      <c r="K14" s="12">
        <v>3859</v>
      </c>
      <c r="L14" s="11">
        <v>1883</v>
      </c>
      <c r="M14">
        <f t="shared" si="1"/>
        <v>7878.4720000000007</v>
      </c>
      <c r="N14" s="11">
        <v>384</v>
      </c>
      <c r="O14" s="11">
        <v>252</v>
      </c>
      <c r="P14" s="11">
        <v>30.4</v>
      </c>
      <c r="Q14" s="11">
        <v>29.6</v>
      </c>
      <c r="R14" s="11">
        <v>557</v>
      </c>
      <c r="S14" s="11">
        <v>3975</v>
      </c>
      <c r="T14" s="11">
        <v>1037</v>
      </c>
      <c r="U14" s="12">
        <v>4334</v>
      </c>
      <c r="V14" s="11">
        <v>1591</v>
      </c>
      <c r="W14" s="14">
        <f t="shared" si="2"/>
        <v>6656.7440000000006</v>
      </c>
      <c r="X14" s="11">
        <v>263</v>
      </c>
      <c r="Y14" s="11">
        <v>133</v>
      </c>
      <c r="Z14" s="11">
        <v>50</v>
      </c>
      <c r="AA14" s="11">
        <v>37.299999999999997</v>
      </c>
      <c r="AB14" s="11">
        <v>482</v>
      </c>
      <c r="AC14" s="11">
        <v>4850</v>
      </c>
      <c r="AD14" s="11">
        <v>1266</v>
      </c>
      <c r="AE14" s="12">
        <v>4838</v>
      </c>
      <c r="AF14" s="11">
        <v>1985</v>
      </c>
      <c r="AG14" s="14">
        <f t="shared" si="3"/>
        <v>8305.24</v>
      </c>
      <c r="AH14" s="11">
        <v>188</v>
      </c>
      <c r="AI14" s="11">
        <v>67</v>
      </c>
      <c r="AJ14" s="11">
        <v>50</v>
      </c>
      <c r="AK14" s="11">
        <v>112</v>
      </c>
      <c r="AL14" s="11">
        <v>524</v>
      </c>
      <c r="AM14" s="11">
        <v>640</v>
      </c>
      <c r="AN14" s="11">
        <v>815</v>
      </c>
      <c r="AO14" s="11">
        <v>275</v>
      </c>
      <c r="AP14" s="2">
        <f t="shared" si="4"/>
        <v>159</v>
      </c>
      <c r="AQ14" s="12">
        <v>116</v>
      </c>
      <c r="AR14" s="16"/>
    </row>
    <row r="15" spans="1:49" s="2" customFormat="1" x14ac:dyDescent="0.25">
      <c r="A15" s="2" t="s">
        <v>20</v>
      </c>
      <c r="B15" s="2">
        <v>1380</v>
      </c>
      <c r="C15">
        <f t="shared" si="0"/>
        <v>5773.92</v>
      </c>
      <c r="D15" s="2">
        <v>187</v>
      </c>
      <c r="E15" s="2">
        <v>58</v>
      </c>
      <c r="F15" s="2">
        <v>37</v>
      </c>
      <c r="G15" s="2">
        <v>31.6</v>
      </c>
      <c r="H15" s="2">
        <v>732</v>
      </c>
      <c r="I15" s="2">
        <v>1880</v>
      </c>
      <c r="J15" s="2">
        <v>1196</v>
      </c>
      <c r="K15" s="12">
        <v>3182</v>
      </c>
      <c r="L15" s="11">
        <v>1528</v>
      </c>
      <c r="M15">
        <f t="shared" si="1"/>
        <v>6393.152</v>
      </c>
      <c r="N15" s="11">
        <v>144</v>
      </c>
      <c r="O15" s="11">
        <v>36.299999999999997</v>
      </c>
      <c r="P15" s="11">
        <v>49</v>
      </c>
      <c r="Q15" s="11">
        <v>46</v>
      </c>
      <c r="R15" s="11">
        <v>1909</v>
      </c>
      <c r="S15" s="11">
        <v>1214</v>
      </c>
      <c r="T15" s="11">
        <v>3130</v>
      </c>
      <c r="U15" s="12">
        <v>1486</v>
      </c>
      <c r="V15" s="11">
        <v>1311</v>
      </c>
      <c r="W15" s="14">
        <f t="shared" si="2"/>
        <v>5485.2240000000002</v>
      </c>
      <c r="X15" s="11">
        <v>157</v>
      </c>
      <c r="Y15" s="11">
        <v>34</v>
      </c>
      <c r="Z15" s="11">
        <v>59</v>
      </c>
      <c r="AA15" s="11">
        <v>42</v>
      </c>
      <c r="AB15" s="11">
        <v>3071</v>
      </c>
      <c r="AC15" s="11">
        <v>1752</v>
      </c>
      <c r="AD15" s="11">
        <v>4069</v>
      </c>
      <c r="AE15" s="12">
        <v>3695</v>
      </c>
      <c r="AF15" s="11">
        <v>2181</v>
      </c>
      <c r="AG15" s="14">
        <f t="shared" si="3"/>
        <v>9125.3040000000001</v>
      </c>
      <c r="AH15" s="11">
        <v>233</v>
      </c>
      <c r="AI15" s="11">
        <v>94</v>
      </c>
      <c r="AJ15" s="11">
        <v>57</v>
      </c>
      <c r="AK15" s="11">
        <v>101</v>
      </c>
      <c r="AL15" s="11">
        <v>1226</v>
      </c>
      <c r="AM15" s="11">
        <v>9.8000000000000007</v>
      </c>
      <c r="AN15" s="11">
        <v>1924</v>
      </c>
      <c r="AO15" s="11">
        <v>514</v>
      </c>
      <c r="AP15" s="2">
        <f t="shared" si="4"/>
        <v>284</v>
      </c>
      <c r="AQ15" s="12">
        <v>230</v>
      </c>
      <c r="AR15" s="16"/>
    </row>
    <row r="16" spans="1:49" s="2" customFormat="1" x14ac:dyDescent="0.25">
      <c r="A16" s="2" t="s">
        <v>21</v>
      </c>
      <c r="B16" s="2">
        <v>2048</v>
      </c>
      <c r="C16">
        <f t="shared" si="0"/>
        <v>8568.8320000000003</v>
      </c>
      <c r="D16" s="2">
        <v>197</v>
      </c>
      <c r="E16" s="2">
        <v>76</v>
      </c>
      <c r="F16" s="2">
        <v>82</v>
      </c>
      <c r="G16" s="2">
        <v>102</v>
      </c>
      <c r="H16" s="2">
        <v>2719</v>
      </c>
      <c r="I16" s="2">
        <v>1743</v>
      </c>
      <c r="J16" s="2">
        <v>3416</v>
      </c>
      <c r="K16" s="12">
        <v>3166</v>
      </c>
      <c r="L16" s="11">
        <v>1951</v>
      </c>
      <c r="M16">
        <f t="shared" si="1"/>
        <v>8162.9840000000004</v>
      </c>
      <c r="N16" s="11">
        <v>204</v>
      </c>
      <c r="O16" s="11">
        <v>64</v>
      </c>
      <c r="P16" s="11">
        <v>140</v>
      </c>
      <c r="Q16" s="11">
        <v>62</v>
      </c>
      <c r="R16" s="11">
        <v>889</v>
      </c>
      <c r="S16" s="11">
        <v>1465</v>
      </c>
      <c r="T16" s="11">
        <v>1691</v>
      </c>
      <c r="U16" s="12">
        <v>3145</v>
      </c>
      <c r="V16" s="11">
        <v>1798</v>
      </c>
      <c r="W16" s="14">
        <f t="shared" si="2"/>
        <v>7522.8320000000003</v>
      </c>
      <c r="X16" s="11">
        <v>187</v>
      </c>
      <c r="Y16" s="11">
        <v>96</v>
      </c>
      <c r="Z16" s="11">
        <v>79</v>
      </c>
      <c r="AA16" s="11">
        <v>80</v>
      </c>
      <c r="AB16" s="11">
        <v>1810</v>
      </c>
      <c r="AC16" s="11">
        <v>1083</v>
      </c>
      <c r="AD16" s="11">
        <v>2855</v>
      </c>
      <c r="AE16" s="12">
        <v>2997</v>
      </c>
      <c r="AF16" s="11">
        <v>2021</v>
      </c>
      <c r="AG16" s="14">
        <f t="shared" si="3"/>
        <v>8455.8639999999996</v>
      </c>
      <c r="AH16" s="11">
        <v>207</v>
      </c>
      <c r="AI16" s="11">
        <v>62</v>
      </c>
      <c r="AJ16" s="11">
        <v>50</v>
      </c>
      <c r="AK16" s="11">
        <v>109</v>
      </c>
      <c r="AL16" s="11">
        <v>2213</v>
      </c>
      <c r="AM16" s="11">
        <v>1869</v>
      </c>
      <c r="AN16" s="11">
        <v>3786</v>
      </c>
      <c r="AO16" s="11">
        <v>656</v>
      </c>
      <c r="AP16" s="2">
        <f t="shared" si="4"/>
        <v>426</v>
      </c>
      <c r="AQ16" s="12">
        <v>230</v>
      </c>
      <c r="AR16" s="16"/>
    </row>
    <row r="17" spans="1:48" s="2" customFormat="1" x14ac:dyDescent="0.25">
      <c r="A17" s="2" t="s">
        <v>22</v>
      </c>
      <c r="B17" s="2">
        <v>3454</v>
      </c>
      <c r="C17">
        <f t="shared" si="0"/>
        <v>14451.536</v>
      </c>
      <c r="D17" s="2">
        <v>538</v>
      </c>
      <c r="E17" s="2">
        <v>90</v>
      </c>
      <c r="F17" s="2">
        <v>131</v>
      </c>
      <c r="G17" s="2">
        <v>78</v>
      </c>
      <c r="H17" s="2">
        <v>2379</v>
      </c>
      <c r="I17" s="2">
        <v>1492</v>
      </c>
      <c r="J17" s="2">
        <v>4064</v>
      </c>
      <c r="K17" s="12">
        <v>4134</v>
      </c>
      <c r="L17" s="11">
        <v>2896</v>
      </c>
      <c r="M17">
        <f t="shared" si="1"/>
        <v>12116.864</v>
      </c>
      <c r="N17" s="11">
        <v>428</v>
      </c>
      <c r="O17" s="11">
        <v>73</v>
      </c>
      <c r="P17" s="11">
        <v>74</v>
      </c>
      <c r="Q17" s="11">
        <v>71</v>
      </c>
      <c r="R17" s="11">
        <v>931</v>
      </c>
      <c r="S17" s="11">
        <v>1301</v>
      </c>
      <c r="T17" s="11">
        <v>1506</v>
      </c>
      <c r="U17" s="12">
        <v>1867</v>
      </c>
      <c r="V17" s="11">
        <v>2981</v>
      </c>
      <c r="W17" s="14">
        <f t="shared" si="2"/>
        <v>12472.504000000001</v>
      </c>
      <c r="X17" s="11">
        <v>365</v>
      </c>
      <c r="Y17" s="11">
        <v>119</v>
      </c>
      <c r="Z17" s="11">
        <v>119</v>
      </c>
      <c r="AA17" s="11">
        <v>111</v>
      </c>
      <c r="AB17" s="11">
        <v>3741</v>
      </c>
      <c r="AC17" s="11">
        <v>2580</v>
      </c>
      <c r="AD17" s="11">
        <v>6198</v>
      </c>
      <c r="AE17" s="12">
        <v>4443</v>
      </c>
      <c r="AF17" s="11">
        <v>3334</v>
      </c>
      <c r="AG17" s="14">
        <f t="shared" si="3"/>
        <v>13949.456</v>
      </c>
      <c r="AH17" s="11">
        <v>401</v>
      </c>
      <c r="AI17" s="11">
        <v>137</v>
      </c>
      <c r="AJ17" s="11">
        <v>113</v>
      </c>
      <c r="AK17" s="11">
        <v>135</v>
      </c>
      <c r="AL17" s="11">
        <v>333</v>
      </c>
      <c r="AM17" s="11">
        <v>4.2</v>
      </c>
      <c r="AN17" s="11">
        <v>5250</v>
      </c>
      <c r="AO17" s="11">
        <v>514</v>
      </c>
      <c r="AP17" s="2">
        <f t="shared" si="4"/>
        <v>314</v>
      </c>
      <c r="AQ17" s="12">
        <v>200</v>
      </c>
      <c r="AR17" s="16"/>
    </row>
    <row r="18" spans="1:48" s="2" customFormat="1" x14ac:dyDescent="0.25">
      <c r="A18" s="2" t="s">
        <v>23</v>
      </c>
      <c r="B18" s="2">
        <v>2618</v>
      </c>
      <c r="C18">
        <f t="shared" si="0"/>
        <v>10953.712</v>
      </c>
      <c r="D18" s="2">
        <v>295</v>
      </c>
      <c r="E18" s="2">
        <v>102</v>
      </c>
      <c r="F18" s="2">
        <v>118</v>
      </c>
      <c r="G18" s="2">
        <v>103</v>
      </c>
      <c r="H18" s="2">
        <v>1308</v>
      </c>
      <c r="I18" s="2">
        <v>4375</v>
      </c>
      <c r="J18" s="2">
        <v>1452</v>
      </c>
      <c r="K18" s="12">
        <v>2430</v>
      </c>
      <c r="L18" s="11">
        <v>2419</v>
      </c>
      <c r="M18">
        <f t="shared" si="1"/>
        <v>10121.096</v>
      </c>
      <c r="N18" s="11">
        <v>292</v>
      </c>
      <c r="O18" s="11">
        <v>111</v>
      </c>
      <c r="P18" s="11">
        <v>128</v>
      </c>
      <c r="Q18" s="11">
        <v>79</v>
      </c>
      <c r="R18" s="11">
        <v>993</v>
      </c>
      <c r="S18" s="11">
        <v>5607</v>
      </c>
      <c r="T18" s="11">
        <v>1759</v>
      </c>
      <c r="U18" s="12">
        <v>2450</v>
      </c>
      <c r="V18" s="11">
        <v>2622</v>
      </c>
      <c r="W18" s="14">
        <f t="shared" si="2"/>
        <v>10970.448</v>
      </c>
      <c r="X18" s="11">
        <v>293</v>
      </c>
      <c r="Y18" s="11">
        <v>114</v>
      </c>
      <c r="Z18" s="11">
        <v>139</v>
      </c>
      <c r="AA18" s="11">
        <v>97</v>
      </c>
      <c r="AB18" s="11">
        <v>1701</v>
      </c>
      <c r="AC18" s="11">
        <v>5507</v>
      </c>
      <c r="AD18" s="11">
        <v>2671</v>
      </c>
      <c r="AE18" s="12">
        <v>4166</v>
      </c>
      <c r="AF18" s="11">
        <v>2131</v>
      </c>
      <c r="AG18" s="14">
        <f t="shared" si="3"/>
        <v>8916.1040000000012</v>
      </c>
      <c r="AH18" s="11">
        <v>218</v>
      </c>
      <c r="AI18" s="11">
        <v>52</v>
      </c>
      <c r="AJ18" s="11">
        <v>88</v>
      </c>
      <c r="AK18" s="11">
        <v>97</v>
      </c>
      <c r="AL18" s="11">
        <v>2899</v>
      </c>
      <c r="AM18" s="11">
        <v>65</v>
      </c>
      <c r="AN18" s="11">
        <v>4589</v>
      </c>
      <c r="AO18" s="11">
        <v>488</v>
      </c>
      <c r="AP18" s="2">
        <f t="shared" si="4"/>
        <v>288</v>
      </c>
      <c r="AQ18" s="12">
        <v>200</v>
      </c>
      <c r="AR18" s="16"/>
    </row>
    <row r="19" spans="1:48" s="2" customFormat="1" x14ac:dyDescent="0.25">
      <c r="C19"/>
      <c r="K19" s="12"/>
      <c r="M19"/>
      <c r="U19" s="12"/>
      <c r="W19" s="14"/>
      <c r="AE19" s="12"/>
      <c r="AF19" s="11"/>
      <c r="AG19" s="11"/>
      <c r="AQ19" s="12"/>
    </row>
    <row r="20" spans="1:48" x14ac:dyDescent="0.25">
      <c r="A20" t="s">
        <v>25</v>
      </c>
      <c r="AF20" s="11"/>
      <c r="AG20" s="11"/>
      <c r="AP20" s="2"/>
      <c r="AR20" s="15"/>
    </row>
    <row r="21" spans="1:48" ht="16.5" thickBot="1" x14ac:dyDescent="0.3">
      <c r="A21" t="s">
        <v>5</v>
      </c>
      <c r="B21">
        <v>2416</v>
      </c>
      <c r="C21">
        <f t="shared" si="0"/>
        <v>10108.544</v>
      </c>
      <c r="D21">
        <v>304</v>
      </c>
      <c r="E21">
        <v>112</v>
      </c>
      <c r="F21">
        <v>127</v>
      </c>
      <c r="G21">
        <v>78</v>
      </c>
      <c r="H21">
        <v>2397</v>
      </c>
      <c r="I21">
        <v>2600</v>
      </c>
      <c r="J21">
        <v>2333</v>
      </c>
      <c r="K21" s="10">
        <v>3166</v>
      </c>
      <c r="L21">
        <v>2080</v>
      </c>
      <c r="M21">
        <f t="shared" si="1"/>
        <v>8702.7200000000012</v>
      </c>
      <c r="N21">
        <v>171</v>
      </c>
      <c r="O21">
        <v>109</v>
      </c>
      <c r="P21">
        <v>110</v>
      </c>
      <c r="Q21">
        <v>108</v>
      </c>
      <c r="R21">
        <v>1841</v>
      </c>
      <c r="S21">
        <v>3456</v>
      </c>
      <c r="T21">
        <v>2688</v>
      </c>
      <c r="U21" s="10">
        <v>2829</v>
      </c>
      <c r="V21" s="14">
        <v>2192</v>
      </c>
      <c r="W21" s="14">
        <f t="shared" si="2"/>
        <v>9171.3279999999995</v>
      </c>
      <c r="X21">
        <v>248</v>
      </c>
      <c r="Y21">
        <v>160</v>
      </c>
      <c r="Z21">
        <v>133</v>
      </c>
      <c r="AA21">
        <v>76</v>
      </c>
      <c r="AB21">
        <v>1478</v>
      </c>
      <c r="AC21">
        <v>4398</v>
      </c>
      <c r="AD21">
        <v>2384</v>
      </c>
      <c r="AE21" s="10">
        <v>2507</v>
      </c>
      <c r="AF21" s="14">
        <v>2849</v>
      </c>
      <c r="AG21" s="14">
        <f t="shared" si="3"/>
        <v>11920.216</v>
      </c>
      <c r="AH21">
        <v>230</v>
      </c>
      <c r="AI21">
        <v>81</v>
      </c>
      <c r="AJ21">
        <v>86</v>
      </c>
      <c r="AK21">
        <v>171</v>
      </c>
      <c r="AL21">
        <v>1768</v>
      </c>
      <c r="AM21">
        <v>1019</v>
      </c>
      <c r="AN21">
        <v>2872</v>
      </c>
      <c r="AO21" s="2">
        <v>3666</v>
      </c>
      <c r="AP21" s="2">
        <f t="shared" si="4"/>
        <v>166</v>
      </c>
      <c r="AQ21" s="12">
        <v>3500</v>
      </c>
      <c r="AR21" s="15"/>
      <c r="AS21" s="31" t="s">
        <v>164</v>
      </c>
    </row>
    <row r="22" spans="1:48" s="2" customFormat="1" ht="16.5" thickBot="1" x14ac:dyDescent="0.3">
      <c r="A22" s="2" t="s">
        <v>7</v>
      </c>
      <c r="B22" s="2">
        <v>2062</v>
      </c>
      <c r="C22">
        <f t="shared" si="0"/>
        <v>8627.4079999999994</v>
      </c>
      <c r="D22" s="2">
        <v>236</v>
      </c>
      <c r="E22" s="2">
        <v>59</v>
      </c>
      <c r="F22" s="2">
        <v>85</v>
      </c>
      <c r="G22" s="2">
        <v>80</v>
      </c>
      <c r="H22" s="2">
        <v>3231</v>
      </c>
      <c r="I22" s="2">
        <v>1287</v>
      </c>
      <c r="J22" s="2">
        <v>5342</v>
      </c>
      <c r="K22" s="12">
        <v>3811</v>
      </c>
      <c r="L22" s="11">
        <v>3486</v>
      </c>
      <c r="M22">
        <f t="shared" si="1"/>
        <v>14585.424000000001</v>
      </c>
      <c r="N22" s="11">
        <v>273</v>
      </c>
      <c r="O22" s="11">
        <v>114</v>
      </c>
      <c r="P22" s="11">
        <v>72</v>
      </c>
      <c r="Q22" s="11">
        <v>152</v>
      </c>
      <c r="R22" s="11">
        <v>2684</v>
      </c>
      <c r="S22" s="11">
        <v>3472</v>
      </c>
      <c r="T22" s="11">
        <v>4459</v>
      </c>
      <c r="U22" s="12">
        <v>5551</v>
      </c>
      <c r="V22" s="11">
        <v>1873</v>
      </c>
      <c r="W22" s="14">
        <f t="shared" si="2"/>
        <v>7836.6320000000005</v>
      </c>
      <c r="X22" s="11">
        <v>208</v>
      </c>
      <c r="Y22" s="11">
        <v>14.1</v>
      </c>
      <c r="Z22" s="11">
        <v>57</v>
      </c>
      <c r="AA22" s="11">
        <v>89</v>
      </c>
      <c r="AB22" s="11">
        <v>2150</v>
      </c>
      <c r="AC22" s="11">
        <v>1567</v>
      </c>
      <c r="AD22" s="11">
        <v>3515</v>
      </c>
      <c r="AE22" s="12">
        <v>2580</v>
      </c>
      <c r="AF22" s="11">
        <v>2594</v>
      </c>
      <c r="AG22" s="14">
        <f t="shared" si="3"/>
        <v>10853.296</v>
      </c>
      <c r="AH22" s="11">
        <v>296</v>
      </c>
      <c r="AI22" s="11">
        <v>110</v>
      </c>
      <c r="AJ22" s="11">
        <v>70</v>
      </c>
      <c r="AK22" s="11">
        <v>118</v>
      </c>
      <c r="AL22" s="11">
        <v>2100</v>
      </c>
      <c r="AM22" s="11">
        <v>272</v>
      </c>
      <c r="AN22" s="11">
        <v>2841</v>
      </c>
      <c r="AO22" s="2">
        <v>3946</v>
      </c>
      <c r="AP22" s="2">
        <f t="shared" si="4"/>
        <v>346</v>
      </c>
      <c r="AQ22" s="12">
        <v>3600</v>
      </c>
      <c r="AR22" s="16"/>
      <c r="AS22" s="32"/>
      <c r="AT22" s="38" t="s">
        <v>136</v>
      </c>
      <c r="AU22" s="38" t="s">
        <v>137</v>
      </c>
      <c r="AV22" s="39" t="s">
        <v>138</v>
      </c>
    </row>
    <row r="23" spans="1:48" s="2" customFormat="1" ht="18.75" x14ac:dyDescent="0.25">
      <c r="A23" s="2" t="s">
        <v>10</v>
      </c>
      <c r="B23" s="2">
        <v>3202</v>
      </c>
      <c r="C23">
        <f t="shared" si="0"/>
        <v>13397.168</v>
      </c>
      <c r="D23" s="2">
        <v>329</v>
      </c>
      <c r="E23" s="2">
        <v>187</v>
      </c>
      <c r="F23" s="2">
        <v>162</v>
      </c>
      <c r="G23" s="2">
        <v>133</v>
      </c>
      <c r="H23" s="2">
        <v>3840</v>
      </c>
      <c r="I23" s="2">
        <v>4107</v>
      </c>
      <c r="J23" s="2">
        <v>4918</v>
      </c>
      <c r="K23" s="12">
        <v>3548</v>
      </c>
      <c r="L23" s="11">
        <v>2438</v>
      </c>
      <c r="M23">
        <f t="shared" si="1"/>
        <v>10200.592000000001</v>
      </c>
      <c r="N23" s="11">
        <v>293</v>
      </c>
      <c r="O23" s="11">
        <v>143</v>
      </c>
      <c r="P23" s="11">
        <v>100</v>
      </c>
      <c r="Q23" s="11">
        <v>96</v>
      </c>
      <c r="R23" s="11">
        <v>2364</v>
      </c>
      <c r="S23" s="11">
        <v>3312</v>
      </c>
      <c r="T23" s="11">
        <v>3825</v>
      </c>
      <c r="U23" s="12">
        <v>2917</v>
      </c>
      <c r="V23" s="11">
        <v>2610</v>
      </c>
      <c r="W23" s="14">
        <f t="shared" si="2"/>
        <v>10920.24</v>
      </c>
      <c r="X23" s="11">
        <v>313</v>
      </c>
      <c r="Y23" s="11">
        <v>164</v>
      </c>
      <c r="Z23" s="11">
        <v>126</v>
      </c>
      <c r="AA23" s="11">
        <v>96</v>
      </c>
      <c r="AB23" s="11">
        <v>3576</v>
      </c>
      <c r="AC23" s="11">
        <v>3419</v>
      </c>
      <c r="AD23" s="11">
        <v>5493</v>
      </c>
      <c r="AE23" s="12">
        <v>3125</v>
      </c>
      <c r="AF23" s="11">
        <v>2683</v>
      </c>
      <c r="AG23" s="14">
        <f t="shared" si="3"/>
        <v>11225.672</v>
      </c>
      <c r="AH23" s="11">
        <v>345</v>
      </c>
      <c r="AI23" s="11">
        <v>105</v>
      </c>
      <c r="AJ23" s="11">
        <v>72</v>
      </c>
      <c r="AK23" s="11">
        <v>106</v>
      </c>
      <c r="AL23" s="11">
        <v>1131</v>
      </c>
      <c r="AM23" s="11">
        <v>5370</v>
      </c>
      <c r="AN23" s="11">
        <v>2978</v>
      </c>
      <c r="AO23" s="11">
        <v>4502</v>
      </c>
      <c r="AP23" s="2">
        <f t="shared" si="4"/>
        <v>702</v>
      </c>
      <c r="AQ23" s="12">
        <v>3800</v>
      </c>
      <c r="AR23" s="16"/>
      <c r="AS23" s="33" t="s">
        <v>139</v>
      </c>
      <c r="AT23" s="40" t="s">
        <v>165</v>
      </c>
      <c r="AU23" s="40" t="s">
        <v>166</v>
      </c>
      <c r="AV23" s="40">
        <v>0.41</v>
      </c>
    </row>
    <row r="24" spans="1:48" s="2" customFormat="1" ht="15.75" x14ac:dyDescent="0.25">
      <c r="A24" s="2" t="s">
        <v>11</v>
      </c>
      <c r="B24" s="2">
        <v>2151</v>
      </c>
      <c r="C24">
        <f t="shared" si="0"/>
        <v>8999.7839999999997</v>
      </c>
      <c r="D24" s="2">
        <v>236</v>
      </c>
      <c r="E24" s="2">
        <v>97</v>
      </c>
      <c r="F24" s="2">
        <v>128</v>
      </c>
      <c r="G24" s="2">
        <v>74</v>
      </c>
      <c r="H24" s="2">
        <v>1859</v>
      </c>
      <c r="I24" s="2">
        <v>3680</v>
      </c>
      <c r="J24" s="2">
        <v>3172</v>
      </c>
      <c r="K24" s="12">
        <v>1696</v>
      </c>
      <c r="L24" s="11">
        <v>2122</v>
      </c>
      <c r="M24">
        <f t="shared" si="1"/>
        <v>8878.4480000000003</v>
      </c>
      <c r="N24" s="11">
        <v>170</v>
      </c>
      <c r="O24" s="11">
        <v>70</v>
      </c>
      <c r="P24" s="11">
        <v>87</v>
      </c>
      <c r="Q24" s="11">
        <v>118</v>
      </c>
      <c r="R24" s="11">
        <v>2592</v>
      </c>
      <c r="S24" s="11">
        <v>1872</v>
      </c>
      <c r="T24" s="11">
        <v>4303</v>
      </c>
      <c r="U24" s="12">
        <v>2472</v>
      </c>
      <c r="V24" s="11">
        <v>1744</v>
      </c>
      <c r="W24" s="14">
        <f t="shared" si="2"/>
        <v>7296.8960000000006</v>
      </c>
      <c r="X24" s="11">
        <v>228</v>
      </c>
      <c r="Y24" s="11">
        <v>52</v>
      </c>
      <c r="Z24" s="11">
        <v>124</v>
      </c>
      <c r="AA24" s="11">
        <v>32.200000000000003</v>
      </c>
      <c r="AB24" s="11">
        <v>1035</v>
      </c>
      <c r="AC24" s="11">
        <v>2833</v>
      </c>
      <c r="AD24" s="11">
        <v>1734</v>
      </c>
      <c r="AE24" s="12">
        <v>1580</v>
      </c>
      <c r="AF24" s="11">
        <v>1076</v>
      </c>
      <c r="AG24" s="14">
        <f t="shared" si="3"/>
        <v>4501.9840000000004</v>
      </c>
      <c r="AH24" s="11">
        <v>163</v>
      </c>
      <c r="AI24" s="11">
        <v>64</v>
      </c>
      <c r="AJ24" s="11">
        <v>37.1</v>
      </c>
      <c r="AK24" s="11">
        <v>30.5</v>
      </c>
      <c r="AL24" s="11">
        <v>864</v>
      </c>
      <c r="AM24" s="11">
        <v>467</v>
      </c>
      <c r="AN24" s="11">
        <v>1385</v>
      </c>
      <c r="AO24" s="11">
        <v>4204</v>
      </c>
      <c r="AP24" s="2">
        <f t="shared" si="4"/>
        <v>204</v>
      </c>
      <c r="AQ24" s="12">
        <v>4000</v>
      </c>
      <c r="AR24" s="16"/>
      <c r="AS24" s="33" t="s">
        <v>142</v>
      </c>
      <c r="AT24" s="40" t="s">
        <v>167</v>
      </c>
      <c r="AU24" s="40" t="s">
        <v>168</v>
      </c>
      <c r="AV24" s="40">
        <v>0.40100000000000002</v>
      </c>
    </row>
    <row r="25" spans="1:48" s="2" customFormat="1" ht="15.75" x14ac:dyDescent="0.25">
      <c r="A25" s="2" t="s">
        <v>12</v>
      </c>
      <c r="B25" s="2">
        <v>2306</v>
      </c>
      <c r="C25">
        <f t="shared" si="0"/>
        <v>9648.3040000000001</v>
      </c>
      <c r="D25" s="2">
        <v>246</v>
      </c>
      <c r="E25" s="2">
        <v>81</v>
      </c>
      <c r="F25" s="2">
        <v>79</v>
      </c>
      <c r="G25" s="2">
        <v>109</v>
      </c>
      <c r="H25" s="2">
        <v>3236</v>
      </c>
      <c r="I25" s="2">
        <v>2464</v>
      </c>
      <c r="J25" s="2">
        <v>4373</v>
      </c>
      <c r="K25" s="12">
        <v>2871</v>
      </c>
      <c r="L25" s="11">
        <v>2132</v>
      </c>
      <c r="M25">
        <f t="shared" si="1"/>
        <v>8920.2880000000005</v>
      </c>
      <c r="N25" s="11">
        <v>275</v>
      </c>
      <c r="O25" s="11">
        <v>136</v>
      </c>
      <c r="P25" s="11">
        <v>96</v>
      </c>
      <c r="Q25" s="11">
        <v>72</v>
      </c>
      <c r="R25" s="11">
        <v>1214</v>
      </c>
      <c r="S25" s="11">
        <v>2716</v>
      </c>
      <c r="T25" s="11">
        <v>1954</v>
      </c>
      <c r="U25" s="12">
        <v>2159</v>
      </c>
      <c r="V25" s="11">
        <v>2013</v>
      </c>
      <c r="W25" s="14">
        <f t="shared" si="2"/>
        <v>8422.3919999999998</v>
      </c>
      <c r="X25" s="11">
        <v>261</v>
      </c>
      <c r="Y25" s="11">
        <v>100</v>
      </c>
      <c r="Z25" s="11">
        <v>78</v>
      </c>
      <c r="AA25" s="11">
        <v>74</v>
      </c>
      <c r="AB25" s="11">
        <v>1202</v>
      </c>
      <c r="AC25" s="11">
        <v>2246</v>
      </c>
      <c r="AD25" s="11">
        <v>1734</v>
      </c>
      <c r="AE25" s="12">
        <v>2323</v>
      </c>
      <c r="AF25" s="11">
        <v>2219</v>
      </c>
      <c r="AG25" s="14">
        <f t="shared" si="3"/>
        <v>9284.2960000000003</v>
      </c>
      <c r="AH25" s="11">
        <v>223</v>
      </c>
      <c r="AI25" s="11">
        <v>62</v>
      </c>
      <c r="AJ25" s="11">
        <v>59</v>
      </c>
      <c r="AK25" s="11">
        <v>118</v>
      </c>
      <c r="AL25" s="11">
        <v>2512</v>
      </c>
      <c r="AM25" s="11">
        <v>1104</v>
      </c>
      <c r="AN25" s="11">
        <v>3479</v>
      </c>
      <c r="AO25" s="11">
        <v>3284</v>
      </c>
      <c r="AP25" s="2">
        <f t="shared" si="4"/>
        <v>284</v>
      </c>
      <c r="AQ25" s="12">
        <v>3000</v>
      </c>
      <c r="AR25" s="16"/>
      <c r="AS25" s="33" t="s">
        <v>145</v>
      </c>
      <c r="AT25" s="40" t="s">
        <v>169</v>
      </c>
      <c r="AU25" s="40" t="s">
        <v>170</v>
      </c>
      <c r="AV25" s="40">
        <v>0.95799999999999996</v>
      </c>
    </row>
    <row r="26" spans="1:48" s="2" customFormat="1" ht="15.75" x14ac:dyDescent="0.25">
      <c r="A26" s="2" t="s">
        <v>13</v>
      </c>
      <c r="B26" s="2">
        <v>3206</v>
      </c>
      <c r="C26">
        <f t="shared" si="0"/>
        <v>13413.904</v>
      </c>
      <c r="D26" s="2">
        <v>362</v>
      </c>
      <c r="E26" s="2">
        <v>207</v>
      </c>
      <c r="F26" s="2">
        <v>152</v>
      </c>
      <c r="G26" s="2">
        <v>109</v>
      </c>
      <c r="H26" s="2">
        <v>2328</v>
      </c>
      <c r="I26" s="2">
        <v>5052</v>
      </c>
      <c r="J26" s="2">
        <v>3024</v>
      </c>
      <c r="K26" s="12">
        <v>7376</v>
      </c>
      <c r="L26" s="11">
        <v>3485</v>
      </c>
      <c r="M26">
        <f t="shared" si="1"/>
        <v>14581.24</v>
      </c>
      <c r="N26" s="11">
        <v>405</v>
      </c>
      <c r="O26" s="11">
        <v>250</v>
      </c>
      <c r="P26" s="11">
        <v>143</v>
      </c>
      <c r="Q26" s="11">
        <v>125</v>
      </c>
      <c r="R26" s="11">
        <v>2516</v>
      </c>
      <c r="S26" s="11">
        <v>5428</v>
      </c>
      <c r="T26" s="11">
        <v>3435</v>
      </c>
      <c r="U26" s="12">
        <v>5072</v>
      </c>
      <c r="V26" s="11">
        <v>2567</v>
      </c>
      <c r="W26" s="14">
        <f t="shared" si="2"/>
        <v>10740.328</v>
      </c>
      <c r="X26" s="11">
        <v>368</v>
      </c>
      <c r="Y26" s="11">
        <v>226</v>
      </c>
      <c r="Z26" s="11">
        <v>81</v>
      </c>
      <c r="AA26" s="11">
        <v>86</v>
      </c>
      <c r="AB26" s="11">
        <v>3895</v>
      </c>
      <c r="AC26" s="11">
        <v>3127</v>
      </c>
      <c r="AD26" s="11">
        <v>6182</v>
      </c>
      <c r="AE26" s="12">
        <v>6057</v>
      </c>
      <c r="AF26" s="11">
        <v>3090</v>
      </c>
      <c r="AG26" s="14">
        <f t="shared" si="3"/>
        <v>12928.560000000001</v>
      </c>
      <c r="AH26" s="11">
        <v>278</v>
      </c>
      <c r="AI26" s="11">
        <v>146</v>
      </c>
      <c r="AJ26" s="11">
        <v>104</v>
      </c>
      <c r="AK26" s="11">
        <v>171</v>
      </c>
      <c r="AL26" s="11">
        <v>3901</v>
      </c>
      <c r="AM26" s="11">
        <v>1246</v>
      </c>
      <c r="AN26" s="11">
        <v>5771</v>
      </c>
      <c r="AO26" s="11">
        <v>4305</v>
      </c>
      <c r="AP26" s="2">
        <f t="shared" si="4"/>
        <v>305</v>
      </c>
      <c r="AQ26" s="12">
        <v>4000</v>
      </c>
      <c r="AR26" s="16"/>
      <c r="AS26" s="33" t="s">
        <v>148</v>
      </c>
      <c r="AT26" s="40" t="s">
        <v>171</v>
      </c>
      <c r="AU26" s="40" t="s">
        <v>172</v>
      </c>
      <c r="AV26" s="40">
        <v>0.53</v>
      </c>
    </row>
    <row r="27" spans="1:48" s="2" customFormat="1" ht="15.75" x14ac:dyDescent="0.25">
      <c r="A27" s="2" t="s">
        <v>14</v>
      </c>
      <c r="B27" s="2">
        <v>1740</v>
      </c>
      <c r="C27">
        <f t="shared" si="0"/>
        <v>7280.16</v>
      </c>
      <c r="D27" s="2">
        <v>186</v>
      </c>
      <c r="E27" s="2">
        <v>94</v>
      </c>
      <c r="F27" s="2">
        <v>69</v>
      </c>
      <c r="G27" s="2">
        <v>81</v>
      </c>
      <c r="H27" s="2">
        <v>3365</v>
      </c>
      <c r="I27" s="2">
        <v>2080</v>
      </c>
      <c r="J27" s="2">
        <v>5323</v>
      </c>
      <c r="K27" s="12">
        <v>2014</v>
      </c>
      <c r="L27" s="11">
        <v>1439</v>
      </c>
      <c r="M27">
        <f t="shared" si="1"/>
        <v>6020.7759999999998</v>
      </c>
      <c r="N27" s="11">
        <v>110</v>
      </c>
      <c r="O27" s="11">
        <v>35.4</v>
      </c>
      <c r="P27" s="11">
        <v>108</v>
      </c>
      <c r="Q27" s="11">
        <v>62</v>
      </c>
      <c r="R27" s="11">
        <v>1453</v>
      </c>
      <c r="S27" s="11">
        <v>2033</v>
      </c>
      <c r="T27" s="11">
        <v>2214</v>
      </c>
      <c r="U27" s="12">
        <v>2069</v>
      </c>
      <c r="V27" s="11">
        <v>1973</v>
      </c>
      <c r="W27" s="14">
        <f t="shared" si="2"/>
        <v>8255.0320000000011</v>
      </c>
      <c r="X27" s="11">
        <v>238</v>
      </c>
      <c r="Y27" s="11">
        <v>111</v>
      </c>
      <c r="Z27" s="11">
        <v>83</v>
      </c>
      <c r="AA27" s="11">
        <v>77</v>
      </c>
      <c r="AB27" s="11">
        <v>1988</v>
      </c>
      <c r="AC27" s="11">
        <v>2194</v>
      </c>
      <c r="AD27" s="11">
        <v>3021</v>
      </c>
      <c r="AE27" s="12">
        <v>2800</v>
      </c>
      <c r="AF27" s="11">
        <v>1270</v>
      </c>
      <c r="AG27" s="14">
        <f t="shared" si="3"/>
        <v>5313.68</v>
      </c>
      <c r="AH27" s="11">
        <v>215</v>
      </c>
      <c r="AI27" s="11">
        <v>29.2</v>
      </c>
      <c r="AJ27" s="11">
        <v>59</v>
      </c>
      <c r="AK27" s="11">
        <v>14.9</v>
      </c>
      <c r="AL27" s="11">
        <v>1756</v>
      </c>
      <c r="AM27" s="11">
        <v>2450</v>
      </c>
      <c r="AN27" s="11">
        <v>2185</v>
      </c>
      <c r="AO27" s="11">
        <v>3391</v>
      </c>
      <c r="AP27" s="2">
        <f t="shared" si="4"/>
        <v>641</v>
      </c>
      <c r="AQ27" s="12">
        <v>2750</v>
      </c>
      <c r="AR27" s="16"/>
      <c r="AS27" s="33" t="s">
        <v>151</v>
      </c>
      <c r="AT27" s="40" t="s">
        <v>173</v>
      </c>
      <c r="AU27" s="40" t="s">
        <v>174</v>
      </c>
      <c r="AV27" s="40">
        <v>0.58199999999999996</v>
      </c>
    </row>
    <row r="28" spans="1:48" s="2" customFormat="1" ht="15.75" x14ac:dyDescent="0.25">
      <c r="A28" s="2" t="s">
        <v>15</v>
      </c>
      <c r="B28" s="2">
        <v>2249</v>
      </c>
      <c r="C28">
        <f t="shared" si="0"/>
        <v>9409.8160000000007</v>
      </c>
      <c r="D28" s="2">
        <v>233</v>
      </c>
      <c r="E28" s="2">
        <v>96</v>
      </c>
      <c r="F28" s="2">
        <v>84</v>
      </c>
      <c r="G28" s="2">
        <v>107</v>
      </c>
      <c r="H28" s="2">
        <v>1695</v>
      </c>
      <c r="I28" s="2">
        <v>1681</v>
      </c>
      <c r="J28" s="2">
        <v>2703</v>
      </c>
      <c r="K28" s="12">
        <v>4171</v>
      </c>
      <c r="L28" s="11">
        <v>1648</v>
      </c>
      <c r="M28">
        <f t="shared" si="1"/>
        <v>6895.232</v>
      </c>
      <c r="N28" s="11">
        <v>175</v>
      </c>
      <c r="O28" s="11">
        <v>75</v>
      </c>
      <c r="P28" s="11">
        <v>80</v>
      </c>
      <c r="Q28" s="11">
        <v>72</v>
      </c>
      <c r="R28" s="11">
        <v>3420</v>
      </c>
      <c r="S28" s="11">
        <v>2626</v>
      </c>
      <c r="T28" s="11">
        <v>5616</v>
      </c>
      <c r="U28" s="12">
        <v>4043</v>
      </c>
      <c r="V28" s="11">
        <v>1366</v>
      </c>
      <c r="W28" s="14">
        <f t="shared" si="2"/>
        <v>5715.3440000000001</v>
      </c>
      <c r="X28" s="11">
        <v>181</v>
      </c>
      <c r="Y28" s="11">
        <v>100</v>
      </c>
      <c r="Z28" s="11">
        <v>63</v>
      </c>
      <c r="AA28" s="11">
        <v>38.6</v>
      </c>
      <c r="AB28" s="11">
        <v>3651</v>
      </c>
      <c r="AC28" s="11">
        <v>2872</v>
      </c>
      <c r="AD28" s="11">
        <v>5545</v>
      </c>
      <c r="AE28" s="12">
        <v>4627</v>
      </c>
      <c r="AF28" s="11">
        <v>2219</v>
      </c>
      <c r="AG28" s="14">
        <f t="shared" si="3"/>
        <v>9284.2960000000003</v>
      </c>
      <c r="AH28" s="11">
        <v>212</v>
      </c>
      <c r="AI28" s="11">
        <v>67</v>
      </c>
      <c r="AJ28" s="11">
        <v>106</v>
      </c>
      <c r="AK28" s="11">
        <v>77</v>
      </c>
      <c r="AL28" s="11">
        <v>87</v>
      </c>
      <c r="AM28" s="11">
        <v>95</v>
      </c>
      <c r="AN28" s="11">
        <v>84</v>
      </c>
      <c r="AO28" s="11">
        <v>3375</v>
      </c>
      <c r="AP28" s="2">
        <f t="shared" si="4"/>
        <v>375</v>
      </c>
      <c r="AQ28" s="12">
        <v>3000</v>
      </c>
      <c r="AR28" s="16"/>
      <c r="AS28" s="33" t="s">
        <v>154</v>
      </c>
      <c r="AT28" s="40" t="s">
        <v>175</v>
      </c>
      <c r="AU28" s="40" t="s">
        <v>176</v>
      </c>
      <c r="AV28" s="40">
        <v>0.41399999999999998</v>
      </c>
    </row>
    <row r="29" spans="1:48" s="2" customFormat="1" ht="15.75" x14ac:dyDescent="0.25">
      <c r="A29" s="2" t="s">
        <v>16</v>
      </c>
      <c r="B29" s="2">
        <v>2282</v>
      </c>
      <c r="C29">
        <f t="shared" si="0"/>
        <v>9547.8880000000008</v>
      </c>
      <c r="D29" s="2">
        <v>256</v>
      </c>
      <c r="E29" s="2">
        <v>52</v>
      </c>
      <c r="F29" s="2">
        <v>107</v>
      </c>
      <c r="G29" s="2">
        <v>75</v>
      </c>
      <c r="H29" s="2">
        <v>4077</v>
      </c>
      <c r="I29" s="2">
        <v>2341</v>
      </c>
      <c r="J29" s="2">
        <v>6236</v>
      </c>
      <c r="K29" s="12">
        <v>1768</v>
      </c>
      <c r="L29" s="11">
        <v>1540</v>
      </c>
      <c r="M29">
        <f t="shared" si="1"/>
        <v>6443.3600000000006</v>
      </c>
      <c r="N29" s="11">
        <v>166</v>
      </c>
      <c r="O29" s="11">
        <v>20.6</v>
      </c>
      <c r="P29" s="11">
        <v>51</v>
      </c>
      <c r="Q29" s="11">
        <v>60</v>
      </c>
      <c r="R29" s="11">
        <v>3304</v>
      </c>
      <c r="S29" s="11">
        <v>983</v>
      </c>
      <c r="T29" s="11">
        <v>5277</v>
      </c>
      <c r="U29" s="12">
        <v>1504</v>
      </c>
      <c r="V29" s="11">
        <v>2322</v>
      </c>
      <c r="W29" s="14">
        <f t="shared" si="2"/>
        <v>9715.2479999999996</v>
      </c>
      <c r="X29" s="11">
        <v>291</v>
      </c>
      <c r="Y29" s="11">
        <v>16.5</v>
      </c>
      <c r="Z29" s="11">
        <v>89</v>
      </c>
      <c r="AA29" s="11">
        <v>86</v>
      </c>
      <c r="AB29" s="11">
        <v>2443</v>
      </c>
      <c r="AC29" s="11">
        <v>1675</v>
      </c>
      <c r="AD29" s="11">
        <v>4275</v>
      </c>
      <c r="AE29" s="12">
        <v>3836</v>
      </c>
      <c r="AF29" s="11">
        <v>3166</v>
      </c>
      <c r="AG29" s="14">
        <f t="shared" si="3"/>
        <v>13246.544</v>
      </c>
      <c r="AH29" s="11">
        <v>366</v>
      </c>
      <c r="AI29" s="11">
        <v>41</v>
      </c>
      <c r="AJ29" s="11">
        <v>123</v>
      </c>
      <c r="AK29" s="11">
        <v>128</v>
      </c>
      <c r="AL29" s="11">
        <v>4729</v>
      </c>
      <c r="AM29" s="11">
        <v>1294</v>
      </c>
      <c r="AN29" s="11">
        <v>9002</v>
      </c>
      <c r="AO29" s="11">
        <v>4281</v>
      </c>
      <c r="AP29" s="2">
        <f t="shared" si="4"/>
        <v>481</v>
      </c>
      <c r="AQ29" s="12">
        <v>3800</v>
      </c>
      <c r="AR29" s="16"/>
      <c r="AS29" s="33" t="s">
        <v>157</v>
      </c>
      <c r="AT29" s="40" t="s">
        <v>177</v>
      </c>
      <c r="AU29" s="40" t="s">
        <v>178</v>
      </c>
      <c r="AV29" s="40">
        <v>0.10199999999999999</v>
      </c>
    </row>
    <row r="30" spans="1:48" s="2" customFormat="1" ht="16.5" thickBot="1" x14ac:dyDescent="0.3">
      <c r="A30" s="2" t="s">
        <v>17</v>
      </c>
      <c r="B30" s="2">
        <v>6627</v>
      </c>
      <c r="C30">
        <f t="shared" si="0"/>
        <v>27727.368000000002</v>
      </c>
      <c r="D30" s="2">
        <v>625</v>
      </c>
      <c r="E30" s="2">
        <v>289</v>
      </c>
      <c r="F30" s="2">
        <v>226</v>
      </c>
      <c r="G30" s="2">
        <v>351</v>
      </c>
      <c r="H30" s="2">
        <v>5470</v>
      </c>
      <c r="I30" s="2">
        <v>4965</v>
      </c>
      <c r="J30" s="2">
        <v>6525</v>
      </c>
      <c r="K30" s="12">
        <v>3833</v>
      </c>
      <c r="L30" s="11">
        <v>3100</v>
      </c>
      <c r="M30">
        <f t="shared" si="1"/>
        <v>12970.4</v>
      </c>
      <c r="N30" s="11">
        <v>327</v>
      </c>
      <c r="O30" s="11">
        <v>159</v>
      </c>
      <c r="P30" s="11">
        <v>148</v>
      </c>
      <c r="Q30" s="11">
        <v>129</v>
      </c>
      <c r="R30" s="11">
        <v>2634</v>
      </c>
      <c r="S30" s="11">
        <v>3336</v>
      </c>
      <c r="T30" s="11">
        <v>2884</v>
      </c>
      <c r="U30" s="12">
        <v>4826</v>
      </c>
      <c r="V30" s="11">
        <v>3530</v>
      </c>
      <c r="W30" s="14">
        <f t="shared" si="2"/>
        <v>14769.52</v>
      </c>
      <c r="X30" s="11">
        <v>359</v>
      </c>
      <c r="Y30" s="11">
        <v>130</v>
      </c>
      <c r="Z30" s="11">
        <v>114</v>
      </c>
      <c r="AA30" s="11">
        <v>175</v>
      </c>
      <c r="AB30" s="11">
        <v>3031</v>
      </c>
      <c r="AC30" s="11">
        <v>1695</v>
      </c>
      <c r="AD30" s="11">
        <v>3461</v>
      </c>
      <c r="AE30" s="12">
        <v>5787</v>
      </c>
      <c r="AF30" s="11">
        <v>4583</v>
      </c>
      <c r="AG30" s="14">
        <f t="shared" si="3"/>
        <v>19175.272000000001</v>
      </c>
      <c r="AH30" s="11">
        <v>500</v>
      </c>
      <c r="AI30" s="11">
        <v>83</v>
      </c>
      <c r="AJ30" s="11">
        <v>167</v>
      </c>
      <c r="AK30" s="11">
        <v>204</v>
      </c>
      <c r="AL30" s="11">
        <v>4621</v>
      </c>
      <c r="AM30" s="11">
        <v>3340</v>
      </c>
      <c r="AN30" s="11">
        <v>6786</v>
      </c>
      <c r="AO30" s="11">
        <v>5672</v>
      </c>
      <c r="AP30" s="2">
        <f t="shared" si="4"/>
        <v>647</v>
      </c>
      <c r="AQ30" s="12">
        <v>5025</v>
      </c>
      <c r="AR30" s="16"/>
      <c r="AS30" s="34" t="s">
        <v>160</v>
      </c>
      <c r="AT30" s="41" t="s">
        <v>179</v>
      </c>
      <c r="AU30" s="41" t="s">
        <v>180</v>
      </c>
      <c r="AV30" s="41" t="s">
        <v>181</v>
      </c>
    </row>
    <row r="31" spans="1:48" s="2" customFormat="1" ht="15.75" x14ac:dyDescent="0.25">
      <c r="A31" s="2" t="s">
        <v>18</v>
      </c>
      <c r="B31" s="2">
        <v>1365</v>
      </c>
      <c r="C31">
        <f t="shared" si="0"/>
        <v>5711.16</v>
      </c>
      <c r="D31" s="2">
        <v>123</v>
      </c>
      <c r="E31" s="2">
        <v>78</v>
      </c>
      <c r="F31" s="2">
        <v>70</v>
      </c>
      <c r="G31" s="2">
        <v>66</v>
      </c>
      <c r="H31" s="2">
        <v>811</v>
      </c>
      <c r="I31" s="2">
        <v>1364</v>
      </c>
      <c r="J31" s="2">
        <v>988</v>
      </c>
      <c r="K31" s="12">
        <v>1016</v>
      </c>
      <c r="L31" s="11">
        <v>1529</v>
      </c>
      <c r="M31">
        <f t="shared" si="1"/>
        <v>6397.3360000000002</v>
      </c>
      <c r="N31" s="11">
        <v>127</v>
      </c>
      <c r="O31" s="11">
        <v>81</v>
      </c>
      <c r="P31" s="11">
        <v>89</v>
      </c>
      <c r="Q31" s="11">
        <v>74</v>
      </c>
      <c r="R31" s="11">
        <v>1136</v>
      </c>
      <c r="S31" s="11">
        <v>1651</v>
      </c>
      <c r="T31" s="11">
        <v>1386</v>
      </c>
      <c r="U31" s="12">
        <v>851</v>
      </c>
      <c r="V31" s="11">
        <v>637</v>
      </c>
      <c r="W31" s="14">
        <f t="shared" si="2"/>
        <v>2665.2080000000001</v>
      </c>
      <c r="X31" s="11">
        <v>59</v>
      </c>
      <c r="Y31" s="11">
        <v>19.8</v>
      </c>
      <c r="Z31" s="11">
        <v>35.1</v>
      </c>
      <c r="AA31" s="11">
        <v>29</v>
      </c>
      <c r="AB31" s="11">
        <v>1535</v>
      </c>
      <c r="AC31" s="11">
        <v>956</v>
      </c>
      <c r="AD31" s="11">
        <v>1951</v>
      </c>
      <c r="AE31" s="12">
        <v>3029</v>
      </c>
      <c r="AF31" s="11">
        <v>1046</v>
      </c>
      <c r="AG31" s="14">
        <f t="shared" si="3"/>
        <v>4376.4639999999999</v>
      </c>
      <c r="AH31" s="11">
        <v>127</v>
      </c>
      <c r="AI31" s="11">
        <v>43</v>
      </c>
      <c r="AJ31" s="11">
        <v>35.200000000000003</v>
      </c>
      <c r="AK31" s="11">
        <v>42</v>
      </c>
      <c r="AL31" s="11">
        <v>1164</v>
      </c>
      <c r="AM31" s="11">
        <v>288</v>
      </c>
      <c r="AN31" s="11">
        <v>1530</v>
      </c>
      <c r="AO31" s="11">
        <v>2909</v>
      </c>
      <c r="AP31" s="2">
        <f t="shared" si="4"/>
        <v>245</v>
      </c>
      <c r="AQ31" s="12">
        <v>2664</v>
      </c>
      <c r="AR31" s="16"/>
      <c r="AS31" s="30" t="s">
        <v>163</v>
      </c>
      <c r="AT31"/>
      <c r="AU31"/>
      <c r="AV31"/>
    </row>
    <row r="32" spans="1:48" s="2" customFormat="1" x14ac:dyDescent="0.25">
      <c r="A32" s="2" t="s">
        <v>19</v>
      </c>
      <c r="B32" s="2">
        <v>4364</v>
      </c>
      <c r="C32">
        <f t="shared" si="0"/>
        <v>18258.976000000002</v>
      </c>
      <c r="D32" s="2">
        <v>511</v>
      </c>
      <c r="E32" s="2">
        <v>190</v>
      </c>
      <c r="F32" s="2">
        <v>144</v>
      </c>
      <c r="G32" s="2">
        <v>189</v>
      </c>
      <c r="H32" s="2">
        <v>4840</v>
      </c>
      <c r="I32" s="2">
        <v>820</v>
      </c>
      <c r="J32" s="2">
        <v>7061</v>
      </c>
      <c r="K32" s="12">
        <v>2897</v>
      </c>
      <c r="L32" s="11">
        <v>2192</v>
      </c>
      <c r="M32">
        <f t="shared" si="1"/>
        <v>9171.3279999999995</v>
      </c>
      <c r="N32" s="11">
        <v>265</v>
      </c>
      <c r="O32" s="11">
        <v>112</v>
      </c>
      <c r="P32" s="11">
        <v>51</v>
      </c>
      <c r="Q32" s="11">
        <v>103</v>
      </c>
      <c r="R32" s="11">
        <v>1860</v>
      </c>
      <c r="S32" s="11">
        <v>1624</v>
      </c>
      <c r="T32" s="11">
        <v>2565</v>
      </c>
      <c r="U32" s="12">
        <v>3911</v>
      </c>
      <c r="V32" s="11">
        <v>1442</v>
      </c>
      <c r="W32" s="14">
        <f t="shared" si="2"/>
        <v>6033.3280000000004</v>
      </c>
      <c r="X32" s="11">
        <v>252</v>
      </c>
      <c r="Y32" s="11">
        <v>135</v>
      </c>
      <c r="Z32" s="11">
        <v>39.5</v>
      </c>
      <c r="AA32" s="11">
        <v>28.5</v>
      </c>
      <c r="AB32" s="11">
        <v>1278</v>
      </c>
      <c r="AC32" s="11">
        <v>4335</v>
      </c>
      <c r="AD32" s="11">
        <v>2428</v>
      </c>
      <c r="AE32" s="12">
        <v>3273</v>
      </c>
      <c r="AF32" s="11">
        <v>1948</v>
      </c>
      <c r="AG32" s="14">
        <f t="shared" si="3"/>
        <v>8150.4320000000007</v>
      </c>
      <c r="AH32" s="11">
        <v>247</v>
      </c>
      <c r="AI32" s="11">
        <v>90</v>
      </c>
      <c r="AJ32" s="11">
        <v>45</v>
      </c>
      <c r="AK32" s="11">
        <v>83</v>
      </c>
      <c r="AL32" s="11">
        <v>838</v>
      </c>
      <c r="AM32" s="11">
        <v>357</v>
      </c>
      <c r="AN32" s="11">
        <v>1001</v>
      </c>
      <c r="AO32" s="11">
        <v>2564</v>
      </c>
      <c r="AP32" s="2">
        <f t="shared" si="4"/>
        <v>164</v>
      </c>
      <c r="AQ32" s="12">
        <v>2400</v>
      </c>
      <c r="AR32" s="16"/>
    </row>
    <row r="33" spans="1:44" s="2" customFormat="1" x14ac:dyDescent="0.25">
      <c r="A33" s="2" t="s">
        <v>20</v>
      </c>
      <c r="B33" s="2">
        <v>1724</v>
      </c>
      <c r="C33">
        <f t="shared" si="0"/>
        <v>7213.2160000000003</v>
      </c>
      <c r="D33" s="2">
        <v>199</v>
      </c>
      <c r="E33" s="2">
        <v>74</v>
      </c>
      <c r="F33" s="2">
        <v>40</v>
      </c>
      <c r="G33" s="2">
        <v>31.1</v>
      </c>
      <c r="H33" s="2">
        <v>1442</v>
      </c>
      <c r="I33" s="2">
        <v>2531</v>
      </c>
      <c r="J33" s="2">
        <v>2710</v>
      </c>
      <c r="K33" s="12">
        <v>1237</v>
      </c>
      <c r="L33" s="11">
        <v>1876</v>
      </c>
      <c r="M33">
        <f t="shared" si="1"/>
        <v>7849.1840000000002</v>
      </c>
      <c r="N33" s="11">
        <v>183</v>
      </c>
      <c r="O33" s="11">
        <v>52</v>
      </c>
      <c r="P33" s="11">
        <v>65</v>
      </c>
      <c r="Q33" s="11">
        <v>42</v>
      </c>
      <c r="R33" s="11">
        <v>2984</v>
      </c>
      <c r="S33" s="11">
        <v>2238</v>
      </c>
      <c r="T33" s="11">
        <v>4937</v>
      </c>
      <c r="U33" s="12">
        <v>1238</v>
      </c>
      <c r="V33" s="11">
        <v>1790</v>
      </c>
      <c r="W33" s="14">
        <f t="shared" si="2"/>
        <v>7489.3600000000006</v>
      </c>
      <c r="X33" s="11">
        <v>252</v>
      </c>
      <c r="Y33" s="11">
        <v>100</v>
      </c>
      <c r="Z33" s="11">
        <v>84</v>
      </c>
      <c r="AA33" s="11">
        <v>40</v>
      </c>
      <c r="AB33" s="11">
        <v>3424</v>
      </c>
      <c r="AC33" s="11">
        <v>1504</v>
      </c>
      <c r="AD33" s="11">
        <v>5623</v>
      </c>
      <c r="AE33" s="12">
        <v>1065</v>
      </c>
      <c r="AF33" s="11">
        <v>1469</v>
      </c>
      <c r="AG33" s="14">
        <f t="shared" si="3"/>
        <v>6146.2960000000003</v>
      </c>
      <c r="AH33" s="11">
        <v>176</v>
      </c>
      <c r="AI33" s="11">
        <v>42</v>
      </c>
      <c r="AJ33" s="11">
        <v>55</v>
      </c>
      <c r="AK33" s="11">
        <v>57</v>
      </c>
      <c r="AL33" s="11">
        <v>1514</v>
      </c>
      <c r="AM33" s="11">
        <v>270</v>
      </c>
      <c r="AN33" s="11">
        <v>2302</v>
      </c>
      <c r="AO33" s="11">
        <v>3781</v>
      </c>
      <c r="AP33" s="2">
        <f t="shared" si="4"/>
        <v>281</v>
      </c>
      <c r="AQ33" s="12">
        <v>3500</v>
      </c>
      <c r="AR33" s="16"/>
    </row>
    <row r="34" spans="1:44" s="2" customFormat="1" x14ac:dyDescent="0.25">
      <c r="A34" s="2" t="s">
        <v>21</v>
      </c>
      <c r="B34" s="2">
        <v>2055</v>
      </c>
      <c r="C34">
        <f t="shared" si="0"/>
        <v>8598.1200000000008</v>
      </c>
      <c r="D34" s="2">
        <v>193</v>
      </c>
      <c r="E34" s="2">
        <v>73</v>
      </c>
      <c r="F34" s="2">
        <v>84</v>
      </c>
      <c r="G34" s="2">
        <v>104</v>
      </c>
      <c r="H34" s="2">
        <v>2704</v>
      </c>
      <c r="I34" s="2">
        <v>1745</v>
      </c>
      <c r="J34" s="2">
        <v>4182</v>
      </c>
      <c r="K34" s="12">
        <v>3422</v>
      </c>
      <c r="L34" s="11">
        <v>1910</v>
      </c>
      <c r="M34">
        <f t="shared" si="1"/>
        <v>7991.4400000000005</v>
      </c>
      <c r="N34" s="11">
        <v>194</v>
      </c>
      <c r="O34" s="11">
        <v>53</v>
      </c>
      <c r="P34" s="11">
        <v>140</v>
      </c>
      <c r="Q34" s="11">
        <v>62</v>
      </c>
      <c r="R34" s="11">
        <v>889</v>
      </c>
      <c r="S34" s="11">
        <v>1468</v>
      </c>
      <c r="T34" s="11">
        <v>1691</v>
      </c>
      <c r="U34" s="12">
        <v>2622</v>
      </c>
      <c r="V34" s="11">
        <v>1863</v>
      </c>
      <c r="W34" s="14">
        <f t="shared" si="2"/>
        <v>7794.7920000000004</v>
      </c>
      <c r="X34" s="11">
        <v>193</v>
      </c>
      <c r="Y34" s="11">
        <v>101</v>
      </c>
      <c r="Z34" s="11">
        <v>80</v>
      </c>
      <c r="AA34" s="11">
        <v>85</v>
      </c>
      <c r="AB34" s="11">
        <v>1837</v>
      </c>
      <c r="AC34" s="11">
        <v>1083</v>
      </c>
      <c r="AD34" s="11">
        <v>2898</v>
      </c>
      <c r="AE34" s="12">
        <v>3001</v>
      </c>
      <c r="AF34" s="11">
        <v>2173</v>
      </c>
      <c r="AG34" s="14">
        <f t="shared" si="3"/>
        <v>9091.8320000000003</v>
      </c>
      <c r="AH34" s="11">
        <v>224</v>
      </c>
      <c r="AI34" s="11">
        <v>80</v>
      </c>
      <c r="AJ34" s="11">
        <v>52</v>
      </c>
      <c r="AK34" s="11">
        <v>118</v>
      </c>
      <c r="AL34" s="11">
        <v>2242</v>
      </c>
      <c r="AM34" s="11">
        <v>1893</v>
      </c>
      <c r="AN34" s="11">
        <v>3827</v>
      </c>
      <c r="AO34" s="11">
        <v>3045</v>
      </c>
      <c r="AP34" s="2">
        <f t="shared" si="4"/>
        <v>421</v>
      </c>
      <c r="AQ34" s="12">
        <v>2624</v>
      </c>
      <c r="AR34" s="16"/>
    </row>
    <row r="35" spans="1:44" s="2" customFormat="1" x14ac:dyDescent="0.25">
      <c r="A35" s="2" t="s">
        <v>22</v>
      </c>
      <c r="B35" s="2">
        <v>4404</v>
      </c>
      <c r="C35">
        <f t="shared" si="0"/>
        <v>18426.335999999999</v>
      </c>
      <c r="D35" s="2">
        <v>739</v>
      </c>
      <c r="E35" s="2">
        <v>107</v>
      </c>
      <c r="F35" s="2">
        <v>205</v>
      </c>
      <c r="G35" s="2">
        <v>36.4</v>
      </c>
      <c r="H35" s="2">
        <v>3230</v>
      </c>
      <c r="I35" s="2">
        <v>3463</v>
      </c>
      <c r="J35" s="2">
        <v>5605</v>
      </c>
      <c r="K35" s="12">
        <v>3622</v>
      </c>
      <c r="L35" s="11">
        <v>4910</v>
      </c>
      <c r="M35">
        <f t="shared" si="1"/>
        <v>20543.440000000002</v>
      </c>
      <c r="N35" s="11">
        <v>529</v>
      </c>
      <c r="O35" s="11">
        <v>250</v>
      </c>
      <c r="P35" s="11">
        <v>120</v>
      </c>
      <c r="Q35" s="11">
        <v>175</v>
      </c>
      <c r="R35" s="11">
        <v>4894</v>
      </c>
      <c r="S35" s="11">
        <v>3220</v>
      </c>
      <c r="T35" s="11">
        <v>6141</v>
      </c>
      <c r="U35" s="12">
        <v>4465</v>
      </c>
      <c r="V35" s="11">
        <v>2638</v>
      </c>
      <c r="W35" s="14">
        <f t="shared" si="2"/>
        <v>11037.392</v>
      </c>
      <c r="X35" s="11">
        <v>307</v>
      </c>
      <c r="Y35" s="11">
        <v>79</v>
      </c>
      <c r="Z35" s="11">
        <v>133</v>
      </c>
      <c r="AA35" s="11">
        <v>94</v>
      </c>
      <c r="AB35" s="11">
        <v>3670</v>
      </c>
      <c r="AC35" s="11">
        <v>2810</v>
      </c>
      <c r="AD35" s="11">
        <v>4706</v>
      </c>
      <c r="AE35" s="12">
        <v>4130</v>
      </c>
      <c r="AF35" s="11">
        <v>3692</v>
      </c>
      <c r="AG35" s="14">
        <f t="shared" si="3"/>
        <v>15447.328000000001</v>
      </c>
      <c r="AH35" s="11">
        <v>500</v>
      </c>
      <c r="AI35" s="11">
        <v>188</v>
      </c>
      <c r="AJ35" s="11">
        <v>116</v>
      </c>
      <c r="AK35" s="11">
        <v>131</v>
      </c>
      <c r="AL35" s="11">
        <v>3674</v>
      </c>
      <c r="AM35" s="11">
        <v>1270</v>
      </c>
      <c r="AN35" s="11">
        <v>5807</v>
      </c>
      <c r="AO35" s="11">
        <v>3926</v>
      </c>
      <c r="AP35" s="2">
        <f t="shared" si="4"/>
        <v>406</v>
      </c>
      <c r="AQ35" s="12">
        <v>3520</v>
      </c>
      <c r="AR35" s="16"/>
    </row>
    <row r="36" spans="1:44" s="2" customFormat="1" x14ac:dyDescent="0.25">
      <c r="A36" s="2" t="s">
        <v>23</v>
      </c>
      <c r="B36" s="2">
        <v>2287</v>
      </c>
      <c r="C36">
        <f t="shared" si="0"/>
        <v>9568.8080000000009</v>
      </c>
      <c r="D36" s="2">
        <v>261</v>
      </c>
      <c r="E36" s="2">
        <v>102</v>
      </c>
      <c r="F36" s="2">
        <v>130</v>
      </c>
      <c r="G36" s="2">
        <v>78</v>
      </c>
      <c r="H36" s="2">
        <v>847</v>
      </c>
      <c r="I36" s="2">
        <v>5620</v>
      </c>
      <c r="J36" s="2">
        <v>2227</v>
      </c>
      <c r="K36" s="12">
        <v>3135</v>
      </c>
      <c r="L36" s="11">
        <v>2295</v>
      </c>
      <c r="M36">
        <f t="shared" si="1"/>
        <v>9602.2800000000007</v>
      </c>
      <c r="N36" s="11">
        <v>266</v>
      </c>
      <c r="O36" s="11">
        <v>103</v>
      </c>
      <c r="P36" s="11">
        <v>125</v>
      </c>
      <c r="Q36" s="11">
        <v>79</v>
      </c>
      <c r="R36" s="11">
        <v>927</v>
      </c>
      <c r="S36" s="11">
        <v>5804</v>
      </c>
      <c r="T36" s="11">
        <v>2355</v>
      </c>
      <c r="U36" s="12">
        <v>3003</v>
      </c>
      <c r="V36" s="11">
        <v>2579</v>
      </c>
      <c r="W36" s="14">
        <f t="shared" si="2"/>
        <v>10790.536</v>
      </c>
      <c r="X36" s="11">
        <v>291</v>
      </c>
      <c r="Y36" s="11">
        <v>115</v>
      </c>
      <c r="Z36" s="11">
        <v>142</v>
      </c>
      <c r="AA36" s="11">
        <v>92</v>
      </c>
      <c r="AB36" s="11">
        <v>1572</v>
      </c>
      <c r="AC36" s="11">
        <v>5601</v>
      </c>
      <c r="AD36" s="11">
        <v>3065</v>
      </c>
      <c r="AE36" s="12">
        <v>3968</v>
      </c>
      <c r="AF36" s="11">
        <v>2094</v>
      </c>
      <c r="AG36" s="14">
        <f t="shared" si="3"/>
        <v>8761.2960000000003</v>
      </c>
      <c r="AH36" s="11">
        <v>221</v>
      </c>
      <c r="AI36" s="11">
        <v>52</v>
      </c>
      <c r="AJ36" s="11">
        <v>86</v>
      </c>
      <c r="AK36" s="11">
        <v>93</v>
      </c>
      <c r="AL36" s="11">
        <v>3164</v>
      </c>
      <c r="AM36" s="11">
        <v>179</v>
      </c>
      <c r="AN36" s="11">
        <v>5050</v>
      </c>
      <c r="AO36" s="11">
        <v>3039</v>
      </c>
      <c r="AP36" s="2">
        <f t="shared" si="4"/>
        <v>289</v>
      </c>
      <c r="AQ36" s="12">
        <v>2750</v>
      </c>
      <c r="AR36" s="16"/>
    </row>
    <row r="37" spans="1:44" s="2" customFormat="1" x14ac:dyDescent="0.25">
      <c r="K37" s="12"/>
      <c r="U37" s="12"/>
      <c r="W37" s="14"/>
      <c r="AE37" s="12"/>
      <c r="AF37" s="11"/>
      <c r="AG37" s="11"/>
      <c r="AQ37" s="12"/>
    </row>
    <row r="38" spans="1:44" x14ac:dyDescent="0.25">
      <c r="AF38" s="11"/>
      <c r="AG38" s="11"/>
      <c r="AR38" s="15"/>
    </row>
    <row r="39" spans="1:44" s="2" customFormat="1" x14ac:dyDescent="0.25">
      <c r="K39" s="12"/>
      <c r="U39" s="12"/>
      <c r="AE39" s="12"/>
      <c r="AQ39" s="12"/>
    </row>
    <row r="40" spans="1:44" s="2" customFormat="1" x14ac:dyDescent="0.25">
      <c r="K40" s="12"/>
      <c r="U40" s="12"/>
      <c r="V40" s="11"/>
      <c r="W40" s="11"/>
      <c r="AE40" s="12"/>
      <c r="AF40" s="11"/>
      <c r="AG40" s="11"/>
      <c r="AQ40" s="12"/>
      <c r="AR40" s="16"/>
    </row>
    <row r="41" spans="1:44" s="2" customFormat="1" x14ac:dyDescent="0.25">
      <c r="K41" s="12"/>
      <c r="U41" s="12"/>
      <c r="V41" s="11"/>
      <c r="W41" s="11"/>
      <c r="AE41" s="12"/>
      <c r="AF41" s="11"/>
      <c r="AG41" s="11"/>
      <c r="AQ41" s="12"/>
      <c r="AR41" s="16"/>
    </row>
    <row r="42" spans="1:44" s="2" customFormat="1" x14ac:dyDescent="0.25">
      <c r="K42" s="12"/>
      <c r="U42" s="12"/>
      <c r="V42" s="11"/>
      <c r="W42" s="11"/>
      <c r="AE42" s="12"/>
      <c r="AF42" s="11"/>
      <c r="AG42" s="11"/>
      <c r="AQ42" s="12"/>
      <c r="AR42" s="16"/>
    </row>
    <row r="43" spans="1:44" s="2" customFormat="1" x14ac:dyDescent="0.25">
      <c r="K43" s="12"/>
      <c r="U43" s="12"/>
      <c r="V43" s="11"/>
      <c r="W43" s="11"/>
      <c r="AE43" s="12"/>
      <c r="AF43" s="11"/>
      <c r="AG43" s="11"/>
      <c r="AQ43" s="12"/>
      <c r="AR43" s="16"/>
    </row>
    <row r="44" spans="1:44" s="2" customFormat="1" x14ac:dyDescent="0.25">
      <c r="K44" s="12"/>
      <c r="U44" s="12"/>
      <c r="V44" s="11"/>
      <c r="W44" s="11"/>
      <c r="AE44" s="12"/>
      <c r="AF44" s="11"/>
      <c r="AG44" s="11"/>
      <c r="AQ44" s="12"/>
      <c r="AR44" s="16"/>
    </row>
    <row r="45" spans="1:44" s="2" customFormat="1" x14ac:dyDescent="0.25">
      <c r="K45" s="12"/>
      <c r="L45" s="7"/>
      <c r="M45" s="7"/>
      <c r="N45" s="7"/>
      <c r="O45" s="7"/>
      <c r="P45" s="7"/>
      <c r="U45" s="12"/>
      <c r="V45" s="11"/>
      <c r="W45" s="11"/>
      <c r="AE45" s="12"/>
      <c r="AF45" s="11"/>
      <c r="AG45" s="11"/>
      <c r="AQ45" s="12"/>
      <c r="AR45" s="16"/>
    </row>
    <row r="46" spans="1:44" s="2" customFormat="1" x14ac:dyDescent="0.25">
      <c r="K46" s="12"/>
      <c r="L46" s="7"/>
      <c r="M46" s="7"/>
      <c r="N46" s="7"/>
      <c r="O46" s="7"/>
      <c r="P46" s="7"/>
      <c r="U46" s="12"/>
      <c r="V46" s="11"/>
      <c r="W46" s="11"/>
      <c r="AE46" s="12"/>
      <c r="AF46" s="11"/>
      <c r="AG46" s="11"/>
      <c r="AQ46" s="12"/>
      <c r="AR46" s="16"/>
    </row>
    <row r="47" spans="1:44" s="2" customFormat="1" x14ac:dyDescent="0.25">
      <c r="K47" s="12"/>
      <c r="L47" s="7"/>
      <c r="M47" s="7"/>
      <c r="N47" s="7"/>
      <c r="O47" s="7"/>
      <c r="P47" s="7"/>
      <c r="U47" s="12"/>
      <c r="V47" s="11"/>
      <c r="W47" s="11"/>
      <c r="AE47" s="12"/>
      <c r="AF47" s="11"/>
      <c r="AG47" s="11"/>
      <c r="AQ47" s="12"/>
      <c r="AR47" s="16"/>
    </row>
    <row r="48" spans="1:44" s="2" customFormat="1" x14ac:dyDescent="0.25">
      <c r="K48" s="12"/>
      <c r="L48" s="7"/>
      <c r="M48" s="7"/>
      <c r="N48" s="7"/>
      <c r="O48" s="7"/>
      <c r="P48" s="7"/>
      <c r="U48" s="12"/>
      <c r="V48" s="11"/>
      <c r="W48" s="11"/>
      <c r="AE48" s="12"/>
      <c r="AF48" s="11"/>
      <c r="AG48" s="11"/>
      <c r="AQ48" s="12"/>
      <c r="AR48" s="16"/>
    </row>
    <row r="49" spans="11:44" s="2" customFormat="1" x14ac:dyDescent="0.25">
      <c r="K49" s="12"/>
      <c r="L49" s="7"/>
      <c r="M49" s="7"/>
      <c r="N49" s="7"/>
      <c r="O49" s="7"/>
      <c r="P49" s="7"/>
      <c r="U49" s="12"/>
      <c r="V49" s="11"/>
      <c r="W49" s="11"/>
      <c r="AE49" s="12"/>
      <c r="AF49" s="11"/>
      <c r="AG49" s="11"/>
      <c r="AQ49" s="12"/>
      <c r="AR49" s="16"/>
    </row>
    <row r="50" spans="11:44" s="2" customFormat="1" x14ac:dyDescent="0.25">
      <c r="K50" s="12"/>
      <c r="L50" s="7"/>
      <c r="M50" s="7"/>
      <c r="N50" s="7"/>
      <c r="O50" s="7"/>
      <c r="P50" s="7"/>
      <c r="U50" s="12"/>
      <c r="V50" s="11"/>
      <c r="W50" s="11"/>
      <c r="AE50" s="12"/>
      <c r="AF50" s="11"/>
      <c r="AG50" s="11"/>
      <c r="AQ50" s="12"/>
      <c r="AR50" s="16"/>
    </row>
    <row r="51" spans="11:44" s="2" customFormat="1" x14ac:dyDescent="0.25">
      <c r="K51" s="12"/>
      <c r="L51" s="7"/>
      <c r="M51" s="7"/>
      <c r="N51" s="7"/>
      <c r="O51" s="7"/>
      <c r="P51" s="7"/>
      <c r="U51" s="12"/>
      <c r="V51" s="11"/>
      <c r="W51" s="11"/>
      <c r="AE51" s="12"/>
      <c r="AF51" s="11"/>
      <c r="AG51" s="11"/>
      <c r="AQ51" s="12"/>
      <c r="AR51" s="11"/>
    </row>
    <row r="52" spans="11:44" s="2" customFormat="1" x14ac:dyDescent="0.25">
      <c r="K52" s="12"/>
      <c r="L52" s="7"/>
      <c r="M52" s="7"/>
      <c r="N52" s="7"/>
      <c r="O52" s="7"/>
      <c r="P52" s="7"/>
      <c r="U52" s="12"/>
      <c r="V52" s="11"/>
      <c r="W52" s="11"/>
      <c r="AE52" s="12"/>
      <c r="AF52" s="11"/>
      <c r="AG52" s="11"/>
      <c r="AQ52" s="12"/>
      <c r="AR52" s="11"/>
    </row>
    <row r="53" spans="11:44" s="2" customFormat="1" x14ac:dyDescent="0.25">
      <c r="K53" s="12"/>
      <c r="L53" s="7"/>
      <c r="M53" s="7"/>
      <c r="N53" s="7"/>
      <c r="O53" s="7"/>
      <c r="P53" s="7"/>
      <c r="U53" s="12"/>
      <c r="V53" s="11"/>
      <c r="W53" s="11"/>
      <c r="AE53" s="12"/>
      <c r="AF53" s="11"/>
      <c r="AG53" s="11"/>
      <c r="AQ53" s="12"/>
      <c r="AR53" s="11"/>
    </row>
    <row r="54" spans="11:44" s="2" customFormat="1" x14ac:dyDescent="0.25">
      <c r="K54" s="12"/>
      <c r="L54" s="7"/>
      <c r="M54" s="7"/>
      <c r="N54" s="7"/>
      <c r="O54" s="7"/>
      <c r="P54" s="7"/>
      <c r="U54" s="12"/>
      <c r="V54" s="11"/>
      <c r="W54" s="11"/>
      <c r="AE54" s="12"/>
      <c r="AF54" s="11"/>
      <c r="AG54" s="11"/>
      <c r="AQ54" s="12"/>
      <c r="AR54" s="11"/>
    </row>
    <row r="55" spans="11:44" s="2" customFormat="1" x14ac:dyDescent="0.25">
      <c r="K55" s="12"/>
      <c r="L55" s="7"/>
      <c r="M55" s="7"/>
      <c r="N55" s="7"/>
      <c r="O55" s="7"/>
      <c r="P55" s="7"/>
      <c r="U55" s="12"/>
      <c r="V55" s="11"/>
      <c r="W55" s="11"/>
      <c r="AE55" s="12"/>
      <c r="AF55" s="11"/>
      <c r="AG55" s="11"/>
      <c r="AQ55" s="12"/>
      <c r="AR55" s="11"/>
    </row>
    <row r="56" spans="11:44" s="2" customFormat="1" x14ac:dyDescent="0.25">
      <c r="K56" s="12"/>
      <c r="L56" s="7"/>
      <c r="M56" s="7"/>
      <c r="N56" s="7"/>
      <c r="O56" s="7"/>
      <c r="P56" s="7"/>
      <c r="U56" s="12"/>
      <c r="V56" s="11"/>
      <c r="W56" s="11"/>
      <c r="AE56" s="12"/>
      <c r="AF56" s="11"/>
      <c r="AG56" s="11"/>
      <c r="AQ56" s="12"/>
      <c r="AR56" s="11"/>
    </row>
    <row r="57" spans="11:44" s="2" customFormat="1" x14ac:dyDescent="0.25">
      <c r="K57" s="12"/>
      <c r="L57" s="7"/>
      <c r="M57" s="7"/>
      <c r="N57" s="7"/>
      <c r="O57" s="7"/>
      <c r="P57" s="7"/>
      <c r="U57" s="12"/>
      <c r="V57" s="11"/>
      <c r="W57" s="11"/>
      <c r="AE57" s="12"/>
      <c r="AF57" s="11"/>
      <c r="AG57" s="11"/>
      <c r="AQ57" s="12"/>
      <c r="AR57" s="11"/>
    </row>
    <row r="58" spans="11:44" s="2" customFormat="1" x14ac:dyDescent="0.25">
      <c r="K58" s="12"/>
      <c r="L58" s="7"/>
      <c r="M58" s="7"/>
      <c r="N58" s="7"/>
      <c r="O58" s="7"/>
      <c r="P58" s="7"/>
      <c r="U58" s="12"/>
      <c r="V58" s="11"/>
      <c r="W58" s="11"/>
      <c r="AE58" s="12"/>
      <c r="AF58" s="11"/>
      <c r="AG58" s="11"/>
      <c r="AQ58" s="12"/>
      <c r="AR58" s="11"/>
    </row>
    <row r="59" spans="11:44" s="2" customFormat="1" x14ac:dyDescent="0.25">
      <c r="K59" s="12"/>
      <c r="L59" s="7"/>
      <c r="M59" s="7"/>
      <c r="N59" s="7"/>
      <c r="O59" s="7"/>
      <c r="P59" s="7"/>
      <c r="U59" s="12"/>
      <c r="V59" s="11"/>
      <c r="W59" s="11"/>
      <c r="AE59" s="12"/>
      <c r="AF59" s="11"/>
      <c r="AG59" s="11"/>
      <c r="AQ59" s="12"/>
      <c r="AR59" s="11"/>
    </row>
    <row r="60" spans="11:44" s="2" customFormat="1" x14ac:dyDescent="0.25">
      <c r="K60" s="12"/>
      <c r="L60" s="7"/>
      <c r="M60" s="7"/>
      <c r="N60" s="7"/>
      <c r="O60" s="7"/>
      <c r="P60" s="7"/>
      <c r="U60" s="12"/>
      <c r="V60" s="11"/>
      <c r="W60" s="11"/>
      <c r="AE60" s="12"/>
      <c r="AF60" s="11"/>
      <c r="AG60" s="11"/>
      <c r="AQ60" s="12"/>
      <c r="AR60" s="11"/>
    </row>
    <row r="61" spans="11:44" s="2" customFormat="1" x14ac:dyDescent="0.25">
      <c r="K61" s="12"/>
      <c r="U61" s="12"/>
      <c r="V61" s="11"/>
      <c r="W61" s="11"/>
      <c r="AE61" s="12"/>
      <c r="AF61" s="11"/>
      <c r="AG61" s="11"/>
      <c r="AQ61" s="12"/>
      <c r="AR61" s="11"/>
    </row>
    <row r="62" spans="11:44" s="2" customFormat="1" x14ac:dyDescent="0.25">
      <c r="K62" s="12"/>
      <c r="U62" s="12"/>
      <c r="V62" s="11"/>
      <c r="W62" s="11"/>
      <c r="AE62" s="12"/>
      <c r="AF62" s="11"/>
      <c r="AG62" s="11"/>
      <c r="AQ62" s="12"/>
      <c r="AR62" s="11"/>
    </row>
    <row r="63" spans="11:44" s="2" customFormat="1" x14ac:dyDescent="0.25">
      <c r="K63" s="12"/>
      <c r="U63" s="12"/>
      <c r="V63" s="11"/>
      <c r="W63" s="11"/>
      <c r="AE63" s="12"/>
      <c r="AF63" s="11"/>
      <c r="AG63" s="11"/>
      <c r="AQ63" s="12"/>
      <c r="AR63" s="11"/>
    </row>
    <row r="64" spans="11:44" s="2" customFormat="1" x14ac:dyDescent="0.25">
      <c r="K64" s="12"/>
      <c r="U64" s="12"/>
      <c r="V64" s="11"/>
      <c r="W64" s="11"/>
      <c r="AE64" s="12"/>
      <c r="AF64" s="11"/>
      <c r="AG64" s="11"/>
      <c r="AQ64" s="12"/>
      <c r="AR64" s="11"/>
    </row>
    <row r="65" spans="11:44" s="2" customFormat="1" x14ac:dyDescent="0.25">
      <c r="K65" s="12"/>
      <c r="U65" s="12"/>
      <c r="V65" s="11"/>
      <c r="W65" s="11"/>
      <c r="AE65" s="12"/>
      <c r="AF65" s="11"/>
      <c r="AG65" s="11"/>
      <c r="AQ65" s="12"/>
      <c r="AR65" s="11"/>
    </row>
    <row r="66" spans="11:44" s="2" customFormat="1" x14ac:dyDescent="0.25">
      <c r="K66" s="12"/>
      <c r="L66" s="7"/>
      <c r="M66" s="7"/>
      <c r="N66" s="7"/>
      <c r="O66" s="7"/>
      <c r="P66" s="7"/>
      <c r="U66" s="12"/>
      <c r="V66" s="11"/>
      <c r="W66" s="11"/>
      <c r="AE66" s="12"/>
      <c r="AF66" s="11"/>
      <c r="AG66" s="11"/>
      <c r="AQ66" s="12"/>
      <c r="AR66" s="11"/>
    </row>
    <row r="67" spans="11:44" s="2" customFormat="1" x14ac:dyDescent="0.25">
      <c r="K67" s="12"/>
      <c r="L67" s="7"/>
      <c r="M67" s="7"/>
      <c r="N67" s="7"/>
      <c r="O67" s="7"/>
      <c r="P67" s="7"/>
      <c r="U67" s="12"/>
      <c r="V67" s="11"/>
      <c r="W67" s="11"/>
      <c r="AE67" s="12"/>
      <c r="AF67" s="11"/>
      <c r="AG67" s="11"/>
      <c r="AQ67" s="12"/>
      <c r="AR67" s="11"/>
    </row>
    <row r="68" spans="11:44" s="2" customFormat="1" x14ac:dyDescent="0.25">
      <c r="K68" s="12"/>
      <c r="L68" s="7"/>
      <c r="M68" s="7"/>
      <c r="N68" s="7"/>
      <c r="O68" s="7"/>
      <c r="P68" s="7"/>
      <c r="U68" s="12"/>
      <c r="V68" s="11"/>
      <c r="W68" s="11"/>
      <c r="AE68" s="12"/>
      <c r="AF68" s="11"/>
      <c r="AG68" s="11"/>
      <c r="AQ68" s="12"/>
      <c r="AR68" s="11"/>
    </row>
    <row r="69" spans="11:44" s="2" customFormat="1" x14ac:dyDescent="0.25">
      <c r="K69" s="12"/>
      <c r="L69" s="7"/>
      <c r="M69" s="7"/>
      <c r="N69" s="7"/>
      <c r="O69" s="7"/>
      <c r="P69" s="7"/>
      <c r="U69" s="12"/>
      <c r="V69" s="11"/>
      <c r="W69" s="11"/>
      <c r="AE69" s="12"/>
      <c r="AF69" s="11"/>
      <c r="AG69" s="11"/>
      <c r="AQ69" s="12"/>
      <c r="AR69" s="11"/>
    </row>
    <row r="70" spans="11:44" s="2" customFormat="1" x14ac:dyDescent="0.25">
      <c r="K70" s="12"/>
      <c r="L70" s="7"/>
      <c r="M70" s="7"/>
      <c r="N70" s="7"/>
      <c r="O70" s="7"/>
      <c r="P70" s="7"/>
      <c r="U70" s="12"/>
      <c r="V70" s="11"/>
      <c r="W70" s="11"/>
      <c r="AE70" s="12"/>
      <c r="AF70" s="11"/>
      <c r="AG70" s="11"/>
      <c r="AQ70" s="12"/>
      <c r="AR70" s="11"/>
    </row>
    <row r="71" spans="11:44" s="2" customFormat="1" x14ac:dyDescent="0.25">
      <c r="K71" s="12"/>
      <c r="L71" s="7"/>
      <c r="M71" s="7"/>
      <c r="N71" s="7"/>
      <c r="O71" s="7"/>
      <c r="P71" s="7"/>
      <c r="U71" s="12"/>
      <c r="V71" s="11"/>
      <c r="W71" s="11"/>
      <c r="AE71" s="12"/>
      <c r="AF71" s="11"/>
      <c r="AG71" s="11"/>
      <c r="AQ71" s="12"/>
      <c r="AR71" s="11"/>
    </row>
    <row r="72" spans="11:44" s="2" customFormat="1" x14ac:dyDescent="0.25">
      <c r="K72" s="12"/>
      <c r="L72" s="7"/>
      <c r="M72" s="7"/>
      <c r="N72" s="7"/>
      <c r="O72" s="7"/>
      <c r="P72" s="7"/>
      <c r="U72" s="12"/>
      <c r="V72" s="11"/>
      <c r="W72" s="11"/>
      <c r="AE72" s="12"/>
      <c r="AF72" s="11"/>
      <c r="AG72" s="11"/>
      <c r="AQ72" s="12"/>
      <c r="AR72" s="11"/>
    </row>
    <row r="73" spans="11:44" s="2" customFormat="1" x14ac:dyDescent="0.25">
      <c r="K73" s="12"/>
      <c r="L73" s="7"/>
      <c r="M73" s="7"/>
      <c r="N73" s="7"/>
      <c r="O73" s="7"/>
      <c r="P73" s="7"/>
      <c r="U73" s="12"/>
      <c r="V73" s="11"/>
      <c r="W73" s="11"/>
      <c r="AE73" s="12"/>
      <c r="AF73" s="11"/>
      <c r="AG73" s="11"/>
      <c r="AQ73" s="12"/>
      <c r="AR73" s="11"/>
    </row>
    <row r="74" spans="11:44" s="2" customFormat="1" x14ac:dyDescent="0.25">
      <c r="K74" s="12"/>
      <c r="L74" s="7"/>
      <c r="M74" s="7"/>
      <c r="N74" s="7"/>
      <c r="O74" s="7"/>
      <c r="P74" s="7"/>
      <c r="U74" s="12"/>
      <c r="V74" s="11"/>
      <c r="W74" s="11"/>
      <c r="AE74" s="12"/>
      <c r="AF74" s="11"/>
      <c r="AG74" s="11"/>
      <c r="AQ74" s="12"/>
      <c r="AR74" s="11"/>
    </row>
    <row r="75" spans="11:44" s="2" customFormat="1" x14ac:dyDescent="0.25">
      <c r="K75" s="12"/>
      <c r="L75" s="7"/>
      <c r="M75" s="7"/>
      <c r="N75" s="7"/>
      <c r="O75" s="7"/>
      <c r="P75" s="7"/>
      <c r="U75" s="12"/>
      <c r="V75" s="11"/>
      <c r="W75" s="11"/>
      <c r="AE75" s="12"/>
      <c r="AF75" s="11"/>
      <c r="AG75" s="11"/>
      <c r="AQ75" s="12"/>
      <c r="AR75" s="11"/>
    </row>
    <row r="76" spans="11:44" s="2" customFormat="1" x14ac:dyDescent="0.25">
      <c r="K76" s="12"/>
      <c r="L76" s="7"/>
      <c r="M76" s="7"/>
      <c r="N76" s="7"/>
      <c r="O76" s="7"/>
      <c r="P76" s="7"/>
      <c r="U76" s="12"/>
      <c r="V76" s="11"/>
      <c r="W76" s="11"/>
      <c r="AE76" s="12"/>
      <c r="AF76" s="11"/>
      <c r="AG76" s="11"/>
      <c r="AQ76" s="12"/>
      <c r="AR76" s="11"/>
    </row>
    <row r="77" spans="11:44" s="2" customFormat="1" x14ac:dyDescent="0.25">
      <c r="K77" s="12"/>
      <c r="L77" s="7"/>
      <c r="M77" s="7"/>
      <c r="N77" s="7"/>
      <c r="O77" s="7"/>
      <c r="P77" s="7"/>
      <c r="U77" s="12"/>
      <c r="V77" s="11"/>
      <c r="W77" s="11"/>
      <c r="AE77" s="12"/>
      <c r="AF77" s="11"/>
      <c r="AG77" s="11"/>
      <c r="AQ77" s="12"/>
      <c r="AR77" s="11"/>
    </row>
    <row r="78" spans="11:44" s="2" customFormat="1" x14ac:dyDescent="0.25">
      <c r="K78" s="12"/>
      <c r="L78" s="7"/>
      <c r="M78" s="7"/>
      <c r="N78" s="7"/>
      <c r="O78" s="7"/>
      <c r="P78" s="7"/>
      <c r="U78" s="12"/>
      <c r="V78" s="11"/>
      <c r="W78" s="11"/>
      <c r="AE78" s="12"/>
      <c r="AF78" s="11"/>
      <c r="AG78" s="11"/>
      <c r="AQ78" s="12"/>
      <c r="AR78" s="11"/>
    </row>
    <row r="79" spans="11:44" s="2" customFormat="1" x14ac:dyDescent="0.25">
      <c r="K79" s="12"/>
      <c r="L79" s="7"/>
      <c r="M79" s="7"/>
      <c r="N79" s="7"/>
      <c r="O79" s="7"/>
      <c r="P79" s="7"/>
      <c r="U79" s="12"/>
      <c r="V79" s="11"/>
      <c r="W79" s="11"/>
      <c r="AE79" s="12"/>
      <c r="AF79" s="11"/>
      <c r="AG79" s="11"/>
      <c r="AQ79" s="12"/>
      <c r="AR79" s="11"/>
    </row>
    <row r="80" spans="11:44" s="2" customFormat="1" x14ac:dyDescent="0.25">
      <c r="K80" s="12"/>
      <c r="L80" s="7"/>
      <c r="M80" s="7"/>
      <c r="N80" s="7"/>
      <c r="O80" s="7"/>
      <c r="P80" s="7"/>
      <c r="U80" s="12"/>
      <c r="V80" s="11"/>
      <c r="W80" s="11"/>
      <c r="AE80" s="12"/>
      <c r="AF80" s="11"/>
      <c r="AG80" s="11"/>
      <c r="AQ80" s="12"/>
      <c r="AR80" s="11"/>
    </row>
    <row r="81" spans="11:44" s="2" customFormat="1" x14ac:dyDescent="0.25">
      <c r="K81" s="12"/>
      <c r="L81" s="7"/>
      <c r="M81" s="7"/>
      <c r="N81" s="7"/>
      <c r="O81" s="7"/>
      <c r="P81" s="7"/>
      <c r="U81" s="12"/>
      <c r="V81" s="11"/>
      <c r="W81" s="11"/>
      <c r="AE81" s="12"/>
      <c r="AF81" s="11"/>
      <c r="AG81" s="11"/>
      <c r="AQ81" s="12"/>
      <c r="AR81" s="11"/>
    </row>
    <row r="82" spans="11:44" s="2" customFormat="1" x14ac:dyDescent="0.25">
      <c r="K82" s="12"/>
      <c r="U82" s="12"/>
      <c r="V82" s="11"/>
      <c r="W82" s="11"/>
      <c r="AE82" s="12"/>
      <c r="AF82" s="11"/>
      <c r="AG82" s="11"/>
      <c r="AQ82" s="12"/>
      <c r="AR82" s="11"/>
    </row>
    <row r="83" spans="11:44" s="2" customFormat="1" x14ac:dyDescent="0.25">
      <c r="K83" s="12"/>
      <c r="U83" s="12"/>
      <c r="V83" s="11"/>
      <c r="W83" s="11"/>
      <c r="AE83" s="12"/>
      <c r="AF83" s="11"/>
      <c r="AG83" s="11"/>
      <c r="AQ83" s="12"/>
      <c r="AR83" s="11"/>
    </row>
    <row r="84" spans="11:44" s="2" customFormat="1" x14ac:dyDescent="0.25">
      <c r="K84" s="12"/>
      <c r="U84" s="12"/>
      <c r="V84" s="11"/>
      <c r="W84" s="11"/>
      <c r="AE84" s="12"/>
      <c r="AF84" s="11"/>
      <c r="AG84" s="11"/>
      <c r="AQ84" s="12"/>
      <c r="AR84" s="11"/>
    </row>
    <row r="85" spans="11:44" s="2" customFormat="1" x14ac:dyDescent="0.25">
      <c r="K85" s="12"/>
      <c r="U85" s="12"/>
      <c r="V85" s="11"/>
      <c r="W85" s="11"/>
      <c r="AE85" s="12"/>
      <c r="AF85" s="11"/>
      <c r="AG85" s="11"/>
      <c r="AQ85" s="12"/>
      <c r="AR85" s="11"/>
    </row>
    <row r="86" spans="11:44" s="2" customFormat="1" x14ac:dyDescent="0.25">
      <c r="K86" s="12"/>
      <c r="U86" s="12"/>
      <c r="V86" s="11"/>
      <c r="W86" s="11"/>
      <c r="AE86" s="12"/>
      <c r="AF86" s="11"/>
      <c r="AG86" s="11"/>
      <c r="AQ86" s="12"/>
      <c r="AR86" s="11"/>
    </row>
  </sheetData>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27</vt:i4>
      </vt:variant>
    </vt:vector>
  </HeadingPairs>
  <TitlesOfParts>
    <vt:vector size="27" baseType="lpstr">
      <vt:lpstr>Notes - how to use this dataset</vt:lpstr>
      <vt:lpstr>Deviations to protocol</vt:lpstr>
      <vt:lpstr>Approach to methodology</vt:lpstr>
      <vt:lpstr>Blood handling and analysis</vt:lpstr>
      <vt:lpstr>Participant characteristics</vt:lpstr>
      <vt:lpstr>Body mass (kg)</vt:lpstr>
      <vt:lpstr>Body water %</vt:lpstr>
      <vt:lpstr>PAEE (kcal.d)</vt:lpstr>
      <vt:lpstr>Diet analysis</vt:lpstr>
      <vt:lpstr>Urine specific gravity</vt:lpstr>
      <vt:lpstr>Urine osmolality (mOsm.kg)</vt:lpstr>
      <vt:lpstr>Heat tent temperature (degreeC)</vt:lpstr>
      <vt:lpstr>Heat tent humidity (%)</vt:lpstr>
      <vt:lpstr>Weight loss from heat tent (kg)</vt:lpstr>
      <vt:lpstr>Water prescription day 4 (L)</vt:lpstr>
      <vt:lpstr>Cross-sectional muscle area </vt:lpstr>
      <vt:lpstr>Muscle water content</vt:lpstr>
      <vt:lpstr>Plasma volume % change from BL</vt:lpstr>
      <vt:lpstr>Serum osmolality (mOsm.kg)</vt:lpstr>
      <vt:lpstr>Plasma AVP</vt:lpstr>
      <vt:lpstr>Plasma copeptin (pmol.L)</vt:lpstr>
      <vt:lpstr>Plasma ACTH (pmol.L)</vt:lpstr>
      <vt:lpstr>Plasma cortisol (nmol.L)</vt:lpstr>
      <vt:lpstr>Serum insulin (pmol.L)</vt:lpstr>
      <vt:lpstr>Serum glucose (mmol.L)</vt:lpstr>
      <vt:lpstr>RMR kJ.d.kg</vt:lpstr>
      <vt:lpstr>Respiratory exchange ratio</vt:lpstr>
    </vt:vector>
  </TitlesOfParts>
  <Company>University of Bath</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Harriet Carroll</dc:creator>
  <cp:lastModifiedBy>Harriet Carroll</cp:lastModifiedBy>
  <dcterms:created xsi:type="dcterms:W3CDTF">2017-05-07T14:58:59Z</dcterms:created>
  <dcterms:modified xsi:type="dcterms:W3CDTF">2018-09-01T14:42:59Z</dcterms:modified>
</cp:coreProperties>
</file>