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myfiles\NK615\Profiles_Do_Not_Delete\campus\Desktop\"/>
    </mc:Choice>
  </mc:AlternateContent>
  <bookViews>
    <workbookView xWindow="0" yWindow="0" windowWidth="28800" windowHeight="12300"/>
  </bookViews>
  <sheets>
    <sheet name="Données biomass maintained " sheetId="3" r:id="rId1"/>
  </sheets>
  <definedNames>
    <definedName name="_xlnm._FilterDatabase" localSheetId="0" hidden="1">'Données biomass maintained '!$B$1:$B$1171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E1158" i="3" l="1"/>
  <c r="AE1159" i="3"/>
  <c r="AE1160" i="3"/>
  <c r="AE1161" i="3"/>
  <c r="AE1162" i="3"/>
  <c r="AE1163" i="3"/>
  <c r="AE1164" i="3"/>
  <c r="AE1165" i="3"/>
  <c r="AE1166" i="3"/>
  <c r="AE1167" i="3"/>
  <c r="AE1168" i="3"/>
  <c r="AE1169" i="3"/>
  <c r="AE1170" i="3"/>
  <c r="AE1171" i="3"/>
  <c r="AG220" i="3" l="1"/>
  <c r="AI220" i="3"/>
  <c r="AI1013" i="3"/>
  <c r="AI1012" i="3"/>
  <c r="AI1011" i="3"/>
  <c r="AI988" i="3"/>
  <c r="AI985" i="3"/>
  <c r="AI983" i="3"/>
  <c r="AI976" i="3"/>
  <c r="AI975" i="3"/>
  <c r="AI953" i="3"/>
  <c r="AI951" i="3"/>
  <c r="AI950" i="3"/>
  <c r="AI943" i="3"/>
  <c r="AI942" i="3"/>
  <c r="AI936" i="3"/>
  <c r="AI935" i="3"/>
  <c r="AI934" i="3"/>
  <c r="AI494" i="3"/>
  <c r="AI493" i="3"/>
  <c r="AI492" i="3"/>
  <c r="AI491" i="3"/>
  <c r="AI490" i="3"/>
  <c r="AI489" i="3"/>
  <c r="AI484" i="3"/>
  <c r="AI483" i="3"/>
  <c r="AI482" i="3"/>
  <c r="AI481" i="3"/>
  <c r="AI480" i="3"/>
  <c r="AI474" i="3"/>
  <c r="AI473" i="3"/>
  <c r="AI468" i="3"/>
  <c r="AI409" i="3"/>
  <c r="AI184" i="3"/>
  <c r="AI183" i="3"/>
  <c r="AI182" i="3"/>
  <c r="AI181" i="3"/>
  <c r="AI172" i="3"/>
  <c r="AI144" i="3"/>
  <c r="AI134" i="3"/>
  <c r="AI128" i="3"/>
  <c r="AI121" i="3"/>
  <c r="AI119" i="3"/>
  <c r="AI117" i="3"/>
  <c r="AI116" i="3"/>
  <c r="AI109" i="3"/>
  <c r="AI108" i="3"/>
  <c r="AI107" i="3"/>
  <c r="AI104" i="3"/>
  <c r="AI101" i="3"/>
  <c r="AI93" i="3"/>
  <c r="AI92" i="3"/>
  <c r="AI89" i="3"/>
  <c r="AI84" i="3"/>
  <c r="AI74" i="3"/>
  <c r="AI71" i="3"/>
  <c r="AG71" i="3"/>
  <c r="AG66" i="3"/>
  <c r="AG74" i="3"/>
  <c r="AG84" i="3"/>
  <c r="AG89" i="3"/>
  <c r="AG101" i="3"/>
  <c r="AG93" i="3"/>
  <c r="AG92" i="3"/>
  <c r="AG1013" i="3"/>
  <c r="AG1012" i="3"/>
  <c r="AG1011" i="3"/>
  <c r="AG988" i="3"/>
  <c r="AG985" i="3"/>
  <c r="AG983" i="3"/>
  <c r="AG976" i="3"/>
  <c r="AG975" i="3"/>
  <c r="AG953" i="3"/>
  <c r="AG951" i="3"/>
  <c r="AG950" i="3"/>
  <c r="AG943" i="3"/>
  <c r="AG942" i="3"/>
  <c r="AG936" i="3"/>
  <c r="AG935" i="3"/>
  <c r="AG934" i="3"/>
  <c r="AG494" i="3"/>
  <c r="AG493" i="3"/>
  <c r="AG492" i="3"/>
  <c r="AG491" i="3"/>
  <c r="AG490" i="3"/>
  <c r="AG489" i="3"/>
  <c r="AG484" i="3"/>
  <c r="AG483" i="3"/>
  <c r="AG482" i="3"/>
  <c r="AG481" i="3"/>
  <c r="AG480" i="3"/>
  <c r="AG474" i="3"/>
  <c r="AG473" i="3"/>
  <c r="AG468" i="3"/>
  <c r="AG409" i="3"/>
  <c r="AG184" i="3"/>
  <c r="AG183" i="3"/>
  <c r="AG182" i="3"/>
  <c r="AG181" i="3"/>
  <c r="AG172" i="3"/>
  <c r="AG144" i="3"/>
  <c r="AG134" i="3"/>
  <c r="AG128" i="3"/>
  <c r="AG121" i="3"/>
  <c r="AG119" i="3"/>
  <c r="AG117" i="3"/>
  <c r="AG116" i="3"/>
  <c r="AG109" i="3"/>
  <c r="AG108" i="3"/>
  <c r="AG107" i="3"/>
  <c r="AG254" i="3"/>
  <c r="AG253" i="3"/>
  <c r="AG252" i="3"/>
  <c r="AG251" i="3"/>
  <c r="AG248" i="3"/>
  <c r="AG247" i="3"/>
  <c r="AG246" i="3"/>
  <c r="AG242" i="3"/>
  <c r="AG241" i="3"/>
  <c r="AG239" i="3"/>
  <c r="AG238" i="3"/>
  <c r="AG237" i="3"/>
  <c r="AG236" i="3"/>
  <c r="AG235" i="3"/>
  <c r="AG234" i="3"/>
  <c r="AG233" i="3"/>
  <c r="AG232" i="3"/>
  <c r="AG231" i="3"/>
  <c r="AG230" i="3"/>
  <c r="AG229" i="3"/>
  <c r="AG228" i="3"/>
  <c r="AG227" i="3"/>
  <c r="AG226" i="3"/>
  <c r="AG225" i="3"/>
  <c r="AG224" i="3"/>
  <c r="AG223" i="3"/>
  <c r="AG222" i="3"/>
  <c r="AI254" i="3"/>
  <c r="AI253" i="3"/>
  <c r="AI252" i="3"/>
  <c r="AI251" i="3"/>
  <c r="AI248" i="3"/>
  <c r="AI247" i="3"/>
  <c r="AI246" i="3"/>
  <c r="AI242" i="3"/>
  <c r="AI241" i="3"/>
  <c r="AI239" i="3"/>
  <c r="AI238" i="3"/>
  <c r="AI237" i="3"/>
  <c r="AI236" i="3"/>
  <c r="AI235" i="3"/>
  <c r="AI234" i="3"/>
  <c r="AI233" i="3"/>
  <c r="AI232" i="3"/>
  <c r="AI231" i="3"/>
  <c r="AI230" i="3"/>
  <c r="AI229" i="3"/>
  <c r="AI228" i="3"/>
  <c r="AI227" i="3"/>
  <c r="AI226" i="3"/>
  <c r="AI225" i="3"/>
  <c r="AI224" i="3"/>
  <c r="AI223" i="3"/>
  <c r="AI222" i="3"/>
  <c r="P949" i="3" l="1"/>
  <c r="P237" i="3" l="1"/>
  <c r="AD250" i="3"/>
  <c r="AD251" i="3"/>
  <c r="AD252" i="3"/>
  <c r="AD253" i="3"/>
  <c r="AD254" i="3"/>
  <c r="AD255" i="3"/>
  <c r="AF250" i="3"/>
  <c r="AF251" i="3"/>
  <c r="AF252" i="3"/>
  <c r="AF253" i="3"/>
  <c r="AF254" i="3"/>
  <c r="AF255" i="3"/>
  <c r="AG250" i="3"/>
  <c r="AG255" i="3"/>
  <c r="AH250" i="3"/>
  <c r="AH251" i="3"/>
  <c r="AH252" i="3"/>
  <c r="AH253" i="3"/>
  <c r="AH254" i="3"/>
  <c r="AH255" i="3"/>
  <c r="AI250" i="3"/>
  <c r="AI255" i="3"/>
  <c r="AJ250" i="3"/>
  <c r="AJ251" i="3"/>
  <c r="AJ252" i="3"/>
  <c r="AJ253" i="3"/>
  <c r="AJ254" i="3"/>
  <c r="AJ255" i="3"/>
  <c r="AD222" i="3"/>
  <c r="AD223" i="3"/>
  <c r="AD224" i="3"/>
  <c r="AD225" i="3"/>
  <c r="AD226" i="3"/>
  <c r="AD227" i="3"/>
  <c r="AD228" i="3"/>
  <c r="AD229" i="3"/>
  <c r="AD230" i="3"/>
  <c r="AD231" i="3"/>
  <c r="AD232" i="3"/>
  <c r="AD233" i="3"/>
  <c r="AD234" i="3"/>
  <c r="AD235" i="3"/>
  <c r="AD236" i="3"/>
  <c r="AD237" i="3"/>
  <c r="AD238" i="3"/>
  <c r="AD239" i="3"/>
  <c r="AD240" i="3"/>
  <c r="AD241" i="3"/>
  <c r="AD242" i="3"/>
  <c r="AD243" i="3"/>
  <c r="AD244" i="3"/>
  <c r="AD245" i="3"/>
  <c r="AD246" i="3"/>
  <c r="AD247" i="3"/>
  <c r="AD248" i="3"/>
  <c r="AD249" i="3"/>
  <c r="AF222" i="3"/>
  <c r="AF223" i="3"/>
  <c r="AF224" i="3"/>
  <c r="AF225" i="3"/>
  <c r="AF226" i="3"/>
  <c r="AF227" i="3"/>
  <c r="AF228" i="3"/>
  <c r="AF229" i="3"/>
  <c r="AF230" i="3"/>
  <c r="AF231" i="3"/>
  <c r="AF232" i="3"/>
  <c r="AF233" i="3"/>
  <c r="AF234" i="3"/>
  <c r="AF235" i="3"/>
  <c r="AF236" i="3"/>
  <c r="AF237" i="3"/>
  <c r="AF238" i="3"/>
  <c r="AF239" i="3"/>
  <c r="AF240" i="3"/>
  <c r="AF241" i="3"/>
  <c r="AF242" i="3"/>
  <c r="AF243" i="3"/>
  <c r="AF244" i="3"/>
  <c r="AF245" i="3"/>
  <c r="AF246" i="3"/>
  <c r="AF247" i="3"/>
  <c r="AF248" i="3"/>
  <c r="AF249" i="3"/>
  <c r="AG240" i="3"/>
  <c r="AG243" i="3"/>
  <c r="AG244" i="3"/>
  <c r="AG245" i="3"/>
  <c r="AG249" i="3"/>
  <c r="AH222" i="3"/>
  <c r="AH223" i="3"/>
  <c r="AH224" i="3"/>
  <c r="AH225" i="3"/>
  <c r="AH226" i="3"/>
  <c r="AH227" i="3"/>
  <c r="AH228" i="3"/>
  <c r="AH229" i="3"/>
  <c r="AH230" i="3"/>
  <c r="AH231" i="3"/>
  <c r="AH232" i="3"/>
  <c r="AH233" i="3"/>
  <c r="AH234" i="3"/>
  <c r="AH235" i="3"/>
  <c r="AH236" i="3"/>
  <c r="AH237" i="3"/>
  <c r="AH238" i="3"/>
  <c r="AH239" i="3"/>
  <c r="AH240" i="3"/>
  <c r="AH241" i="3"/>
  <c r="AH242" i="3"/>
  <c r="AH243" i="3"/>
  <c r="AH244" i="3"/>
  <c r="AH245" i="3"/>
  <c r="AH246" i="3"/>
  <c r="AH247" i="3"/>
  <c r="AH248" i="3"/>
  <c r="AH249" i="3"/>
  <c r="AI240" i="3"/>
  <c r="AI243" i="3"/>
  <c r="AI244" i="3"/>
  <c r="AI245" i="3"/>
  <c r="AI249" i="3"/>
  <c r="AJ222" i="3"/>
  <c r="AJ223" i="3"/>
  <c r="AJ224" i="3"/>
  <c r="AJ225" i="3"/>
  <c r="AJ226" i="3"/>
  <c r="AJ227" i="3"/>
  <c r="AJ228" i="3"/>
  <c r="AJ229" i="3"/>
  <c r="AJ230" i="3"/>
  <c r="AJ231" i="3"/>
  <c r="AJ232" i="3"/>
  <c r="AJ233" i="3"/>
  <c r="AJ234" i="3"/>
  <c r="AJ235" i="3"/>
  <c r="AJ236" i="3"/>
  <c r="AJ237" i="3"/>
  <c r="AJ238" i="3"/>
  <c r="AJ239" i="3"/>
  <c r="AJ240" i="3"/>
  <c r="AJ241" i="3"/>
  <c r="AJ242" i="3"/>
  <c r="AJ243" i="3"/>
  <c r="AJ244" i="3"/>
  <c r="AJ245" i="3"/>
  <c r="AJ246" i="3"/>
  <c r="AJ247" i="3"/>
  <c r="AJ248" i="3"/>
  <c r="AJ249" i="3"/>
  <c r="AJ900" i="3" l="1"/>
  <c r="AI900" i="3"/>
  <c r="AH900" i="3"/>
  <c r="AG900" i="3"/>
  <c r="AF900" i="3"/>
  <c r="AD900" i="3"/>
  <c r="AJ899" i="3"/>
  <c r="AI899" i="3"/>
  <c r="AH899" i="3"/>
  <c r="AG899" i="3"/>
  <c r="AF899" i="3"/>
  <c r="AD899" i="3"/>
  <c r="AJ898" i="3"/>
  <c r="AI898" i="3"/>
  <c r="AH898" i="3"/>
  <c r="AG898" i="3"/>
  <c r="AF898" i="3"/>
  <c r="AD898" i="3"/>
  <c r="AJ897" i="3"/>
  <c r="AI897" i="3"/>
  <c r="AH897" i="3"/>
  <c r="AG897" i="3"/>
  <c r="AF897" i="3"/>
  <c r="AD897" i="3"/>
  <c r="AJ896" i="3"/>
  <c r="AI896" i="3"/>
  <c r="AH896" i="3"/>
  <c r="AG896" i="3"/>
  <c r="AF896" i="3"/>
  <c r="AD896" i="3"/>
  <c r="AJ460" i="3"/>
  <c r="AI460" i="3"/>
  <c r="AH460" i="3"/>
  <c r="AG460" i="3"/>
  <c r="AF460" i="3"/>
  <c r="AD460" i="3"/>
  <c r="AJ442" i="3"/>
  <c r="AI442" i="3"/>
  <c r="AH442" i="3"/>
  <c r="AG442" i="3"/>
  <c r="AF442" i="3"/>
  <c r="AD442" i="3"/>
  <c r="AJ484" i="3"/>
  <c r="AH484" i="3"/>
  <c r="AF484" i="3"/>
  <c r="AD484" i="3"/>
  <c r="AJ935" i="3"/>
  <c r="AH935" i="3"/>
  <c r="AF935" i="3"/>
  <c r="AD935" i="3"/>
  <c r="AJ895" i="3"/>
  <c r="AI895" i="3"/>
  <c r="AH895" i="3"/>
  <c r="AG895" i="3"/>
  <c r="AF895" i="3"/>
  <c r="AD895" i="3"/>
  <c r="AJ492" i="3"/>
  <c r="AH492" i="3"/>
  <c r="AF492" i="3"/>
  <c r="AD492" i="3"/>
  <c r="AJ491" i="3"/>
  <c r="AH491" i="3"/>
  <c r="AF491" i="3"/>
  <c r="AD491" i="3"/>
  <c r="AJ182" i="3"/>
  <c r="AH182" i="3"/>
  <c r="AF182" i="3"/>
  <c r="AD182" i="3"/>
  <c r="AJ483" i="3"/>
  <c r="AH483" i="3"/>
  <c r="AF483" i="3"/>
  <c r="AD483" i="3"/>
  <c r="AJ976" i="3"/>
  <c r="AH976" i="3"/>
  <c r="AF976" i="3"/>
  <c r="AD976" i="3"/>
  <c r="AJ474" i="3"/>
  <c r="AH474" i="3"/>
  <c r="AF474" i="3"/>
  <c r="AD474" i="3"/>
  <c r="AJ117" i="3"/>
  <c r="AH117" i="3"/>
  <c r="AF117" i="3"/>
  <c r="AD117" i="3"/>
  <c r="AJ951" i="3"/>
  <c r="AH951" i="3"/>
  <c r="AF951" i="3"/>
  <c r="AD951" i="3"/>
  <c r="AJ426" i="3"/>
  <c r="AI426" i="3"/>
  <c r="AH426" i="3"/>
  <c r="AG426" i="3"/>
  <c r="AF426" i="3"/>
  <c r="AD426" i="3"/>
  <c r="AF570" i="3"/>
  <c r="AD570" i="3"/>
  <c r="AJ767" i="3"/>
  <c r="AI767" i="3"/>
  <c r="AH767" i="3"/>
  <c r="AG767" i="3"/>
  <c r="AF767" i="3"/>
  <c r="AD767" i="3"/>
  <c r="AJ841" i="3"/>
  <c r="AI841" i="3"/>
  <c r="AH841" i="3"/>
  <c r="AG841" i="3"/>
  <c r="AF841" i="3"/>
  <c r="AD841" i="3"/>
  <c r="AJ766" i="3"/>
  <c r="AI766" i="3"/>
  <c r="AH766" i="3"/>
  <c r="AG766" i="3"/>
  <c r="AF766" i="3"/>
  <c r="AD766" i="3"/>
  <c r="AJ765" i="3"/>
  <c r="AI765" i="3"/>
  <c r="AH765" i="3"/>
  <c r="AG765" i="3"/>
  <c r="AF765" i="3"/>
  <c r="AD765" i="3"/>
  <c r="AJ490" i="3"/>
  <c r="AH490" i="3"/>
  <c r="AF490" i="3"/>
  <c r="AD490" i="3"/>
  <c r="AJ489" i="3"/>
  <c r="AH489" i="3"/>
  <c r="AF489" i="3"/>
  <c r="AD489" i="3"/>
  <c r="AJ181" i="3"/>
  <c r="AH181" i="3"/>
  <c r="AF181" i="3"/>
  <c r="AD181" i="3"/>
  <c r="AJ985" i="3"/>
  <c r="AH985" i="3"/>
  <c r="AF985" i="3"/>
  <c r="AD985" i="3"/>
  <c r="AJ983" i="3"/>
  <c r="AH983" i="3"/>
  <c r="AF983" i="3"/>
  <c r="AD983" i="3"/>
  <c r="AJ482" i="3"/>
  <c r="AH482" i="3"/>
  <c r="AF482" i="3"/>
  <c r="AD482" i="3"/>
  <c r="AJ481" i="3"/>
  <c r="AH481" i="3"/>
  <c r="AF481" i="3"/>
  <c r="AD481" i="3"/>
  <c r="AJ480" i="3"/>
  <c r="AH480" i="3"/>
  <c r="AF480" i="3"/>
  <c r="AD480" i="3"/>
  <c r="AJ172" i="3"/>
  <c r="AH172" i="3"/>
  <c r="AF172" i="3"/>
  <c r="AD172" i="3"/>
  <c r="AJ975" i="3"/>
  <c r="AH975" i="3"/>
  <c r="AF975" i="3"/>
  <c r="AD975" i="3"/>
  <c r="AJ144" i="3"/>
  <c r="AH144" i="3"/>
  <c r="AF144" i="3"/>
  <c r="AD144" i="3"/>
  <c r="AJ134" i="3"/>
  <c r="AH134" i="3"/>
  <c r="AF134" i="3"/>
  <c r="AD134" i="3"/>
  <c r="AJ128" i="3"/>
  <c r="AH128" i="3"/>
  <c r="AF128" i="3"/>
  <c r="AD128" i="3"/>
  <c r="AJ473" i="3"/>
  <c r="AH473" i="3"/>
  <c r="AF473" i="3"/>
  <c r="AD473" i="3"/>
  <c r="AJ953" i="3"/>
  <c r="AH953" i="3"/>
  <c r="AF953" i="3"/>
  <c r="AD953" i="3"/>
  <c r="AJ116" i="3"/>
  <c r="AH116" i="3"/>
  <c r="AF116" i="3"/>
  <c r="AD116" i="3"/>
  <c r="AJ950" i="3"/>
  <c r="AH950" i="3"/>
  <c r="AF950" i="3"/>
  <c r="AD950" i="3"/>
  <c r="AJ108" i="3"/>
  <c r="AH108" i="3"/>
  <c r="AF108" i="3"/>
  <c r="AD108" i="3"/>
  <c r="AJ107" i="3"/>
  <c r="AH107" i="3"/>
  <c r="AF107" i="3"/>
  <c r="AD107" i="3"/>
  <c r="AJ104" i="3"/>
  <c r="AH104" i="3"/>
  <c r="AG104" i="3"/>
  <c r="AF104" i="3"/>
  <c r="AD104" i="3"/>
  <c r="AJ988" i="3"/>
  <c r="AH988" i="3"/>
  <c r="AF988" i="3"/>
  <c r="AD988" i="3"/>
  <c r="AJ93" i="3"/>
  <c r="AH93" i="3"/>
  <c r="AF93" i="3"/>
  <c r="AD93" i="3"/>
  <c r="AJ92" i="3"/>
  <c r="AH92" i="3"/>
  <c r="AF92" i="3"/>
  <c r="AD92" i="3"/>
  <c r="AJ87" i="3"/>
  <c r="AI87" i="3"/>
  <c r="AH87" i="3"/>
  <c r="AG87" i="3"/>
  <c r="AF87" i="3"/>
  <c r="AD87" i="3"/>
  <c r="AJ468" i="3"/>
  <c r="AH468" i="3"/>
  <c r="AF468" i="3"/>
  <c r="AD468" i="3"/>
  <c r="AJ84" i="3"/>
  <c r="AH84" i="3"/>
  <c r="AF84" i="3"/>
  <c r="AD84" i="3"/>
  <c r="AJ944" i="3"/>
  <c r="AI944" i="3"/>
  <c r="AH944" i="3"/>
  <c r="AG944" i="3"/>
  <c r="AF944" i="3"/>
  <c r="AD944" i="3"/>
  <c r="AJ943" i="3"/>
  <c r="AH943" i="3"/>
  <c r="AF943" i="3"/>
  <c r="AD943" i="3"/>
  <c r="AJ942" i="3"/>
  <c r="AH942" i="3"/>
  <c r="AF942" i="3"/>
  <c r="AD942" i="3"/>
  <c r="AJ934" i="3"/>
  <c r="AH934" i="3"/>
  <c r="AF934" i="3"/>
  <c r="AD934" i="3"/>
  <c r="AJ74" i="3"/>
  <c r="AH74" i="3"/>
  <c r="AF74" i="3"/>
  <c r="AD74" i="3"/>
  <c r="AJ66" i="3"/>
  <c r="AI66" i="3"/>
  <c r="AH66" i="3"/>
  <c r="AF66" i="3"/>
  <c r="AD66" i="3"/>
  <c r="AJ425" i="3"/>
  <c r="AI425" i="3"/>
  <c r="AH425" i="3"/>
  <c r="AG425" i="3"/>
  <c r="AF425" i="3"/>
  <c r="AD425" i="3"/>
  <c r="AJ1127" i="3"/>
  <c r="AI1127" i="3"/>
  <c r="AH1127" i="3"/>
  <c r="AG1127" i="3"/>
  <c r="AF1127" i="3"/>
  <c r="AD1127" i="3"/>
  <c r="AJ1126" i="3"/>
  <c r="AI1126" i="3"/>
  <c r="AH1126" i="3"/>
  <c r="AG1126" i="3"/>
  <c r="AF1126" i="3"/>
  <c r="AD1126" i="3"/>
  <c r="AJ816" i="3"/>
  <c r="AI816" i="3"/>
  <c r="AH816" i="3"/>
  <c r="AG816" i="3"/>
  <c r="AF816" i="3"/>
  <c r="AD816" i="3"/>
  <c r="AJ815" i="3"/>
  <c r="AI815" i="3"/>
  <c r="AH815" i="3"/>
  <c r="AG815" i="3"/>
  <c r="AF815" i="3"/>
  <c r="AD815" i="3"/>
  <c r="AJ814" i="3"/>
  <c r="AI814" i="3"/>
  <c r="AH814" i="3"/>
  <c r="AG814" i="3"/>
  <c r="AF814" i="3"/>
  <c r="AD814" i="3"/>
  <c r="AJ813" i="3"/>
  <c r="AI813" i="3"/>
  <c r="AH813" i="3"/>
  <c r="AG813" i="3"/>
  <c r="AF813" i="3"/>
  <c r="AD813" i="3"/>
  <c r="AJ812" i="3"/>
  <c r="AI812" i="3"/>
  <c r="AH812" i="3"/>
  <c r="AG812" i="3"/>
  <c r="AF812" i="3"/>
  <c r="AD812" i="3"/>
  <c r="AJ811" i="3"/>
  <c r="AI811" i="3"/>
  <c r="AH811" i="3"/>
  <c r="AG811" i="3"/>
  <c r="AF811" i="3"/>
  <c r="AD811" i="3"/>
  <c r="AJ810" i="3"/>
  <c r="AI810" i="3"/>
  <c r="AH810" i="3"/>
  <c r="AG810" i="3"/>
  <c r="AF810" i="3"/>
  <c r="AD810" i="3"/>
  <c r="AJ809" i="3"/>
  <c r="AI809" i="3"/>
  <c r="AH809" i="3"/>
  <c r="AG809" i="3"/>
  <c r="AF809" i="3"/>
  <c r="AD809" i="3"/>
  <c r="AJ807" i="3"/>
  <c r="AI807" i="3"/>
  <c r="AH807" i="3"/>
  <c r="AG807" i="3"/>
  <c r="AF807" i="3"/>
  <c r="AD807" i="3"/>
  <c r="AJ833" i="3"/>
  <c r="AI833" i="3"/>
  <c r="AH833" i="3"/>
  <c r="AG833" i="3"/>
  <c r="AF833" i="3"/>
  <c r="AD833" i="3"/>
  <c r="AJ832" i="3"/>
  <c r="AI832" i="3"/>
  <c r="AH832" i="3"/>
  <c r="AG832" i="3"/>
  <c r="AF832" i="3"/>
  <c r="AD832" i="3"/>
  <c r="AJ305" i="3"/>
  <c r="AI305" i="3"/>
  <c r="AH305" i="3"/>
  <c r="AG305" i="3"/>
  <c r="AF305" i="3"/>
  <c r="AD305" i="3"/>
  <c r="AJ840" i="3"/>
  <c r="AI840" i="3"/>
  <c r="AH840" i="3"/>
  <c r="AG840" i="3"/>
  <c r="AF840" i="3"/>
  <c r="AD840" i="3"/>
  <c r="AJ499" i="3"/>
  <c r="AI499" i="3"/>
  <c r="AH499" i="3"/>
  <c r="AG499" i="3"/>
  <c r="AF499" i="3"/>
  <c r="AD499" i="3"/>
  <c r="AJ338" i="3"/>
  <c r="AI338" i="3"/>
  <c r="AH338" i="3"/>
  <c r="AG338" i="3"/>
  <c r="AF338" i="3"/>
  <c r="AD338" i="3"/>
  <c r="AJ343" i="3"/>
  <c r="AI343" i="3"/>
  <c r="AH343" i="3"/>
  <c r="AG343" i="3"/>
  <c r="AF343" i="3"/>
  <c r="AD343" i="3"/>
  <c r="AJ764" i="3"/>
  <c r="AI764" i="3"/>
  <c r="AH764" i="3"/>
  <c r="AG764" i="3"/>
  <c r="AF764" i="3"/>
  <c r="AD764" i="3"/>
  <c r="AJ745" i="3"/>
  <c r="AI745" i="3"/>
  <c r="AH745" i="3"/>
  <c r="AG745" i="3"/>
  <c r="AF745" i="3"/>
  <c r="AD745" i="3"/>
  <c r="AJ738" i="3"/>
  <c r="AI738" i="3"/>
  <c r="AH738" i="3"/>
  <c r="AG738" i="3"/>
  <c r="AF738" i="3"/>
  <c r="AD738" i="3"/>
  <c r="AJ777" i="3"/>
  <c r="AI777" i="3"/>
  <c r="AH777" i="3"/>
  <c r="AG777" i="3"/>
  <c r="AF777" i="3"/>
  <c r="AD777" i="3"/>
  <c r="AJ355" i="3"/>
  <c r="AI355" i="3"/>
  <c r="AH355" i="3"/>
  <c r="AG355" i="3"/>
  <c r="AF355" i="3"/>
  <c r="AD355" i="3"/>
  <c r="AJ41" i="3"/>
  <c r="AI41" i="3"/>
  <c r="AH41" i="3"/>
  <c r="AG41" i="3"/>
  <c r="AF41" i="3"/>
  <c r="AD41" i="3"/>
  <c r="AJ40" i="3"/>
  <c r="AI40" i="3"/>
  <c r="AH40" i="3"/>
  <c r="AG40" i="3"/>
  <c r="AF40" i="3"/>
  <c r="AD40" i="3"/>
  <c r="AJ39" i="3"/>
  <c r="AI39" i="3"/>
  <c r="AH39" i="3"/>
  <c r="AG39" i="3"/>
  <c r="AF39" i="3"/>
  <c r="AD39" i="3"/>
  <c r="AJ38" i="3"/>
  <c r="AI38" i="3"/>
  <c r="AH38" i="3"/>
  <c r="AG38" i="3"/>
  <c r="AF38" i="3"/>
  <c r="AD38" i="3"/>
  <c r="AJ36" i="3"/>
  <c r="AI36" i="3"/>
  <c r="AH36" i="3"/>
  <c r="AG36" i="3"/>
  <c r="AF36" i="3"/>
  <c r="AD36" i="3"/>
  <c r="AJ34" i="3"/>
  <c r="AI34" i="3"/>
  <c r="AH34" i="3"/>
  <c r="AG34" i="3"/>
  <c r="AF34" i="3"/>
  <c r="AD34" i="3"/>
  <c r="AJ881" i="3"/>
  <c r="AI881" i="3"/>
  <c r="AH881" i="3"/>
  <c r="AG881" i="3"/>
  <c r="AF881" i="3"/>
  <c r="AD881" i="3"/>
  <c r="AJ867" i="3"/>
  <c r="AI867" i="3"/>
  <c r="AH867" i="3"/>
  <c r="AG867" i="3"/>
  <c r="AF867" i="3"/>
  <c r="AD867" i="3"/>
  <c r="AJ504" i="3"/>
  <c r="AI504" i="3"/>
  <c r="AH504" i="3"/>
  <c r="AG504" i="3"/>
  <c r="AF504" i="3"/>
  <c r="AD504" i="3"/>
  <c r="AJ543" i="3"/>
  <c r="AI543" i="3"/>
  <c r="AH543" i="3"/>
  <c r="AG543" i="3"/>
  <c r="AF543" i="3"/>
  <c r="AD543" i="3"/>
  <c r="AJ534" i="3"/>
  <c r="AI534" i="3"/>
  <c r="AH534" i="3"/>
  <c r="AG534" i="3"/>
  <c r="AF534" i="3"/>
  <c r="AD534" i="3"/>
  <c r="AJ620" i="3"/>
  <c r="AI620" i="3"/>
  <c r="AH620" i="3"/>
  <c r="AG620" i="3"/>
  <c r="AF620" i="3"/>
  <c r="AD620" i="3"/>
  <c r="AJ569" i="3"/>
  <c r="AI569" i="3"/>
  <c r="AH569" i="3"/>
  <c r="AG569" i="3"/>
  <c r="AF569" i="3"/>
  <c r="AD569" i="3"/>
  <c r="AJ568" i="3"/>
  <c r="AI568" i="3"/>
  <c r="AH568" i="3"/>
  <c r="AG568" i="3"/>
  <c r="AF568" i="3"/>
  <c r="AD568" i="3"/>
  <c r="AJ457" i="3"/>
  <c r="AI457" i="3"/>
  <c r="AH457" i="3"/>
  <c r="AG457" i="3"/>
  <c r="AF457" i="3"/>
  <c r="AD457" i="3"/>
  <c r="AJ456" i="3"/>
  <c r="AI456" i="3"/>
  <c r="AH456" i="3"/>
  <c r="AG456" i="3"/>
  <c r="AF456" i="3"/>
  <c r="AD456" i="3"/>
  <c r="AJ439" i="3"/>
  <c r="AI439" i="3"/>
  <c r="AH439" i="3"/>
  <c r="AG439" i="3"/>
  <c r="AF439" i="3"/>
  <c r="AD439" i="3"/>
  <c r="AJ438" i="3"/>
  <c r="AI438" i="3"/>
  <c r="AH438" i="3"/>
  <c r="AG438" i="3"/>
  <c r="AF438" i="3"/>
  <c r="AD438" i="3"/>
  <c r="AJ423" i="3"/>
  <c r="AI423" i="3"/>
  <c r="AH423" i="3"/>
  <c r="AG423" i="3"/>
  <c r="AF423" i="3"/>
  <c r="AD423" i="3"/>
  <c r="AJ421" i="3"/>
  <c r="AI421" i="3"/>
  <c r="AH421" i="3"/>
  <c r="AG421" i="3"/>
  <c r="AF421" i="3"/>
  <c r="AD421" i="3"/>
  <c r="AJ420" i="3"/>
  <c r="AI420" i="3"/>
  <c r="AH420" i="3"/>
  <c r="AG420" i="3"/>
  <c r="AF420" i="3"/>
  <c r="AD420" i="3"/>
  <c r="AJ397" i="3"/>
  <c r="AI397" i="3"/>
  <c r="AH397" i="3"/>
  <c r="AG397" i="3"/>
  <c r="AF397" i="3"/>
  <c r="AD397" i="3"/>
  <c r="AJ396" i="3"/>
  <c r="AI396" i="3"/>
  <c r="AH396" i="3"/>
  <c r="AG396" i="3"/>
  <c r="AF396" i="3"/>
  <c r="AD396" i="3"/>
  <c r="AJ559" i="3"/>
  <c r="AI559" i="3"/>
  <c r="AH559" i="3"/>
  <c r="AG559" i="3"/>
  <c r="AF559" i="3"/>
  <c r="AD559" i="3"/>
  <c r="AJ558" i="3"/>
  <c r="AI558" i="3"/>
  <c r="AH558" i="3"/>
  <c r="AG558" i="3"/>
  <c r="AF558" i="3"/>
  <c r="AD558" i="3"/>
  <c r="AA126" i="3"/>
  <c r="AA1010" i="3"/>
  <c r="AF1010" i="3" s="1"/>
  <c r="AA213" i="3"/>
  <c r="AA110" i="3"/>
  <c r="AA135" i="3"/>
  <c r="AA176" i="3"/>
  <c r="AI213" i="3" l="1"/>
  <c r="AG213" i="3"/>
  <c r="AG110" i="3"/>
  <c r="AI110" i="3"/>
  <c r="AI176" i="3"/>
  <c r="AG176" i="3"/>
  <c r="AI135" i="3"/>
  <c r="AG135" i="3"/>
  <c r="AG126" i="3"/>
  <c r="AI126" i="3"/>
  <c r="AJ126" i="3"/>
  <c r="AF126" i="3"/>
  <c r="AH126" i="3"/>
  <c r="AD126" i="3"/>
  <c r="AD1010" i="3"/>
  <c r="AJ193" i="3"/>
  <c r="AI193" i="3"/>
  <c r="AH193" i="3"/>
  <c r="AG193" i="3"/>
  <c r="AF193" i="3"/>
  <c r="AD193" i="3"/>
  <c r="AD183" i="3"/>
  <c r="AF183" i="3"/>
  <c r="AH183" i="3"/>
  <c r="AJ183" i="3"/>
  <c r="AD493" i="3"/>
  <c r="AF493" i="3"/>
  <c r="AH493" i="3"/>
  <c r="AJ493" i="3"/>
  <c r="AA95" i="3"/>
  <c r="AA404" i="3"/>
  <c r="AA403" i="3"/>
  <c r="AJ204" i="3"/>
  <c r="AI204" i="3"/>
  <c r="AH204" i="3"/>
  <c r="AG204" i="3"/>
  <c r="AF204" i="3"/>
  <c r="AD204" i="3"/>
  <c r="AJ1011" i="3"/>
  <c r="AH1011" i="3"/>
  <c r="AF1011" i="3"/>
  <c r="AD1011" i="3"/>
  <c r="AJ1007" i="3"/>
  <c r="AI1007" i="3"/>
  <c r="AH1007" i="3"/>
  <c r="AG1007" i="3"/>
  <c r="AF1007" i="3"/>
  <c r="AD1007" i="3"/>
  <c r="AJ1006" i="3"/>
  <c r="AI1006" i="3"/>
  <c r="AH1006" i="3"/>
  <c r="AG1006" i="3"/>
  <c r="AF1006" i="3"/>
  <c r="AD1006" i="3"/>
  <c r="P945" i="3"/>
  <c r="AC221" i="3"/>
  <c r="AB221" i="3"/>
  <c r="AA221" i="3"/>
  <c r="AA1009" i="3"/>
  <c r="AA208" i="3"/>
  <c r="AA180" i="3"/>
  <c r="AA140" i="3"/>
  <c r="AA91" i="3"/>
  <c r="AA82" i="3"/>
  <c r="AA81" i="3"/>
  <c r="AJ1013" i="3"/>
  <c r="AH1013" i="3"/>
  <c r="AF1013" i="3"/>
  <c r="AD1013" i="3"/>
  <c r="AJ1012" i="3"/>
  <c r="AH1012" i="3"/>
  <c r="AF1012" i="3"/>
  <c r="AD1012" i="3"/>
  <c r="AJ1008" i="3"/>
  <c r="AI1008" i="3"/>
  <c r="AH1008" i="3"/>
  <c r="AG1008" i="3"/>
  <c r="AF1008" i="3"/>
  <c r="AD1008" i="3"/>
  <c r="AJ201" i="3"/>
  <c r="AI201" i="3"/>
  <c r="AJ200" i="3"/>
  <c r="AI200" i="3"/>
  <c r="AJ199" i="3"/>
  <c r="AI199" i="3"/>
  <c r="AJ198" i="3"/>
  <c r="AI198" i="3"/>
  <c r="AJ197" i="3"/>
  <c r="AI197" i="3"/>
  <c r="AJ196" i="3"/>
  <c r="AI196" i="3"/>
  <c r="AJ195" i="3"/>
  <c r="AI195" i="3"/>
  <c r="AJ194" i="3"/>
  <c r="AI194" i="3"/>
  <c r="AJ192" i="3"/>
  <c r="AI192" i="3"/>
  <c r="AJ191" i="3"/>
  <c r="AI191" i="3"/>
  <c r="AJ190" i="3"/>
  <c r="AI190" i="3"/>
  <c r="AJ189" i="3"/>
  <c r="AI189" i="3"/>
  <c r="AJ188" i="3"/>
  <c r="AI188" i="3"/>
  <c r="AH201" i="3"/>
  <c r="AH200" i="3"/>
  <c r="AH199" i="3"/>
  <c r="AH198" i="3"/>
  <c r="AH197" i="3"/>
  <c r="AH196" i="3"/>
  <c r="AH195" i="3"/>
  <c r="AH194" i="3"/>
  <c r="AH192" i="3"/>
  <c r="AH191" i="3"/>
  <c r="AH190" i="3"/>
  <c r="AH189" i="3"/>
  <c r="AH188" i="3"/>
  <c r="AG201" i="3"/>
  <c r="AG200" i="3"/>
  <c r="AG199" i="3"/>
  <c r="AG198" i="3"/>
  <c r="AG197" i="3"/>
  <c r="AG196" i="3"/>
  <c r="AG195" i="3"/>
  <c r="AG194" i="3"/>
  <c r="AG192" i="3"/>
  <c r="AG191" i="3"/>
  <c r="AG190" i="3"/>
  <c r="AG189" i="3"/>
  <c r="AG188" i="3"/>
  <c r="AF201" i="3"/>
  <c r="AF200" i="3"/>
  <c r="AF199" i="3"/>
  <c r="AF198" i="3"/>
  <c r="AF197" i="3"/>
  <c r="AF196" i="3"/>
  <c r="AF195" i="3"/>
  <c r="AF194" i="3"/>
  <c r="AF192" i="3"/>
  <c r="AF191" i="3"/>
  <c r="AF190" i="3"/>
  <c r="AF189" i="3"/>
  <c r="AF188" i="3"/>
  <c r="AD201" i="3"/>
  <c r="AD200" i="3"/>
  <c r="AD199" i="3"/>
  <c r="AD198" i="3"/>
  <c r="AD197" i="3"/>
  <c r="AD196" i="3"/>
  <c r="AD195" i="3"/>
  <c r="AD194" i="3"/>
  <c r="AD192" i="3"/>
  <c r="AD191" i="3"/>
  <c r="AD190" i="3"/>
  <c r="AD189" i="3"/>
  <c r="AD188" i="3"/>
  <c r="AA67" i="3"/>
  <c r="AA94" i="3"/>
  <c r="P203" i="3"/>
  <c r="AA203" i="3" s="1"/>
  <c r="AJ203" i="3" s="1"/>
  <c r="AD220" i="3"/>
  <c r="AF220" i="3"/>
  <c r="AH220" i="3"/>
  <c r="AJ220" i="3"/>
  <c r="P83" i="3"/>
  <c r="AA83" i="3" s="1"/>
  <c r="AA70" i="3"/>
  <c r="AC1010" i="3"/>
  <c r="AH1010" i="3" s="1"/>
  <c r="AC741" i="3"/>
  <c r="P75" i="3"/>
  <c r="AA75" i="3" s="1"/>
  <c r="P69" i="3"/>
  <c r="AA69" i="3" s="1"/>
  <c r="AA160" i="3"/>
  <c r="AA836" i="3"/>
  <c r="AA339" i="3"/>
  <c r="AA427" i="3"/>
  <c r="AA408" i="3"/>
  <c r="AA407" i="3"/>
  <c r="AA406" i="3"/>
  <c r="AA405" i="3"/>
  <c r="AA945" i="3"/>
  <c r="AA479" i="3"/>
  <c r="AA132" i="3"/>
  <c r="AA127" i="3"/>
  <c r="AA115" i="3"/>
  <c r="AA949" i="3"/>
  <c r="AA106" i="3"/>
  <c r="AA105" i="3"/>
  <c r="AA987" i="3"/>
  <c r="AA86" i="3"/>
  <c r="AD121" i="3"/>
  <c r="AD71" i="3"/>
  <c r="AA991" i="3"/>
  <c r="AB941" i="3"/>
  <c r="AB995" i="3"/>
  <c r="AB994" i="3"/>
  <c r="AB993" i="3"/>
  <c r="AB992" i="3"/>
  <c r="AB991" i="3"/>
  <c r="AB488" i="3"/>
  <c r="AB487" i="3"/>
  <c r="AB179" i="3"/>
  <c r="AB981" i="3"/>
  <c r="AB980" i="3"/>
  <c r="AB979" i="3"/>
  <c r="AB978" i="3"/>
  <c r="AB171" i="3"/>
  <c r="AB170" i="3"/>
  <c r="AB973" i="3"/>
  <c r="AB972" i="3"/>
  <c r="AB971" i="3"/>
  <c r="AB143" i="3"/>
  <c r="AB139" i="3"/>
  <c r="AB138" i="3"/>
  <c r="AB131" i="3"/>
  <c r="AB130" i="3"/>
  <c r="AB124" i="3"/>
  <c r="AB123" i="3"/>
  <c r="AB122" i="3"/>
  <c r="AB472" i="3"/>
  <c r="AB952" i="3"/>
  <c r="AB113" i="3"/>
  <c r="AB948" i="3"/>
  <c r="AB947" i="3"/>
  <c r="AB986" i="3"/>
  <c r="AB88" i="3"/>
  <c r="AB85" i="3"/>
  <c r="AB467" i="3"/>
  <c r="AB80" i="3"/>
  <c r="AB79" i="3"/>
  <c r="AB78" i="3"/>
  <c r="AB77" i="3"/>
  <c r="AB940" i="3"/>
  <c r="AB933" i="3"/>
  <c r="AB72" i="3"/>
  <c r="AB65" i="3"/>
  <c r="AB64" i="3"/>
  <c r="AC941" i="3"/>
  <c r="AC995" i="3"/>
  <c r="AC994" i="3"/>
  <c r="AC993" i="3"/>
  <c r="AC992" i="3"/>
  <c r="AC991" i="3"/>
  <c r="AC488" i="3"/>
  <c r="AC487" i="3"/>
  <c r="AC179" i="3"/>
  <c r="AC981" i="3"/>
  <c r="AC980" i="3"/>
  <c r="AC979" i="3"/>
  <c r="AC978" i="3"/>
  <c r="AC171" i="3"/>
  <c r="AC170" i="3"/>
  <c r="AC973" i="3"/>
  <c r="AC972" i="3"/>
  <c r="AC971" i="3"/>
  <c r="AC143" i="3"/>
  <c r="AC139" i="3"/>
  <c r="AC138" i="3"/>
  <c r="AC131" i="3"/>
  <c r="AC130" i="3"/>
  <c r="AC124" i="3"/>
  <c r="AC123" i="3"/>
  <c r="AC122" i="3"/>
  <c r="AC472" i="3"/>
  <c r="AC952" i="3"/>
  <c r="AC113" i="3"/>
  <c r="AC948" i="3"/>
  <c r="AC947" i="3"/>
  <c r="AC986" i="3"/>
  <c r="AC88" i="3"/>
  <c r="AC85" i="3"/>
  <c r="AC467" i="3"/>
  <c r="AC80" i="3"/>
  <c r="AC79" i="3"/>
  <c r="AC78" i="3"/>
  <c r="AC77" i="3"/>
  <c r="AC940" i="3"/>
  <c r="AC933" i="3"/>
  <c r="AC72" i="3"/>
  <c r="AC65" i="3"/>
  <c r="AC64" i="3"/>
  <c r="AA941" i="3"/>
  <c r="AA995" i="3"/>
  <c r="AD995" i="3" s="1"/>
  <c r="AA994" i="3"/>
  <c r="AD994" i="3" s="1"/>
  <c r="AA993" i="3"/>
  <c r="AD993" i="3" s="1"/>
  <c r="AA992" i="3"/>
  <c r="AD992" i="3" s="1"/>
  <c r="AA488" i="3"/>
  <c r="AA487" i="3"/>
  <c r="AA179" i="3"/>
  <c r="AA981" i="3"/>
  <c r="AA980" i="3"/>
  <c r="AA979" i="3"/>
  <c r="AA978" i="3"/>
  <c r="AA170" i="3"/>
  <c r="AA139" i="3"/>
  <c r="AA138" i="3"/>
  <c r="AA131" i="3"/>
  <c r="AA130" i="3"/>
  <c r="AA124" i="3"/>
  <c r="AA123" i="3"/>
  <c r="AA122" i="3"/>
  <c r="AA472" i="3"/>
  <c r="AA952" i="3"/>
  <c r="AA113" i="3"/>
  <c r="AA948" i="3"/>
  <c r="AA947" i="3"/>
  <c r="AA986" i="3"/>
  <c r="AA88" i="3"/>
  <c r="AA85" i="3"/>
  <c r="AA467" i="3"/>
  <c r="AA80" i="3"/>
  <c r="AA79" i="3"/>
  <c r="AA78" i="3"/>
  <c r="AA77" i="3"/>
  <c r="AA940" i="3"/>
  <c r="AA933" i="3"/>
  <c r="AA72" i="3"/>
  <c r="AA65" i="3"/>
  <c r="AA64" i="3"/>
  <c r="AB471" i="3"/>
  <c r="AA471" i="3"/>
  <c r="AA946" i="3"/>
  <c r="AA939" i="3"/>
  <c r="AA485" i="3"/>
  <c r="AA990" i="3"/>
  <c r="AA938" i="3"/>
  <c r="AA937" i="3"/>
  <c r="AA428" i="3"/>
  <c r="AB946" i="3"/>
  <c r="AB939" i="3"/>
  <c r="AB540" i="3"/>
  <c r="AB485" i="3"/>
  <c r="AB990" i="3"/>
  <c r="AB938" i="3"/>
  <c r="AB937" i="3"/>
  <c r="AB428" i="3"/>
  <c r="AC471" i="3"/>
  <c r="AC946" i="3"/>
  <c r="AC939" i="3"/>
  <c r="AC540" i="3"/>
  <c r="AC485" i="3"/>
  <c r="AC990" i="3"/>
  <c r="AC938" i="3"/>
  <c r="AC937" i="3"/>
  <c r="AC428" i="3"/>
  <c r="AC216" i="3"/>
  <c r="AC215" i="3"/>
  <c r="AC211" i="3"/>
  <c r="AC210" i="3"/>
  <c r="AC209" i="3"/>
  <c r="AC206" i="3"/>
  <c r="AC1009" i="3"/>
  <c r="AC1003" i="3"/>
  <c r="AB216" i="3"/>
  <c r="AB215" i="3"/>
  <c r="AB211" i="3"/>
  <c r="AB210" i="3"/>
  <c r="AB209" i="3"/>
  <c r="AB206" i="3"/>
  <c r="AB1009" i="3"/>
  <c r="AB1003" i="3"/>
  <c r="AA216" i="3"/>
  <c r="AA215" i="3"/>
  <c r="AA211" i="3"/>
  <c r="AA210" i="3"/>
  <c r="AA209" i="3"/>
  <c r="AA206" i="3"/>
  <c r="AC932" i="3"/>
  <c r="AC475" i="3"/>
  <c r="AC476" i="3"/>
  <c r="AC477" i="3"/>
  <c r="AB932" i="3"/>
  <c r="AB475" i="3"/>
  <c r="AB476" i="3"/>
  <c r="AB477" i="3"/>
  <c r="AA932" i="3"/>
  <c r="AA475" i="3"/>
  <c r="AA476" i="3"/>
  <c r="AA477" i="3"/>
  <c r="AD72" i="3" l="1"/>
  <c r="AD78" i="3"/>
  <c r="AD85" i="3"/>
  <c r="AD122" i="3"/>
  <c r="AD208" i="3"/>
  <c r="AI208" i="3"/>
  <c r="AG208" i="3"/>
  <c r="AD941" i="3"/>
  <c r="AG941" i="3"/>
  <c r="AI941" i="3"/>
  <c r="AI140" i="3"/>
  <c r="AG140" i="3"/>
  <c r="AG95" i="3"/>
  <c r="AI95" i="3"/>
  <c r="AG987" i="3"/>
  <c r="AI987" i="3"/>
  <c r="AG115" i="3"/>
  <c r="AI115" i="3"/>
  <c r="AI945" i="3"/>
  <c r="AG945" i="3"/>
  <c r="AG81" i="3"/>
  <c r="AI81" i="3"/>
  <c r="AD180" i="3"/>
  <c r="AI180" i="3"/>
  <c r="AG180" i="3"/>
  <c r="AG479" i="3"/>
  <c r="AI479" i="3"/>
  <c r="AI67" i="3"/>
  <c r="AG67" i="3"/>
  <c r="AI105" i="3"/>
  <c r="AG105" i="3"/>
  <c r="AI127" i="3"/>
  <c r="AG127" i="3"/>
  <c r="AG69" i="3"/>
  <c r="AI69" i="3"/>
  <c r="AI70" i="3"/>
  <c r="AG70" i="3"/>
  <c r="AG82" i="3"/>
  <c r="AI82" i="3"/>
  <c r="AG403" i="3"/>
  <c r="AI403" i="3"/>
  <c r="AG949" i="3"/>
  <c r="AI949" i="3"/>
  <c r="AG106" i="3"/>
  <c r="AI106" i="3"/>
  <c r="AG132" i="3"/>
  <c r="AI132" i="3"/>
  <c r="AG75" i="3"/>
  <c r="AI75" i="3"/>
  <c r="AG83" i="3"/>
  <c r="AI83" i="3"/>
  <c r="AG94" i="3"/>
  <c r="AI94" i="3"/>
  <c r="AF91" i="3"/>
  <c r="AG91" i="3"/>
  <c r="AI91" i="3"/>
  <c r="AI404" i="3"/>
  <c r="AG404" i="3"/>
  <c r="AF140" i="3"/>
  <c r="AD81" i="3"/>
  <c r="AD82" i="3"/>
  <c r="AD179" i="3"/>
  <c r="AD978" i="3"/>
  <c r="AD948" i="3"/>
  <c r="AD131" i="3"/>
  <c r="AJ1010" i="3"/>
  <c r="AI1010" i="3"/>
  <c r="AD933" i="3"/>
  <c r="AD79" i="3"/>
  <c r="AD88" i="3"/>
  <c r="AD113" i="3"/>
  <c r="AD123" i="3"/>
  <c r="AD138" i="3"/>
  <c r="AG1010" i="3"/>
  <c r="AD981" i="3"/>
  <c r="AJ987" i="3"/>
  <c r="AF987" i="3"/>
  <c r="AH987" i="3"/>
  <c r="AD987" i="3"/>
  <c r="AH115" i="3"/>
  <c r="AJ115" i="3"/>
  <c r="AD115" i="3"/>
  <c r="AF115" i="3"/>
  <c r="AH404" i="3"/>
  <c r="AJ404" i="3"/>
  <c r="AF404" i="3"/>
  <c r="AD404" i="3"/>
  <c r="AH105" i="3"/>
  <c r="AJ105" i="3"/>
  <c r="AF105" i="3"/>
  <c r="AD105" i="3"/>
  <c r="AH127" i="3"/>
  <c r="AJ127" i="3"/>
  <c r="AD127" i="3"/>
  <c r="AF127" i="3"/>
  <c r="AJ95" i="3"/>
  <c r="AF95" i="3"/>
  <c r="AD95" i="3"/>
  <c r="AH95" i="3"/>
  <c r="AH106" i="3"/>
  <c r="AF106" i="3"/>
  <c r="AJ106" i="3"/>
  <c r="AD106" i="3"/>
  <c r="AH132" i="3"/>
  <c r="AF132" i="3"/>
  <c r="AD132" i="3"/>
  <c r="AJ132" i="3"/>
  <c r="AH83" i="3"/>
  <c r="AJ83" i="3"/>
  <c r="AF83" i="3"/>
  <c r="AD83" i="3"/>
  <c r="AH94" i="3"/>
  <c r="AJ94" i="3"/>
  <c r="AF94" i="3"/>
  <c r="AD94" i="3"/>
  <c r="AJ86" i="3"/>
  <c r="AF86" i="3"/>
  <c r="AH86" i="3"/>
  <c r="AI86" i="3"/>
  <c r="AG86" i="3"/>
  <c r="AD86" i="3"/>
  <c r="AJ949" i="3"/>
  <c r="AF949" i="3"/>
  <c r="AD949" i="3"/>
  <c r="AH949" i="3"/>
  <c r="AJ479" i="3"/>
  <c r="AF479" i="3"/>
  <c r="AD479" i="3"/>
  <c r="AH479" i="3"/>
  <c r="AJ67" i="3"/>
  <c r="AF67" i="3"/>
  <c r="AD67" i="3"/>
  <c r="AH67" i="3"/>
  <c r="AJ403" i="3"/>
  <c r="AF403" i="3"/>
  <c r="AD403" i="3"/>
  <c r="AH403" i="3"/>
  <c r="AD979" i="3"/>
  <c r="AD487" i="3"/>
  <c r="AD64" i="3"/>
  <c r="AD940" i="3"/>
  <c r="AD80" i="3"/>
  <c r="AD986" i="3"/>
  <c r="AD952" i="3"/>
  <c r="AD124" i="3"/>
  <c r="AD139" i="3"/>
  <c r="AD65" i="3"/>
  <c r="AD77" i="3"/>
  <c r="AD467" i="3"/>
  <c r="AD947" i="3"/>
  <c r="AD472" i="3"/>
  <c r="AD130" i="3"/>
  <c r="AD170" i="3"/>
  <c r="AD980" i="3"/>
  <c r="AD488" i="3"/>
  <c r="AD991" i="3"/>
  <c r="AH1009" i="3"/>
  <c r="AD221" i="3"/>
  <c r="AG221" i="3"/>
  <c r="AJ221" i="3"/>
  <c r="AF221" i="3"/>
  <c r="AH221" i="3"/>
  <c r="AI221" i="3"/>
  <c r="AF1009" i="3"/>
  <c r="AG1009" i="3"/>
  <c r="AI1009" i="3"/>
  <c r="AD1009" i="3"/>
  <c r="AJ1009" i="3"/>
  <c r="AF180" i="3"/>
  <c r="AF82" i="3"/>
  <c r="AF81" i="3"/>
  <c r="AD91" i="3"/>
  <c r="AD140" i="3"/>
  <c r="AG203" i="3"/>
  <c r="AH203" i="3"/>
  <c r="AD203" i="3"/>
  <c r="AI203" i="3"/>
  <c r="AF203" i="3"/>
  <c r="AJ494" i="3"/>
  <c r="AJ184" i="3"/>
  <c r="AH494" i="3"/>
  <c r="AH184" i="3"/>
  <c r="AF494" i="3"/>
  <c r="AF184" i="3"/>
  <c r="AD494" i="3"/>
  <c r="AD184" i="3"/>
  <c r="AH406" i="3"/>
  <c r="AA470" i="3"/>
  <c r="AA90" i="3"/>
  <c r="AA136" i="3"/>
  <c r="AA218" i="3"/>
  <c r="AI218" i="3" s="1"/>
  <c r="AA217" i="3"/>
  <c r="AG217" i="3" s="1"/>
  <c r="AA212" i="3"/>
  <c r="AG212" i="3" s="1"/>
  <c r="AA1002" i="3"/>
  <c r="AG1002" i="3" s="1"/>
  <c r="AA984" i="3"/>
  <c r="AA177" i="3"/>
  <c r="AA977" i="3"/>
  <c r="AA129" i="3"/>
  <c r="AA112" i="3"/>
  <c r="AA111" i="3"/>
  <c r="AA989" i="3"/>
  <c r="AA118" i="3"/>
  <c r="AA207" i="3"/>
  <c r="AI207" i="3" s="1"/>
  <c r="AA205" i="3"/>
  <c r="AI205" i="3" s="1"/>
  <c r="AA202" i="3"/>
  <c r="AA496" i="3"/>
  <c r="AA495" i="3"/>
  <c r="AA187" i="3"/>
  <c r="AA186" i="3"/>
  <c r="AA486" i="3"/>
  <c r="AA103" i="3"/>
  <c r="AA102" i="3"/>
  <c r="AG103" i="3" l="1"/>
  <c r="AI103" i="3"/>
  <c r="AI112" i="3"/>
  <c r="AG112" i="3"/>
  <c r="AI118" i="3"/>
  <c r="AG118" i="3"/>
  <c r="AI129" i="3"/>
  <c r="AG129" i="3"/>
  <c r="AG136" i="3"/>
  <c r="AI136" i="3"/>
  <c r="AI984" i="3"/>
  <c r="AG984" i="3"/>
  <c r="AI186" i="3"/>
  <c r="AG186" i="3"/>
  <c r="AI989" i="3"/>
  <c r="AG989" i="3"/>
  <c r="AI977" i="3"/>
  <c r="AG977" i="3"/>
  <c r="AG102" i="3"/>
  <c r="AI102" i="3"/>
  <c r="AG187" i="3"/>
  <c r="AI187" i="3"/>
  <c r="AI111" i="3"/>
  <c r="AG111" i="3"/>
  <c r="AI177" i="3"/>
  <c r="AG177" i="3"/>
  <c r="AH118" i="3"/>
  <c r="AJ118" i="3"/>
  <c r="AF118" i="3"/>
  <c r="AD118" i="3"/>
  <c r="AG202" i="3"/>
  <c r="AH202" i="3"/>
  <c r="AJ202" i="3"/>
  <c r="AF202" i="3"/>
  <c r="AI202" i="3"/>
  <c r="AD202" i="3"/>
  <c r="AJ406" i="3"/>
  <c r="AG218" i="3"/>
  <c r="AI1002" i="3"/>
  <c r="AI212" i="3"/>
  <c r="AI217" i="3"/>
  <c r="AG205" i="3"/>
  <c r="AG207" i="3"/>
  <c r="AD205" i="3"/>
  <c r="AD206" i="3"/>
  <c r="AD207" i="3"/>
  <c r="AD209" i="3"/>
  <c r="AD210" i="3"/>
  <c r="AD211" i="3"/>
  <c r="AD212" i="3"/>
  <c r="AD213" i="3"/>
  <c r="AD214" i="3"/>
  <c r="AD215" i="3"/>
  <c r="AD216" i="3"/>
  <c r="AD217" i="3"/>
  <c r="AD218" i="3"/>
  <c r="AD219" i="3"/>
  <c r="AF205" i="3"/>
  <c r="AF206" i="3"/>
  <c r="AF207" i="3"/>
  <c r="AF208" i="3"/>
  <c r="AF209" i="3"/>
  <c r="AF210" i="3"/>
  <c r="AF211" i="3"/>
  <c r="AF212" i="3"/>
  <c r="AF213" i="3"/>
  <c r="AF214" i="3"/>
  <c r="AF215" i="3"/>
  <c r="AF216" i="3"/>
  <c r="AF217" i="3"/>
  <c r="AF218" i="3"/>
  <c r="AF219" i="3"/>
  <c r="AG206" i="3"/>
  <c r="AG209" i="3"/>
  <c r="AG210" i="3"/>
  <c r="AG211" i="3"/>
  <c r="AG214" i="3"/>
  <c r="AG215" i="3"/>
  <c r="AG216" i="3"/>
  <c r="AG219" i="3"/>
  <c r="AH205" i="3"/>
  <c r="AH206" i="3"/>
  <c r="AH207" i="3"/>
  <c r="AH208" i="3"/>
  <c r="AH209" i="3"/>
  <c r="AH210" i="3"/>
  <c r="AH211" i="3"/>
  <c r="AH212" i="3"/>
  <c r="AH213" i="3"/>
  <c r="AH214" i="3"/>
  <c r="AH215" i="3"/>
  <c r="AH216" i="3"/>
  <c r="AH217" i="3"/>
  <c r="AH218" i="3"/>
  <c r="AH219" i="3"/>
  <c r="AI206" i="3"/>
  <c r="AI209" i="3"/>
  <c r="AI210" i="3"/>
  <c r="AI211" i="3"/>
  <c r="AI214" i="3"/>
  <c r="AI215" i="3"/>
  <c r="AI216" i="3"/>
  <c r="AI219" i="3"/>
  <c r="AJ205" i="3"/>
  <c r="AJ206" i="3"/>
  <c r="AJ207" i="3"/>
  <c r="AJ208" i="3"/>
  <c r="AJ209" i="3"/>
  <c r="AJ210" i="3"/>
  <c r="AJ211" i="3"/>
  <c r="AJ212" i="3"/>
  <c r="AJ213" i="3"/>
  <c r="AJ214" i="3"/>
  <c r="AJ215" i="3"/>
  <c r="AJ216" i="3"/>
  <c r="AJ217" i="3"/>
  <c r="AJ218" i="3"/>
  <c r="AJ219" i="3"/>
  <c r="AA76" i="3" l="1"/>
  <c r="AA96" i="3"/>
  <c r="AA97" i="3"/>
  <c r="AA98" i="3"/>
  <c r="AA99" i="3"/>
  <c r="AA100" i="3"/>
  <c r="AA120" i="3"/>
  <c r="AA185" i="3"/>
  <c r="AC427" i="3"/>
  <c r="AC408" i="3"/>
  <c r="AC407" i="3"/>
  <c r="AC405" i="3"/>
  <c r="AB427" i="3"/>
  <c r="AB408" i="3"/>
  <c r="AB407" i="3"/>
  <c r="AB405" i="3"/>
  <c r="AA1005" i="3"/>
  <c r="P1003" i="3"/>
  <c r="AA1003" i="3" s="1"/>
  <c r="AF1003" i="3" s="1"/>
  <c r="AD1004" i="3"/>
  <c r="AF1004" i="3"/>
  <c r="AG1004" i="3"/>
  <c r="AH1004" i="3"/>
  <c r="AI1004" i="3"/>
  <c r="AJ1004" i="3"/>
  <c r="AD1002" i="3"/>
  <c r="AF1002" i="3"/>
  <c r="AH1002" i="3"/>
  <c r="AJ1002" i="3"/>
  <c r="AD1001" i="3"/>
  <c r="AF1001" i="3"/>
  <c r="AG1001" i="3"/>
  <c r="AH1001" i="3"/>
  <c r="AI1001" i="3"/>
  <c r="AJ1001" i="3"/>
  <c r="AD1000" i="3"/>
  <c r="AF1000" i="3"/>
  <c r="AG1000" i="3"/>
  <c r="AH1000" i="3"/>
  <c r="AI1000" i="3"/>
  <c r="AJ1000" i="3"/>
  <c r="AD999" i="3"/>
  <c r="AF999" i="3"/>
  <c r="AG999" i="3"/>
  <c r="AH999" i="3"/>
  <c r="AI999" i="3"/>
  <c r="AJ999" i="3"/>
  <c r="AD998" i="3"/>
  <c r="AF998" i="3"/>
  <c r="AG998" i="3"/>
  <c r="AH998" i="3"/>
  <c r="AI998" i="3"/>
  <c r="AJ998" i="3"/>
  <c r="P996" i="3"/>
  <c r="AA996" i="3" s="1"/>
  <c r="AF995" i="3"/>
  <c r="AG995" i="3"/>
  <c r="AH995" i="3"/>
  <c r="AI995" i="3"/>
  <c r="AJ995" i="3"/>
  <c r="AF994" i="3"/>
  <c r="AG994" i="3"/>
  <c r="AH994" i="3"/>
  <c r="AI994" i="3"/>
  <c r="AJ994" i="3"/>
  <c r="AF993" i="3"/>
  <c r="AG993" i="3"/>
  <c r="AH993" i="3"/>
  <c r="AI993" i="3"/>
  <c r="AJ993" i="3"/>
  <c r="AF992" i="3"/>
  <c r="AG992" i="3"/>
  <c r="AH992" i="3"/>
  <c r="AI992" i="3"/>
  <c r="AJ992" i="3"/>
  <c r="AF991" i="3"/>
  <c r="AG991" i="3"/>
  <c r="AH991" i="3"/>
  <c r="AI991" i="3"/>
  <c r="AJ991" i="3"/>
  <c r="P997" i="3"/>
  <c r="AA997" i="3" s="1"/>
  <c r="AF488" i="3"/>
  <c r="AG488" i="3"/>
  <c r="AH488" i="3"/>
  <c r="AI488" i="3"/>
  <c r="AJ488" i="3"/>
  <c r="AD496" i="3"/>
  <c r="AF496" i="3"/>
  <c r="AG496" i="3"/>
  <c r="AH496" i="3"/>
  <c r="AI496" i="3"/>
  <c r="AJ496" i="3"/>
  <c r="AF487" i="3"/>
  <c r="AG487" i="3"/>
  <c r="AH487" i="3"/>
  <c r="AI487" i="3"/>
  <c r="AJ487" i="3"/>
  <c r="AD495" i="3"/>
  <c r="AF495" i="3"/>
  <c r="AG495" i="3"/>
  <c r="AH495" i="3"/>
  <c r="AI495" i="3"/>
  <c r="AJ495" i="3"/>
  <c r="AD187" i="3"/>
  <c r="AF187" i="3"/>
  <c r="AH187" i="3"/>
  <c r="AJ187" i="3"/>
  <c r="AD186" i="3"/>
  <c r="AF186" i="3"/>
  <c r="AH186" i="3"/>
  <c r="AJ186" i="3"/>
  <c r="AF179" i="3"/>
  <c r="AG179" i="3"/>
  <c r="AH179" i="3"/>
  <c r="AI179" i="3"/>
  <c r="AJ179" i="3"/>
  <c r="AH180" i="3"/>
  <c r="AJ180" i="3"/>
  <c r="AG98" i="3" l="1"/>
  <c r="AI98" i="3"/>
  <c r="AD997" i="3"/>
  <c r="AG997" i="3"/>
  <c r="AI997" i="3"/>
  <c r="AG120" i="3"/>
  <c r="AI120" i="3"/>
  <c r="AI97" i="3"/>
  <c r="AG97" i="3"/>
  <c r="AI100" i="3"/>
  <c r="AG100" i="3"/>
  <c r="AI96" i="3"/>
  <c r="AG96" i="3"/>
  <c r="AI185" i="3"/>
  <c r="AG185" i="3"/>
  <c r="AI996" i="3"/>
  <c r="AG996" i="3"/>
  <c r="AG99" i="3"/>
  <c r="AI99" i="3"/>
  <c r="AI76" i="3"/>
  <c r="AG76" i="3"/>
  <c r="AJ996" i="3"/>
  <c r="AF996" i="3"/>
  <c r="AD996" i="3"/>
  <c r="AH996" i="3"/>
  <c r="AI1003" i="3"/>
  <c r="AG1003" i="3"/>
  <c r="AF997" i="3"/>
  <c r="AJ1003" i="3"/>
  <c r="AD1003" i="3"/>
  <c r="AI1005" i="3"/>
  <c r="AD1005" i="3"/>
  <c r="AJ1005" i="3"/>
  <c r="AF1005" i="3"/>
  <c r="AH1005" i="3"/>
  <c r="AG1005" i="3"/>
  <c r="AJ997" i="3"/>
  <c r="AH997" i="3"/>
  <c r="AH1003" i="3"/>
  <c r="AD185" i="3"/>
  <c r="AH185" i="3"/>
  <c r="AJ185" i="3"/>
  <c r="AF185" i="3"/>
  <c r="P982" i="3"/>
  <c r="AA982" i="3" s="1"/>
  <c r="AF981" i="3"/>
  <c r="AG981" i="3"/>
  <c r="AH981" i="3"/>
  <c r="AI981" i="3"/>
  <c r="AJ981" i="3"/>
  <c r="AF980" i="3"/>
  <c r="AG980" i="3"/>
  <c r="AH980" i="3"/>
  <c r="AI980" i="3"/>
  <c r="AJ980" i="3"/>
  <c r="AF979" i="3"/>
  <c r="AG979" i="3"/>
  <c r="AH979" i="3"/>
  <c r="AI979" i="3"/>
  <c r="AJ979" i="3"/>
  <c r="AF978" i="3"/>
  <c r="AG978" i="3"/>
  <c r="AH978" i="3"/>
  <c r="AI978" i="3"/>
  <c r="AJ978" i="3"/>
  <c r="AD984" i="3"/>
  <c r="AF984" i="3"/>
  <c r="AH984" i="3"/>
  <c r="AJ984" i="3"/>
  <c r="AD485" i="3"/>
  <c r="AF485" i="3"/>
  <c r="AG485" i="3"/>
  <c r="AH485" i="3"/>
  <c r="AI485" i="3"/>
  <c r="AJ485" i="3"/>
  <c r="AD486" i="3"/>
  <c r="AF486" i="3"/>
  <c r="AG486" i="3"/>
  <c r="AH486" i="3"/>
  <c r="AI486" i="3"/>
  <c r="AJ486" i="3"/>
  <c r="P478" i="3"/>
  <c r="AA478" i="3" s="1"/>
  <c r="AD477" i="3"/>
  <c r="AF477" i="3"/>
  <c r="AG477" i="3"/>
  <c r="AH477" i="3"/>
  <c r="AI477" i="3"/>
  <c r="AJ477" i="3"/>
  <c r="AD476" i="3"/>
  <c r="AF476" i="3"/>
  <c r="AG476" i="3"/>
  <c r="AH476" i="3"/>
  <c r="AI476" i="3"/>
  <c r="AJ476" i="3"/>
  <c r="AD475" i="3"/>
  <c r="AF475" i="3"/>
  <c r="AG475" i="3"/>
  <c r="AH475" i="3"/>
  <c r="AI475" i="3"/>
  <c r="AJ475" i="3"/>
  <c r="P171" i="3"/>
  <c r="AA171" i="3" s="1"/>
  <c r="AD171" i="3" s="1"/>
  <c r="AD176" i="3"/>
  <c r="AF176" i="3"/>
  <c r="AH176" i="3"/>
  <c r="AJ176" i="3"/>
  <c r="AF170" i="3"/>
  <c r="AG170" i="3"/>
  <c r="AH170" i="3"/>
  <c r="AI170" i="3"/>
  <c r="AJ170" i="3"/>
  <c r="AG982" i="3" l="1"/>
  <c r="AI982" i="3"/>
  <c r="AG478" i="3"/>
  <c r="AI478" i="3"/>
  <c r="AJ982" i="3"/>
  <c r="AF982" i="3"/>
  <c r="AH982" i="3"/>
  <c r="AD982" i="3"/>
  <c r="AH478" i="3"/>
  <c r="AF478" i="3"/>
  <c r="AJ478" i="3"/>
  <c r="AD478" i="3"/>
  <c r="AJ171" i="3"/>
  <c r="AF171" i="3"/>
  <c r="AG171" i="3"/>
  <c r="AI171" i="3"/>
  <c r="AH171" i="3"/>
  <c r="P178" i="3"/>
  <c r="AA178" i="3" s="1"/>
  <c r="P175" i="3"/>
  <c r="AA175" i="3" s="1"/>
  <c r="P174" i="3"/>
  <c r="AA174" i="3" s="1"/>
  <c r="AD177" i="3"/>
  <c r="AF177" i="3"/>
  <c r="AH177" i="3"/>
  <c r="AJ177" i="3"/>
  <c r="P173" i="3"/>
  <c r="AA173" i="3" s="1"/>
  <c r="P973" i="3"/>
  <c r="AA973" i="3" s="1"/>
  <c r="AD973" i="3" s="1"/>
  <c r="P972" i="3"/>
  <c r="AA972" i="3" s="1"/>
  <c r="AD972" i="3" s="1"/>
  <c r="P971" i="3"/>
  <c r="AA971" i="3" s="1"/>
  <c r="AD971" i="3" s="1"/>
  <c r="P974" i="3"/>
  <c r="AA974" i="3" s="1"/>
  <c r="AD977" i="3"/>
  <c r="AF977" i="3"/>
  <c r="AH977" i="3"/>
  <c r="AJ977" i="3"/>
  <c r="P143" i="3"/>
  <c r="AA143" i="3" s="1"/>
  <c r="AD143" i="3" s="1"/>
  <c r="P142" i="3"/>
  <c r="AA142" i="3" s="1"/>
  <c r="AF139" i="3"/>
  <c r="AG139" i="3"/>
  <c r="AH139" i="3"/>
  <c r="AI139" i="3"/>
  <c r="AJ139" i="3"/>
  <c r="AF138" i="3"/>
  <c r="AG138" i="3"/>
  <c r="AH138" i="3"/>
  <c r="AI138" i="3"/>
  <c r="AJ138" i="3"/>
  <c r="P141" i="3"/>
  <c r="AA141" i="3" s="1"/>
  <c r="AH140" i="3"/>
  <c r="AJ140" i="3"/>
  <c r="AD135" i="3"/>
  <c r="AF135" i="3"/>
  <c r="AH135" i="3"/>
  <c r="AJ135" i="3"/>
  <c r="AF131" i="3"/>
  <c r="AG131" i="3"/>
  <c r="AH131" i="3"/>
  <c r="AI131" i="3"/>
  <c r="AJ131" i="3"/>
  <c r="P133" i="3"/>
  <c r="AA133" i="3" s="1"/>
  <c r="P137" i="3"/>
  <c r="AA137" i="3" s="1"/>
  <c r="AF130" i="3"/>
  <c r="AG130" i="3"/>
  <c r="AH130" i="3"/>
  <c r="AI130" i="3"/>
  <c r="AJ130" i="3"/>
  <c r="AD136" i="3"/>
  <c r="AF136" i="3"/>
  <c r="AH136" i="3"/>
  <c r="AJ136" i="3"/>
  <c r="AF124" i="3"/>
  <c r="AG124" i="3"/>
  <c r="AH124" i="3"/>
  <c r="AI124" i="3"/>
  <c r="AJ124" i="3"/>
  <c r="P125" i="3"/>
  <c r="AA125" i="3" s="1"/>
  <c r="AF123" i="3"/>
  <c r="AG123" i="3"/>
  <c r="AH123" i="3"/>
  <c r="AI123" i="3"/>
  <c r="AJ123" i="3"/>
  <c r="AF122" i="3"/>
  <c r="AG122" i="3"/>
  <c r="AH122" i="3"/>
  <c r="AI122" i="3"/>
  <c r="AJ122" i="3"/>
  <c r="AD129" i="3"/>
  <c r="AF129" i="3"/>
  <c r="AH129" i="3"/>
  <c r="AJ129" i="3"/>
  <c r="AF472" i="3"/>
  <c r="AG472" i="3"/>
  <c r="AH472" i="3"/>
  <c r="AI472" i="3"/>
  <c r="AJ472" i="3"/>
  <c r="AF952" i="3"/>
  <c r="AG952" i="3"/>
  <c r="AH952" i="3"/>
  <c r="AI952" i="3"/>
  <c r="AJ952" i="3"/>
  <c r="AD119" i="3"/>
  <c r="AF119" i="3"/>
  <c r="AH119" i="3"/>
  <c r="AJ119" i="3"/>
  <c r="AF113" i="3"/>
  <c r="AG113" i="3"/>
  <c r="AH113" i="3"/>
  <c r="AI113" i="3"/>
  <c r="AJ113" i="3"/>
  <c r="P114" i="3"/>
  <c r="AA114" i="3" s="1"/>
  <c r="AF121" i="3"/>
  <c r="AH121" i="3"/>
  <c r="AJ121" i="3"/>
  <c r="AD120" i="3"/>
  <c r="AF120" i="3"/>
  <c r="AH120" i="3"/>
  <c r="AJ120" i="3"/>
  <c r="AF948" i="3"/>
  <c r="AG948" i="3"/>
  <c r="AH948" i="3"/>
  <c r="AI948" i="3"/>
  <c r="AJ948" i="3"/>
  <c r="AF947" i="3"/>
  <c r="AG947" i="3"/>
  <c r="AH947" i="3"/>
  <c r="AI947" i="3"/>
  <c r="AJ947" i="3"/>
  <c r="AD110" i="3"/>
  <c r="AF110" i="3"/>
  <c r="AH110" i="3"/>
  <c r="AJ110" i="3"/>
  <c r="AD112" i="3"/>
  <c r="AF112" i="3"/>
  <c r="AH112" i="3"/>
  <c r="AJ112" i="3"/>
  <c r="AD109" i="3"/>
  <c r="AF109" i="3"/>
  <c r="AH109" i="3"/>
  <c r="AJ109" i="3"/>
  <c r="AD111" i="3"/>
  <c r="AF111" i="3"/>
  <c r="AH111" i="3"/>
  <c r="AJ111" i="3"/>
  <c r="AD990" i="3"/>
  <c r="AF990" i="3"/>
  <c r="AG990" i="3"/>
  <c r="AH990" i="3"/>
  <c r="AI990" i="3"/>
  <c r="AJ990" i="3"/>
  <c r="AF986" i="3"/>
  <c r="AG986" i="3"/>
  <c r="AH986" i="3"/>
  <c r="AI986" i="3"/>
  <c r="AJ986" i="3"/>
  <c r="AD989" i="3"/>
  <c r="AF989" i="3"/>
  <c r="AH989" i="3"/>
  <c r="AJ989" i="3"/>
  <c r="AD101" i="3"/>
  <c r="AF101" i="3"/>
  <c r="AH101" i="3"/>
  <c r="AJ101" i="3"/>
  <c r="AF88" i="3"/>
  <c r="AG88" i="3"/>
  <c r="AH88" i="3"/>
  <c r="AI88" i="3"/>
  <c r="AJ88" i="3"/>
  <c r="AD90" i="3"/>
  <c r="AF90" i="3"/>
  <c r="AG90" i="3"/>
  <c r="AH90" i="3"/>
  <c r="AI90" i="3"/>
  <c r="AJ90" i="3"/>
  <c r="AD103" i="3"/>
  <c r="AF103" i="3"/>
  <c r="AH103" i="3"/>
  <c r="AJ103" i="3"/>
  <c r="AD102" i="3"/>
  <c r="AF102" i="3"/>
  <c r="AH102" i="3"/>
  <c r="AJ102" i="3"/>
  <c r="AD89" i="3"/>
  <c r="AF89" i="3"/>
  <c r="AH89" i="3"/>
  <c r="AJ89" i="3"/>
  <c r="AD100" i="3"/>
  <c r="AF100" i="3"/>
  <c r="AH100" i="3"/>
  <c r="AJ100" i="3"/>
  <c r="AD99" i="3"/>
  <c r="AF99" i="3"/>
  <c r="AH99" i="3"/>
  <c r="AJ99" i="3"/>
  <c r="AH91" i="3"/>
  <c r="AJ91" i="3"/>
  <c r="AD98" i="3"/>
  <c r="AF98" i="3"/>
  <c r="AH98" i="3"/>
  <c r="AJ98" i="3"/>
  <c r="AD97" i="3"/>
  <c r="AF97" i="3"/>
  <c r="AH97" i="3"/>
  <c r="AJ97" i="3"/>
  <c r="AD96" i="3"/>
  <c r="AF96" i="3"/>
  <c r="AH96" i="3"/>
  <c r="AJ96" i="3"/>
  <c r="AF85" i="3"/>
  <c r="AG85" i="3"/>
  <c r="AH85" i="3"/>
  <c r="AI85" i="3"/>
  <c r="AJ85" i="3"/>
  <c r="AD470" i="3"/>
  <c r="AF470" i="3"/>
  <c r="AG470" i="3"/>
  <c r="AH470" i="3"/>
  <c r="AI470" i="3"/>
  <c r="AJ470" i="3"/>
  <c r="AD471" i="3"/>
  <c r="AF471" i="3"/>
  <c r="AG471" i="3"/>
  <c r="AH471" i="3"/>
  <c r="AI471" i="3"/>
  <c r="AJ471" i="3"/>
  <c r="AF467" i="3"/>
  <c r="AG467" i="3"/>
  <c r="AH467" i="3"/>
  <c r="AI467" i="3"/>
  <c r="AJ467" i="3"/>
  <c r="AF80" i="3"/>
  <c r="AG80" i="3"/>
  <c r="AH80" i="3"/>
  <c r="AI80" i="3"/>
  <c r="AJ80" i="3"/>
  <c r="AF79" i="3"/>
  <c r="AG79" i="3"/>
  <c r="AH79" i="3"/>
  <c r="AI79" i="3"/>
  <c r="AJ79" i="3"/>
  <c r="AF78" i="3"/>
  <c r="AG78" i="3"/>
  <c r="AH78" i="3"/>
  <c r="AI78" i="3"/>
  <c r="AJ78" i="3"/>
  <c r="AF77" i="3"/>
  <c r="AG77" i="3"/>
  <c r="AH77" i="3"/>
  <c r="AI77" i="3"/>
  <c r="AJ77" i="3"/>
  <c r="AH82" i="3"/>
  <c r="AJ82" i="3"/>
  <c r="AH81" i="3"/>
  <c r="AJ81" i="3"/>
  <c r="AD946" i="3"/>
  <c r="AF946" i="3"/>
  <c r="AG946" i="3"/>
  <c r="AH946" i="3"/>
  <c r="AI946" i="3"/>
  <c r="AJ946" i="3"/>
  <c r="AF940" i="3"/>
  <c r="AG940" i="3"/>
  <c r="AH940" i="3"/>
  <c r="AI940" i="3"/>
  <c r="AJ940" i="3"/>
  <c r="AD945" i="3"/>
  <c r="AF945" i="3"/>
  <c r="AH945" i="3"/>
  <c r="AJ945" i="3"/>
  <c r="AF941" i="3"/>
  <c r="AH941" i="3"/>
  <c r="AJ941" i="3"/>
  <c r="AD936" i="3"/>
  <c r="AF936" i="3"/>
  <c r="AH936" i="3"/>
  <c r="AJ936" i="3"/>
  <c r="AD932" i="3"/>
  <c r="AF932" i="3"/>
  <c r="AG932" i="3"/>
  <c r="AH932" i="3"/>
  <c r="AI932" i="3"/>
  <c r="AJ932" i="3"/>
  <c r="AD938" i="3"/>
  <c r="AF938" i="3"/>
  <c r="AG938" i="3"/>
  <c r="AH938" i="3"/>
  <c r="AI938" i="3"/>
  <c r="AJ938" i="3"/>
  <c r="AD937" i="3"/>
  <c r="AF937" i="3"/>
  <c r="AG937" i="3"/>
  <c r="AH937" i="3"/>
  <c r="AI937" i="3"/>
  <c r="AJ937" i="3"/>
  <c r="AI114" i="3" l="1"/>
  <c r="AG114" i="3"/>
  <c r="AD137" i="3"/>
  <c r="AG137" i="3"/>
  <c r="AI137" i="3"/>
  <c r="AG142" i="3"/>
  <c r="AI142" i="3"/>
  <c r="AG175" i="3"/>
  <c r="AI175" i="3"/>
  <c r="AI125" i="3"/>
  <c r="AG125" i="3"/>
  <c r="AG133" i="3"/>
  <c r="AI133" i="3"/>
  <c r="AI141" i="3"/>
  <c r="AG141" i="3"/>
  <c r="AF178" i="3"/>
  <c r="AG178" i="3"/>
  <c r="AI178" i="3"/>
  <c r="AG174" i="3"/>
  <c r="AI174" i="3"/>
  <c r="AG974" i="3"/>
  <c r="AI974" i="3"/>
  <c r="AI173" i="3"/>
  <c r="AG173" i="3"/>
  <c r="AD142" i="3"/>
  <c r="AD174" i="3"/>
  <c r="AJ174" i="3"/>
  <c r="AF174" i="3"/>
  <c r="AH174" i="3"/>
  <c r="AD175" i="3"/>
  <c r="AJ175" i="3"/>
  <c r="AH175" i="3"/>
  <c r="AF175" i="3"/>
  <c r="AJ173" i="3"/>
  <c r="AH173" i="3"/>
  <c r="AF173" i="3"/>
  <c r="AD173" i="3"/>
  <c r="AJ114" i="3"/>
  <c r="AF114" i="3"/>
  <c r="AH114" i="3"/>
  <c r="AD114" i="3"/>
  <c r="AH125" i="3"/>
  <c r="AF125" i="3"/>
  <c r="AJ125" i="3"/>
  <c r="AD125" i="3"/>
  <c r="AJ141" i="3"/>
  <c r="AF141" i="3"/>
  <c r="AD141" i="3"/>
  <c r="AH141" i="3"/>
  <c r="AJ133" i="3"/>
  <c r="AF133" i="3"/>
  <c r="AH133" i="3"/>
  <c r="AD133" i="3"/>
  <c r="AJ974" i="3"/>
  <c r="AF974" i="3"/>
  <c r="AH974" i="3"/>
  <c r="AD974" i="3"/>
  <c r="AI143" i="3"/>
  <c r="AG143" i="3"/>
  <c r="AJ137" i="3"/>
  <c r="AF137" i="3"/>
  <c r="AH137" i="3"/>
  <c r="AJ143" i="3"/>
  <c r="AF143" i="3"/>
  <c r="AJ973" i="3"/>
  <c r="AJ178" i="3"/>
  <c r="AH143" i="3"/>
  <c r="AD178" i="3"/>
  <c r="AJ971" i="3"/>
  <c r="AI972" i="3"/>
  <c r="AI973" i="3"/>
  <c r="AJ142" i="3"/>
  <c r="AI971" i="3"/>
  <c r="AH972" i="3"/>
  <c r="AF973" i="3"/>
  <c r="AF971" i="3"/>
  <c r="AF142" i="3"/>
  <c r="AH971" i="3"/>
  <c r="AJ972" i="3"/>
  <c r="AF972" i="3"/>
  <c r="AH973" i="3"/>
  <c r="AH178" i="3"/>
  <c r="AG971" i="3"/>
  <c r="AG973" i="3"/>
  <c r="AH142" i="3"/>
  <c r="AG972" i="3"/>
  <c r="AD939" i="3"/>
  <c r="AF939" i="3"/>
  <c r="AG939" i="3"/>
  <c r="AH939" i="3"/>
  <c r="AI939" i="3"/>
  <c r="AJ939" i="3"/>
  <c r="AF933" i="3"/>
  <c r="AG933" i="3"/>
  <c r="AH933" i="3"/>
  <c r="AI933" i="3"/>
  <c r="AJ933" i="3"/>
  <c r="P73" i="3"/>
  <c r="AA73" i="3" s="1"/>
  <c r="AF72" i="3"/>
  <c r="AG72" i="3"/>
  <c r="AH72" i="3"/>
  <c r="AI72" i="3"/>
  <c r="AJ72" i="3"/>
  <c r="AD75" i="3"/>
  <c r="AF75" i="3"/>
  <c r="AH75" i="3"/>
  <c r="AJ75" i="3"/>
  <c r="AD76" i="3"/>
  <c r="AF76" i="3"/>
  <c r="AH76" i="3"/>
  <c r="AJ76" i="3"/>
  <c r="AF65" i="3"/>
  <c r="AG65" i="3"/>
  <c r="AH65" i="3"/>
  <c r="AI65" i="3"/>
  <c r="AJ65" i="3"/>
  <c r="P68" i="3"/>
  <c r="AA68" i="3" s="1"/>
  <c r="AF64" i="3"/>
  <c r="AG64" i="3"/>
  <c r="AH64" i="3"/>
  <c r="AI64" i="3"/>
  <c r="AJ64" i="3"/>
  <c r="AD69" i="3"/>
  <c r="AF69" i="3"/>
  <c r="AH69" i="3"/>
  <c r="AJ69" i="3"/>
  <c r="AD70" i="3"/>
  <c r="AF70" i="3"/>
  <c r="AH70" i="3"/>
  <c r="AJ70" i="3"/>
  <c r="AF71" i="3"/>
  <c r="AH71" i="3"/>
  <c r="AJ71" i="3"/>
  <c r="AI73" i="3" l="1"/>
  <c r="AG73" i="3"/>
  <c r="AG68" i="3"/>
  <c r="AI68" i="3"/>
  <c r="AJ73" i="3"/>
  <c r="AF73" i="3"/>
  <c r="AH73" i="3"/>
  <c r="AD73" i="3"/>
  <c r="AH68" i="3"/>
  <c r="AJ68" i="3"/>
  <c r="AF68" i="3"/>
  <c r="AD68" i="3"/>
  <c r="AH427" i="3"/>
  <c r="AD428" i="3"/>
  <c r="AF428" i="3"/>
  <c r="AG428" i="3"/>
  <c r="AH428" i="3"/>
  <c r="AI428" i="3"/>
  <c r="AJ428" i="3"/>
  <c r="AD409" i="3"/>
  <c r="AF409" i="3"/>
  <c r="AH409" i="3"/>
  <c r="AJ409" i="3"/>
  <c r="AD408" i="3"/>
  <c r="AF408" i="3"/>
  <c r="AG408" i="3"/>
  <c r="AH408" i="3"/>
  <c r="AI408" i="3"/>
  <c r="AJ408" i="3"/>
  <c r="AD407" i="3"/>
  <c r="AF407" i="3"/>
  <c r="AG407" i="3"/>
  <c r="AH407" i="3"/>
  <c r="AI407" i="3"/>
  <c r="AJ407" i="3"/>
  <c r="AD406" i="3"/>
  <c r="AF406" i="3"/>
  <c r="AG406" i="3"/>
  <c r="AI406" i="3"/>
  <c r="AD405" i="3"/>
  <c r="AF405" i="3"/>
  <c r="AG405" i="3"/>
  <c r="AH405" i="3"/>
  <c r="AI405" i="3"/>
  <c r="AJ405" i="3"/>
  <c r="AG427" i="3" l="1"/>
  <c r="AF427" i="3"/>
  <c r="AJ427" i="3"/>
  <c r="AI427" i="3"/>
  <c r="AD427" i="3"/>
  <c r="AB1128" i="3" l="1"/>
  <c r="AB1077" i="3"/>
  <c r="AB1076" i="3"/>
  <c r="AB1028" i="3"/>
  <c r="AB1027" i="3"/>
  <c r="AB961" i="3"/>
  <c r="AB297" i="3"/>
  <c r="AB263" i="3"/>
  <c r="AB819" i="3"/>
  <c r="AB306" i="3" l="1"/>
  <c r="AB562" i="3"/>
  <c r="AB556" i="3"/>
  <c r="AB555" i="3"/>
  <c r="AB554" i="3"/>
  <c r="AB553" i="3"/>
  <c r="AB552" i="3"/>
  <c r="AB564" i="3"/>
  <c r="AB563" i="3"/>
  <c r="AB400" i="3"/>
  <c r="AB393" i="3"/>
  <c r="AB392" i="3"/>
  <c r="AB391" i="3"/>
  <c r="AB390" i="3"/>
  <c r="AB389" i="3"/>
  <c r="AB402" i="3"/>
  <c r="AB401" i="3"/>
  <c r="AB430" i="3"/>
  <c r="AB415" i="3"/>
  <c r="AB414" i="3"/>
  <c r="AB413" i="3"/>
  <c r="AB412" i="3"/>
  <c r="AB411" i="3"/>
  <c r="AB417" i="3"/>
  <c r="AB416" i="3"/>
  <c r="AB445" i="3"/>
  <c r="AB435" i="3"/>
  <c r="AB434" i="3"/>
  <c r="AB433" i="3"/>
  <c r="AB432" i="3"/>
  <c r="AB431" i="3"/>
  <c r="AB447" i="3"/>
  <c r="AB446" i="3"/>
  <c r="AB463" i="3"/>
  <c r="AB453" i="3"/>
  <c r="AB452" i="3"/>
  <c r="AB451" i="3"/>
  <c r="AB450" i="3"/>
  <c r="AB449" i="3"/>
  <c r="AB465" i="3"/>
  <c r="AB464" i="3"/>
  <c r="AB601" i="3"/>
  <c r="AB517" i="3"/>
  <c r="AB516" i="3"/>
  <c r="AB515" i="3"/>
  <c r="AB525" i="3"/>
  <c r="AB524" i="3"/>
  <c r="AB523" i="3"/>
  <c r="AB537" i="3"/>
  <c r="AB536" i="3"/>
  <c r="AB547" i="3"/>
  <c r="AB546" i="3"/>
  <c r="AB506" i="3"/>
  <c r="AB905" i="3"/>
  <c r="AB914" i="3"/>
  <c r="AB913" i="3"/>
  <c r="AB912" i="3"/>
  <c r="AB911" i="3"/>
  <c r="AB910" i="3"/>
  <c r="AB909" i="3"/>
  <c r="AB908" i="3"/>
  <c r="AB28" i="3"/>
  <c r="AB27" i="3"/>
  <c r="AB346" i="3"/>
  <c r="AB784" i="3"/>
  <c r="AB790" i="3"/>
  <c r="AB789" i="3"/>
  <c r="AB788" i="3"/>
  <c r="AB787" i="3"/>
  <c r="AB786" i="3"/>
  <c r="AB785" i="3"/>
  <c r="AB783" i="3"/>
  <c r="AB782" i="3"/>
  <c r="AB781" i="3"/>
  <c r="AB776" i="3"/>
  <c r="AB775" i="3"/>
  <c r="AB774" i="3"/>
  <c r="AB743" i="3"/>
  <c r="AB742" i="3"/>
  <c r="AB763" i="3"/>
  <c r="AB762" i="3"/>
  <c r="AB761" i="3"/>
  <c r="AB760" i="3"/>
  <c r="AB759" i="3"/>
  <c r="AB341" i="3"/>
  <c r="AB340" i="3"/>
  <c r="AB732" i="3"/>
  <c r="AB733" i="3"/>
  <c r="AB751" i="3"/>
  <c r="AB336" i="3"/>
  <c r="AB335" i="3"/>
  <c r="AB334" i="3"/>
  <c r="AB333" i="3"/>
  <c r="AB312" i="3"/>
  <c r="AB314" i="3"/>
  <c r="AB313" i="3"/>
  <c r="AB498" i="3"/>
  <c r="AB497" i="3"/>
  <c r="AB839" i="3"/>
  <c r="AB302" i="3"/>
  <c r="AB304" i="3"/>
  <c r="AB303" i="3"/>
  <c r="AB1129" i="3"/>
  <c r="AB1108" i="3"/>
  <c r="AB1107" i="3"/>
  <c r="AB1106" i="3"/>
  <c r="AB1075" i="3"/>
  <c r="AB1074" i="3"/>
  <c r="AB1073" i="3"/>
  <c r="AB1059" i="3"/>
  <c r="AB1058" i="3"/>
  <c r="AB1057" i="3"/>
  <c r="AB1056" i="3"/>
  <c r="AB1055" i="3"/>
  <c r="AB1054" i="3"/>
  <c r="AB1053" i="3"/>
  <c r="AB720" i="3"/>
  <c r="AB719" i="3"/>
  <c r="AB718" i="3"/>
  <c r="AB717" i="3"/>
  <c r="AB716" i="3"/>
  <c r="AB715" i="3"/>
  <c r="AB714" i="3"/>
  <c r="AB713" i="3"/>
  <c r="AB712" i="3"/>
  <c r="AB711" i="3"/>
  <c r="AB710" i="3"/>
  <c r="AB709" i="3"/>
  <c r="AB708" i="3"/>
  <c r="AB707" i="3"/>
  <c r="AB706" i="3"/>
  <c r="AB705" i="3"/>
  <c r="AB704" i="3"/>
  <c r="AB703" i="3"/>
  <c r="AB702" i="3"/>
  <c r="AB701" i="3"/>
  <c r="AB1041" i="3"/>
  <c r="AB1040" i="3"/>
  <c r="AB1039" i="3"/>
  <c r="AB1038" i="3"/>
  <c r="AB1037" i="3"/>
  <c r="AB1036" i="3"/>
  <c r="AB694" i="3"/>
  <c r="AB692" i="3"/>
  <c r="AB691" i="3"/>
  <c r="AB690" i="3"/>
  <c r="AB689" i="3"/>
  <c r="AB688" i="3"/>
  <c r="AB687" i="3"/>
  <c r="AB686" i="3"/>
  <c r="AB685" i="3"/>
  <c r="AB684" i="3"/>
  <c r="AB683" i="3"/>
  <c r="AB682" i="3"/>
  <c r="AB681" i="3"/>
  <c r="AB680" i="3"/>
  <c r="AB679" i="3"/>
  <c r="AB9" i="3"/>
  <c r="AB8" i="3"/>
  <c r="AB7" i="3"/>
  <c r="AB6" i="3"/>
  <c r="AB5" i="3"/>
  <c r="AB4" i="3"/>
  <c r="AB3" i="3"/>
  <c r="AB2" i="3"/>
  <c r="AB147" i="3"/>
  <c r="AB146" i="3"/>
  <c r="AB145" i="3"/>
  <c r="AB1020" i="3"/>
  <c r="AB1019" i="3"/>
  <c r="AB1018" i="3"/>
  <c r="AB1017" i="3"/>
  <c r="AB1016" i="3"/>
  <c r="AB1015" i="3"/>
  <c r="AB1014" i="3"/>
  <c r="AB958" i="3"/>
  <c r="AB957" i="3"/>
  <c r="AB956" i="3"/>
  <c r="AB955" i="3"/>
  <c r="AB954" i="3"/>
  <c r="AB284" i="3"/>
  <c r="AB283" i="3"/>
  <c r="AB282" i="3"/>
  <c r="AB281" i="3"/>
  <c r="AB265" i="3"/>
  <c r="AB264" i="3"/>
  <c r="AB262" i="3"/>
  <c r="AB261" i="3"/>
  <c r="AB260" i="3"/>
  <c r="AB259" i="3"/>
  <c r="AB258" i="3"/>
  <c r="AB257" i="3"/>
  <c r="AB256" i="3"/>
  <c r="AB804" i="3"/>
  <c r="AB803" i="3"/>
  <c r="AB802" i="3"/>
  <c r="AB801" i="3"/>
  <c r="AB800" i="3"/>
  <c r="AB799" i="3"/>
  <c r="AB798" i="3"/>
  <c r="AB797" i="3"/>
  <c r="AB796" i="3"/>
  <c r="AB830" i="3"/>
  <c r="AB829" i="3"/>
  <c r="AB822" i="3"/>
  <c r="AC527" i="3"/>
  <c r="AB527" i="3"/>
  <c r="AC598" i="3"/>
  <c r="AC597" i="3"/>
  <c r="AC596" i="3"/>
  <c r="AC579" i="3"/>
  <c r="AC578" i="3"/>
  <c r="AC577" i="3"/>
  <c r="AB598" i="3"/>
  <c r="AB597" i="3"/>
  <c r="AB596" i="3"/>
  <c r="AB579" i="3"/>
  <c r="AB578" i="3"/>
  <c r="AB577" i="3"/>
  <c r="H1154" i="3" l="1"/>
  <c r="AA1153" i="3"/>
  <c r="H1153" i="3"/>
  <c r="AC1129" i="3"/>
  <c r="P1129" i="3"/>
  <c r="AA1129" i="3" s="1"/>
  <c r="H1129" i="3"/>
  <c r="P1152" i="3"/>
  <c r="AA1152" i="3" s="1"/>
  <c r="H1152" i="3"/>
  <c r="P1151" i="3"/>
  <c r="AA1151" i="3" s="1"/>
  <c r="H1151" i="3"/>
  <c r="P1150" i="3"/>
  <c r="AA1150" i="3" s="1"/>
  <c r="H1150" i="3"/>
  <c r="AC1128" i="3"/>
  <c r="P1128" i="3"/>
  <c r="AA1128" i="3" s="1"/>
  <c r="H1128" i="3"/>
  <c r="P1149" i="3"/>
  <c r="AA1149" i="3" s="1"/>
  <c r="H1149" i="3"/>
  <c r="P1148" i="3"/>
  <c r="AA1148" i="3" s="1"/>
  <c r="H1148" i="3"/>
  <c r="P1147" i="3"/>
  <c r="AA1147" i="3" s="1"/>
  <c r="H1147" i="3"/>
  <c r="P1146" i="3"/>
  <c r="AA1146" i="3" s="1"/>
  <c r="H1146" i="3"/>
  <c r="P1145" i="3"/>
  <c r="AA1145" i="3" s="1"/>
  <c r="H1145" i="3"/>
  <c r="P1144" i="3"/>
  <c r="AA1144" i="3" s="1"/>
  <c r="H1144" i="3"/>
  <c r="P1143" i="3"/>
  <c r="AA1143" i="3" s="1"/>
  <c r="H1143" i="3"/>
  <c r="P1142" i="3"/>
  <c r="AA1142" i="3" s="1"/>
  <c r="H1142" i="3"/>
  <c r="P1141" i="3"/>
  <c r="AA1141" i="3" s="1"/>
  <c r="H1141" i="3"/>
  <c r="P1140" i="3"/>
  <c r="AA1140" i="3" s="1"/>
  <c r="H1140" i="3"/>
  <c r="P1139" i="3"/>
  <c r="AA1139" i="3" s="1"/>
  <c r="H1139" i="3"/>
  <c r="P1138" i="3"/>
  <c r="AA1138" i="3" s="1"/>
  <c r="H1138" i="3"/>
  <c r="P1137" i="3"/>
  <c r="AA1137" i="3" s="1"/>
  <c r="H1137" i="3"/>
  <c r="P1136" i="3"/>
  <c r="AA1136" i="3" s="1"/>
  <c r="H1136" i="3"/>
  <c r="P1135" i="3"/>
  <c r="AA1135" i="3" s="1"/>
  <c r="H1135" i="3"/>
  <c r="P1134" i="3"/>
  <c r="AA1134" i="3" s="1"/>
  <c r="H1134" i="3"/>
  <c r="P1133" i="3"/>
  <c r="AA1133" i="3" s="1"/>
  <c r="H1133" i="3"/>
  <c r="P1132" i="3"/>
  <c r="AA1132" i="3" s="1"/>
  <c r="H1132" i="3"/>
  <c r="P1131" i="3"/>
  <c r="AA1131" i="3" s="1"/>
  <c r="H1131" i="3"/>
  <c r="AA1157" i="3"/>
  <c r="H1157" i="3"/>
  <c r="AA1155" i="3"/>
  <c r="H1155" i="3"/>
  <c r="AA1156" i="3"/>
  <c r="H1156" i="3"/>
  <c r="P1130" i="3"/>
  <c r="AA1130" i="3" s="1"/>
  <c r="H1130" i="3"/>
  <c r="AA1125" i="3"/>
  <c r="AA1124" i="3"/>
  <c r="P1123" i="3"/>
  <c r="AA1123" i="3" s="1"/>
  <c r="P1122" i="3"/>
  <c r="AA1122" i="3" s="1"/>
  <c r="AC1108" i="3"/>
  <c r="P1108" i="3"/>
  <c r="AA1108" i="3" s="1"/>
  <c r="AC1107" i="3"/>
  <c r="P1107" i="3"/>
  <c r="AA1107" i="3" s="1"/>
  <c r="AC1106" i="3"/>
  <c r="P1106" i="3"/>
  <c r="AA1106" i="3" s="1"/>
  <c r="P1121" i="3"/>
  <c r="AA1121" i="3" s="1"/>
  <c r="P1120" i="3"/>
  <c r="AA1120" i="3" s="1"/>
  <c r="P1119" i="3"/>
  <c r="AA1119" i="3" s="1"/>
  <c r="P1118" i="3"/>
  <c r="AA1118" i="3" s="1"/>
  <c r="P1117" i="3"/>
  <c r="AA1117" i="3" s="1"/>
  <c r="P1116" i="3"/>
  <c r="AA1116" i="3" s="1"/>
  <c r="P1115" i="3"/>
  <c r="AA1115" i="3" s="1"/>
  <c r="P1114" i="3"/>
  <c r="AA1114" i="3" s="1"/>
  <c r="P1113" i="3"/>
  <c r="AA1113" i="3" s="1"/>
  <c r="P1112" i="3"/>
  <c r="AA1112" i="3" s="1"/>
  <c r="P1111" i="3"/>
  <c r="AA1111" i="3" s="1"/>
  <c r="P1110" i="3"/>
  <c r="AA1110" i="3" s="1"/>
  <c r="P1109" i="3"/>
  <c r="AA1109" i="3" s="1"/>
  <c r="H1100" i="3"/>
  <c r="H1099" i="3"/>
  <c r="P1098" i="3"/>
  <c r="AA1098" i="3" s="1"/>
  <c r="H1098" i="3"/>
  <c r="H1097" i="3"/>
  <c r="H1096" i="3"/>
  <c r="H1095" i="3"/>
  <c r="P1094" i="3"/>
  <c r="AA1094" i="3" s="1"/>
  <c r="H1094" i="3"/>
  <c r="P1093" i="3"/>
  <c r="AA1093" i="3" s="1"/>
  <c r="H1093" i="3"/>
  <c r="H1092" i="3"/>
  <c r="P1091" i="3"/>
  <c r="AA1091" i="3" s="1"/>
  <c r="H1091" i="3"/>
  <c r="P1090" i="3"/>
  <c r="AA1090" i="3" s="1"/>
  <c r="H1090" i="3"/>
  <c r="P1102" i="3"/>
  <c r="AA1102" i="3" s="1"/>
  <c r="H1102" i="3"/>
  <c r="P1103" i="3"/>
  <c r="AA1103" i="3" s="1"/>
  <c r="H1103" i="3"/>
  <c r="P1089" i="3"/>
  <c r="AA1089" i="3" s="1"/>
  <c r="H1089" i="3"/>
  <c r="AC1077" i="3"/>
  <c r="P1077" i="3"/>
  <c r="AA1077" i="3" s="1"/>
  <c r="H1077" i="3"/>
  <c r="AC1076" i="3"/>
  <c r="P1076" i="3"/>
  <c r="AA1076" i="3" s="1"/>
  <c r="H1076" i="3"/>
  <c r="AC1075" i="3"/>
  <c r="P1075" i="3"/>
  <c r="AA1075" i="3" s="1"/>
  <c r="H1075" i="3"/>
  <c r="AC1074" i="3"/>
  <c r="P1074" i="3"/>
  <c r="AA1074" i="3" s="1"/>
  <c r="H1074" i="3"/>
  <c r="AC1073" i="3"/>
  <c r="P1073" i="3"/>
  <c r="AA1073" i="3" s="1"/>
  <c r="H1073" i="3"/>
  <c r="P1088" i="3"/>
  <c r="AA1088" i="3" s="1"/>
  <c r="H1088" i="3"/>
  <c r="P1087" i="3"/>
  <c r="AA1087" i="3" s="1"/>
  <c r="H1087" i="3"/>
  <c r="P1086" i="3"/>
  <c r="AA1086" i="3" s="1"/>
  <c r="H1086" i="3"/>
  <c r="P1085" i="3"/>
  <c r="AA1085" i="3" s="1"/>
  <c r="H1085" i="3"/>
  <c r="P1084" i="3"/>
  <c r="AA1084" i="3" s="1"/>
  <c r="H1084" i="3"/>
  <c r="P1083" i="3"/>
  <c r="AA1083" i="3" s="1"/>
  <c r="H1083" i="3"/>
  <c r="P1082" i="3"/>
  <c r="AA1082" i="3" s="1"/>
  <c r="H1082" i="3"/>
  <c r="P1081" i="3"/>
  <c r="AA1081" i="3" s="1"/>
  <c r="H1081" i="3"/>
  <c r="P1080" i="3"/>
  <c r="AA1080" i="3" s="1"/>
  <c r="H1080" i="3"/>
  <c r="P1079" i="3"/>
  <c r="AA1079" i="3" s="1"/>
  <c r="H1079" i="3"/>
  <c r="P1078" i="3"/>
  <c r="AA1078" i="3" s="1"/>
  <c r="H1078" i="3"/>
  <c r="AA1105" i="3"/>
  <c r="H1105" i="3"/>
  <c r="AA1101" i="3"/>
  <c r="H1101" i="3"/>
  <c r="AA1104" i="3"/>
  <c r="H1104" i="3"/>
  <c r="H1068" i="3"/>
  <c r="H1067" i="3"/>
  <c r="P1066" i="3"/>
  <c r="AA1066" i="3" s="1"/>
  <c r="H1066" i="3"/>
  <c r="H1065" i="3"/>
  <c r="H1064" i="3"/>
  <c r="H1063" i="3"/>
  <c r="H1062" i="3"/>
  <c r="P1061" i="3"/>
  <c r="AA1061" i="3" s="1"/>
  <c r="H1061" i="3"/>
  <c r="P1072" i="3"/>
  <c r="AA1072" i="3" s="1"/>
  <c r="H1072" i="3"/>
  <c r="P1070" i="3"/>
  <c r="AA1070" i="3" s="1"/>
  <c r="H1070" i="3"/>
  <c r="AC1059" i="3"/>
  <c r="P1059" i="3"/>
  <c r="AA1059" i="3" s="1"/>
  <c r="H1059" i="3"/>
  <c r="AC1058" i="3"/>
  <c r="P1058" i="3"/>
  <c r="AA1058" i="3" s="1"/>
  <c r="H1058" i="3"/>
  <c r="AC1057" i="3"/>
  <c r="P1057" i="3"/>
  <c r="AA1057" i="3" s="1"/>
  <c r="H1057" i="3"/>
  <c r="AC1056" i="3"/>
  <c r="P1056" i="3"/>
  <c r="AA1056" i="3" s="1"/>
  <c r="H1056" i="3"/>
  <c r="AC1055" i="3"/>
  <c r="P1055" i="3"/>
  <c r="AA1055" i="3" s="1"/>
  <c r="H1055" i="3"/>
  <c r="AC1054" i="3"/>
  <c r="P1054" i="3"/>
  <c r="AA1054" i="3" s="1"/>
  <c r="H1054" i="3"/>
  <c r="AC1053" i="3"/>
  <c r="P1053" i="3"/>
  <c r="AA1053" i="3" s="1"/>
  <c r="H1053" i="3"/>
  <c r="P1060" i="3"/>
  <c r="AA1060" i="3" s="1"/>
  <c r="H1060" i="3"/>
  <c r="AA1069" i="3"/>
  <c r="H1069" i="3"/>
  <c r="AA1071" i="3"/>
  <c r="H1071" i="3"/>
  <c r="AC720" i="3"/>
  <c r="P720" i="3"/>
  <c r="AA720" i="3" s="1"/>
  <c r="H720" i="3"/>
  <c r="AC719" i="3"/>
  <c r="P719" i="3"/>
  <c r="AA719" i="3" s="1"/>
  <c r="H719" i="3"/>
  <c r="H727" i="3"/>
  <c r="P726" i="3"/>
  <c r="AA726" i="3" s="1"/>
  <c r="H726" i="3"/>
  <c r="H725" i="3"/>
  <c r="H724" i="3"/>
  <c r="AC718" i="3"/>
  <c r="P718" i="3"/>
  <c r="AA718" i="3" s="1"/>
  <c r="H718" i="3"/>
  <c r="AC717" i="3"/>
  <c r="P717" i="3"/>
  <c r="AA717" i="3" s="1"/>
  <c r="H717" i="3"/>
  <c r="AC716" i="3"/>
  <c r="P716" i="3"/>
  <c r="AA716" i="3" s="1"/>
  <c r="H716" i="3"/>
  <c r="AC715" i="3"/>
  <c r="P715" i="3"/>
  <c r="AA715" i="3" s="1"/>
  <c r="H715" i="3"/>
  <c r="AC714" i="3"/>
  <c r="P714" i="3"/>
  <c r="AA714" i="3" s="1"/>
  <c r="H714" i="3"/>
  <c r="AC713" i="3"/>
  <c r="P713" i="3"/>
  <c r="AA713" i="3" s="1"/>
  <c r="H713" i="3"/>
  <c r="P729" i="3"/>
  <c r="AA729" i="3" s="1"/>
  <c r="H729" i="3"/>
  <c r="AC712" i="3"/>
  <c r="P712" i="3"/>
  <c r="AA712" i="3" s="1"/>
  <c r="H712" i="3"/>
  <c r="AC711" i="3"/>
  <c r="P711" i="3"/>
  <c r="AA711" i="3" s="1"/>
  <c r="H711" i="3"/>
  <c r="AC710" i="3"/>
  <c r="P710" i="3"/>
  <c r="AA710" i="3" s="1"/>
  <c r="H710" i="3"/>
  <c r="AC709" i="3"/>
  <c r="P709" i="3"/>
  <c r="AA709" i="3" s="1"/>
  <c r="H709" i="3"/>
  <c r="AC708" i="3"/>
  <c r="P708" i="3"/>
  <c r="AA708" i="3" s="1"/>
  <c r="H708" i="3"/>
  <c r="AC707" i="3"/>
  <c r="P707" i="3"/>
  <c r="AA707" i="3" s="1"/>
  <c r="H707" i="3"/>
  <c r="AC706" i="3"/>
  <c r="P706" i="3"/>
  <c r="AA706" i="3" s="1"/>
  <c r="H706" i="3"/>
  <c r="AC705" i="3"/>
  <c r="P705" i="3"/>
  <c r="AA705" i="3" s="1"/>
  <c r="H705" i="3"/>
  <c r="AC704" i="3"/>
  <c r="P704" i="3"/>
  <c r="AA704" i="3" s="1"/>
  <c r="H704" i="3"/>
  <c r="AC703" i="3"/>
  <c r="P703" i="3"/>
  <c r="AA703" i="3" s="1"/>
  <c r="H703" i="3"/>
  <c r="AC702" i="3"/>
  <c r="P702" i="3"/>
  <c r="AA702" i="3" s="1"/>
  <c r="H702" i="3"/>
  <c r="AC701" i="3"/>
  <c r="P701" i="3"/>
  <c r="AA701" i="3" s="1"/>
  <c r="H701" i="3"/>
  <c r="P723" i="3"/>
  <c r="AA723" i="3" s="1"/>
  <c r="H723" i="3"/>
  <c r="AA722" i="3"/>
  <c r="H722" i="3"/>
  <c r="P721" i="3"/>
  <c r="AA721" i="3" s="1"/>
  <c r="H721" i="3"/>
  <c r="AA731" i="3"/>
  <c r="H731" i="3"/>
  <c r="AA728" i="3"/>
  <c r="H728" i="3"/>
  <c r="AA730" i="3"/>
  <c r="H730" i="3"/>
  <c r="P1050" i="3"/>
  <c r="AA1050" i="3" s="1"/>
  <c r="H1050" i="3"/>
  <c r="AC1047" i="3"/>
  <c r="P1047" i="3"/>
  <c r="AA1047" i="3" s="1"/>
  <c r="H1047" i="3"/>
  <c r="H1046" i="3"/>
  <c r="H1045" i="3"/>
  <c r="H1044" i="3"/>
  <c r="H1043" i="3"/>
  <c r="P1051" i="3"/>
  <c r="AA1051" i="3" s="1"/>
  <c r="H1051" i="3"/>
  <c r="P1049" i="3"/>
  <c r="AA1049" i="3" s="1"/>
  <c r="H1049" i="3"/>
  <c r="P1048" i="3"/>
  <c r="AA1048" i="3" s="1"/>
  <c r="H1048" i="3"/>
  <c r="P1052" i="3"/>
  <c r="AA1052" i="3" s="1"/>
  <c r="H1052" i="3"/>
  <c r="AC1041" i="3"/>
  <c r="P1041" i="3"/>
  <c r="AA1041" i="3" s="1"/>
  <c r="H1041" i="3"/>
  <c r="AC1040" i="3"/>
  <c r="P1040" i="3"/>
  <c r="AA1040" i="3" s="1"/>
  <c r="H1040" i="3"/>
  <c r="AC1039" i="3"/>
  <c r="P1039" i="3"/>
  <c r="AA1039" i="3" s="1"/>
  <c r="H1039" i="3"/>
  <c r="AC1038" i="3"/>
  <c r="P1038" i="3"/>
  <c r="AA1038" i="3" s="1"/>
  <c r="H1038" i="3"/>
  <c r="AC1037" i="3"/>
  <c r="P1037" i="3"/>
  <c r="AA1037" i="3" s="1"/>
  <c r="H1037" i="3"/>
  <c r="AC1036" i="3"/>
  <c r="P1036" i="3"/>
  <c r="AA1036" i="3" s="1"/>
  <c r="H1036" i="3"/>
  <c r="P1042" i="3"/>
  <c r="AA1042" i="3" s="1"/>
  <c r="H1042" i="3"/>
  <c r="P697" i="3"/>
  <c r="AA697" i="3" s="1"/>
  <c r="H697" i="3"/>
  <c r="AA696" i="3"/>
  <c r="H696" i="3"/>
  <c r="H695" i="3"/>
  <c r="AC694" i="3"/>
  <c r="P694" i="3"/>
  <c r="AA694" i="3" s="1"/>
  <c r="H694" i="3"/>
  <c r="AA699" i="3"/>
  <c r="H699" i="3"/>
  <c r="P693" i="3"/>
  <c r="AA693" i="3" s="1"/>
  <c r="H693" i="3"/>
  <c r="AC692" i="3"/>
  <c r="P692" i="3"/>
  <c r="AA692" i="3" s="1"/>
  <c r="H692" i="3"/>
  <c r="AC691" i="3"/>
  <c r="P691" i="3"/>
  <c r="AA691" i="3" s="1"/>
  <c r="H691" i="3"/>
  <c r="AC690" i="3"/>
  <c r="P690" i="3"/>
  <c r="AA690" i="3" s="1"/>
  <c r="H690" i="3"/>
  <c r="AC689" i="3"/>
  <c r="P689" i="3"/>
  <c r="AA689" i="3" s="1"/>
  <c r="H689" i="3"/>
  <c r="AC688" i="3"/>
  <c r="P688" i="3"/>
  <c r="AA688" i="3" s="1"/>
  <c r="H688" i="3"/>
  <c r="AC687" i="3"/>
  <c r="P687" i="3"/>
  <c r="AA687" i="3" s="1"/>
  <c r="H687" i="3"/>
  <c r="AC686" i="3"/>
  <c r="P686" i="3"/>
  <c r="AA686" i="3" s="1"/>
  <c r="H686" i="3"/>
  <c r="AC685" i="3"/>
  <c r="P685" i="3"/>
  <c r="AA685" i="3" s="1"/>
  <c r="H685" i="3"/>
  <c r="AC684" i="3"/>
  <c r="P684" i="3"/>
  <c r="AA684" i="3" s="1"/>
  <c r="H684" i="3"/>
  <c r="AC683" i="3"/>
  <c r="P683" i="3"/>
  <c r="AA683" i="3" s="1"/>
  <c r="H683" i="3"/>
  <c r="AC682" i="3"/>
  <c r="P682" i="3"/>
  <c r="AA682" i="3" s="1"/>
  <c r="H682" i="3"/>
  <c r="AC681" i="3"/>
  <c r="P681" i="3"/>
  <c r="AA681" i="3" s="1"/>
  <c r="H681" i="3"/>
  <c r="AC680" i="3"/>
  <c r="P680" i="3"/>
  <c r="AA680" i="3" s="1"/>
  <c r="H680" i="3"/>
  <c r="AC679" i="3"/>
  <c r="P679" i="3"/>
  <c r="AA679" i="3" s="1"/>
  <c r="H679" i="3"/>
  <c r="AA698" i="3"/>
  <c r="H698" i="3"/>
  <c r="AA700" i="3"/>
  <c r="H700" i="3"/>
  <c r="H646" i="3"/>
  <c r="P644" i="3"/>
  <c r="AA644" i="3" s="1"/>
  <c r="H644" i="3"/>
  <c r="P677" i="3"/>
  <c r="AA677" i="3" s="1"/>
  <c r="H677" i="3"/>
  <c r="P676" i="3"/>
  <c r="AA676" i="3" s="1"/>
  <c r="H676" i="3"/>
  <c r="P675" i="3"/>
  <c r="AA675" i="3" s="1"/>
  <c r="H675" i="3"/>
  <c r="P674" i="3"/>
  <c r="AA674" i="3" s="1"/>
  <c r="H674" i="3"/>
  <c r="P673" i="3"/>
  <c r="AA673" i="3" s="1"/>
  <c r="H673" i="3"/>
  <c r="P672" i="3"/>
  <c r="AA672" i="3" s="1"/>
  <c r="H672" i="3"/>
  <c r="P671" i="3"/>
  <c r="AA671" i="3" s="1"/>
  <c r="H671" i="3"/>
  <c r="P670" i="3"/>
  <c r="AA670" i="3" s="1"/>
  <c r="H670" i="3"/>
  <c r="P669" i="3"/>
  <c r="AA669" i="3" s="1"/>
  <c r="H669" i="3"/>
  <c r="P668" i="3"/>
  <c r="AA668" i="3" s="1"/>
  <c r="H668" i="3"/>
  <c r="P667" i="3"/>
  <c r="AA667" i="3" s="1"/>
  <c r="H667" i="3"/>
  <c r="P666" i="3"/>
  <c r="AA666" i="3" s="1"/>
  <c r="H666" i="3"/>
  <c r="P665" i="3"/>
  <c r="AA665" i="3" s="1"/>
  <c r="H665" i="3"/>
  <c r="P664" i="3"/>
  <c r="AA664" i="3" s="1"/>
  <c r="H664" i="3"/>
  <c r="P663" i="3"/>
  <c r="AA663" i="3" s="1"/>
  <c r="H663" i="3"/>
  <c r="P662" i="3"/>
  <c r="AA662" i="3" s="1"/>
  <c r="H662" i="3"/>
  <c r="P661" i="3"/>
  <c r="AA661" i="3" s="1"/>
  <c r="H661" i="3"/>
  <c r="P660" i="3"/>
  <c r="AA660" i="3" s="1"/>
  <c r="H660" i="3"/>
  <c r="P659" i="3"/>
  <c r="AA659" i="3" s="1"/>
  <c r="H659" i="3"/>
  <c r="P658" i="3"/>
  <c r="AA658" i="3" s="1"/>
  <c r="H658" i="3"/>
  <c r="P657" i="3"/>
  <c r="AA657" i="3" s="1"/>
  <c r="H657" i="3"/>
  <c r="P656" i="3"/>
  <c r="AA656" i="3" s="1"/>
  <c r="H656" i="3"/>
  <c r="P655" i="3"/>
  <c r="AA655" i="3" s="1"/>
  <c r="H655" i="3"/>
  <c r="P654" i="3"/>
  <c r="AA654" i="3" s="1"/>
  <c r="H654" i="3"/>
  <c r="P653" i="3"/>
  <c r="AA653" i="3" s="1"/>
  <c r="H653" i="3"/>
  <c r="P652" i="3"/>
  <c r="AA652" i="3" s="1"/>
  <c r="H652" i="3"/>
  <c r="P651" i="3"/>
  <c r="AA651" i="3" s="1"/>
  <c r="H651" i="3"/>
  <c r="P650" i="3"/>
  <c r="AA650" i="3" s="1"/>
  <c r="H650" i="3"/>
  <c r="P649" i="3"/>
  <c r="AA649" i="3" s="1"/>
  <c r="H649" i="3"/>
  <c r="P645" i="3"/>
  <c r="AA645" i="3" s="1"/>
  <c r="H645" i="3"/>
  <c r="AA647" i="3"/>
  <c r="H647" i="3"/>
  <c r="AA678" i="3"/>
  <c r="H678" i="3"/>
  <c r="AA648" i="3"/>
  <c r="H648" i="3"/>
  <c r="P21" i="3"/>
  <c r="AA21" i="3" s="1"/>
  <c r="H21" i="3"/>
  <c r="P20" i="3"/>
  <c r="AA20" i="3" s="1"/>
  <c r="H20" i="3"/>
  <c r="AA19" i="3"/>
  <c r="H19" i="3"/>
  <c r="AA18" i="3"/>
  <c r="H18" i="3"/>
  <c r="AC9" i="3"/>
  <c r="P9" i="3"/>
  <c r="AA9" i="3" s="1"/>
  <c r="H9" i="3"/>
  <c r="AC8" i="3"/>
  <c r="AA8" i="3"/>
  <c r="H8" i="3"/>
  <c r="AC7" i="3"/>
  <c r="AA7" i="3"/>
  <c r="H7" i="3"/>
  <c r="H17" i="3"/>
  <c r="AA16" i="3"/>
  <c r="H16" i="3"/>
  <c r="H15" i="3"/>
  <c r="P14" i="3"/>
  <c r="AA14" i="3" s="1"/>
  <c r="H14" i="3"/>
  <c r="P13" i="3"/>
  <c r="AA13" i="3" s="1"/>
  <c r="H13" i="3"/>
  <c r="P23" i="3"/>
  <c r="AA23" i="3" s="1"/>
  <c r="H23" i="3"/>
  <c r="AC6" i="3"/>
  <c r="P6" i="3"/>
  <c r="AA6" i="3" s="1"/>
  <c r="H6" i="3"/>
  <c r="AC5" i="3"/>
  <c r="P5" i="3"/>
  <c r="AA5" i="3" s="1"/>
  <c r="H5" i="3"/>
  <c r="AC4" i="3"/>
  <c r="P4" i="3"/>
  <c r="AA4" i="3" s="1"/>
  <c r="H4" i="3"/>
  <c r="AC3" i="3"/>
  <c r="P3" i="3"/>
  <c r="AA3" i="3" s="1"/>
  <c r="H3" i="3"/>
  <c r="AC2" i="3"/>
  <c r="P2" i="3"/>
  <c r="AA2" i="3" s="1"/>
  <c r="H2" i="3"/>
  <c r="H12" i="3"/>
  <c r="P11" i="3"/>
  <c r="AA11" i="3" s="1"/>
  <c r="H11" i="3"/>
  <c r="P10" i="3"/>
  <c r="AA10" i="3" s="1"/>
  <c r="H10" i="3"/>
  <c r="AA26" i="3"/>
  <c r="H26" i="3"/>
  <c r="AA22" i="3"/>
  <c r="H22" i="3"/>
  <c r="AA25" i="3"/>
  <c r="H25" i="3"/>
  <c r="AA24" i="3"/>
  <c r="H24" i="3"/>
  <c r="H156" i="3"/>
  <c r="P168" i="3"/>
  <c r="AA168" i="3" s="1"/>
  <c r="H168" i="3"/>
  <c r="P167" i="3"/>
  <c r="AA167" i="3" s="1"/>
  <c r="H167" i="3"/>
  <c r="P169" i="3"/>
  <c r="AA169" i="3" s="1"/>
  <c r="H169" i="3"/>
  <c r="P166" i="3"/>
  <c r="AA166" i="3" s="1"/>
  <c r="H166" i="3"/>
  <c r="P155" i="3"/>
  <c r="AA155" i="3" s="1"/>
  <c r="H155" i="3"/>
  <c r="P159" i="3"/>
  <c r="AA159" i="3" s="1"/>
  <c r="H159" i="3"/>
  <c r="AC147" i="3"/>
  <c r="P147" i="3"/>
  <c r="AA147" i="3" s="1"/>
  <c r="H147" i="3"/>
  <c r="AC146" i="3"/>
  <c r="P146" i="3"/>
  <c r="AA146" i="3" s="1"/>
  <c r="H146" i="3"/>
  <c r="AC145" i="3"/>
  <c r="P145" i="3"/>
  <c r="AA145" i="3" s="1"/>
  <c r="H145" i="3"/>
  <c r="P165" i="3"/>
  <c r="AA165" i="3" s="1"/>
  <c r="H165" i="3"/>
  <c r="P154" i="3"/>
  <c r="AA154" i="3" s="1"/>
  <c r="H154" i="3"/>
  <c r="P153" i="3"/>
  <c r="AA153" i="3" s="1"/>
  <c r="H153" i="3"/>
  <c r="P152" i="3"/>
  <c r="AA152" i="3" s="1"/>
  <c r="H152" i="3"/>
  <c r="P150" i="3"/>
  <c r="AA150" i="3" s="1"/>
  <c r="H150" i="3"/>
  <c r="P151" i="3"/>
  <c r="AA151" i="3" s="1"/>
  <c r="H151" i="3"/>
  <c r="AA164" i="3"/>
  <c r="H164" i="3"/>
  <c r="AA158" i="3"/>
  <c r="H158" i="3"/>
  <c r="AA162" i="3"/>
  <c r="H162" i="3"/>
  <c r="P149" i="3"/>
  <c r="AA149" i="3" s="1"/>
  <c r="H149" i="3"/>
  <c r="P148" i="3"/>
  <c r="AA148" i="3" s="1"/>
  <c r="H148" i="3"/>
  <c r="AA163" i="3"/>
  <c r="H163" i="3"/>
  <c r="AA157" i="3"/>
  <c r="H157" i="3"/>
  <c r="AA161" i="3"/>
  <c r="H161" i="3"/>
  <c r="H160" i="3"/>
  <c r="AD160" i="3" s="1"/>
  <c r="AA1025" i="3"/>
  <c r="H1025" i="3"/>
  <c r="AA1024" i="3"/>
  <c r="H1024" i="3"/>
  <c r="AC1020" i="3"/>
  <c r="P1020" i="3"/>
  <c r="AA1020" i="3" s="1"/>
  <c r="H1020" i="3"/>
  <c r="AC1019" i="3"/>
  <c r="P1019" i="3"/>
  <c r="AA1019" i="3" s="1"/>
  <c r="H1019" i="3"/>
  <c r="AC1018" i="3"/>
  <c r="P1018" i="3"/>
  <c r="AA1018" i="3" s="1"/>
  <c r="H1018" i="3"/>
  <c r="P1035" i="3"/>
  <c r="AA1035" i="3" s="1"/>
  <c r="H1035" i="3"/>
  <c r="H1022" i="3"/>
  <c r="AJ1022" i="3" s="1"/>
  <c r="AA1023" i="3"/>
  <c r="H1023" i="3"/>
  <c r="P1030" i="3"/>
  <c r="AA1030" i="3" s="1"/>
  <c r="H1030" i="3"/>
  <c r="P1029" i="3"/>
  <c r="AA1029" i="3" s="1"/>
  <c r="H1029" i="3"/>
  <c r="AC1028" i="3"/>
  <c r="P1028" i="3"/>
  <c r="AA1028" i="3" s="1"/>
  <c r="H1028" i="3"/>
  <c r="AC1027" i="3"/>
  <c r="P1027" i="3"/>
  <c r="AA1027" i="3" s="1"/>
  <c r="H1027" i="3"/>
  <c r="P1033" i="3"/>
  <c r="AA1033" i="3" s="1"/>
  <c r="H1033" i="3"/>
  <c r="AC1017" i="3"/>
  <c r="P1017" i="3"/>
  <c r="AA1017" i="3" s="1"/>
  <c r="H1017" i="3"/>
  <c r="AC1016" i="3"/>
  <c r="P1016" i="3"/>
  <c r="AA1016" i="3" s="1"/>
  <c r="H1016" i="3"/>
  <c r="AC1015" i="3"/>
  <c r="P1015" i="3"/>
  <c r="AA1015" i="3" s="1"/>
  <c r="H1015" i="3"/>
  <c r="AC1014" i="3"/>
  <c r="P1014" i="3"/>
  <c r="AA1014" i="3" s="1"/>
  <c r="H1014" i="3"/>
  <c r="P1032" i="3"/>
  <c r="AA1032" i="3" s="1"/>
  <c r="H1032" i="3"/>
  <c r="P1021" i="3"/>
  <c r="AA1021" i="3" s="1"/>
  <c r="H1021" i="3"/>
  <c r="AA1031" i="3"/>
  <c r="H1031" i="3"/>
  <c r="AA1026" i="3"/>
  <c r="H1026" i="3"/>
  <c r="AA1034" i="3"/>
  <c r="H1034" i="3"/>
  <c r="P966" i="3"/>
  <c r="AA966" i="3" s="1"/>
  <c r="H966" i="3"/>
  <c r="H965" i="3"/>
  <c r="AA964" i="3"/>
  <c r="H964" i="3"/>
  <c r="P968" i="3"/>
  <c r="AA968" i="3" s="1"/>
  <c r="H968" i="3"/>
  <c r="AC961" i="3"/>
  <c r="P961" i="3"/>
  <c r="AA961" i="3" s="1"/>
  <c r="H961" i="3"/>
  <c r="P960" i="3"/>
  <c r="AA960" i="3" s="1"/>
  <c r="H960" i="3"/>
  <c r="P959" i="3"/>
  <c r="AA959" i="3" s="1"/>
  <c r="H959" i="3"/>
  <c r="AC958" i="3"/>
  <c r="P958" i="3"/>
  <c r="AA958" i="3" s="1"/>
  <c r="H958" i="3"/>
  <c r="AC957" i="3"/>
  <c r="P957" i="3"/>
  <c r="AA957" i="3" s="1"/>
  <c r="H957" i="3"/>
  <c r="AC956" i="3"/>
  <c r="P956" i="3"/>
  <c r="AA956" i="3" s="1"/>
  <c r="H956" i="3"/>
  <c r="AC955" i="3"/>
  <c r="P955" i="3"/>
  <c r="AA955" i="3" s="1"/>
  <c r="H955" i="3"/>
  <c r="AC954" i="3"/>
  <c r="P954" i="3"/>
  <c r="AA954" i="3" s="1"/>
  <c r="H954" i="3"/>
  <c r="P963" i="3"/>
  <c r="AA963" i="3" s="1"/>
  <c r="H963" i="3"/>
  <c r="P962" i="3"/>
  <c r="AA962" i="3" s="1"/>
  <c r="H962" i="3"/>
  <c r="AA969" i="3"/>
  <c r="H969" i="3"/>
  <c r="AA967" i="3"/>
  <c r="H967" i="3"/>
  <c r="AA970" i="3"/>
  <c r="H970" i="3"/>
  <c r="H294" i="3"/>
  <c r="P293" i="3"/>
  <c r="AA293" i="3" s="1"/>
  <c r="H293" i="3"/>
  <c r="T292" i="3"/>
  <c r="P292" i="3"/>
  <c r="H292" i="3"/>
  <c r="AA291" i="3"/>
  <c r="H291" i="3"/>
  <c r="H290" i="3"/>
  <c r="AA289" i="3"/>
  <c r="H289" i="3"/>
  <c r="AA288" i="3"/>
  <c r="H288" i="3"/>
  <c r="P287" i="3"/>
  <c r="AA287" i="3" s="1"/>
  <c r="H287" i="3"/>
  <c r="P286" i="3"/>
  <c r="AA286" i="3" s="1"/>
  <c r="H286" i="3"/>
  <c r="P285" i="3"/>
  <c r="AA285" i="3" s="1"/>
  <c r="H285" i="3"/>
  <c r="P298" i="3"/>
  <c r="AA298" i="3" s="1"/>
  <c r="H298" i="3"/>
  <c r="P296" i="3"/>
  <c r="AA296" i="3" s="1"/>
  <c r="H296" i="3"/>
  <c r="AC297" i="3"/>
  <c r="P297" i="3"/>
  <c r="AA297" i="3" s="1"/>
  <c r="H297" i="3"/>
  <c r="AC284" i="3"/>
  <c r="P284" i="3"/>
  <c r="AA284" i="3" s="1"/>
  <c r="H284" i="3"/>
  <c r="AC283" i="3"/>
  <c r="P283" i="3"/>
  <c r="AA283" i="3" s="1"/>
  <c r="H283" i="3"/>
  <c r="AC282" i="3"/>
  <c r="P282" i="3"/>
  <c r="AA282" i="3" s="1"/>
  <c r="H282" i="3"/>
  <c r="AC281" i="3"/>
  <c r="P281" i="3"/>
  <c r="AA281" i="3" s="1"/>
  <c r="H281" i="3"/>
  <c r="P300" i="3"/>
  <c r="AA300" i="3" s="1"/>
  <c r="H300" i="3"/>
  <c r="AA299" i="3"/>
  <c r="H299" i="3"/>
  <c r="P295" i="3"/>
  <c r="AA295" i="3" s="1"/>
  <c r="H295" i="3"/>
  <c r="AA301" i="3"/>
  <c r="H301" i="3"/>
  <c r="AA275" i="3"/>
  <c r="H275" i="3"/>
  <c r="H274" i="3"/>
  <c r="H273" i="3"/>
  <c r="H272" i="3"/>
  <c r="H271" i="3"/>
  <c r="H270" i="3"/>
  <c r="P269" i="3"/>
  <c r="AA269" i="3" s="1"/>
  <c r="H269" i="3"/>
  <c r="AA268" i="3"/>
  <c r="H268" i="3"/>
  <c r="AA267" i="3"/>
  <c r="H267" i="3"/>
  <c r="AC265" i="3"/>
  <c r="P265" i="3"/>
  <c r="AA265" i="3" s="1"/>
  <c r="H265" i="3"/>
  <c r="AC264" i="3"/>
  <c r="P264" i="3"/>
  <c r="AA264" i="3" s="1"/>
  <c r="H264" i="3"/>
  <c r="P266" i="3"/>
  <c r="AA266" i="3" s="1"/>
  <c r="H266" i="3"/>
  <c r="P277" i="3"/>
  <c r="AA277" i="3" s="1"/>
  <c r="H277" i="3"/>
  <c r="AC263" i="3"/>
  <c r="P263" i="3"/>
  <c r="AA263" i="3" s="1"/>
  <c r="H263" i="3"/>
  <c r="AC262" i="3"/>
  <c r="P262" i="3"/>
  <c r="AA262" i="3" s="1"/>
  <c r="H262" i="3"/>
  <c r="AC261" i="3"/>
  <c r="P261" i="3"/>
  <c r="AA261" i="3" s="1"/>
  <c r="H261" i="3"/>
  <c r="AC260" i="3"/>
  <c r="P260" i="3"/>
  <c r="AA260" i="3" s="1"/>
  <c r="H260" i="3"/>
  <c r="AC259" i="3"/>
  <c r="P259" i="3"/>
  <c r="AA259" i="3" s="1"/>
  <c r="H259" i="3"/>
  <c r="AC258" i="3"/>
  <c r="P258" i="3"/>
  <c r="AA258" i="3" s="1"/>
  <c r="H258" i="3"/>
  <c r="AC257" i="3"/>
  <c r="P257" i="3"/>
  <c r="AA257" i="3" s="1"/>
  <c r="H257" i="3"/>
  <c r="AC256" i="3"/>
  <c r="P256" i="3"/>
  <c r="AA256" i="3" s="1"/>
  <c r="H256" i="3"/>
  <c r="P279" i="3"/>
  <c r="AA279" i="3" s="1"/>
  <c r="H279" i="3"/>
  <c r="AA278" i="3"/>
  <c r="H278" i="3"/>
  <c r="AA276" i="3"/>
  <c r="H276" i="3"/>
  <c r="AA280" i="3"/>
  <c r="H280" i="3"/>
  <c r="AA817" i="3"/>
  <c r="P808" i="3"/>
  <c r="AA808" i="3" s="1"/>
  <c r="P806" i="3"/>
  <c r="AA806" i="3" s="1"/>
  <c r="P805" i="3"/>
  <c r="AA805" i="3" s="1"/>
  <c r="P795" i="3"/>
  <c r="AA795" i="3" s="1"/>
  <c r="AH795" i="3" s="1"/>
  <c r="P794" i="3"/>
  <c r="AA794" i="3" s="1"/>
  <c r="AH794" i="3" s="1"/>
  <c r="AC819" i="3"/>
  <c r="P819" i="3"/>
  <c r="AA819" i="3" s="1"/>
  <c r="AC804" i="3"/>
  <c r="P804" i="3"/>
  <c r="AA804" i="3" s="1"/>
  <c r="AC803" i="3"/>
  <c r="P803" i="3"/>
  <c r="AA803" i="3" s="1"/>
  <c r="AC802" i="3"/>
  <c r="P802" i="3"/>
  <c r="AA802" i="3" s="1"/>
  <c r="AC801" i="3"/>
  <c r="P801" i="3"/>
  <c r="AA801" i="3" s="1"/>
  <c r="AC800" i="3"/>
  <c r="P800" i="3"/>
  <c r="AA800" i="3" s="1"/>
  <c r="AC799" i="3"/>
  <c r="P799" i="3"/>
  <c r="AA799" i="3" s="1"/>
  <c r="AC798" i="3"/>
  <c r="P798" i="3"/>
  <c r="AA798" i="3" s="1"/>
  <c r="AC797" i="3"/>
  <c r="P797" i="3"/>
  <c r="AA797" i="3" s="1"/>
  <c r="AC796" i="3"/>
  <c r="P796" i="3"/>
  <c r="AA796" i="3" s="1"/>
  <c r="AA818" i="3"/>
  <c r="AA820" i="3"/>
  <c r="AH820" i="3" s="1"/>
  <c r="AA821" i="3"/>
  <c r="AH821" i="3" s="1"/>
  <c r="H382" i="3"/>
  <c r="H381" i="3"/>
  <c r="P380" i="3"/>
  <c r="AA380" i="3" s="1"/>
  <c r="H380" i="3"/>
  <c r="P386" i="3"/>
  <c r="AA386" i="3" s="1"/>
  <c r="H386" i="3"/>
  <c r="AC384" i="3"/>
  <c r="AA384" i="3"/>
  <c r="H384" i="3"/>
  <c r="AC383" i="3"/>
  <c r="AA383" i="3"/>
  <c r="H383" i="3"/>
  <c r="AA385" i="3"/>
  <c r="H385" i="3"/>
  <c r="AA387" i="3"/>
  <c r="H387" i="3"/>
  <c r="H388" i="3"/>
  <c r="AH388" i="3" s="1"/>
  <c r="H638" i="3"/>
  <c r="P640" i="3"/>
  <c r="AA640" i="3" s="1"/>
  <c r="H640" i="3"/>
  <c r="P643" i="3"/>
  <c r="AA643" i="3" s="1"/>
  <c r="H643" i="3"/>
  <c r="P639" i="3"/>
  <c r="AA639" i="3" s="1"/>
  <c r="H639" i="3"/>
  <c r="P641" i="3"/>
  <c r="AA641" i="3" s="1"/>
  <c r="H641" i="3"/>
  <c r="P642" i="3"/>
  <c r="AA642" i="3" s="1"/>
  <c r="H642" i="3"/>
  <c r="P835" i="3"/>
  <c r="AA835" i="3" s="1"/>
  <c r="P834" i="3"/>
  <c r="AA834" i="3" s="1"/>
  <c r="P831" i="3"/>
  <c r="AA831" i="3" s="1"/>
  <c r="P828" i="3"/>
  <c r="AA828" i="3" s="1"/>
  <c r="AH828" i="3" s="1"/>
  <c r="P838" i="3"/>
  <c r="AA838" i="3" s="1"/>
  <c r="AH838" i="3" s="1"/>
  <c r="AC830" i="3"/>
  <c r="P830" i="3"/>
  <c r="AA830" i="3" s="1"/>
  <c r="AC829" i="3"/>
  <c r="P829" i="3"/>
  <c r="AA829" i="3" s="1"/>
  <c r="P837" i="3"/>
  <c r="AA837" i="3" s="1"/>
  <c r="AH837" i="3" s="1"/>
  <c r="H823" i="3"/>
  <c r="AC822" i="3"/>
  <c r="AA822" i="3"/>
  <c r="H822" i="3"/>
  <c r="AA826" i="3"/>
  <c r="H826" i="3"/>
  <c r="AA827" i="3"/>
  <c r="H827" i="3"/>
  <c r="P824" i="3"/>
  <c r="AA824" i="3" s="1"/>
  <c r="H824" i="3"/>
  <c r="AA825" i="3"/>
  <c r="H825" i="3"/>
  <c r="P311" i="3"/>
  <c r="AA311" i="3" s="1"/>
  <c r="AH311" i="3" s="1"/>
  <c r="P310" i="3"/>
  <c r="AA310" i="3" s="1"/>
  <c r="AH310" i="3" s="1"/>
  <c r="AA307" i="3"/>
  <c r="AH307" i="3" s="1"/>
  <c r="AC306" i="3"/>
  <c r="AA306" i="3"/>
  <c r="AC304" i="3"/>
  <c r="AA304" i="3"/>
  <c r="AC303" i="3"/>
  <c r="AA303" i="3"/>
  <c r="AA309" i="3"/>
  <c r="AI309" i="3" s="1"/>
  <c r="AC302" i="3"/>
  <c r="AA302" i="3"/>
  <c r="AA308" i="3"/>
  <c r="AH308" i="3" s="1"/>
  <c r="AA846" i="3"/>
  <c r="AI846" i="3" s="1"/>
  <c r="AA844" i="3"/>
  <c r="AC839" i="3"/>
  <c r="AA839" i="3"/>
  <c r="AA845" i="3"/>
  <c r="AH845" i="3" s="1"/>
  <c r="AJ843" i="3"/>
  <c r="AI843" i="3"/>
  <c r="AH843" i="3"/>
  <c r="AG843" i="3"/>
  <c r="AF843" i="3"/>
  <c r="AD843" i="3"/>
  <c r="AA842" i="3"/>
  <c r="AH842" i="3" s="1"/>
  <c r="AC498" i="3"/>
  <c r="AA498" i="3"/>
  <c r="AC497" i="3"/>
  <c r="AA497" i="3"/>
  <c r="P500" i="3"/>
  <c r="AA500" i="3" s="1"/>
  <c r="AH500" i="3" s="1"/>
  <c r="P330" i="3"/>
  <c r="AA330" i="3" s="1"/>
  <c r="H330" i="3"/>
  <c r="AC314" i="3"/>
  <c r="P314" i="3"/>
  <c r="AA314" i="3" s="1"/>
  <c r="H314" i="3"/>
  <c r="AC313" i="3"/>
  <c r="P313" i="3"/>
  <c r="AA313" i="3" s="1"/>
  <c r="H313" i="3"/>
  <c r="P324" i="3"/>
  <c r="AA324" i="3" s="1"/>
  <c r="H324" i="3"/>
  <c r="AC312" i="3"/>
  <c r="AA312" i="3"/>
  <c r="H312" i="3"/>
  <c r="H323" i="3"/>
  <c r="P322" i="3"/>
  <c r="AA322" i="3" s="1"/>
  <c r="H322" i="3"/>
  <c r="P327" i="3"/>
  <c r="AA327" i="3" s="1"/>
  <c r="H327" i="3"/>
  <c r="AA321" i="3"/>
  <c r="H321" i="3"/>
  <c r="P320" i="3"/>
  <c r="AA320" i="3" s="1"/>
  <c r="H320" i="3"/>
  <c r="P319" i="3"/>
  <c r="AA319" i="3" s="1"/>
  <c r="H319" i="3"/>
  <c r="P318" i="3"/>
  <c r="AA318" i="3" s="1"/>
  <c r="H318" i="3"/>
  <c r="H317" i="3"/>
  <c r="P316" i="3"/>
  <c r="AA316" i="3" s="1"/>
  <c r="H316" i="3"/>
  <c r="P315" i="3"/>
  <c r="AA315" i="3" s="1"/>
  <c r="H315" i="3"/>
  <c r="P328" i="3"/>
  <c r="AA328" i="3" s="1"/>
  <c r="H328" i="3"/>
  <c r="P326" i="3"/>
  <c r="AA326" i="3" s="1"/>
  <c r="H326" i="3"/>
  <c r="AA332" i="3"/>
  <c r="H332" i="3"/>
  <c r="H325" i="3"/>
  <c r="H331" i="3"/>
  <c r="AH331" i="3" s="1"/>
  <c r="AA329" i="3"/>
  <c r="H329" i="3"/>
  <c r="AC336" i="3"/>
  <c r="AA336" i="3"/>
  <c r="AC335" i="3"/>
  <c r="AA335" i="3"/>
  <c r="AC334" i="3"/>
  <c r="AA334" i="3"/>
  <c r="AC333" i="3"/>
  <c r="AA333" i="3"/>
  <c r="P337" i="3"/>
  <c r="AA337" i="3" s="1"/>
  <c r="AJ337" i="3" s="1"/>
  <c r="AJ339" i="3"/>
  <c r="P755" i="3"/>
  <c r="AA755" i="3" s="1"/>
  <c r="H755" i="3"/>
  <c r="H753" i="3"/>
  <c r="AC751" i="3"/>
  <c r="AA751" i="3"/>
  <c r="H751" i="3"/>
  <c r="AA758" i="3"/>
  <c r="H758" i="3"/>
  <c r="H754" i="3"/>
  <c r="H757" i="3"/>
  <c r="AH757" i="3" s="1"/>
  <c r="AA756" i="3"/>
  <c r="H756" i="3"/>
  <c r="AA752" i="3"/>
  <c r="H752" i="3"/>
  <c r="AC733" i="3"/>
  <c r="AA733" i="3"/>
  <c r="H733" i="3"/>
  <c r="H734" i="3"/>
  <c r="AC732" i="3"/>
  <c r="AA732" i="3"/>
  <c r="H732" i="3"/>
  <c r="AA736" i="3"/>
  <c r="H736" i="3"/>
  <c r="AA735" i="3"/>
  <c r="H735" i="3"/>
  <c r="P344" i="3"/>
  <c r="AA344" i="3" s="1"/>
  <c r="AH344" i="3" s="1"/>
  <c r="AC341" i="3"/>
  <c r="AA341" i="3"/>
  <c r="AC340" i="3"/>
  <c r="AA340" i="3"/>
  <c r="P342" i="3"/>
  <c r="AA342" i="3" s="1"/>
  <c r="AA345" i="3"/>
  <c r="AJ345" i="3" s="1"/>
  <c r="AA769" i="3"/>
  <c r="AH769" i="3" s="1"/>
  <c r="AC763" i="3"/>
  <c r="AA763" i="3"/>
  <c r="AC762" i="3"/>
  <c r="AA762" i="3"/>
  <c r="AC761" i="3"/>
  <c r="AA761" i="3"/>
  <c r="AC760" i="3"/>
  <c r="AA760" i="3"/>
  <c r="AC759" i="3"/>
  <c r="AA759" i="3"/>
  <c r="AA772" i="3"/>
  <c r="AJ772" i="3" s="1"/>
  <c r="AJ770" i="3"/>
  <c r="AI770" i="3"/>
  <c r="AH770" i="3"/>
  <c r="AG770" i="3"/>
  <c r="AF770" i="3"/>
  <c r="AD770" i="3"/>
  <c r="AA768" i="3"/>
  <c r="AA771" i="3"/>
  <c r="AH771" i="3" s="1"/>
  <c r="P771" i="3"/>
  <c r="AA773" i="3"/>
  <c r="AG773" i="3" s="1"/>
  <c r="AC743" i="3"/>
  <c r="AA743" i="3"/>
  <c r="AC742" i="3"/>
  <c r="AA742" i="3"/>
  <c r="T749" i="3"/>
  <c r="P749" i="3"/>
  <c r="P747" i="3"/>
  <c r="AA747" i="3" s="1"/>
  <c r="AA748" i="3"/>
  <c r="AJ748" i="3" s="1"/>
  <c r="P746" i="3"/>
  <c r="AA746" i="3" s="1"/>
  <c r="P744" i="3"/>
  <c r="AA744" i="3" s="1"/>
  <c r="AA750" i="3"/>
  <c r="AH750" i="3" s="1"/>
  <c r="P739" i="3"/>
  <c r="AA739" i="3" s="1"/>
  <c r="AH739" i="3" s="1"/>
  <c r="P737" i="3"/>
  <c r="AA737" i="3" s="1"/>
  <c r="P741" i="3"/>
  <c r="AA741" i="3" s="1"/>
  <c r="AA740" i="3"/>
  <c r="AH740" i="3" s="1"/>
  <c r="AC783" i="3"/>
  <c r="AA783" i="3"/>
  <c r="AC782" i="3"/>
  <c r="AA782" i="3"/>
  <c r="AC781" i="3"/>
  <c r="AA781" i="3"/>
  <c r="AC776" i="3"/>
  <c r="AA776" i="3"/>
  <c r="AC775" i="3"/>
  <c r="AA775" i="3"/>
  <c r="AC774" i="3"/>
  <c r="AA774" i="3"/>
  <c r="AA780" i="3"/>
  <c r="AI780" i="3" s="1"/>
  <c r="AA779" i="3"/>
  <c r="AH779" i="3" s="1"/>
  <c r="AA778" i="3"/>
  <c r="AH778" i="3" s="1"/>
  <c r="AJ791" i="3"/>
  <c r="AI791" i="3"/>
  <c r="AH791" i="3"/>
  <c r="AG791" i="3"/>
  <c r="AF791" i="3"/>
  <c r="AD791" i="3"/>
  <c r="AC790" i="3"/>
  <c r="AA790" i="3"/>
  <c r="AC789" i="3"/>
  <c r="AA789" i="3"/>
  <c r="AC788" i="3"/>
  <c r="AA788" i="3"/>
  <c r="AC787" i="3"/>
  <c r="AA787" i="3"/>
  <c r="AC786" i="3"/>
  <c r="AA786" i="3"/>
  <c r="AC785" i="3"/>
  <c r="AA785" i="3"/>
  <c r="AA793" i="3"/>
  <c r="AH793" i="3" s="1"/>
  <c r="AC784" i="3"/>
  <c r="P784" i="3"/>
  <c r="AA784" i="3" s="1"/>
  <c r="AA792" i="3"/>
  <c r="AH792" i="3" s="1"/>
  <c r="P365" i="3"/>
  <c r="AA365" i="3" s="1"/>
  <c r="P368" i="3"/>
  <c r="AA368" i="3" s="1"/>
  <c r="P364" i="3"/>
  <c r="AA364" i="3" s="1"/>
  <c r="AA363" i="3"/>
  <c r="P362" i="3"/>
  <c r="AA362" i="3" s="1"/>
  <c r="P361" i="3"/>
  <c r="AA361" i="3" s="1"/>
  <c r="P360" i="3"/>
  <c r="AA360" i="3" s="1"/>
  <c r="AA359" i="3"/>
  <c r="AA358" i="3"/>
  <c r="AC346" i="3"/>
  <c r="P346" i="3"/>
  <c r="AA346" i="3" s="1"/>
  <c r="AA357" i="3"/>
  <c r="P356" i="3"/>
  <c r="AA356" i="3" s="1"/>
  <c r="P354" i="3"/>
  <c r="AA354" i="3" s="1"/>
  <c r="P353" i="3"/>
  <c r="AA353" i="3" s="1"/>
  <c r="P370" i="3"/>
  <c r="AA370" i="3" s="1"/>
  <c r="P369" i="3"/>
  <c r="AA369" i="3" s="1"/>
  <c r="AH369" i="3" s="1"/>
  <c r="P352" i="3"/>
  <c r="AA352" i="3" s="1"/>
  <c r="P351" i="3"/>
  <c r="AA351" i="3" s="1"/>
  <c r="P350" i="3"/>
  <c r="AA350" i="3" s="1"/>
  <c r="P349" i="3"/>
  <c r="AA349" i="3" s="1"/>
  <c r="P348" i="3"/>
  <c r="AA348" i="3" s="1"/>
  <c r="AA347" i="3"/>
  <c r="AJ379" i="3"/>
  <c r="AI379" i="3"/>
  <c r="AH379" i="3"/>
  <c r="AG379" i="3"/>
  <c r="AF379" i="3"/>
  <c r="AD379" i="3"/>
  <c r="P378" i="3"/>
  <c r="AA378" i="3" s="1"/>
  <c r="P377" i="3"/>
  <c r="P367" i="3"/>
  <c r="AA367" i="3" s="1"/>
  <c r="P366" i="3"/>
  <c r="AA366" i="3" s="1"/>
  <c r="AA376" i="3"/>
  <c r="AA375" i="3"/>
  <c r="P371" i="3"/>
  <c r="AA371" i="3" s="1"/>
  <c r="AH371" i="3" s="1"/>
  <c r="P374" i="3"/>
  <c r="AA374" i="3" s="1"/>
  <c r="AH374" i="3" s="1"/>
  <c r="P373" i="3"/>
  <c r="AA373" i="3" s="1"/>
  <c r="P372" i="3"/>
  <c r="AA372" i="3" s="1"/>
  <c r="AH372" i="3" s="1"/>
  <c r="AA42" i="3"/>
  <c r="AC28" i="3"/>
  <c r="P28" i="3"/>
  <c r="AA28" i="3" s="1"/>
  <c r="AC27" i="3"/>
  <c r="P27" i="3"/>
  <c r="AA27" i="3" s="1"/>
  <c r="AI27" i="3" s="1"/>
  <c r="AC31" i="3"/>
  <c r="AB31" i="3"/>
  <c r="AA31" i="3"/>
  <c r="AA50" i="3"/>
  <c r="AA49" i="3"/>
  <c r="AJ58" i="3"/>
  <c r="AI58" i="3"/>
  <c r="AH58" i="3"/>
  <c r="AG58" i="3"/>
  <c r="AF58" i="3"/>
  <c r="AD58" i="3"/>
  <c r="AA63" i="3"/>
  <c r="AA48" i="3"/>
  <c r="AJ57" i="3"/>
  <c r="AI57" i="3"/>
  <c r="AH57" i="3"/>
  <c r="AG57" i="3"/>
  <c r="AF57" i="3"/>
  <c r="AD57" i="3"/>
  <c r="AC30" i="3"/>
  <c r="AB30" i="3"/>
  <c r="AA30" i="3"/>
  <c r="AA29" i="3"/>
  <c r="AH29" i="3" s="1"/>
  <c r="AA51" i="3"/>
  <c r="P59" i="3"/>
  <c r="AA59" i="3" s="1"/>
  <c r="P37" i="3"/>
  <c r="AA37" i="3" s="1"/>
  <c r="P35" i="3"/>
  <c r="AA35" i="3" s="1"/>
  <c r="P60" i="3"/>
  <c r="AA60" i="3" s="1"/>
  <c r="AJ60" i="3" s="1"/>
  <c r="AA47" i="3"/>
  <c r="AJ56" i="3"/>
  <c r="AI56" i="3"/>
  <c r="AH56" i="3"/>
  <c r="AG56" i="3"/>
  <c r="AF56" i="3"/>
  <c r="AD56" i="3"/>
  <c r="AA62" i="3"/>
  <c r="AI62" i="3" s="1"/>
  <c r="AA46" i="3"/>
  <c r="AJ55" i="3"/>
  <c r="AI55" i="3"/>
  <c r="AH55" i="3"/>
  <c r="AG55" i="3"/>
  <c r="AF55" i="3"/>
  <c r="AD55" i="3"/>
  <c r="AA61" i="3"/>
  <c r="AH61" i="3" s="1"/>
  <c r="AA45" i="3"/>
  <c r="AJ54" i="3"/>
  <c r="AI54" i="3"/>
  <c r="AH54" i="3"/>
  <c r="AG54" i="3"/>
  <c r="AF54" i="3"/>
  <c r="AD54" i="3"/>
  <c r="AA44" i="3"/>
  <c r="AJ53" i="3"/>
  <c r="AI53" i="3"/>
  <c r="AH53" i="3"/>
  <c r="AG53" i="3"/>
  <c r="AF53" i="3"/>
  <c r="AD53" i="3"/>
  <c r="AA33" i="3"/>
  <c r="AG33" i="3" s="1"/>
  <c r="AA43" i="3"/>
  <c r="AJ52" i="3"/>
  <c r="AI52" i="3"/>
  <c r="AH52" i="3"/>
  <c r="AG52" i="3"/>
  <c r="AF52" i="3"/>
  <c r="AD52" i="3"/>
  <c r="P32" i="3"/>
  <c r="AA32" i="3" s="1"/>
  <c r="AG32" i="3" s="1"/>
  <c r="AA929" i="3"/>
  <c r="P928" i="3"/>
  <c r="AA928" i="3" s="1"/>
  <c r="P927" i="3"/>
  <c r="AA927" i="3" s="1"/>
  <c r="P926" i="3"/>
  <c r="AA926" i="3" s="1"/>
  <c r="P925" i="3"/>
  <c r="AA925" i="3" s="1"/>
  <c r="P924" i="3"/>
  <c r="AA924" i="3" s="1"/>
  <c r="AA923" i="3"/>
  <c r="P922" i="3"/>
  <c r="AA922" i="3" s="1"/>
  <c r="AA921" i="3"/>
  <c r="AA920" i="3"/>
  <c r="AA919" i="3"/>
  <c r="P918" i="3"/>
  <c r="AA918" i="3" s="1"/>
  <c r="P917" i="3"/>
  <c r="AA917" i="3" s="1"/>
  <c r="P916" i="3"/>
  <c r="AA916" i="3" s="1"/>
  <c r="P931" i="3"/>
  <c r="AA931" i="3" s="1"/>
  <c r="AH931" i="3" s="1"/>
  <c r="AC914" i="3"/>
  <c r="AA914" i="3"/>
  <c r="AC913" i="3"/>
  <c r="AA913" i="3"/>
  <c r="AC912" i="3"/>
  <c r="AA912" i="3"/>
  <c r="AC911" i="3"/>
  <c r="AA911" i="3"/>
  <c r="AC910" i="3"/>
  <c r="AA910" i="3"/>
  <c r="AC909" i="3"/>
  <c r="AA909" i="3"/>
  <c r="AC908" i="3"/>
  <c r="P908" i="3"/>
  <c r="AA908" i="3" s="1"/>
  <c r="P915" i="3"/>
  <c r="AA915" i="3" s="1"/>
  <c r="P930" i="3"/>
  <c r="AA930" i="3" s="1"/>
  <c r="AG930" i="3" s="1"/>
  <c r="AA904" i="3"/>
  <c r="AG904" i="3" s="1"/>
  <c r="AA903" i="3"/>
  <c r="AG903" i="3" s="1"/>
  <c r="AJ902" i="3"/>
  <c r="AI902" i="3"/>
  <c r="AH902" i="3"/>
  <c r="AG902" i="3"/>
  <c r="AF902" i="3"/>
  <c r="AD902" i="3"/>
  <c r="AJ901" i="3"/>
  <c r="AI901" i="3"/>
  <c r="AH901" i="3"/>
  <c r="AG901" i="3"/>
  <c r="AF901" i="3"/>
  <c r="AD901" i="3"/>
  <c r="P906" i="3"/>
  <c r="AA906" i="3" s="1"/>
  <c r="P907" i="3"/>
  <c r="AA907" i="3" s="1"/>
  <c r="AI907" i="3" s="1"/>
  <c r="AC905" i="3"/>
  <c r="P905" i="3"/>
  <c r="AA905" i="3" s="1"/>
  <c r="P884" i="3"/>
  <c r="AA884" i="3" s="1"/>
  <c r="P890" i="3"/>
  <c r="AA890" i="3" s="1"/>
  <c r="P888" i="3"/>
  <c r="AA888" i="3" s="1"/>
  <c r="P883" i="3"/>
  <c r="AA883" i="3" s="1"/>
  <c r="P882" i="3"/>
  <c r="AA882" i="3" s="1"/>
  <c r="P881" i="3"/>
  <c r="P880" i="3"/>
  <c r="AA880" i="3" s="1"/>
  <c r="P894" i="3"/>
  <c r="AA894" i="3" s="1"/>
  <c r="AI894" i="3" s="1"/>
  <c r="AJ847" i="3"/>
  <c r="AI847" i="3"/>
  <c r="AH847" i="3"/>
  <c r="AG847" i="3"/>
  <c r="AF847" i="3"/>
  <c r="AD847" i="3"/>
  <c r="P879" i="3"/>
  <c r="AA879" i="3" s="1"/>
  <c r="P878" i="3"/>
  <c r="AA878" i="3" s="1"/>
  <c r="P877" i="3"/>
  <c r="AA877" i="3" s="1"/>
  <c r="P876" i="3"/>
  <c r="AA876" i="3" s="1"/>
  <c r="P887" i="3"/>
  <c r="AA887" i="3" s="1"/>
  <c r="P886" i="3"/>
  <c r="AA886" i="3" s="1"/>
  <c r="P885" i="3"/>
  <c r="AA885" i="3" s="1"/>
  <c r="P893" i="3"/>
  <c r="P875" i="3"/>
  <c r="AA875" i="3" s="1"/>
  <c r="P889" i="3"/>
  <c r="AA889" i="3" s="1"/>
  <c r="P874" i="3"/>
  <c r="AA874" i="3" s="1"/>
  <c r="AA873" i="3"/>
  <c r="P872" i="3"/>
  <c r="AA872" i="3" s="1"/>
  <c r="P871" i="3"/>
  <c r="AA871" i="3" s="1"/>
  <c r="P870" i="3"/>
  <c r="AA870" i="3" s="1"/>
  <c r="P869" i="3"/>
  <c r="AA869" i="3" s="1"/>
  <c r="P868" i="3"/>
  <c r="AA868" i="3" s="1"/>
  <c r="P866" i="3"/>
  <c r="AA866" i="3" s="1"/>
  <c r="P865" i="3"/>
  <c r="AA865" i="3" s="1"/>
  <c r="P892" i="3"/>
  <c r="P891" i="3"/>
  <c r="AA891" i="3" s="1"/>
  <c r="AH891" i="3" s="1"/>
  <c r="P864" i="3"/>
  <c r="AA864" i="3" s="1"/>
  <c r="P863" i="3"/>
  <c r="AA863" i="3" s="1"/>
  <c r="P862" i="3"/>
  <c r="AA862" i="3" s="1"/>
  <c r="P861" i="3"/>
  <c r="AA861" i="3" s="1"/>
  <c r="P860" i="3"/>
  <c r="AA860" i="3" s="1"/>
  <c r="P859" i="3"/>
  <c r="AA859" i="3" s="1"/>
  <c r="T858" i="3"/>
  <c r="P858" i="3"/>
  <c r="P857" i="3"/>
  <c r="AA857" i="3" s="1"/>
  <c r="P856" i="3"/>
  <c r="AA856" i="3" s="1"/>
  <c r="P855" i="3"/>
  <c r="AA855" i="3" s="1"/>
  <c r="P854" i="3"/>
  <c r="AA854" i="3" s="1"/>
  <c r="P853" i="3"/>
  <c r="AA853" i="3" s="1"/>
  <c r="P852" i="3"/>
  <c r="AA852" i="3" s="1"/>
  <c r="P851" i="3"/>
  <c r="AA851" i="3" s="1"/>
  <c r="P850" i="3"/>
  <c r="AA850" i="3" s="1"/>
  <c r="P849" i="3"/>
  <c r="AA849" i="3" s="1"/>
  <c r="P848" i="3"/>
  <c r="AA848" i="3" s="1"/>
  <c r="P509" i="3"/>
  <c r="AA509" i="3" s="1"/>
  <c r="AI509" i="3" s="1"/>
  <c r="P508" i="3"/>
  <c r="AA505" i="3"/>
  <c r="P507" i="3"/>
  <c r="AA507" i="3" s="1"/>
  <c r="AH507" i="3" s="1"/>
  <c r="P503" i="3"/>
  <c r="AA503" i="3" s="1"/>
  <c r="P502" i="3"/>
  <c r="AA502" i="3" s="1"/>
  <c r="P501" i="3"/>
  <c r="AA501" i="3" s="1"/>
  <c r="AC506" i="3"/>
  <c r="P506" i="3"/>
  <c r="AA506" i="3" s="1"/>
  <c r="P510" i="3"/>
  <c r="AA510" i="3" s="1"/>
  <c r="AH510" i="3" s="1"/>
  <c r="AA545" i="3"/>
  <c r="P549" i="3"/>
  <c r="AA549" i="3" s="1"/>
  <c r="AH549" i="3" s="1"/>
  <c r="P551" i="3"/>
  <c r="AA551" i="3" s="1"/>
  <c r="AH551" i="3" s="1"/>
  <c r="P548" i="3"/>
  <c r="AA548" i="3" s="1"/>
  <c r="AH548" i="3" s="1"/>
  <c r="P542" i="3"/>
  <c r="AA542" i="3" s="1"/>
  <c r="AG542" i="3" s="1"/>
  <c r="P544" i="3"/>
  <c r="AA544" i="3" s="1"/>
  <c r="P550" i="3"/>
  <c r="AA550" i="3" s="1"/>
  <c r="AC547" i="3"/>
  <c r="P547" i="3"/>
  <c r="AA547" i="3" s="1"/>
  <c r="AC546" i="3"/>
  <c r="P546" i="3"/>
  <c r="AA546" i="3" s="1"/>
  <c r="P539" i="3"/>
  <c r="AA539" i="3" s="1"/>
  <c r="AH539" i="3" s="1"/>
  <c r="P541" i="3"/>
  <c r="AA541" i="3" s="1"/>
  <c r="AH541" i="3" s="1"/>
  <c r="P538" i="3"/>
  <c r="AA538" i="3" s="1"/>
  <c r="AH538" i="3" s="1"/>
  <c r="P533" i="3"/>
  <c r="AA533" i="3" s="1"/>
  <c r="AG533" i="3" s="1"/>
  <c r="P535" i="3"/>
  <c r="AA535" i="3" s="1"/>
  <c r="P540" i="3"/>
  <c r="AA540" i="3" s="1"/>
  <c r="AC537" i="3"/>
  <c r="P537" i="3"/>
  <c r="AA537" i="3" s="1"/>
  <c r="AC536" i="3"/>
  <c r="P536" i="3"/>
  <c r="AA536" i="3" s="1"/>
  <c r="AF536" i="3" s="1"/>
  <c r="P528" i="3"/>
  <c r="AA528" i="3" s="1"/>
  <c r="AG528" i="3" s="1"/>
  <c r="P526" i="3"/>
  <c r="AA526" i="3" s="1"/>
  <c r="P532" i="3"/>
  <c r="AA532" i="3" s="1"/>
  <c r="AG532" i="3" s="1"/>
  <c r="P531" i="3"/>
  <c r="AA531" i="3" s="1"/>
  <c r="AJ531" i="3" s="1"/>
  <c r="P530" i="3"/>
  <c r="P527" i="3"/>
  <c r="AA527" i="3" s="1"/>
  <c r="P529" i="3"/>
  <c r="AA529" i="3" s="1"/>
  <c r="P521" i="3"/>
  <c r="AA521" i="3" s="1"/>
  <c r="P518" i="3"/>
  <c r="AA518" i="3" s="1"/>
  <c r="AH518" i="3" s="1"/>
  <c r="P522" i="3"/>
  <c r="AA522" i="3" s="1"/>
  <c r="AH522" i="3" s="1"/>
  <c r="AC520" i="3"/>
  <c r="P520" i="3"/>
  <c r="AA520" i="3" s="1"/>
  <c r="AC519" i="3"/>
  <c r="P519" i="3"/>
  <c r="AA519" i="3" s="1"/>
  <c r="AC525" i="3"/>
  <c r="P525" i="3"/>
  <c r="AA525" i="3" s="1"/>
  <c r="AC524" i="3"/>
  <c r="P524" i="3"/>
  <c r="AA524" i="3" s="1"/>
  <c r="AC523" i="3"/>
  <c r="P523" i="3"/>
  <c r="AA523" i="3" s="1"/>
  <c r="P511" i="3"/>
  <c r="AA511" i="3" s="1"/>
  <c r="AH511" i="3" s="1"/>
  <c r="P514" i="3"/>
  <c r="AA514" i="3" s="1"/>
  <c r="AH514" i="3" s="1"/>
  <c r="AC513" i="3"/>
  <c r="P513" i="3"/>
  <c r="AA513" i="3" s="1"/>
  <c r="AC512" i="3"/>
  <c r="P512" i="3"/>
  <c r="AA512" i="3" s="1"/>
  <c r="AC517" i="3"/>
  <c r="P517" i="3"/>
  <c r="AA517" i="3" s="1"/>
  <c r="AC516" i="3"/>
  <c r="P516" i="3"/>
  <c r="AA516" i="3" s="1"/>
  <c r="AC515" i="3"/>
  <c r="P515" i="3"/>
  <c r="AA515" i="3" s="1"/>
  <c r="P624" i="3"/>
  <c r="AA624" i="3" s="1"/>
  <c r="P623" i="3"/>
  <c r="AA623" i="3" s="1"/>
  <c r="P622" i="3"/>
  <c r="AA622" i="3" s="1"/>
  <c r="P621" i="3"/>
  <c r="AA621" i="3" s="1"/>
  <c r="P628" i="3"/>
  <c r="AA628" i="3" s="1"/>
  <c r="AH628" i="3" s="1"/>
  <c r="T636" i="3"/>
  <c r="P636" i="3"/>
  <c r="P635" i="3"/>
  <c r="AA635" i="3" s="1"/>
  <c r="AH635" i="3" s="1"/>
  <c r="P634" i="3"/>
  <c r="AA634" i="3" s="1"/>
  <c r="AH634" i="3" s="1"/>
  <c r="P633" i="3"/>
  <c r="AA633" i="3" s="1"/>
  <c r="AH633" i="3" s="1"/>
  <c r="P632" i="3"/>
  <c r="AA632" i="3" s="1"/>
  <c r="AH632" i="3" s="1"/>
  <c r="P631" i="3"/>
  <c r="AA631" i="3" s="1"/>
  <c r="AH631" i="3" s="1"/>
  <c r="P630" i="3"/>
  <c r="AA630" i="3" s="1"/>
  <c r="AH630" i="3" s="1"/>
  <c r="P629" i="3"/>
  <c r="AA629" i="3" s="1"/>
  <c r="AH629" i="3" s="1"/>
  <c r="P627" i="3"/>
  <c r="AA627" i="3" s="1"/>
  <c r="P626" i="3"/>
  <c r="AA626" i="3" s="1"/>
  <c r="P625" i="3"/>
  <c r="AA625" i="3" s="1"/>
  <c r="P637" i="3"/>
  <c r="AA637" i="3" s="1"/>
  <c r="AF619" i="3"/>
  <c r="AD619" i="3"/>
  <c r="AC619" i="3"/>
  <c r="AH619" i="3" s="1"/>
  <c r="AJ618" i="3"/>
  <c r="AI618" i="3"/>
  <c r="AH618" i="3"/>
  <c r="AG618" i="3"/>
  <c r="AF618" i="3"/>
  <c r="AD618" i="3"/>
  <c r="P601" i="3"/>
  <c r="AA601" i="3" s="1"/>
  <c r="AH601" i="3" s="1"/>
  <c r="P592" i="3"/>
  <c r="AA592" i="3" s="1"/>
  <c r="P591" i="3"/>
  <c r="AA591" i="3" s="1"/>
  <c r="P590" i="3"/>
  <c r="AA590" i="3" s="1"/>
  <c r="P617" i="3"/>
  <c r="AA617" i="3" s="1"/>
  <c r="AH617" i="3" s="1"/>
  <c r="AJ616" i="3"/>
  <c r="AI616" i="3"/>
  <c r="AH616" i="3"/>
  <c r="AG616" i="3"/>
  <c r="AF616" i="3"/>
  <c r="AD616" i="3"/>
  <c r="P615" i="3"/>
  <c r="AA615" i="3" s="1"/>
  <c r="AI615" i="3" s="1"/>
  <c r="P614" i="3"/>
  <c r="AA614" i="3" s="1"/>
  <c r="AI614" i="3" s="1"/>
  <c r="P613" i="3"/>
  <c r="AA613" i="3" s="1"/>
  <c r="AI613" i="3" s="1"/>
  <c r="P612" i="3"/>
  <c r="AA612" i="3" s="1"/>
  <c r="AI612" i="3" s="1"/>
  <c r="P611" i="3"/>
  <c r="AA611" i="3" s="1"/>
  <c r="AI611" i="3" s="1"/>
  <c r="P610" i="3"/>
  <c r="AA610" i="3" s="1"/>
  <c r="AI610" i="3" s="1"/>
  <c r="P609" i="3"/>
  <c r="AA609" i="3" s="1"/>
  <c r="AI609" i="3" s="1"/>
  <c r="P608" i="3"/>
  <c r="AA608" i="3" s="1"/>
  <c r="AI608" i="3" s="1"/>
  <c r="P607" i="3"/>
  <c r="AA607" i="3" s="1"/>
  <c r="AI607" i="3" s="1"/>
  <c r="P606" i="3"/>
  <c r="AA606" i="3" s="1"/>
  <c r="AI606" i="3" s="1"/>
  <c r="P605" i="3"/>
  <c r="AA605" i="3" s="1"/>
  <c r="AI605" i="3" s="1"/>
  <c r="P604" i="3"/>
  <c r="AA604" i="3" s="1"/>
  <c r="AI604" i="3" s="1"/>
  <c r="P603" i="3"/>
  <c r="AA603" i="3" s="1"/>
  <c r="AI603" i="3" s="1"/>
  <c r="P602" i="3"/>
  <c r="AA602" i="3" s="1"/>
  <c r="AI602" i="3" s="1"/>
  <c r="AA595" i="3"/>
  <c r="AA594" i="3"/>
  <c r="AA593" i="3"/>
  <c r="AA600" i="3"/>
  <c r="AA599" i="3"/>
  <c r="AI599" i="3" s="1"/>
  <c r="AA598" i="3"/>
  <c r="P597" i="3"/>
  <c r="AA597" i="3" s="1"/>
  <c r="P596" i="3"/>
  <c r="AA596" i="3" s="1"/>
  <c r="AC570" i="3"/>
  <c r="P567" i="3"/>
  <c r="AA567" i="3" s="1"/>
  <c r="P580" i="3"/>
  <c r="AA580" i="3" s="1"/>
  <c r="P576" i="3"/>
  <c r="AA576" i="3" s="1"/>
  <c r="P566" i="3"/>
  <c r="AA566" i="3" s="1"/>
  <c r="P575" i="3"/>
  <c r="AA575" i="3" s="1"/>
  <c r="P582" i="3"/>
  <c r="AA582" i="3" s="1"/>
  <c r="AH582" i="3" s="1"/>
  <c r="P581" i="3"/>
  <c r="AA581" i="3" s="1"/>
  <c r="AH581" i="3" s="1"/>
  <c r="P565" i="3"/>
  <c r="AA565" i="3" s="1"/>
  <c r="P571" i="3"/>
  <c r="AA571" i="3" s="1"/>
  <c r="P573" i="3"/>
  <c r="AA573" i="3" s="1"/>
  <c r="P572" i="3"/>
  <c r="AA572" i="3" s="1"/>
  <c r="P589" i="3"/>
  <c r="AA589" i="3" s="1"/>
  <c r="AH589" i="3" s="1"/>
  <c r="P588" i="3"/>
  <c r="AA588" i="3" s="1"/>
  <c r="AH588" i="3" s="1"/>
  <c r="P587" i="3"/>
  <c r="AA587" i="3" s="1"/>
  <c r="AH587" i="3" s="1"/>
  <c r="P586" i="3"/>
  <c r="AA586" i="3" s="1"/>
  <c r="AH586" i="3" s="1"/>
  <c r="P585" i="3"/>
  <c r="AA585" i="3" s="1"/>
  <c r="AG585" i="3" s="1"/>
  <c r="P574" i="3"/>
  <c r="AA574" i="3" s="1"/>
  <c r="P584" i="3"/>
  <c r="AA584" i="3" s="1"/>
  <c r="AG584" i="3" s="1"/>
  <c r="P583" i="3"/>
  <c r="AA583" i="3" s="1"/>
  <c r="AG583" i="3" s="1"/>
  <c r="P579" i="3"/>
  <c r="AA579" i="3" s="1"/>
  <c r="P578" i="3"/>
  <c r="AA578" i="3" s="1"/>
  <c r="P577" i="3"/>
  <c r="AA577" i="3" s="1"/>
  <c r="AA459" i="3"/>
  <c r="P466" i="3"/>
  <c r="AA466" i="3" s="1"/>
  <c r="AI466" i="3" s="1"/>
  <c r="P461" i="3"/>
  <c r="AA461" i="3" s="1"/>
  <c r="AH461" i="3" s="1"/>
  <c r="AC465" i="3"/>
  <c r="P465" i="3"/>
  <c r="AA465" i="3" s="1"/>
  <c r="AC464" i="3"/>
  <c r="P464" i="3"/>
  <c r="AA464" i="3" s="1"/>
  <c r="P462" i="3"/>
  <c r="AA462" i="3" s="1"/>
  <c r="AH462" i="3" s="1"/>
  <c r="P458" i="3"/>
  <c r="AA458" i="3" s="1"/>
  <c r="P454" i="3"/>
  <c r="AA454" i="3" s="1"/>
  <c r="AH454" i="3" s="1"/>
  <c r="AC463" i="3"/>
  <c r="P463" i="3"/>
  <c r="AA463" i="3" s="1"/>
  <c r="AC453" i="3"/>
  <c r="P453" i="3"/>
  <c r="AA453" i="3" s="1"/>
  <c r="AC452" i="3"/>
  <c r="P452" i="3"/>
  <c r="AA452" i="3" s="1"/>
  <c r="AC451" i="3"/>
  <c r="P451" i="3"/>
  <c r="AA451" i="3" s="1"/>
  <c r="AC450" i="3"/>
  <c r="P450" i="3"/>
  <c r="AA450" i="3" s="1"/>
  <c r="AC449" i="3"/>
  <c r="P449" i="3"/>
  <c r="AA449" i="3" s="1"/>
  <c r="P455" i="3"/>
  <c r="AA455" i="3" s="1"/>
  <c r="AH455" i="3" s="1"/>
  <c r="AA441" i="3"/>
  <c r="P448" i="3"/>
  <c r="AA448" i="3" s="1"/>
  <c r="AG448" i="3" s="1"/>
  <c r="P443" i="3"/>
  <c r="AA443" i="3" s="1"/>
  <c r="AG443" i="3" s="1"/>
  <c r="AC447" i="3"/>
  <c r="P447" i="3"/>
  <c r="AA447" i="3" s="1"/>
  <c r="AC446" i="3"/>
  <c r="P446" i="3"/>
  <c r="AA446" i="3" s="1"/>
  <c r="AF446" i="3" s="1"/>
  <c r="P444" i="3"/>
  <c r="AA444" i="3" s="1"/>
  <c r="AH444" i="3" s="1"/>
  <c r="P440" i="3"/>
  <c r="AA440" i="3" s="1"/>
  <c r="P436" i="3"/>
  <c r="AA436" i="3" s="1"/>
  <c r="AH436" i="3" s="1"/>
  <c r="AC445" i="3"/>
  <c r="P445" i="3"/>
  <c r="AA445" i="3" s="1"/>
  <c r="AC435" i="3"/>
  <c r="P435" i="3"/>
  <c r="AA435" i="3" s="1"/>
  <c r="AC434" i="3"/>
  <c r="P434" i="3"/>
  <c r="AA434" i="3" s="1"/>
  <c r="AC433" i="3"/>
  <c r="P433" i="3"/>
  <c r="AA433" i="3" s="1"/>
  <c r="AF433" i="3" s="1"/>
  <c r="AC432" i="3"/>
  <c r="P432" i="3"/>
  <c r="AA432" i="3" s="1"/>
  <c r="AC431" i="3"/>
  <c r="P431" i="3"/>
  <c r="AA431" i="3" s="1"/>
  <c r="P437" i="3"/>
  <c r="AA437" i="3" s="1"/>
  <c r="AG437" i="3" s="1"/>
  <c r="P422" i="3"/>
  <c r="AA422" i="3" s="1"/>
  <c r="P410" i="3"/>
  <c r="AA410" i="3" s="1"/>
  <c r="AG410" i="3" s="1"/>
  <c r="AC417" i="3"/>
  <c r="P417" i="3"/>
  <c r="AA417" i="3" s="1"/>
  <c r="AC416" i="3"/>
  <c r="P416" i="3"/>
  <c r="AA416" i="3" s="1"/>
  <c r="P429" i="3"/>
  <c r="AA429" i="3" s="1"/>
  <c r="AG429" i="3" s="1"/>
  <c r="P424" i="3"/>
  <c r="AA424" i="3" s="1"/>
  <c r="P418" i="3"/>
  <c r="AA418" i="3" s="1"/>
  <c r="AG418" i="3" s="1"/>
  <c r="AC430" i="3"/>
  <c r="P430" i="3"/>
  <c r="AA430" i="3" s="1"/>
  <c r="AC415" i="3"/>
  <c r="P415" i="3"/>
  <c r="AA415" i="3" s="1"/>
  <c r="AC414" i="3"/>
  <c r="P414" i="3"/>
  <c r="AA414" i="3" s="1"/>
  <c r="AC413" i="3"/>
  <c r="P413" i="3"/>
  <c r="AA413" i="3" s="1"/>
  <c r="AC412" i="3"/>
  <c r="P412" i="3"/>
  <c r="AA412" i="3" s="1"/>
  <c r="AC411" i="3"/>
  <c r="P411" i="3"/>
  <c r="AA411" i="3" s="1"/>
  <c r="P419" i="3"/>
  <c r="AA419" i="3" s="1"/>
  <c r="AJ419" i="3" s="1"/>
  <c r="AC402" i="3"/>
  <c r="P402" i="3"/>
  <c r="AA402" i="3" s="1"/>
  <c r="AC401" i="3"/>
  <c r="P401" i="3"/>
  <c r="AA401" i="3" s="1"/>
  <c r="P399" i="3"/>
  <c r="AA399" i="3" s="1"/>
  <c r="AH399" i="3" s="1"/>
  <c r="P398" i="3"/>
  <c r="AA398" i="3" s="1"/>
  <c r="P394" i="3"/>
  <c r="AA394" i="3" s="1"/>
  <c r="AH394" i="3" s="1"/>
  <c r="AC400" i="3"/>
  <c r="P400" i="3"/>
  <c r="AA400" i="3" s="1"/>
  <c r="AC393" i="3"/>
  <c r="P393" i="3"/>
  <c r="AA393" i="3" s="1"/>
  <c r="AC392" i="3"/>
  <c r="P392" i="3"/>
  <c r="AA392" i="3" s="1"/>
  <c r="AC391" i="3"/>
  <c r="P391" i="3"/>
  <c r="AA391" i="3" s="1"/>
  <c r="AC390" i="3"/>
  <c r="P390" i="3"/>
  <c r="AA390" i="3" s="1"/>
  <c r="AC389" i="3"/>
  <c r="P389" i="3"/>
  <c r="AA389" i="3" s="1"/>
  <c r="P395" i="3"/>
  <c r="AA395" i="3" s="1"/>
  <c r="AJ395" i="3" s="1"/>
  <c r="AC564" i="3"/>
  <c r="P564" i="3"/>
  <c r="AA564" i="3" s="1"/>
  <c r="AC563" i="3"/>
  <c r="P563" i="3"/>
  <c r="AA563" i="3" s="1"/>
  <c r="P561" i="3"/>
  <c r="AA561" i="3" s="1"/>
  <c r="AH561" i="3" s="1"/>
  <c r="P560" i="3"/>
  <c r="AA560" i="3" s="1"/>
  <c r="AC562" i="3"/>
  <c r="P562" i="3"/>
  <c r="AA562" i="3" s="1"/>
  <c r="AC556" i="3"/>
  <c r="P556" i="3"/>
  <c r="AA556" i="3" s="1"/>
  <c r="AC555" i="3"/>
  <c r="P555" i="3"/>
  <c r="AA555" i="3" s="1"/>
  <c r="AC554" i="3"/>
  <c r="P554" i="3"/>
  <c r="AA554" i="3" s="1"/>
  <c r="AC553" i="3"/>
  <c r="P553" i="3"/>
  <c r="AA553" i="3" s="1"/>
  <c r="AC552" i="3"/>
  <c r="P552" i="3"/>
  <c r="AA552" i="3" s="1"/>
  <c r="AD552" i="3" s="1"/>
  <c r="P557" i="3"/>
  <c r="AA557" i="3" s="1"/>
  <c r="AF557" i="3" s="1"/>
  <c r="AJ570" i="3" l="1"/>
  <c r="AI570" i="3"/>
  <c r="AH570" i="3"/>
  <c r="AG570" i="3"/>
  <c r="AH920" i="3"/>
  <c r="AJ920" i="3"/>
  <c r="AF920" i="3"/>
  <c r="AD920" i="3"/>
  <c r="AI920" i="3"/>
  <c r="AG920" i="3"/>
  <c r="AH358" i="3"/>
  <c r="AJ358" i="3"/>
  <c r="AF358" i="3"/>
  <c r="AG358" i="3"/>
  <c r="AD358" i="3"/>
  <c r="AI358" i="3"/>
  <c r="AJ753" i="3"/>
  <c r="AF753" i="3"/>
  <c r="AH753" i="3"/>
  <c r="AI753" i="3"/>
  <c r="AG753" i="3"/>
  <c r="AD753" i="3"/>
  <c r="AJ325" i="3"/>
  <c r="AF325" i="3"/>
  <c r="AI325" i="3"/>
  <c r="AD325" i="3"/>
  <c r="AH325" i="3"/>
  <c r="AG325" i="3"/>
  <c r="AJ323" i="3"/>
  <c r="AF323" i="3"/>
  <c r="AD323" i="3"/>
  <c r="AI323" i="3"/>
  <c r="AH323" i="3"/>
  <c r="AG323" i="3"/>
  <c r="AH638" i="3"/>
  <c r="AG638" i="3"/>
  <c r="AJ638" i="3"/>
  <c r="AF638" i="3"/>
  <c r="AI638" i="3"/>
  <c r="AD638" i="3"/>
  <c r="AJ381" i="3"/>
  <c r="AF381" i="3"/>
  <c r="AI381" i="3"/>
  <c r="AD381" i="3"/>
  <c r="AH381" i="3"/>
  <c r="AG381" i="3"/>
  <c r="AJ268" i="3"/>
  <c r="AF268" i="3"/>
  <c r="AH268" i="3"/>
  <c r="AG268" i="3"/>
  <c r="AD268" i="3"/>
  <c r="AI268" i="3"/>
  <c r="AJ271" i="3"/>
  <c r="AF271" i="3"/>
  <c r="AH271" i="3"/>
  <c r="AI271" i="3"/>
  <c r="AG271" i="3"/>
  <c r="AD271" i="3"/>
  <c r="AH288" i="3"/>
  <c r="AJ288" i="3"/>
  <c r="AF288" i="3"/>
  <c r="AD288" i="3"/>
  <c r="AI288" i="3"/>
  <c r="AG288" i="3"/>
  <c r="AH965" i="3"/>
  <c r="AG965" i="3"/>
  <c r="AJ965" i="3"/>
  <c r="AF965" i="3"/>
  <c r="AI965" i="3"/>
  <c r="AD965" i="3"/>
  <c r="AH1024" i="3"/>
  <c r="AG1024" i="3"/>
  <c r="AJ1024" i="3"/>
  <c r="AF1024" i="3"/>
  <c r="AI1024" i="3"/>
  <c r="AD1024" i="3"/>
  <c r="AH17" i="3"/>
  <c r="AG17" i="3"/>
  <c r="AJ17" i="3"/>
  <c r="AF17" i="3"/>
  <c r="AI17" i="3"/>
  <c r="AD17" i="3"/>
  <c r="AH695" i="3"/>
  <c r="AG695" i="3"/>
  <c r="AJ695" i="3"/>
  <c r="AF695" i="3"/>
  <c r="AI695" i="3"/>
  <c r="AD695" i="3"/>
  <c r="AJ1046" i="3"/>
  <c r="AF1046" i="3"/>
  <c r="AI1046" i="3"/>
  <c r="AD1046" i="3"/>
  <c r="AH1046" i="3"/>
  <c r="AG1046" i="3"/>
  <c r="AJ1064" i="3"/>
  <c r="AF1064" i="3"/>
  <c r="AI1064" i="3"/>
  <c r="AD1064" i="3"/>
  <c r="AH1064" i="3"/>
  <c r="AG1064" i="3"/>
  <c r="AJ1067" i="3"/>
  <c r="AF1067" i="3"/>
  <c r="AI1067" i="3"/>
  <c r="AD1067" i="3"/>
  <c r="AH1067" i="3"/>
  <c r="AG1067" i="3"/>
  <c r="AH1095" i="3"/>
  <c r="AG1095" i="3"/>
  <c r="AJ1095" i="3"/>
  <c r="AF1095" i="3"/>
  <c r="AI1095" i="3"/>
  <c r="AD1095" i="3"/>
  <c r="AJ1124" i="3"/>
  <c r="AF1124" i="3"/>
  <c r="AI1124" i="3"/>
  <c r="AD1124" i="3"/>
  <c r="AH1124" i="3"/>
  <c r="AG1124" i="3"/>
  <c r="AH505" i="3"/>
  <c r="AJ505" i="3"/>
  <c r="AF505" i="3"/>
  <c r="AG505" i="3"/>
  <c r="AD505" i="3"/>
  <c r="AI505" i="3"/>
  <c r="AJ921" i="3"/>
  <c r="AF921" i="3"/>
  <c r="AH921" i="3"/>
  <c r="AD921" i="3"/>
  <c r="AI921" i="3"/>
  <c r="AG921" i="3"/>
  <c r="AH42" i="3"/>
  <c r="AJ42" i="3"/>
  <c r="AF42" i="3"/>
  <c r="AG42" i="3"/>
  <c r="AD42" i="3"/>
  <c r="AI42" i="3"/>
  <c r="AJ359" i="3"/>
  <c r="AF359" i="3"/>
  <c r="AH359" i="3"/>
  <c r="AI359" i="3"/>
  <c r="AG359" i="3"/>
  <c r="AD359" i="3"/>
  <c r="AH363" i="3"/>
  <c r="AJ363" i="3"/>
  <c r="AF363" i="3"/>
  <c r="AI363" i="3"/>
  <c r="AG363" i="3"/>
  <c r="AD363" i="3"/>
  <c r="AH734" i="3"/>
  <c r="AJ734" i="3"/>
  <c r="AF734" i="3"/>
  <c r="AI734" i="3"/>
  <c r="AG734" i="3"/>
  <c r="AD734" i="3"/>
  <c r="AH382" i="3"/>
  <c r="AG382" i="3"/>
  <c r="AJ382" i="3"/>
  <c r="AF382" i="3"/>
  <c r="AI382" i="3"/>
  <c r="AD382" i="3"/>
  <c r="AH272" i="3"/>
  <c r="AJ272" i="3"/>
  <c r="AF272" i="3"/>
  <c r="AD272" i="3"/>
  <c r="AI272" i="3"/>
  <c r="AG272" i="3"/>
  <c r="AJ275" i="3"/>
  <c r="AF275" i="3"/>
  <c r="AH275" i="3"/>
  <c r="AI275" i="3"/>
  <c r="AG275" i="3"/>
  <c r="AD275" i="3"/>
  <c r="AJ291" i="3"/>
  <c r="AF291" i="3"/>
  <c r="AI291" i="3"/>
  <c r="AD291" i="3"/>
  <c r="AH291" i="3"/>
  <c r="AG291" i="3"/>
  <c r="AH156" i="3"/>
  <c r="AG156" i="3"/>
  <c r="AJ156" i="3"/>
  <c r="AF156" i="3"/>
  <c r="AD156" i="3"/>
  <c r="AI156" i="3"/>
  <c r="AH15" i="3"/>
  <c r="AG15" i="3"/>
  <c r="AJ15" i="3"/>
  <c r="AF15" i="3"/>
  <c r="AI15" i="3"/>
  <c r="AD15" i="3"/>
  <c r="AH19" i="3"/>
  <c r="AG19" i="3"/>
  <c r="AJ19" i="3"/>
  <c r="AF19" i="3"/>
  <c r="AD19" i="3"/>
  <c r="AI19" i="3"/>
  <c r="AH1043" i="3"/>
  <c r="AG1043" i="3"/>
  <c r="AJ1043" i="3"/>
  <c r="AF1043" i="3"/>
  <c r="AI1043" i="3"/>
  <c r="AD1043" i="3"/>
  <c r="AH1065" i="3"/>
  <c r="AG1065" i="3"/>
  <c r="AJ1065" i="3"/>
  <c r="AF1065" i="3"/>
  <c r="AI1065" i="3"/>
  <c r="AD1065" i="3"/>
  <c r="AH1068" i="3"/>
  <c r="AG1068" i="3"/>
  <c r="AJ1068" i="3"/>
  <c r="AF1068" i="3"/>
  <c r="AD1068" i="3"/>
  <c r="AI1068" i="3"/>
  <c r="AJ1096" i="3"/>
  <c r="AF1096" i="3"/>
  <c r="AI1096" i="3"/>
  <c r="AD1096" i="3"/>
  <c r="AH1096" i="3"/>
  <c r="AG1096" i="3"/>
  <c r="AJ1099" i="3"/>
  <c r="AF1099" i="3"/>
  <c r="AI1099" i="3"/>
  <c r="AD1099" i="3"/>
  <c r="AH1099" i="3"/>
  <c r="AG1099" i="3"/>
  <c r="AH1125" i="3"/>
  <c r="AG1125" i="3"/>
  <c r="AJ1125" i="3"/>
  <c r="AF1125" i="3"/>
  <c r="AD1125" i="3"/>
  <c r="AI1125" i="3"/>
  <c r="AJ1153" i="3"/>
  <c r="AF1153" i="3"/>
  <c r="AI1153" i="3"/>
  <c r="AD1153" i="3"/>
  <c r="AH1153" i="3"/>
  <c r="AG1153" i="3"/>
  <c r="AJ754" i="3"/>
  <c r="AF754" i="3"/>
  <c r="AI754" i="3"/>
  <c r="AD754" i="3"/>
  <c r="AH754" i="3"/>
  <c r="AG754" i="3"/>
  <c r="AH817" i="3"/>
  <c r="AG817" i="3"/>
  <c r="AJ817" i="3"/>
  <c r="AF817" i="3"/>
  <c r="AI817" i="3"/>
  <c r="AD817" i="3"/>
  <c r="AJ267" i="3"/>
  <c r="AF267" i="3"/>
  <c r="AG267" i="3"/>
  <c r="AD267" i="3"/>
  <c r="AI267" i="3"/>
  <c r="AH267" i="3"/>
  <c r="AJ273" i="3"/>
  <c r="AF273" i="3"/>
  <c r="AH273" i="3"/>
  <c r="AG273" i="3"/>
  <c r="AD273" i="3"/>
  <c r="AI273" i="3"/>
  <c r="AJ289" i="3"/>
  <c r="AF289" i="3"/>
  <c r="AI289" i="3"/>
  <c r="AD289" i="3"/>
  <c r="AH289" i="3"/>
  <c r="AG289" i="3"/>
  <c r="AJ1023" i="3"/>
  <c r="AF1023" i="3"/>
  <c r="AI1023" i="3"/>
  <c r="AD1023" i="3"/>
  <c r="AH1023" i="3"/>
  <c r="AG1023" i="3"/>
  <c r="AJ1025" i="3"/>
  <c r="AF1025" i="3"/>
  <c r="AI1025" i="3"/>
  <c r="AD1025" i="3"/>
  <c r="AH1025" i="3"/>
  <c r="AG1025" i="3"/>
  <c r="AJ646" i="3"/>
  <c r="AF646" i="3"/>
  <c r="AI646" i="3"/>
  <c r="AD646" i="3"/>
  <c r="AH646" i="3"/>
  <c r="AG646" i="3"/>
  <c r="AJ696" i="3"/>
  <c r="AF696" i="3"/>
  <c r="AI696" i="3"/>
  <c r="AD696" i="3"/>
  <c r="AH696" i="3"/>
  <c r="AG696" i="3"/>
  <c r="AJ1044" i="3"/>
  <c r="AF1044" i="3"/>
  <c r="AI1044" i="3"/>
  <c r="AD1044" i="3"/>
  <c r="AH1044" i="3"/>
  <c r="AG1044" i="3"/>
  <c r="AH724" i="3"/>
  <c r="AG724" i="3"/>
  <c r="AJ724" i="3"/>
  <c r="AF724" i="3"/>
  <c r="AD724" i="3"/>
  <c r="AI724" i="3"/>
  <c r="AH727" i="3"/>
  <c r="AG727" i="3"/>
  <c r="AJ727" i="3"/>
  <c r="AF727" i="3"/>
  <c r="AI727" i="3"/>
  <c r="AD727" i="3"/>
  <c r="AJ1062" i="3"/>
  <c r="AF1062" i="3"/>
  <c r="AI1062" i="3"/>
  <c r="AD1062" i="3"/>
  <c r="AH1062" i="3"/>
  <c r="AG1062" i="3"/>
  <c r="AH1097" i="3"/>
  <c r="AG1097" i="3"/>
  <c r="AJ1097" i="3"/>
  <c r="AF1097" i="3"/>
  <c r="AI1097" i="3"/>
  <c r="AD1097" i="3"/>
  <c r="AH1100" i="3"/>
  <c r="AG1100" i="3"/>
  <c r="AJ1100" i="3"/>
  <c r="AF1100" i="3"/>
  <c r="AI1100" i="3"/>
  <c r="AD1100" i="3"/>
  <c r="AH1154" i="3"/>
  <c r="AG1154" i="3"/>
  <c r="AJ1154" i="3"/>
  <c r="AF1154" i="3"/>
  <c r="AI1154" i="3"/>
  <c r="AD1154" i="3"/>
  <c r="AJ919" i="3"/>
  <c r="AF919" i="3"/>
  <c r="AH919" i="3"/>
  <c r="AI919" i="3"/>
  <c r="AG919" i="3"/>
  <c r="AD919" i="3"/>
  <c r="AJ317" i="3"/>
  <c r="AF317" i="3"/>
  <c r="AH317" i="3"/>
  <c r="AI317" i="3"/>
  <c r="AG317" i="3"/>
  <c r="AD317" i="3"/>
  <c r="AH321" i="3"/>
  <c r="AG321" i="3"/>
  <c r="AJ321" i="3"/>
  <c r="AF321" i="3"/>
  <c r="AI321" i="3"/>
  <c r="AD321" i="3"/>
  <c r="AJ823" i="3"/>
  <c r="AF823" i="3"/>
  <c r="AI823" i="3"/>
  <c r="AD823" i="3"/>
  <c r="AH823" i="3"/>
  <c r="AG823" i="3"/>
  <c r="AH270" i="3"/>
  <c r="AJ270" i="3"/>
  <c r="AF270" i="3"/>
  <c r="AI270" i="3"/>
  <c r="AG270" i="3"/>
  <c r="AD270" i="3"/>
  <c r="AH274" i="3"/>
  <c r="AJ274" i="3"/>
  <c r="AF274" i="3"/>
  <c r="AI274" i="3"/>
  <c r="AG274" i="3"/>
  <c r="AD274" i="3"/>
  <c r="AH290" i="3"/>
  <c r="AG290" i="3"/>
  <c r="AJ290" i="3"/>
  <c r="AF290" i="3"/>
  <c r="AD290" i="3"/>
  <c r="AI290" i="3"/>
  <c r="AH294" i="3"/>
  <c r="AG294" i="3"/>
  <c r="AJ294" i="3"/>
  <c r="AF294" i="3"/>
  <c r="AI294" i="3"/>
  <c r="AD294" i="3"/>
  <c r="AJ964" i="3"/>
  <c r="AF964" i="3"/>
  <c r="AI964" i="3"/>
  <c r="AD964" i="3"/>
  <c r="AH964" i="3"/>
  <c r="AG964" i="3"/>
  <c r="AJ12" i="3"/>
  <c r="AF12" i="3"/>
  <c r="AI12" i="3"/>
  <c r="AD12" i="3"/>
  <c r="AH12" i="3"/>
  <c r="AG12" i="3"/>
  <c r="AJ16" i="3"/>
  <c r="AF16" i="3"/>
  <c r="AI16" i="3"/>
  <c r="AD16" i="3"/>
  <c r="AH16" i="3"/>
  <c r="AG16" i="3"/>
  <c r="AJ18" i="3"/>
  <c r="AF18" i="3"/>
  <c r="AI18" i="3"/>
  <c r="AD18" i="3"/>
  <c r="AH18" i="3"/>
  <c r="AG18" i="3"/>
  <c r="AH1045" i="3"/>
  <c r="AG1045" i="3"/>
  <c r="AJ1045" i="3"/>
  <c r="AF1045" i="3"/>
  <c r="AI1045" i="3"/>
  <c r="AD1045" i="3"/>
  <c r="AJ722" i="3"/>
  <c r="AF722" i="3"/>
  <c r="AI722" i="3"/>
  <c r="AD722" i="3"/>
  <c r="AH722" i="3"/>
  <c r="AG722" i="3"/>
  <c r="AJ725" i="3"/>
  <c r="AF725" i="3"/>
  <c r="AI725" i="3"/>
  <c r="AD725" i="3"/>
  <c r="AH725" i="3"/>
  <c r="AG725" i="3"/>
  <c r="AH1063" i="3"/>
  <c r="AG1063" i="3"/>
  <c r="AJ1063" i="3"/>
  <c r="AF1063" i="3"/>
  <c r="AI1063" i="3"/>
  <c r="AD1063" i="3"/>
  <c r="AJ1092" i="3"/>
  <c r="AF1092" i="3"/>
  <c r="AI1092" i="3"/>
  <c r="AD1092" i="3"/>
  <c r="AH1092" i="3"/>
  <c r="AG1092" i="3"/>
  <c r="AJ459" i="3"/>
  <c r="AF459" i="3"/>
  <c r="AI459" i="3"/>
  <c r="AD459" i="3"/>
  <c r="AH459" i="3"/>
  <c r="AG459" i="3"/>
  <c r="AJ422" i="3"/>
  <c r="AF422" i="3"/>
  <c r="AI422" i="3"/>
  <c r="AD422" i="3"/>
  <c r="AH422" i="3"/>
  <c r="AG422" i="3"/>
  <c r="AJ571" i="3"/>
  <c r="AF571" i="3"/>
  <c r="AI571" i="3"/>
  <c r="AD571" i="3"/>
  <c r="AH571" i="3"/>
  <c r="AG571" i="3"/>
  <c r="AJ560" i="3"/>
  <c r="AF560" i="3"/>
  <c r="AI560" i="3"/>
  <c r="AD560" i="3"/>
  <c r="AH560" i="3"/>
  <c r="AG560" i="3"/>
  <c r="AH398" i="3"/>
  <c r="AG398" i="3"/>
  <c r="AJ398" i="3"/>
  <c r="AF398" i="3"/>
  <c r="AD398" i="3"/>
  <c r="AI398" i="3"/>
  <c r="AJ424" i="3"/>
  <c r="AF424" i="3"/>
  <c r="AI424" i="3"/>
  <c r="AD424" i="3"/>
  <c r="AH424" i="3"/>
  <c r="AG424" i="3"/>
  <c r="AH579" i="3"/>
  <c r="AG579" i="3"/>
  <c r="AJ579" i="3"/>
  <c r="AF579" i="3"/>
  <c r="AD579" i="3"/>
  <c r="AI579" i="3"/>
  <c r="AJ565" i="3"/>
  <c r="AF565" i="3"/>
  <c r="AI565" i="3"/>
  <c r="AD565" i="3"/>
  <c r="AH565" i="3"/>
  <c r="AG565" i="3"/>
  <c r="AJ566" i="3"/>
  <c r="AF566" i="3"/>
  <c r="AI566" i="3"/>
  <c r="AD566" i="3"/>
  <c r="AH566" i="3"/>
  <c r="AG566" i="3"/>
  <c r="AJ595" i="3"/>
  <c r="AF595" i="3"/>
  <c r="AI595" i="3"/>
  <c r="AD595" i="3"/>
  <c r="AH595" i="3"/>
  <c r="AG595" i="3"/>
  <c r="AJ592" i="3"/>
  <c r="AF592" i="3"/>
  <c r="AI592" i="3"/>
  <c r="AD592" i="3"/>
  <c r="AH592" i="3"/>
  <c r="AG592" i="3"/>
  <c r="AH625" i="3"/>
  <c r="AG625" i="3"/>
  <c r="AJ625" i="3"/>
  <c r="AF625" i="3"/>
  <c r="AI625" i="3"/>
  <c r="AD625" i="3"/>
  <c r="AH624" i="3"/>
  <c r="AG624" i="3"/>
  <c r="AJ624" i="3"/>
  <c r="AF624" i="3"/>
  <c r="AI624" i="3"/>
  <c r="AD624" i="3"/>
  <c r="AH544" i="3"/>
  <c r="AG544" i="3"/>
  <c r="AJ544" i="3"/>
  <c r="AF544" i="3"/>
  <c r="AI544" i="3"/>
  <c r="AD544" i="3"/>
  <c r="AH848" i="3"/>
  <c r="AG848" i="3"/>
  <c r="AJ848" i="3"/>
  <c r="AF848" i="3"/>
  <c r="AI848" i="3"/>
  <c r="AD848" i="3"/>
  <c r="AH852" i="3"/>
  <c r="AG852" i="3"/>
  <c r="AJ852" i="3"/>
  <c r="AF852" i="3"/>
  <c r="AI852" i="3"/>
  <c r="AD852" i="3"/>
  <c r="AH856" i="3"/>
  <c r="AG856" i="3"/>
  <c r="AJ856" i="3"/>
  <c r="AF856" i="3"/>
  <c r="AI856" i="3"/>
  <c r="AD856" i="3"/>
  <c r="AJ859" i="3"/>
  <c r="AF859" i="3"/>
  <c r="AI859" i="3"/>
  <c r="AD859" i="3"/>
  <c r="AH859" i="3"/>
  <c r="AG859" i="3"/>
  <c r="AJ863" i="3"/>
  <c r="AF863" i="3"/>
  <c r="AI863" i="3"/>
  <c r="AD863" i="3"/>
  <c r="AH863" i="3"/>
  <c r="AG863" i="3"/>
  <c r="AJ865" i="3"/>
  <c r="AF865" i="3"/>
  <c r="AI865" i="3"/>
  <c r="AD865" i="3"/>
  <c r="AH865" i="3"/>
  <c r="AG865" i="3"/>
  <c r="AH870" i="3"/>
  <c r="AG870" i="3"/>
  <c r="AJ870" i="3"/>
  <c r="AF870" i="3"/>
  <c r="AI870" i="3"/>
  <c r="AD870" i="3"/>
  <c r="AH874" i="3"/>
  <c r="AG874" i="3"/>
  <c r="AJ874" i="3"/>
  <c r="AF874" i="3"/>
  <c r="AI874" i="3"/>
  <c r="AD874" i="3"/>
  <c r="AI885" i="3"/>
  <c r="AH885" i="3"/>
  <c r="AF885" i="3"/>
  <c r="AD885" i="3"/>
  <c r="AJ885" i="3"/>
  <c r="AG885" i="3"/>
  <c r="AJ877" i="3"/>
  <c r="AF877" i="3"/>
  <c r="AI877" i="3"/>
  <c r="AD877" i="3"/>
  <c r="AH877" i="3"/>
  <c r="AG877" i="3"/>
  <c r="AH882" i="3"/>
  <c r="AG882" i="3"/>
  <c r="AJ882" i="3"/>
  <c r="AF882" i="3"/>
  <c r="AI882" i="3"/>
  <c r="AD882" i="3"/>
  <c r="AH884" i="3"/>
  <c r="AG884" i="3"/>
  <c r="AJ884" i="3"/>
  <c r="AF884" i="3"/>
  <c r="AI884" i="3"/>
  <c r="AD884" i="3"/>
  <c r="AJ915" i="3"/>
  <c r="AF915" i="3"/>
  <c r="AI915" i="3"/>
  <c r="AD915" i="3"/>
  <c r="AH915" i="3"/>
  <c r="AG915" i="3"/>
  <c r="AH916" i="3"/>
  <c r="AG916" i="3"/>
  <c r="AJ916" i="3"/>
  <c r="AF916" i="3"/>
  <c r="AI916" i="3"/>
  <c r="AD916" i="3"/>
  <c r="AH924" i="3"/>
  <c r="AG924" i="3"/>
  <c r="AJ924" i="3"/>
  <c r="AF924" i="3"/>
  <c r="AD924" i="3"/>
  <c r="AI924" i="3"/>
  <c r="AJ928" i="3"/>
  <c r="AF928" i="3"/>
  <c r="AI928" i="3"/>
  <c r="AH928" i="3"/>
  <c r="AG928" i="3"/>
  <c r="AD928" i="3"/>
  <c r="AI45" i="3"/>
  <c r="AD45" i="3"/>
  <c r="AH45" i="3"/>
  <c r="AF45" i="3"/>
  <c r="AJ45" i="3"/>
  <c r="AG45" i="3"/>
  <c r="AG46" i="3"/>
  <c r="AJ46" i="3"/>
  <c r="AF46" i="3"/>
  <c r="AH46" i="3"/>
  <c r="AD46" i="3"/>
  <c r="AI46" i="3"/>
  <c r="AI47" i="3"/>
  <c r="AD47" i="3"/>
  <c r="AH47" i="3"/>
  <c r="AJ47" i="3"/>
  <c r="AG47" i="3"/>
  <c r="AF47" i="3"/>
  <c r="AG48" i="3"/>
  <c r="AJ48" i="3"/>
  <c r="AF48" i="3"/>
  <c r="AI48" i="3"/>
  <c r="AH48" i="3"/>
  <c r="AD48" i="3"/>
  <c r="AI49" i="3"/>
  <c r="AD49" i="3"/>
  <c r="AH49" i="3"/>
  <c r="AF49" i="3"/>
  <c r="AJ49" i="3"/>
  <c r="AG49" i="3"/>
  <c r="AH366" i="3"/>
  <c r="AG366" i="3"/>
  <c r="AJ366" i="3"/>
  <c r="AF366" i="3"/>
  <c r="AD366" i="3"/>
  <c r="AI366" i="3"/>
  <c r="AJ349" i="3"/>
  <c r="AF349" i="3"/>
  <c r="AI349" i="3"/>
  <c r="AD349" i="3"/>
  <c r="AH349" i="3"/>
  <c r="AG349" i="3"/>
  <c r="AH356" i="3"/>
  <c r="AG356" i="3"/>
  <c r="AJ356" i="3"/>
  <c r="AF356" i="3"/>
  <c r="AD356" i="3"/>
  <c r="AI356" i="3"/>
  <c r="AH362" i="3"/>
  <c r="AG362" i="3"/>
  <c r="AJ362" i="3"/>
  <c r="AF362" i="3"/>
  <c r="AI362" i="3"/>
  <c r="AD362" i="3"/>
  <c r="AG365" i="3"/>
  <c r="AH365" i="3"/>
  <c r="AF365" i="3"/>
  <c r="AJ365" i="3"/>
  <c r="AD365" i="3"/>
  <c r="AI365" i="3"/>
  <c r="AG737" i="3"/>
  <c r="AI737" i="3"/>
  <c r="AH737" i="3"/>
  <c r="AF737" i="3"/>
  <c r="AJ737" i="3"/>
  <c r="AD737" i="3"/>
  <c r="AG746" i="3"/>
  <c r="AF746" i="3"/>
  <c r="AJ746" i="3"/>
  <c r="AD746" i="3"/>
  <c r="AI746" i="3"/>
  <c r="AH746" i="3"/>
  <c r="AG315" i="3"/>
  <c r="AH315" i="3"/>
  <c r="AF315" i="3"/>
  <c r="AJ315" i="3"/>
  <c r="AD315" i="3"/>
  <c r="AI315" i="3"/>
  <c r="AH834" i="3"/>
  <c r="AG834" i="3"/>
  <c r="AJ834" i="3"/>
  <c r="AF834" i="3"/>
  <c r="AI834" i="3"/>
  <c r="AD834" i="3"/>
  <c r="AI818" i="3"/>
  <c r="AD818" i="3"/>
  <c r="AH818" i="3"/>
  <c r="AG818" i="3"/>
  <c r="AF818" i="3"/>
  <c r="AJ818" i="3"/>
  <c r="AG806" i="3"/>
  <c r="AH806" i="3"/>
  <c r="AF806" i="3"/>
  <c r="AJ806" i="3"/>
  <c r="AD806" i="3"/>
  <c r="AI806" i="3"/>
  <c r="AI286" i="3"/>
  <c r="AD286" i="3"/>
  <c r="AH286" i="3"/>
  <c r="AG286" i="3"/>
  <c r="AF286" i="3"/>
  <c r="AJ286" i="3"/>
  <c r="AH1027" i="3"/>
  <c r="AG1027" i="3"/>
  <c r="AJ1027" i="3"/>
  <c r="AF1027" i="3"/>
  <c r="AD1027" i="3"/>
  <c r="AI1027" i="3"/>
  <c r="AH155" i="3"/>
  <c r="AG155" i="3"/>
  <c r="AD155" i="3"/>
  <c r="AJ155" i="3"/>
  <c r="AI155" i="3"/>
  <c r="AF155" i="3"/>
  <c r="AG22" i="3"/>
  <c r="AJ22" i="3"/>
  <c r="AF22" i="3"/>
  <c r="AD22" i="3"/>
  <c r="AI22" i="3"/>
  <c r="AH22" i="3"/>
  <c r="AH10" i="3"/>
  <c r="AF10" i="3"/>
  <c r="AD10" i="3"/>
  <c r="AJ10" i="3"/>
  <c r="AI10" i="3"/>
  <c r="AG10" i="3"/>
  <c r="AH14" i="3"/>
  <c r="AG14" i="3"/>
  <c r="AD14" i="3"/>
  <c r="AJ14" i="3"/>
  <c r="AI14" i="3"/>
  <c r="AF14" i="3"/>
  <c r="AH697" i="3"/>
  <c r="AI697" i="3"/>
  <c r="AF697" i="3"/>
  <c r="AD697" i="3"/>
  <c r="AJ697" i="3"/>
  <c r="AG697" i="3"/>
  <c r="AG1069" i="3"/>
  <c r="AJ1069" i="3"/>
  <c r="AF1069" i="3"/>
  <c r="AD1069" i="3"/>
  <c r="AI1069" i="3"/>
  <c r="AH1069" i="3"/>
  <c r="AH1090" i="3"/>
  <c r="AF1090" i="3"/>
  <c r="AJ1090" i="3"/>
  <c r="AD1090" i="3"/>
  <c r="AI1090" i="3"/>
  <c r="AG1090" i="3"/>
  <c r="AH1098" i="3"/>
  <c r="AI1098" i="3"/>
  <c r="AG1098" i="3"/>
  <c r="AF1098" i="3"/>
  <c r="AJ1098" i="3"/>
  <c r="AD1098" i="3"/>
  <c r="AH1110" i="3"/>
  <c r="AG1110" i="3"/>
  <c r="AF1110" i="3"/>
  <c r="AJ1110" i="3"/>
  <c r="AD1110" i="3"/>
  <c r="AI1110" i="3"/>
  <c r="AH1114" i="3"/>
  <c r="AJ1114" i="3"/>
  <c r="AD1114" i="3"/>
  <c r="AI1114" i="3"/>
  <c r="AG1114" i="3"/>
  <c r="AF1114" i="3"/>
  <c r="AH1118" i="3"/>
  <c r="AG1118" i="3"/>
  <c r="AF1118" i="3"/>
  <c r="AJ1118" i="3"/>
  <c r="AD1118" i="3"/>
  <c r="AI1118" i="3"/>
  <c r="AH1150" i="3"/>
  <c r="AF1150" i="3"/>
  <c r="AJ1150" i="3"/>
  <c r="AD1150" i="3"/>
  <c r="AI1150" i="3"/>
  <c r="AG1150" i="3"/>
  <c r="AH1152" i="3"/>
  <c r="AJ1152" i="3"/>
  <c r="AD1152" i="3"/>
  <c r="AI1152" i="3"/>
  <c r="AG1152" i="3"/>
  <c r="AF1152" i="3"/>
  <c r="AH572" i="3"/>
  <c r="AG572" i="3"/>
  <c r="AJ572" i="3"/>
  <c r="AF572" i="3"/>
  <c r="AI572" i="3"/>
  <c r="AD572" i="3"/>
  <c r="AJ596" i="3"/>
  <c r="AF596" i="3"/>
  <c r="AI596" i="3"/>
  <c r="AD596" i="3"/>
  <c r="AH596" i="3"/>
  <c r="AG596" i="3"/>
  <c r="AJ626" i="3"/>
  <c r="AF626" i="3"/>
  <c r="AI626" i="3"/>
  <c r="AD626" i="3"/>
  <c r="AH626" i="3"/>
  <c r="AG626" i="3"/>
  <c r="AH621" i="3"/>
  <c r="AG621" i="3"/>
  <c r="AJ621" i="3"/>
  <c r="AF621" i="3"/>
  <c r="AI621" i="3"/>
  <c r="AD621" i="3"/>
  <c r="AH545" i="3"/>
  <c r="AG545" i="3"/>
  <c r="AJ545" i="3"/>
  <c r="AF545" i="3"/>
  <c r="AI545" i="3"/>
  <c r="AD545" i="3"/>
  <c r="AJ501" i="3"/>
  <c r="AF501" i="3"/>
  <c r="AI501" i="3"/>
  <c r="AD501" i="3"/>
  <c r="AH501" i="3"/>
  <c r="AG501" i="3"/>
  <c r="AJ849" i="3"/>
  <c r="AF849" i="3"/>
  <c r="AI849" i="3"/>
  <c r="AD849" i="3"/>
  <c r="AH849" i="3"/>
  <c r="AG849" i="3"/>
  <c r="AJ853" i="3"/>
  <c r="AF853" i="3"/>
  <c r="AI853" i="3"/>
  <c r="AD853" i="3"/>
  <c r="AH853" i="3"/>
  <c r="AG853" i="3"/>
  <c r="AJ857" i="3"/>
  <c r="AF857" i="3"/>
  <c r="AI857" i="3"/>
  <c r="AD857" i="3"/>
  <c r="AH857" i="3"/>
  <c r="AG857" i="3"/>
  <c r="AH860" i="3"/>
  <c r="AG860" i="3"/>
  <c r="AJ860" i="3"/>
  <c r="AF860" i="3"/>
  <c r="AI860" i="3"/>
  <c r="AD860" i="3"/>
  <c r="AH864" i="3"/>
  <c r="AG864" i="3"/>
  <c r="AJ864" i="3"/>
  <c r="AF864" i="3"/>
  <c r="AD864" i="3"/>
  <c r="AI864" i="3"/>
  <c r="AH866" i="3"/>
  <c r="AG866" i="3"/>
  <c r="AJ866" i="3"/>
  <c r="AF866" i="3"/>
  <c r="AI866" i="3"/>
  <c r="AD866" i="3"/>
  <c r="AJ871" i="3"/>
  <c r="AF871" i="3"/>
  <c r="AI871" i="3"/>
  <c r="AD871" i="3"/>
  <c r="AH871" i="3"/>
  <c r="AG871" i="3"/>
  <c r="AH889" i="3"/>
  <c r="AG889" i="3"/>
  <c r="AJ889" i="3"/>
  <c r="AF889" i="3"/>
  <c r="AI889" i="3"/>
  <c r="AD889" i="3"/>
  <c r="AG886" i="3"/>
  <c r="AJ886" i="3"/>
  <c r="AF886" i="3"/>
  <c r="AH886" i="3"/>
  <c r="AD886" i="3"/>
  <c r="AI886" i="3"/>
  <c r="AH878" i="3"/>
  <c r="AG878" i="3"/>
  <c r="AJ878" i="3"/>
  <c r="AF878" i="3"/>
  <c r="AI878" i="3"/>
  <c r="AD878" i="3"/>
  <c r="AJ883" i="3"/>
  <c r="AF883" i="3"/>
  <c r="AI883" i="3"/>
  <c r="AD883" i="3"/>
  <c r="AH883" i="3"/>
  <c r="AG883" i="3"/>
  <c r="AJ917" i="3"/>
  <c r="AF917" i="3"/>
  <c r="AI917" i="3"/>
  <c r="AD917" i="3"/>
  <c r="AH917" i="3"/>
  <c r="AG917" i="3"/>
  <c r="AJ925" i="3"/>
  <c r="AF925" i="3"/>
  <c r="AI925" i="3"/>
  <c r="AD925" i="3"/>
  <c r="AH925" i="3"/>
  <c r="AG925" i="3"/>
  <c r="AH929" i="3"/>
  <c r="AG929" i="3"/>
  <c r="AJ929" i="3"/>
  <c r="AF929" i="3"/>
  <c r="AI929" i="3"/>
  <c r="AD929" i="3"/>
  <c r="AI43" i="3"/>
  <c r="AD43" i="3"/>
  <c r="AH43" i="3"/>
  <c r="AJ43" i="3"/>
  <c r="AG43" i="3"/>
  <c r="AF43" i="3"/>
  <c r="AG44" i="3"/>
  <c r="AJ44" i="3"/>
  <c r="AF44" i="3"/>
  <c r="AI44" i="3"/>
  <c r="AH44" i="3"/>
  <c r="AD44" i="3"/>
  <c r="AJ51" i="3"/>
  <c r="AF51" i="3"/>
  <c r="AI51" i="3"/>
  <c r="AD51" i="3"/>
  <c r="AH51" i="3"/>
  <c r="AG51" i="3"/>
  <c r="AH50" i="3"/>
  <c r="AG50" i="3"/>
  <c r="AJ50" i="3"/>
  <c r="AF50" i="3"/>
  <c r="AD50" i="3"/>
  <c r="AI50" i="3"/>
  <c r="AJ367" i="3"/>
  <c r="AF367" i="3"/>
  <c r="AI367" i="3"/>
  <c r="AD367" i="3"/>
  <c r="AH367" i="3"/>
  <c r="AG367" i="3"/>
  <c r="AH350" i="3"/>
  <c r="AG350" i="3"/>
  <c r="AJ350" i="3"/>
  <c r="AF350" i="3"/>
  <c r="AI350" i="3"/>
  <c r="AD350" i="3"/>
  <c r="AJ357" i="3"/>
  <c r="AF357" i="3"/>
  <c r="AI357" i="3"/>
  <c r="AD357" i="3"/>
  <c r="AH357" i="3"/>
  <c r="AG357" i="3"/>
  <c r="AI318" i="3"/>
  <c r="AD318" i="3"/>
  <c r="AJ318" i="3"/>
  <c r="AH318" i="3"/>
  <c r="AG318" i="3"/>
  <c r="AF318" i="3"/>
  <c r="AI320" i="3"/>
  <c r="AD320" i="3"/>
  <c r="AH320" i="3"/>
  <c r="AG320" i="3"/>
  <c r="AF320" i="3"/>
  <c r="AJ320" i="3"/>
  <c r="AI324" i="3"/>
  <c r="AD324" i="3"/>
  <c r="AH324" i="3"/>
  <c r="AG324" i="3"/>
  <c r="AF324" i="3"/>
  <c r="AJ324" i="3"/>
  <c r="AG385" i="3"/>
  <c r="AJ385" i="3"/>
  <c r="AF385" i="3"/>
  <c r="AD385" i="3"/>
  <c r="AI385" i="3"/>
  <c r="AH385" i="3"/>
  <c r="AG808" i="3"/>
  <c r="AI808" i="3"/>
  <c r="AH808" i="3"/>
  <c r="AF808" i="3"/>
  <c r="AJ808" i="3"/>
  <c r="AD808" i="3"/>
  <c r="AI295" i="3"/>
  <c r="AD295" i="3"/>
  <c r="AH295" i="3"/>
  <c r="AJ295" i="3"/>
  <c r="AG295" i="3"/>
  <c r="AF295" i="3"/>
  <c r="AJ149" i="3"/>
  <c r="AF149" i="3"/>
  <c r="AI149" i="3"/>
  <c r="AD149" i="3"/>
  <c r="AH149" i="3"/>
  <c r="AG149" i="3"/>
  <c r="AG158" i="3"/>
  <c r="AJ158" i="3"/>
  <c r="AF158" i="3"/>
  <c r="AI158" i="3"/>
  <c r="AH158" i="3"/>
  <c r="AD158" i="3"/>
  <c r="AG151" i="3"/>
  <c r="AI151" i="3"/>
  <c r="AH151" i="3"/>
  <c r="AF151" i="3"/>
  <c r="AJ151" i="3"/>
  <c r="AD151" i="3"/>
  <c r="AJ152" i="3"/>
  <c r="AI152" i="3"/>
  <c r="AD152" i="3"/>
  <c r="AH152" i="3"/>
  <c r="AG152" i="3"/>
  <c r="AF152" i="3"/>
  <c r="AJ154" i="3"/>
  <c r="AF154" i="3"/>
  <c r="AH154" i="3"/>
  <c r="AI154" i="3"/>
  <c r="AG154" i="3"/>
  <c r="AD154" i="3"/>
  <c r="AJ21" i="3"/>
  <c r="AF21" i="3"/>
  <c r="AH21" i="3"/>
  <c r="AI21" i="3"/>
  <c r="AG21" i="3"/>
  <c r="AD21" i="3"/>
  <c r="AH645" i="3"/>
  <c r="AG645" i="3"/>
  <c r="AJ645" i="3"/>
  <c r="AI645" i="3"/>
  <c r="AF645" i="3"/>
  <c r="AD645" i="3"/>
  <c r="AI728" i="3"/>
  <c r="AD728" i="3"/>
  <c r="AH728" i="3"/>
  <c r="AJ728" i="3"/>
  <c r="AG728" i="3"/>
  <c r="AF728" i="3"/>
  <c r="AH721" i="3"/>
  <c r="AJ721" i="3"/>
  <c r="AD721" i="3"/>
  <c r="AI721" i="3"/>
  <c r="AG721" i="3"/>
  <c r="AF721" i="3"/>
  <c r="AH723" i="3"/>
  <c r="AF723" i="3"/>
  <c r="AI723" i="3"/>
  <c r="AG723" i="3"/>
  <c r="AD723" i="3"/>
  <c r="AJ723" i="3"/>
  <c r="AJ726" i="3"/>
  <c r="AF726" i="3"/>
  <c r="AH726" i="3"/>
  <c r="AD726" i="3"/>
  <c r="AI726" i="3"/>
  <c r="AG726" i="3"/>
  <c r="AH1061" i="3"/>
  <c r="AJ1061" i="3"/>
  <c r="AD1061" i="3"/>
  <c r="AG1061" i="3"/>
  <c r="AF1061" i="3"/>
  <c r="AI1061" i="3"/>
  <c r="AI1101" i="3"/>
  <c r="AD1101" i="3"/>
  <c r="AH1101" i="3"/>
  <c r="AG1101" i="3"/>
  <c r="AF1101" i="3"/>
  <c r="AJ1101" i="3"/>
  <c r="AH1078" i="3"/>
  <c r="AI1078" i="3"/>
  <c r="AG1078" i="3"/>
  <c r="AF1078" i="3"/>
  <c r="AJ1078" i="3"/>
  <c r="AD1078" i="3"/>
  <c r="AH1080" i="3"/>
  <c r="AG1080" i="3"/>
  <c r="AF1080" i="3"/>
  <c r="AJ1080" i="3"/>
  <c r="AD1080" i="3"/>
  <c r="AI1080" i="3"/>
  <c r="AH1082" i="3"/>
  <c r="AF1082" i="3"/>
  <c r="AJ1082" i="3"/>
  <c r="AD1082" i="3"/>
  <c r="AI1082" i="3"/>
  <c r="AG1082" i="3"/>
  <c r="AH1084" i="3"/>
  <c r="AJ1084" i="3"/>
  <c r="AD1084" i="3"/>
  <c r="AI1084" i="3"/>
  <c r="AG1084" i="3"/>
  <c r="AF1084" i="3"/>
  <c r="AH1086" i="3"/>
  <c r="AI1086" i="3"/>
  <c r="AG1086" i="3"/>
  <c r="AF1086" i="3"/>
  <c r="AD1086" i="3"/>
  <c r="AJ1086" i="3"/>
  <c r="AH1088" i="3"/>
  <c r="AG1088" i="3"/>
  <c r="AF1088" i="3"/>
  <c r="AJ1088" i="3"/>
  <c r="AD1088" i="3"/>
  <c r="AI1088" i="3"/>
  <c r="AJ1093" i="3"/>
  <c r="AF1093" i="3"/>
  <c r="AH1093" i="3"/>
  <c r="AG1093" i="3"/>
  <c r="AD1093" i="3"/>
  <c r="AI1093" i="3"/>
  <c r="AJ1111" i="3"/>
  <c r="AF1111" i="3"/>
  <c r="AG1111" i="3"/>
  <c r="AD1111" i="3"/>
  <c r="AI1111" i="3"/>
  <c r="AH1111" i="3"/>
  <c r="AJ1115" i="3"/>
  <c r="AF1115" i="3"/>
  <c r="AI1115" i="3"/>
  <c r="AH1115" i="3"/>
  <c r="AG1115" i="3"/>
  <c r="AD1115" i="3"/>
  <c r="AJ1119" i="3"/>
  <c r="AF1119" i="3"/>
  <c r="AG1119" i="3"/>
  <c r="AD1119" i="3"/>
  <c r="AI1119" i="3"/>
  <c r="AH1119" i="3"/>
  <c r="AH1132" i="3"/>
  <c r="AG1132" i="3"/>
  <c r="AF1132" i="3"/>
  <c r="AJ1132" i="3"/>
  <c r="AD1132" i="3"/>
  <c r="AI1132" i="3"/>
  <c r="AH1134" i="3"/>
  <c r="AF1134" i="3"/>
  <c r="AJ1134" i="3"/>
  <c r="AD1134" i="3"/>
  <c r="AI1134" i="3"/>
  <c r="AG1134" i="3"/>
  <c r="AH1136" i="3"/>
  <c r="AJ1136" i="3"/>
  <c r="AD1136" i="3"/>
  <c r="AI1136" i="3"/>
  <c r="AG1136" i="3"/>
  <c r="AF1136" i="3"/>
  <c r="AH1138" i="3"/>
  <c r="AI1138" i="3"/>
  <c r="AG1138" i="3"/>
  <c r="AF1138" i="3"/>
  <c r="AD1138" i="3"/>
  <c r="AJ1138" i="3"/>
  <c r="AH1140" i="3"/>
  <c r="AG1140" i="3"/>
  <c r="AF1140" i="3"/>
  <c r="AJ1140" i="3"/>
  <c r="AD1140" i="3"/>
  <c r="AI1140" i="3"/>
  <c r="AH1142" i="3"/>
  <c r="AF1142" i="3"/>
  <c r="AJ1142" i="3"/>
  <c r="AD1142" i="3"/>
  <c r="AI1142" i="3"/>
  <c r="AG1142" i="3"/>
  <c r="AH1144" i="3"/>
  <c r="AJ1144" i="3"/>
  <c r="AD1144" i="3"/>
  <c r="AI1144" i="3"/>
  <c r="AG1144" i="3"/>
  <c r="AF1144" i="3"/>
  <c r="AH1146" i="3"/>
  <c r="AI1146" i="3"/>
  <c r="AG1146" i="3"/>
  <c r="AF1146" i="3"/>
  <c r="AJ1146" i="3"/>
  <c r="AD1146" i="3"/>
  <c r="AH1148" i="3"/>
  <c r="AG1148" i="3"/>
  <c r="AF1148" i="3"/>
  <c r="AJ1148" i="3"/>
  <c r="AD1148" i="3"/>
  <c r="AI1148" i="3"/>
  <c r="AJ458" i="3"/>
  <c r="AF458" i="3"/>
  <c r="AI458" i="3"/>
  <c r="AD458" i="3"/>
  <c r="AH458" i="3"/>
  <c r="AG458" i="3"/>
  <c r="AH576" i="3"/>
  <c r="AG576" i="3"/>
  <c r="AJ576" i="3"/>
  <c r="AF576" i="3"/>
  <c r="AD576" i="3"/>
  <c r="AI576" i="3"/>
  <c r="AH440" i="3"/>
  <c r="AG440" i="3"/>
  <c r="AJ440" i="3"/>
  <c r="AF440" i="3"/>
  <c r="AI440" i="3"/>
  <c r="AD440" i="3"/>
  <c r="AH441" i="3"/>
  <c r="AG441" i="3"/>
  <c r="AJ441" i="3"/>
  <c r="AF441" i="3"/>
  <c r="AI441" i="3"/>
  <c r="AD441" i="3"/>
  <c r="AH577" i="3"/>
  <c r="AG577" i="3"/>
  <c r="AJ577" i="3"/>
  <c r="AF577" i="3"/>
  <c r="AI577" i="3"/>
  <c r="AD577" i="3"/>
  <c r="AJ573" i="3"/>
  <c r="AF573" i="3"/>
  <c r="AI573" i="3"/>
  <c r="AD573" i="3"/>
  <c r="AH573" i="3"/>
  <c r="AG573" i="3"/>
  <c r="AJ580" i="3"/>
  <c r="AF580" i="3"/>
  <c r="AI580" i="3"/>
  <c r="AD580" i="3"/>
  <c r="AH580" i="3"/>
  <c r="AG580" i="3"/>
  <c r="AH597" i="3"/>
  <c r="AG597" i="3"/>
  <c r="AJ597" i="3"/>
  <c r="AF597" i="3"/>
  <c r="AI597" i="3"/>
  <c r="AD597" i="3"/>
  <c r="AJ593" i="3"/>
  <c r="AF593" i="3"/>
  <c r="AI593" i="3"/>
  <c r="AD593" i="3"/>
  <c r="AH593" i="3"/>
  <c r="AG593" i="3"/>
  <c r="AJ590" i="3"/>
  <c r="AF590" i="3"/>
  <c r="AI590" i="3"/>
  <c r="AD590" i="3"/>
  <c r="AH590" i="3"/>
  <c r="AG590" i="3"/>
  <c r="AH627" i="3"/>
  <c r="AG627" i="3"/>
  <c r="AJ627" i="3"/>
  <c r="AF627" i="3"/>
  <c r="AI627" i="3"/>
  <c r="AD627" i="3"/>
  <c r="AJ622" i="3"/>
  <c r="AF622" i="3"/>
  <c r="AI622" i="3"/>
  <c r="AD622" i="3"/>
  <c r="AH622" i="3"/>
  <c r="AG622" i="3"/>
  <c r="AJ535" i="3"/>
  <c r="AF535" i="3"/>
  <c r="AI535" i="3"/>
  <c r="AD535" i="3"/>
  <c r="AH535" i="3"/>
  <c r="AG535" i="3"/>
  <c r="AH502" i="3"/>
  <c r="AG502" i="3"/>
  <c r="AJ502" i="3"/>
  <c r="AF502" i="3"/>
  <c r="AD502" i="3"/>
  <c r="AI502" i="3"/>
  <c r="AH850" i="3"/>
  <c r="AG850" i="3"/>
  <c r="AJ850" i="3"/>
  <c r="AF850" i="3"/>
  <c r="AI850" i="3"/>
  <c r="AD850" i="3"/>
  <c r="AH854" i="3"/>
  <c r="AG854" i="3"/>
  <c r="AJ854" i="3"/>
  <c r="AF854" i="3"/>
  <c r="AD854" i="3"/>
  <c r="AI854" i="3"/>
  <c r="AJ861" i="3"/>
  <c r="AF861" i="3"/>
  <c r="AI861" i="3"/>
  <c r="AD861" i="3"/>
  <c r="AH861" i="3"/>
  <c r="AG861" i="3"/>
  <c r="AH868" i="3"/>
  <c r="AG868" i="3"/>
  <c r="AJ868" i="3"/>
  <c r="AF868" i="3"/>
  <c r="AI868" i="3"/>
  <c r="AD868" i="3"/>
  <c r="AH872" i="3"/>
  <c r="AG872" i="3"/>
  <c r="AJ872" i="3"/>
  <c r="AF872" i="3"/>
  <c r="AD872" i="3"/>
  <c r="AI872" i="3"/>
  <c r="AJ875" i="3"/>
  <c r="AF875" i="3"/>
  <c r="AI875" i="3"/>
  <c r="AD875" i="3"/>
  <c r="AH875" i="3"/>
  <c r="AG875" i="3"/>
  <c r="AI887" i="3"/>
  <c r="AD887" i="3"/>
  <c r="AH887" i="3"/>
  <c r="AJ887" i="3"/>
  <c r="AG887" i="3"/>
  <c r="AF887" i="3"/>
  <c r="AJ879" i="3"/>
  <c r="AF879" i="3"/>
  <c r="AI879" i="3"/>
  <c r="AD879" i="3"/>
  <c r="AH879" i="3"/>
  <c r="AG879" i="3"/>
  <c r="AH880" i="3"/>
  <c r="AG880" i="3"/>
  <c r="AJ880" i="3"/>
  <c r="AF880" i="3"/>
  <c r="AD880" i="3"/>
  <c r="AI880" i="3"/>
  <c r="AJ888" i="3"/>
  <c r="AF888" i="3"/>
  <c r="AI888" i="3"/>
  <c r="AD888" i="3"/>
  <c r="AH888" i="3"/>
  <c r="AG888" i="3"/>
  <c r="AH918" i="3"/>
  <c r="AG918" i="3"/>
  <c r="AJ918" i="3"/>
  <c r="AF918" i="3"/>
  <c r="AD918" i="3"/>
  <c r="AI918" i="3"/>
  <c r="AH922" i="3"/>
  <c r="AG922" i="3"/>
  <c r="AJ922" i="3"/>
  <c r="AF922" i="3"/>
  <c r="AD922" i="3"/>
  <c r="AI922" i="3"/>
  <c r="AH926" i="3"/>
  <c r="AG926" i="3"/>
  <c r="AJ926" i="3"/>
  <c r="AF926" i="3"/>
  <c r="AI926" i="3"/>
  <c r="AD926" i="3"/>
  <c r="AJ35" i="3"/>
  <c r="AF35" i="3"/>
  <c r="AI35" i="3"/>
  <c r="AD35" i="3"/>
  <c r="AH35" i="3"/>
  <c r="AG35" i="3"/>
  <c r="AJ347" i="3"/>
  <c r="AF347" i="3"/>
  <c r="AI347" i="3"/>
  <c r="AD347" i="3"/>
  <c r="AH347" i="3"/>
  <c r="AG347" i="3"/>
  <c r="AJ351" i="3"/>
  <c r="AF351" i="3"/>
  <c r="AI351" i="3"/>
  <c r="AD351" i="3"/>
  <c r="AH351" i="3"/>
  <c r="AG351" i="3"/>
  <c r="AJ353" i="3"/>
  <c r="AF353" i="3"/>
  <c r="AI353" i="3"/>
  <c r="AD353" i="3"/>
  <c r="AH353" i="3"/>
  <c r="AG353" i="3"/>
  <c r="AH360" i="3"/>
  <c r="AG360" i="3"/>
  <c r="AJ360" i="3"/>
  <c r="AF360" i="3"/>
  <c r="AD360" i="3"/>
  <c r="AI360" i="3"/>
  <c r="AI364" i="3"/>
  <c r="AH364" i="3"/>
  <c r="AG364" i="3"/>
  <c r="AF364" i="3"/>
  <c r="AJ364" i="3"/>
  <c r="AD364" i="3"/>
  <c r="AG747" i="3"/>
  <c r="AJ747" i="3"/>
  <c r="AF747" i="3"/>
  <c r="AH747" i="3"/>
  <c r="AD747" i="3"/>
  <c r="AI747" i="3"/>
  <c r="AJ755" i="3"/>
  <c r="AF755" i="3"/>
  <c r="AI755" i="3"/>
  <c r="AD755" i="3"/>
  <c r="AH755" i="3"/>
  <c r="AG755" i="3"/>
  <c r="AI316" i="3"/>
  <c r="AD316" i="3"/>
  <c r="AG316" i="3"/>
  <c r="AF316" i="3"/>
  <c r="AJ316" i="3"/>
  <c r="AH316" i="3"/>
  <c r="AI384" i="3"/>
  <c r="AD384" i="3"/>
  <c r="AH384" i="3"/>
  <c r="AF384" i="3"/>
  <c r="AJ384" i="3"/>
  <c r="AG384" i="3"/>
  <c r="AG276" i="3"/>
  <c r="AJ276" i="3"/>
  <c r="AF276" i="3"/>
  <c r="AI276" i="3"/>
  <c r="AH276" i="3"/>
  <c r="AD276" i="3"/>
  <c r="AG266" i="3"/>
  <c r="AJ266" i="3"/>
  <c r="AD266" i="3"/>
  <c r="AI266" i="3"/>
  <c r="AH266" i="3"/>
  <c r="AF266" i="3"/>
  <c r="AI269" i="3"/>
  <c r="AD269" i="3"/>
  <c r="AJ269" i="3"/>
  <c r="AH269" i="3"/>
  <c r="AG269" i="3"/>
  <c r="AF269" i="3"/>
  <c r="AJ296" i="3"/>
  <c r="AF296" i="3"/>
  <c r="AI296" i="3"/>
  <c r="AD296" i="3"/>
  <c r="AH296" i="3"/>
  <c r="AG296" i="3"/>
  <c r="AG285" i="3"/>
  <c r="AI285" i="3"/>
  <c r="AH285" i="3"/>
  <c r="AF285" i="3"/>
  <c r="AJ285" i="3"/>
  <c r="AD285" i="3"/>
  <c r="AG287" i="3"/>
  <c r="AH287" i="3"/>
  <c r="AF287" i="3"/>
  <c r="AJ287" i="3"/>
  <c r="AD287" i="3"/>
  <c r="AI287" i="3"/>
  <c r="AG293" i="3"/>
  <c r="AF293" i="3"/>
  <c r="AJ293" i="3"/>
  <c r="AD293" i="3"/>
  <c r="AI293" i="3"/>
  <c r="AH293" i="3"/>
  <c r="AG966" i="3"/>
  <c r="AH966" i="3"/>
  <c r="AF966" i="3"/>
  <c r="AJ966" i="3"/>
  <c r="AD966" i="3"/>
  <c r="AI966" i="3"/>
  <c r="AI1026" i="3"/>
  <c r="AD1026" i="3"/>
  <c r="AH1026" i="3"/>
  <c r="AG1026" i="3"/>
  <c r="AF1026" i="3"/>
  <c r="AJ1026" i="3"/>
  <c r="AJ11" i="3"/>
  <c r="AF11" i="3"/>
  <c r="AD11" i="3"/>
  <c r="AG11" i="3"/>
  <c r="AI11" i="3"/>
  <c r="AH11" i="3"/>
  <c r="AJ13" i="3"/>
  <c r="AF13" i="3"/>
  <c r="AH13" i="3"/>
  <c r="AI13" i="3"/>
  <c r="AG13" i="3"/>
  <c r="AD13" i="3"/>
  <c r="AG698" i="3"/>
  <c r="AJ698" i="3"/>
  <c r="AF698" i="3"/>
  <c r="AI698" i="3"/>
  <c r="AH698" i="3"/>
  <c r="AD698" i="3"/>
  <c r="AJ1047" i="3"/>
  <c r="AF1047" i="3"/>
  <c r="AI1047" i="3"/>
  <c r="AD1047" i="3"/>
  <c r="AH1047" i="3"/>
  <c r="AG1047" i="3"/>
  <c r="AJ1060" i="3"/>
  <c r="AF1060" i="3"/>
  <c r="AD1060" i="3"/>
  <c r="AH1060" i="3"/>
  <c r="AI1060" i="3"/>
  <c r="AG1060" i="3"/>
  <c r="AJ1089" i="3"/>
  <c r="AF1089" i="3"/>
  <c r="AG1089" i="3"/>
  <c r="AD1089" i="3"/>
  <c r="AI1089" i="3"/>
  <c r="AH1089" i="3"/>
  <c r="AH1102" i="3"/>
  <c r="AG1102" i="3"/>
  <c r="AJ1102" i="3"/>
  <c r="AF1102" i="3"/>
  <c r="AD1102" i="3"/>
  <c r="AI1102" i="3"/>
  <c r="AJ1091" i="3"/>
  <c r="AF1091" i="3"/>
  <c r="AD1091" i="3"/>
  <c r="AI1091" i="3"/>
  <c r="AH1091" i="3"/>
  <c r="AG1091" i="3"/>
  <c r="AH1112" i="3"/>
  <c r="AF1112" i="3"/>
  <c r="AJ1112" i="3"/>
  <c r="AD1112" i="3"/>
  <c r="AI1112" i="3"/>
  <c r="AG1112" i="3"/>
  <c r="AH1116" i="3"/>
  <c r="AI1116" i="3"/>
  <c r="AG1116" i="3"/>
  <c r="AF1116" i="3"/>
  <c r="AJ1116" i="3"/>
  <c r="AD1116" i="3"/>
  <c r="AH1120" i="3"/>
  <c r="AF1120" i="3"/>
  <c r="AJ1120" i="3"/>
  <c r="AD1120" i="3"/>
  <c r="AI1120" i="3"/>
  <c r="AG1120" i="3"/>
  <c r="AH1122" i="3"/>
  <c r="AJ1122" i="3"/>
  <c r="AD1122" i="3"/>
  <c r="AI1122" i="3"/>
  <c r="AG1122" i="3"/>
  <c r="AF1122" i="3"/>
  <c r="AJ1151" i="3"/>
  <c r="AF1151" i="3"/>
  <c r="AD1151" i="3"/>
  <c r="AI1151" i="3"/>
  <c r="AH1151" i="3"/>
  <c r="AG1151" i="3"/>
  <c r="AJ578" i="3"/>
  <c r="AF578" i="3"/>
  <c r="AI578" i="3"/>
  <c r="AD578" i="3"/>
  <c r="AH578" i="3"/>
  <c r="AG578" i="3"/>
  <c r="AH574" i="3"/>
  <c r="AG574" i="3"/>
  <c r="AJ574" i="3"/>
  <c r="AF574" i="3"/>
  <c r="AI574" i="3"/>
  <c r="AD574" i="3"/>
  <c r="AJ575" i="3"/>
  <c r="AF575" i="3"/>
  <c r="AI575" i="3"/>
  <c r="AD575" i="3"/>
  <c r="AH575" i="3"/>
  <c r="AG575" i="3"/>
  <c r="AH567" i="3"/>
  <c r="AG567" i="3"/>
  <c r="AJ567" i="3"/>
  <c r="AF567" i="3"/>
  <c r="AD567" i="3"/>
  <c r="AI567" i="3"/>
  <c r="AJ598" i="3"/>
  <c r="AF598" i="3"/>
  <c r="AI598" i="3"/>
  <c r="AD598" i="3"/>
  <c r="AH598" i="3"/>
  <c r="AG598" i="3"/>
  <c r="AH594" i="3"/>
  <c r="AG594" i="3"/>
  <c r="AJ594" i="3"/>
  <c r="AF594" i="3"/>
  <c r="AI594" i="3"/>
  <c r="AD594" i="3"/>
  <c r="AH591" i="3"/>
  <c r="AG591" i="3"/>
  <c r="AJ591" i="3"/>
  <c r="AF591" i="3"/>
  <c r="AI591" i="3"/>
  <c r="AD591" i="3"/>
  <c r="AH623" i="3"/>
  <c r="AG623" i="3"/>
  <c r="AJ623" i="3"/>
  <c r="AF623" i="3"/>
  <c r="AD623" i="3"/>
  <c r="AI623" i="3"/>
  <c r="AJ527" i="3"/>
  <c r="AF527" i="3"/>
  <c r="AI527" i="3"/>
  <c r="AD527" i="3"/>
  <c r="AH527" i="3"/>
  <c r="AG527" i="3"/>
  <c r="AH526" i="3"/>
  <c r="AG526" i="3"/>
  <c r="AJ526" i="3"/>
  <c r="AF526" i="3"/>
  <c r="AI526" i="3"/>
  <c r="AD526" i="3"/>
  <c r="AH506" i="3"/>
  <c r="AG506" i="3"/>
  <c r="AJ506" i="3"/>
  <c r="AF506" i="3"/>
  <c r="AI506" i="3"/>
  <c r="AD506" i="3"/>
  <c r="AJ503" i="3"/>
  <c r="AF503" i="3"/>
  <c r="AI503" i="3"/>
  <c r="AD503" i="3"/>
  <c r="AH503" i="3"/>
  <c r="AG503" i="3"/>
  <c r="AJ851" i="3"/>
  <c r="AF851" i="3"/>
  <c r="AI851" i="3"/>
  <c r="AD851" i="3"/>
  <c r="AH851" i="3"/>
  <c r="AG851" i="3"/>
  <c r="AJ855" i="3"/>
  <c r="AF855" i="3"/>
  <c r="AI855" i="3"/>
  <c r="AD855" i="3"/>
  <c r="AH855" i="3"/>
  <c r="AG855" i="3"/>
  <c r="AH862" i="3"/>
  <c r="AG862" i="3"/>
  <c r="AJ862" i="3"/>
  <c r="AF862" i="3"/>
  <c r="AI862" i="3"/>
  <c r="AD862" i="3"/>
  <c r="AJ869" i="3"/>
  <c r="AF869" i="3"/>
  <c r="AI869" i="3"/>
  <c r="AD869" i="3"/>
  <c r="AH869" i="3"/>
  <c r="AG869" i="3"/>
  <c r="AJ873" i="3"/>
  <c r="AF873" i="3"/>
  <c r="AI873" i="3"/>
  <c r="AD873" i="3"/>
  <c r="AH873" i="3"/>
  <c r="AG873" i="3"/>
  <c r="AH876" i="3"/>
  <c r="AG876" i="3"/>
  <c r="AJ876" i="3"/>
  <c r="AF876" i="3"/>
  <c r="AI876" i="3"/>
  <c r="AD876" i="3"/>
  <c r="AH890" i="3"/>
  <c r="AG890" i="3"/>
  <c r="AJ890" i="3"/>
  <c r="AF890" i="3"/>
  <c r="AI890" i="3"/>
  <c r="AD890" i="3"/>
  <c r="AJ923" i="3"/>
  <c r="AF923" i="3"/>
  <c r="AI923" i="3"/>
  <c r="AD923" i="3"/>
  <c r="AH923" i="3"/>
  <c r="AG923" i="3"/>
  <c r="AJ927" i="3"/>
  <c r="AF927" i="3"/>
  <c r="AI927" i="3"/>
  <c r="AD927" i="3"/>
  <c r="AH927" i="3"/>
  <c r="AG927" i="3"/>
  <c r="AJ37" i="3"/>
  <c r="AF37" i="3"/>
  <c r="AI37" i="3"/>
  <c r="AD37" i="3"/>
  <c r="AH37" i="3"/>
  <c r="AG37" i="3"/>
  <c r="AH348" i="3"/>
  <c r="AG348" i="3"/>
  <c r="AJ348" i="3"/>
  <c r="AF348" i="3"/>
  <c r="AD348" i="3"/>
  <c r="AI348" i="3"/>
  <c r="AH352" i="3"/>
  <c r="AG352" i="3"/>
  <c r="AJ352" i="3"/>
  <c r="AF352" i="3"/>
  <c r="AI352" i="3"/>
  <c r="AD352" i="3"/>
  <c r="AH354" i="3"/>
  <c r="AG354" i="3"/>
  <c r="AJ354" i="3"/>
  <c r="AF354" i="3"/>
  <c r="AI354" i="3"/>
  <c r="AD354" i="3"/>
  <c r="AJ361" i="3"/>
  <c r="AF361" i="3"/>
  <c r="AI361" i="3"/>
  <c r="AD361" i="3"/>
  <c r="AH361" i="3"/>
  <c r="AG361" i="3"/>
  <c r="AJ368" i="3"/>
  <c r="AF368" i="3"/>
  <c r="AI368" i="3"/>
  <c r="AD368" i="3"/>
  <c r="AH368" i="3"/>
  <c r="AG368" i="3"/>
  <c r="AG744" i="3"/>
  <c r="AJ744" i="3"/>
  <c r="AD744" i="3"/>
  <c r="AI744" i="3"/>
  <c r="AH744" i="3"/>
  <c r="AF744" i="3"/>
  <c r="AG319" i="3"/>
  <c r="AI319" i="3"/>
  <c r="AH319" i="3"/>
  <c r="AF319" i="3"/>
  <c r="AJ319" i="3"/>
  <c r="AD319" i="3"/>
  <c r="AI322" i="3"/>
  <c r="AD322" i="3"/>
  <c r="AF322" i="3"/>
  <c r="AJ322" i="3"/>
  <c r="AH322" i="3"/>
  <c r="AG322" i="3"/>
  <c r="AJ306" i="3"/>
  <c r="AF306" i="3"/>
  <c r="AI306" i="3"/>
  <c r="AD306" i="3"/>
  <c r="AH306" i="3"/>
  <c r="AG306" i="3"/>
  <c r="AG831" i="3"/>
  <c r="AH831" i="3"/>
  <c r="AF831" i="3"/>
  <c r="AJ831" i="3"/>
  <c r="AD831" i="3"/>
  <c r="AI831" i="3"/>
  <c r="AH639" i="3"/>
  <c r="AG639" i="3"/>
  <c r="AJ639" i="3"/>
  <c r="AF639" i="3"/>
  <c r="AI639" i="3"/>
  <c r="AD639" i="3"/>
  <c r="AG383" i="3"/>
  <c r="AJ383" i="3"/>
  <c r="AF383" i="3"/>
  <c r="AI383" i="3"/>
  <c r="AH383" i="3"/>
  <c r="AD383" i="3"/>
  <c r="AG380" i="3"/>
  <c r="AI380" i="3"/>
  <c r="AH380" i="3"/>
  <c r="AF380" i="3"/>
  <c r="AJ380" i="3"/>
  <c r="AD380" i="3"/>
  <c r="AH819" i="3"/>
  <c r="AG819" i="3"/>
  <c r="AJ819" i="3"/>
  <c r="AF819" i="3"/>
  <c r="AI819" i="3"/>
  <c r="AD819" i="3"/>
  <c r="AI805" i="3"/>
  <c r="AD805" i="3"/>
  <c r="AH805" i="3"/>
  <c r="AG805" i="3"/>
  <c r="AF805" i="3"/>
  <c r="AJ805" i="3"/>
  <c r="AJ297" i="3"/>
  <c r="AF297" i="3"/>
  <c r="AI297" i="3"/>
  <c r="AD297" i="3"/>
  <c r="AH297" i="3"/>
  <c r="AG297" i="3"/>
  <c r="AG967" i="3"/>
  <c r="AJ967" i="3"/>
  <c r="AF967" i="3"/>
  <c r="AD967" i="3"/>
  <c r="AI967" i="3"/>
  <c r="AH967" i="3"/>
  <c r="AJ1028" i="3"/>
  <c r="AF1028" i="3"/>
  <c r="AI1028" i="3"/>
  <c r="AD1028" i="3"/>
  <c r="AH1028" i="3"/>
  <c r="AG1028" i="3"/>
  <c r="AG157" i="3"/>
  <c r="AJ157" i="3"/>
  <c r="AF157" i="3"/>
  <c r="AH157" i="3"/>
  <c r="AD157" i="3"/>
  <c r="AI157" i="3"/>
  <c r="AH148" i="3"/>
  <c r="AG148" i="3"/>
  <c r="AJ148" i="3"/>
  <c r="AF148" i="3"/>
  <c r="AD148" i="3"/>
  <c r="AI148" i="3"/>
  <c r="AH150" i="3"/>
  <c r="AG150" i="3"/>
  <c r="AJ150" i="3"/>
  <c r="AF150" i="3"/>
  <c r="AD150" i="3"/>
  <c r="AI150" i="3"/>
  <c r="AH153" i="3"/>
  <c r="AI153" i="3"/>
  <c r="AJ153" i="3"/>
  <c r="AG153" i="3"/>
  <c r="AF153" i="3"/>
  <c r="AD153" i="3"/>
  <c r="AH20" i="3"/>
  <c r="AI20" i="3"/>
  <c r="AG20" i="3"/>
  <c r="AF20" i="3"/>
  <c r="AD20" i="3"/>
  <c r="AJ20" i="3"/>
  <c r="AI647" i="3"/>
  <c r="AD647" i="3"/>
  <c r="AH647" i="3"/>
  <c r="AG647" i="3"/>
  <c r="AF647" i="3"/>
  <c r="AJ647" i="3"/>
  <c r="AJ1066" i="3"/>
  <c r="AF1066" i="3"/>
  <c r="AI1066" i="3"/>
  <c r="AH1066" i="3"/>
  <c r="AG1066" i="3"/>
  <c r="AD1066" i="3"/>
  <c r="AJ1079" i="3"/>
  <c r="AF1079" i="3"/>
  <c r="AH1079" i="3"/>
  <c r="AG1079" i="3"/>
  <c r="AD1079" i="3"/>
  <c r="AI1079" i="3"/>
  <c r="AJ1081" i="3"/>
  <c r="AF1081" i="3"/>
  <c r="AG1081" i="3"/>
  <c r="AD1081" i="3"/>
  <c r="AI1081" i="3"/>
  <c r="AH1081" i="3"/>
  <c r="AJ1083" i="3"/>
  <c r="AF1083" i="3"/>
  <c r="AD1083" i="3"/>
  <c r="AI1083" i="3"/>
  <c r="AH1083" i="3"/>
  <c r="AG1083" i="3"/>
  <c r="AJ1085" i="3"/>
  <c r="AF1085" i="3"/>
  <c r="AI1085" i="3"/>
  <c r="AH1085" i="3"/>
  <c r="AG1085" i="3"/>
  <c r="AD1085" i="3"/>
  <c r="AJ1087" i="3"/>
  <c r="AF1087" i="3"/>
  <c r="AH1087" i="3"/>
  <c r="AG1087" i="3"/>
  <c r="AD1087" i="3"/>
  <c r="AI1087" i="3"/>
  <c r="AH1094" i="3"/>
  <c r="AG1094" i="3"/>
  <c r="AF1094" i="3"/>
  <c r="AJ1094" i="3"/>
  <c r="AD1094" i="3"/>
  <c r="AI1094" i="3"/>
  <c r="AJ1109" i="3"/>
  <c r="AF1109" i="3"/>
  <c r="AH1109" i="3"/>
  <c r="AG1109" i="3"/>
  <c r="AD1109" i="3"/>
  <c r="AI1109" i="3"/>
  <c r="AJ1113" i="3"/>
  <c r="AF1113" i="3"/>
  <c r="AD1113" i="3"/>
  <c r="AI1113" i="3"/>
  <c r="AH1113" i="3"/>
  <c r="AG1113" i="3"/>
  <c r="AJ1117" i="3"/>
  <c r="AF1117" i="3"/>
  <c r="AH1117" i="3"/>
  <c r="AG1117" i="3"/>
  <c r="AD1117" i="3"/>
  <c r="AI1117" i="3"/>
  <c r="AJ1121" i="3"/>
  <c r="AF1121" i="3"/>
  <c r="AD1121" i="3"/>
  <c r="AI1121" i="3"/>
  <c r="AH1121" i="3"/>
  <c r="AG1121" i="3"/>
  <c r="AJ1123" i="3"/>
  <c r="AF1123" i="3"/>
  <c r="AI1123" i="3"/>
  <c r="AH1123" i="3"/>
  <c r="AG1123" i="3"/>
  <c r="AD1123" i="3"/>
  <c r="AH1130" i="3"/>
  <c r="AI1130" i="3"/>
  <c r="AG1130" i="3"/>
  <c r="AF1130" i="3"/>
  <c r="AJ1130" i="3"/>
  <c r="AD1130" i="3"/>
  <c r="AH1155" i="3"/>
  <c r="AG1155" i="3"/>
  <c r="AJ1155" i="3"/>
  <c r="AF1155" i="3"/>
  <c r="AI1155" i="3"/>
  <c r="AD1155" i="3"/>
  <c r="AJ1131" i="3"/>
  <c r="AF1131" i="3"/>
  <c r="AH1131" i="3"/>
  <c r="AG1131" i="3"/>
  <c r="AD1131" i="3"/>
  <c r="AI1131" i="3"/>
  <c r="AJ1133" i="3"/>
  <c r="AF1133" i="3"/>
  <c r="AG1133" i="3"/>
  <c r="AD1133" i="3"/>
  <c r="AI1133" i="3"/>
  <c r="AH1133" i="3"/>
  <c r="AJ1135" i="3"/>
  <c r="AF1135" i="3"/>
  <c r="AD1135" i="3"/>
  <c r="AI1135" i="3"/>
  <c r="AH1135" i="3"/>
  <c r="AG1135" i="3"/>
  <c r="AJ1137" i="3"/>
  <c r="AF1137" i="3"/>
  <c r="AI1137" i="3"/>
  <c r="AH1137" i="3"/>
  <c r="AG1137" i="3"/>
  <c r="AD1137" i="3"/>
  <c r="AJ1139" i="3"/>
  <c r="AF1139" i="3"/>
  <c r="AH1139" i="3"/>
  <c r="AG1139" i="3"/>
  <c r="AD1139" i="3"/>
  <c r="AI1139" i="3"/>
  <c r="AJ1141" i="3"/>
  <c r="AF1141" i="3"/>
  <c r="AG1141" i="3"/>
  <c r="AD1141" i="3"/>
  <c r="AI1141" i="3"/>
  <c r="AH1141" i="3"/>
  <c r="AJ1143" i="3"/>
  <c r="AF1143" i="3"/>
  <c r="AD1143" i="3"/>
  <c r="AI1143" i="3"/>
  <c r="AH1143" i="3"/>
  <c r="AG1143" i="3"/>
  <c r="AJ1145" i="3"/>
  <c r="AF1145" i="3"/>
  <c r="AI1145" i="3"/>
  <c r="AH1145" i="3"/>
  <c r="AG1145" i="3"/>
  <c r="AD1145" i="3"/>
  <c r="AJ1147" i="3"/>
  <c r="AF1147" i="3"/>
  <c r="AH1147" i="3"/>
  <c r="AG1147" i="3"/>
  <c r="AD1147" i="3"/>
  <c r="AI1147" i="3"/>
  <c r="AJ1149" i="3"/>
  <c r="AF1149" i="3"/>
  <c r="AG1149" i="3"/>
  <c r="AD1149" i="3"/>
  <c r="AI1149" i="3"/>
  <c r="AH1149" i="3"/>
  <c r="AA893" i="3"/>
  <c r="AG893" i="3" s="1"/>
  <c r="AA377" i="3"/>
  <c r="AH377" i="3" s="1"/>
  <c r="AA530" i="3"/>
  <c r="AH530" i="3" s="1"/>
  <c r="AA508" i="3"/>
  <c r="AH508" i="3" s="1"/>
  <c r="AA892" i="3"/>
  <c r="AH892" i="3" s="1"/>
  <c r="AI637" i="3"/>
  <c r="AD637" i="3"/>
  <c r="AH637" i="3"/>
  <c r="AG637" i="3"/>
  <c r="AJ637" i="3"/>
  <c r="AF637" i="3"/>
  <c r="AI165" i="3"/>
  <c r="AG165" i="3"/>
  <c r="AH1042" i="3"/>
  <c r="AH699" i="3"/>
  <c r="AG314" i="3"/>
  <c r="AG563" i="3"/>
  <c r="AG515" i="3"/>
  <c r="AG513" i="3"/>
  <c r="AG523" i="3"/>
  <c r="AG525" i="3"/>
  <c r="AJ330" i="3"/>
  <c r="AI670" i="3"/>
  <c r="AG519" i="3"/>
  <c r="AF757" i="3"/>
  <c r="AH449" i="3"/>
  <c r="AG1022" i="3"/>
  <c r="AG1075" i="3"/>
  <c r="AJ757" i="3"/>
  <c r="AJ431" i="3"/>
  <c r="AG803" i="3"/>
  <c r="AG555" i="3"/>
  <c r="AH562" i="3"/>
  <c r="AG402" i="3"/>
  <c r="AG1018" i="3"/>
  <c r="AH661" i="3"/>
  <c r="AA636" i="3"/>
  <c r="AH636" i="3" s="1"/>
  <c r="AH280" i="3"/>
  <c r="AH278" i="3"/>
  <c r="AH277" i="3"/>
  <c r="AG654" i="3"/>
  <c r="AH669" i="3"/>
  <c r="AG540" i="3"/>
  <c r="AI826" i="3"/>
  <c r="AH643" i="3"/>
  <c r="AG662" i="3"/>
  <c r="AH1073" i="3"/>
  <c r="AG1077" i="3"/>
  <c r="AI411" i="3"/>
  <c r="AG413" i="3"/>
  <c r="AG415" i="3"/>
  <c r="AJ416" i="3"/>
  <c r="AG798" i="3"/>
  <c r="AH1049" i="3"/>
  <c r="AG1076" i="3"/>
  <c r="AI1103" i="3"/>
  <c r="AA858" i="3"/>
  <c r="AI736" i="3"/>
  <c r="AD331" i="3"/>
  <c r="AI326" i="3"/>
  <c r="AJ386" i="3"/>
  <c r="AG258" i="3"/>
  <c r="AG262" i="3"/>
  <c r="AJ968" i="3"/>
  <c r="AH1034" i="3"/>
  <c r="AH1031" i="3"/>
  <c r="AH160" i="3"/>
  <c r="AG145" i="3"/>
  <c r="AG658" i="3"/>
  <c r="AJ674" i="3"/>
  <c r="AG729" i="3"/>
  <c r="AH1070" i="3"/>
  <c r="AJ331" i="3"/>
  <c r="AH554" i="3"/>
  <c r="AH445" i="3"/>
  <c r="AJ465" i="3"/>
  <c r="AH537" i="3"/>
  <c r="AG546" i="3"/>
  <c r="AG759" i="3"/>
  <c r="AG761" i="3"/>
  <c r="AG763" i="3"/>
  <c r="AG340" i="3"/>
  <c r="AH752" i="3"/>
  <c r="AD757" i="3"/>
  <c r="AJ336" i="3"/>
  <c r="AF331" i="3"/>
  <c r="AG830" i="3"/>
  <c r="AH284" i="3"/>
  <c r="AG1015" i="3"/>
  <c r="AH1035" i="3"/>
  <c r="AG1020" i="3"/>
  <c r="AH1051" i="3"/>
  <c r="AG564" i="3"/>
  <c r="AI389" i="3"/>
  <c r="AG391" i="3"/>
  <c r="AI393" i="3"/>
  <c r="AG401" i="3"/>
  <c r="AG417" i="3"/>
  <c r="AJ452" i="3"/>
  <c r="AG463" i="3"/>
  <c r="AH346" i="3"/>
  <c r="AH786" i="3"/>
  <c r="AH788" i="3"/>
  <c r="AH790" i="3"/>
  <c r="AA749" i="3"/>
  <c r="AI749" i="3" s="1"/>
  <c r="AG331" i="3"/>
  <c r="AG256" i="3"/>
  <c r="AI260" i="3"/>
  <c r="AG1014" i="3"/>
  <c r="AG1019" i="3"/>
  <c r="AJ3" i="3"/>
  <c r="AG23" i="3"/>
  <c r="AH657" i="3"/>
  <c r="AG666" i="3"/>
  <c r="AF719" i="3"/>
  <c r="AG720" i="3"/>
  <c r="AI1108" i="3"/>
  <c r="AJ388" i="3"/>
  <c r="AG313" i="3"/>
  <c r="AH825" i="3"/>
  <c r="AD388" i="3"/>
  <c r="AI556" i="3"/>
  <c r="AH390" i="3"/>
  <c r="AG392" i="3"/>
  <c r="AH412" i="3"/>
  <c r="AG414" i="3"/>
  <c r="AG447" i="3"/>
  <c r="AH453" i="3"/>
  <c r="AG516" i="3"/>
  <c r="AH512" i="3"/>
  <c r="AG520" i="3"/>
  <c r="AG757" i="3"/>
  <c r="AI331" i="3"/>
  <c r="AH497" i="3"/>
  <c r="AG839" i="3"/>
  <c r="AI304" i="3"/>
  <c r="AF388" i="3"/>
  <c r="AG799" i="3"/>
  <c r="AH1017" i="3"/>
  <c r="AG553" i="3"/>
  <c r="AH400" i="3"/>
  <c r="AG430" i="3"/>
  <c r="AH432" i="3"/>
  <c r="AJ435" i="3"/>
  <c r="AG450" i="3"/>
  <c r="AG464" i="3"/>
  <c r="AG547" i="3"/>
  <c r="AI908" i="3"/>
  <c r="AI910" i="3"/>
  <c r="AI912" i="3"/>
  <c r="AI914" i="3"/>
  <c r="AG30" i="3"/>
  <c r="AG28" i="3"/>
  <c r="AI742" i="3"/>
  <c r="AI757" i="3"/>
  <c r="AG829" i="3"/>
  <c r="AI388" i="3"/>
  <c r="AG796" i="3"/>
  <c r="AG1016" i="3"/>
  <c r="AG259" i="3"/>
  <c r="AG263" i="3"/>
  <c r="AG283" i="3"/>
  <c r="AH168" i="3"/>
  <c r="AG4" i="3"/>
  <c r="AG655" i="3"/>
  <c r="AG663" i="3"/>
  <c r="AH1071" i="3"/>
  <c r="AI963" i="3"/>
  <c r="AH166" i="3"/>
  <c r="AG257" i="3"/>
  <c r="AG261" i="3"/>
  <c r="AH299" i="3"/>
  <c r="AG281" i="3"/>
  <c r="AA292" i="3"/>
  <c r="AH962" i="3"/>
  <c r="AI960" i="3"/>
  <c r="AH167" i="3"/>
  <c r="AG25" i="3"/>
  <c r="AG26" i="3"/>
  <c r="AG2" i="3"/>
  <c r="AH659" i="3"/>
  <c r="AG667" i="3"/>
  <c r="AI675" i="3"/>
  <c r="AJ719" i="3"/>
  <c r="AI1128" i="3"/>
  <c r="AI619" i="3"/>
  <c r="AJ619" i="3"/>
  <c r="AI641" i="3"/>
  <c r="AI300" i="3"/>
  <c r="AG434" i="3"/>
  <c r="AG451" i="3"/>
  <c r="AG619" i="3"/>
  <c r="AI909" i="3"/>
  <c r="AI911" i="3"/>
  <c r="AI913" i="3"/>
  <c r="AH31" i="3"/>
  <c r="AG784" i="3"/>
  <c r="AH279" i="3"/>
  <c r="AH756" i="3"/>
  <c r="AJ758" i="3"/>
  <c r="AH827" i="3"/>
  <c r="AI822" i="3"/>
  <c r="AH1022" i="3"/>
  <c r="AH161" i="3"/>
  <c r="AI163" i="3"/>
  <c r="AH162" i="3"/>
  <c r="AH164" i="3"/>
  <c r="AI743" i="3"/>
  <c r="AH735" i="3"/>
  <c r="AG732" i="3"/>
  <c r="AG333" i="3"/>
  <c r="AG335" i="3"/>
  <c r="AG312" i="3"/>
  <c r="AH498" i="3"/>
  <c r="AG303" i="3"/>
  <c r="AG388" i="3"/>
  <c r="AI970" i="3"/>
  <c r="AH969" i="3"/>
  <c r="AD1022" i="3"/>
  <c r="AI1022" i="3"/>
  <c r="AH165" i="3"/>
  <c r="AG147" i="3"/>
  <c r="AH169" i="3"/>
  <c r="AG6" i="3"/>
  <c r="AH1072" i="3"/>
  <c r="AH785" i="3"/>
  <c r="AH787" i="3"/>
  <c r="AH789" i="3"/>
  <c r="AG760" i="3"/>
  <c r="AG762" i="3"/>
  <c r="AG341" i="3"/>
  <c r="AI751" i="3"/>
  <c r="AH302" i="3"/>
  <c r="AH824" i="3"/>
  <c r="AH642" i="3"/>
  <c r="AH640" i="3"/>
  <c r="AG797" i="3"/>
  <c r="AG801" i="3"/>
  <c r="AG264" i="3"/>
  <c r="AG265" i="3"/>
  <c r="AF954" i="3"/>
  <c r="AG956" i="3"/>
  <c r="AI957" i="3"/>
  <c r="AJ959" i="3"/>
  <c r="AH1029" i="3"/>
  <c r="AF1022" i="3"/>
  <c r="AJ5" i="3"/>
  <c r="AG24" i="3"/>
  <c r="AH678" i="3"/>
  <c r="AJ1157" i="3"/>
  <c r="AG9" i="3"/>
  <c r="AH668" i="3"/>
  <c r="AH672" i="3"/>
  <c r="AG681" i="3"/>
  <c r="AJ682" i="3"/>
  <c r="AG683" i="3"/>
  <c r="AI684" i="3"/>
  <c r="AI685" i="3"/>
  <c r="AI686" i="3"/>
  <c r="AG689" i="3"/>
  <c r="AJ690" i="3"/>
  <c r="AG691" i="3"/>
  <c r="AI692" i="3"/>
  <c r="AJ693" i="3"/>
  <c r="AH1036" i="3"/>
  <c r="AG1037" i="3"/>
  <c r="AH1038" i="3"/>
  <c r="AI1039" i="3"/>
  <c r="AJ1040" i="3"/>
  <c r="AG1041" i="3"/>
  <c r="AG714" i="3"/>
  <c r="AI715" i="3"/>
  <c r="AG716" i="3"/>
  <c r="AJ718" i="3"/>
  <c r="AI1129" i="3"/>
  <c r="AJ7" i="3"/>
  <c r="AH648" i="3"/>
  <c r="AG694" i="3"/>
  <c r="AJ701" i="3"/>
  <c r="AJ703" i="3"/>
  <c r="AJ705" i="3"/>
  <c r="AH706" i="3"/>
  <c r="AI707" i="3"/>
  <c r="AH708" i="3"/>
  <c r="AJ709" i="3"/>
  <c r="AH710" i="3"/>
  <c r="AH712" i="3"/>
  <c r="AJ1053" i="3"/>
  <c r="AJ1055" i="3"/>
  <c r="AJ1057" i="3"/>
  <c r="AG1058" i="3"/>
  <c r="AJ1059" i="3"/>
  <c r="AG1106" i="3"/>
  <c r="AF555" i="3"/>
  <c r="AJ1128" i="3"/>
  <c r="AF333" i="3"/>
  <c r="AH705" i="3"/>
  <c r="AG611" i="3"/>
  <c r="AF1014" i="3"/>
  <c r="AI1034" i="3"/>
  <c r="AF520" i="3"/>
  <c r="AF789" i="3"/>
  <c r="AD303" i="3"/>
  <c r="AH1019" i="3"/>
  <c r="AD1040" i="3"/>
  <c r="AH28" i="3"/>
  <c r="AG630" i="3"/>
  <c r="AG648" i="3"/>
  <c r="AD780" i="3"/>
  <c r="AH309" i="3"/>
  <c r="AF413" i="3"/>
  <c r="AJ537" i="3"/>
  <c r="AJ546" i="3"/>
  <c r="AD547" i="3"/>
  <c r="AF372" i="3"/>
  <c r="AF845" i="3"/>
  <c r="AD828" i="3"/>
  <c r="AD801" i="3"/>
  <c r="AF969" i="3"/>
  <c r="AF962" i="3"/>
  <c r="AD963" i="3"/>
  <c r="AI1031" i="3"/>
  <c r="AI1016" i="3"/>
  <c r="AH683" i="3"/>
  <c r="AI1051" i="3"/>
  <c r="AD968" i="3"/>
  <c r="AG561" i="3"/>
  <c r="AD588" i="3"/>
  <c r="AG909" i="3"/>
  <c r="AJ346" i="3"/>
  <c r="AD790" i="3"/>
  <c r="AG827" i="3"/>
  <c r="AG837" i="3"/>
  <c r="AH801" i="3"/>
  <c r="AF956" i="3"/>
  <c r="AJ686" i="3"/>
  <c r="AF629" i="3"/>
  <c r="AD931" i="3"/>
  <c r="AJ32" i="3"/>
  <c r="AD374" i="3"/>
  <c r="AD792" i="3"/>
  <c r="AD771" i="3"/>
  <c r="AD344" i="3"/>
  <c r="AI838" i="3"/>
  <c r="AI828" i="3"/>
  <c r="AI643" i="3"/>
  <c r="AI820" i="3"/>
  <c r="AD1029" i="3"/>
  <c r="AD164" i="3"/>
  <c r="AH655" i="3"/>
  <c r="AD689" i="3"/>
  <c r="AI729" i="3"/>
  <c r="AF418" i="3"/>
  <c r="AF391" i="3"/>
  <c r="AF401" i="3"/>
  <c r="AF448" i="3"/>
  <c r="AD454" i="3"/>
  <c r="AD464" i="3"/>
  <c r="AD515" i="3"/>
  <c r="AH542" i="3"/>
  <c r="AF907" i="3"/>
  <c r="AG374" i="3"/>
  <c r="AD793" i="3"/>
  <c r="AJ789" i="3"/>
  <c r="AF790" i="3"/>
  <c r="AD345" i="3"/>
  <c r="AG344" i="3"/>
  <c r="AF829" i="3"/>
  <c r="AH830" i="3"/>
  <c r="AD262" i="3"/>
  <c r="AD1034" i="3"/>
  <c r="AD1031" i="3"/>
  <c r="AI166" i="3"/>
  <c r="AI169" i="3"/>
  <c r="AD168" i="3"/>
  <c r="AD2" i="3"/>
  <c r="AF678" i="3"/>
  <c r="AH681" i="3"/>
  <c r="AF692" i="3"/>
  <c r="AD1049" i="3"/>
  <c r="AF714" i="3"/>
  <c r="AI448" i="3"/>
  <c r="AF450" i="3"/>
  <c r="AF515" i="3"/>
  <c r="AI523" i="3"/>
  <c r="AJ374" i="3"/>
  <c r="AG739" i="3"/>
  <c r="AG748" i="3"/>
  <c r="AD732" i="3"/>
  <c r="AD845" i="3"/>
  <c r="AD309" i="3"/>
  <c r="AH262" i="3"/>
  <c r="AF1034" i="3"/>
  <c r="AF1031" i="3"/>
  <c r="AD1014" i="3"/>
  <c r="AF161" i="3"/>
  <c r="AF168" i="3"/>
  <c r="AF4" i="3"/>
  <c r="AD1072" i="3"/>
  <c r="AJ561" i="3"/>
  <c r="AD563" i="3"/>
  <c r="AJ399" i="3"/>
  <c r="AD401" i="3"/>
  <c r="AD413" i="3"/>
  <c r="AD437" i="3"/>
  <c r="AD585" i="3"/>
  <c r="AG586" i="3"/>
  <c r="AG589" i="3"/>
  <c r="AG607" i="3"/>
  <c r="AD632" i="3"/>
  <c r="AD634" i="3"/>
  <c r="AH547" i="3"/>
  <c r="AF891" i="3"/>
  <c r="AD33" i="3"/>
  <c r="AG372" i="3"/>
  <c r="AF346" i="3"/>
  <c r="AG792" i="3"/>
  <c r="AF793" i="3"/>
  <c r="AI345" i="3"/>
  <c r="AF344" i="3"/>
  <c r="AG735" i="3"/>
  <c r="AD842" i="3"/>
  <c r="AF277" i="3"/>
  <c r="AD959" i="3"/>
  <c r="AG160" i="3"/>
  <c r="AG659" i="3"/>
  <c r="AD1071" i="3"/>
  <c r="AF585" i="3"/>
  <c r="AF632" i="3"/>
  <c r="AF633" i="3"/>
  <c r="AG634" i="3"/>
  <c r="AJ792" i="3"/>
  <c r="AD784" i="3"/>
  <c r="AF779" i="3"/>
  <c r="AD335" i="3"/>
  <c r="AF842" i="3"/>
  <c r="AF824" i="3"/>
  <c r="AF796" i="3"/>
  <c r="AH797" i="3"/>
  <c r="AH798" i="3"/>
  <c r="AF279" i="3"/>
  <c r="AD960" i="3"/>
  <c r="AJ1014" i="3"/>
  <c r="AD162" i="3"/>
  <c r="AF165" i="3"/>
  <c r="AD166" i="3"/>
  <c r="AG168" i="3"/>
  <c r="AI4" i="3"/>
  <c r="AH667" i="3"/>
  <c r="AF684" i="3"/>
  <c r="AH689" i="3"/>
  <c r="AD694" i="3"/>
  <c r="AF1040" i="3"/>
  <c r="AH715" i="3"/>
  <c r="AD1070" i="3"/>
  <c r="AD584" i="3"/>
  <c r="AG615" i="3"/>
  <c r="AD630" i="3"/>
  <c r="AG632" i="3"/>
  <c r="AF511" i="3"/>
  <c r="AF523" i="3"/>
  <c r="AJ525" i="3"/>
  <c r="AD519" i="3"/>
  <c r="AD520" i="3"/>
  <c r="AD528" i="3"/>
  <c r="AG536" i="3"/>
  <c r="AD537" i="3"/>
  <c r="AD907" i="3"/>
  <c r="AH903" i="3"/>
  <c r="AD909" i="3"/>
  <c r="AD372" i="3"/>
  <c r="AF371" i="3"/>
  <c r="AD739" i="3"/>
  <c r="AG771" i="3"/>
  <c r="AG824" i="3"/>
  <c r="AF837" i="3"/>
  <c r="AD838" i="3"/>
  <c r="AD256" i="3"/>
  <c r="AH960" i="3"/>
  <c r="AH1015" i="3"/>
  <c r="AD145" i="3"/>
  <c r="AF166" i="3"/>
  <c r="AJ6" i="3"/>
  <c r="AD681" i="3"/>
  <c r="AF686" i="3"/>
  <c r="AH691" i="3"/>
  <c r="AF694" i="3"/>
  <c r="AD705" i="3"/>
  <c r="AI716" i="3"/>
  <c r="AF1070" i="3"/>
  <c r="AJ514" i="3"/>
  <c r="AG804" i="3"/>
  <c r="AF804" i="3"/>
  <c r="AD804" i="3"/>
  <c r="AJ804" i="3"/>
  <c r="AF958" i="3"/>
  <c r="AG958" i="3"/>
  <c r="AG650" i="3"/>
  <c r="AJ650" i="3"/>
  <c r="AI700" i="3"/>
  <c r="AG700" i="3"/>
  <c r="AF700" i="3"/>
  <c r="AH1048" i="3"/>
  <c r="AJ1048" i="3"/>
  <c r="AD1048" i="3"/>
  <c r="AF563" i="3"/>
  <c r="AJ401" i="3"/>
  <c r="AD402" i="3"/>
  <c r="AJ413" i="3"/>
  <c r="AF414" i="3"/>
  <c r="AD429" i="3"/>
  <c r="AH410" i="3"/>
  <c r="AF437" i="3"/>
  <c r="AG433" i="3"/>
  <c r="AD434" i="3"/>
  <c r="AG453" i="3"/>
  <c r="AF454" i="3"/>
  <c r="AI464" i="3"/>
  <c r="AI583" i="3"/>
  <c r="AF584" i="3"/>
  <c r="AF588" i="3"/>
  <c r="AF581" i="3"/>
  <c r="AG603" i="3"/>
  <c r="AG613" i="3"/>
  <c r="AJ630" i="3"/>
  <c r="AJ632" i="3"/>
  <c r="AJ634" i="3"/>
  <c r="AD514" i="3"/>
  <c r="AI520" i="3"/>
  <c r="AF531" i="3"/>
  <c r="AD541" i="3"/>
  <c r="AD546" i="3"/>
  <c r="AF551" i="3"/>
  <c r="AD507" i="3"/>
  <c r="AG907" i="3"/>
  <c r="AF930" i="3"/>
  <c r="AD913" i="3"/>
  <c r="AG931" i="3"/>
  <c r="AJ33" i="3"/>
  <c r="AG62" i="3"/>
  <c r="AJ372" i="3"/>
  <c r="AJ784" i="3"/>
  <c r="AG793" i="3"/>
  <c r="AF785" i="3"/>
  <c r="AD786" i="3"/>
  <c r="AJ790" i="3"/>
  <c r="AG780" i="3"/>
  <c r="AF740" i="3"/>
  <c r="AF743" i="3"/>
  <c r="AH330" i="3"/>
  <c r="AG330" i="3"/>
  <c r="AF330" i="3"/>
  <c r="AD330" i="3"/>
  <c r="AH386" i="3"/>
  <c r="AG386" i="3"/>
  <c r="AF386" i="3"/>
  <c r="AD386" i="3"/>
  <c r="AH649" i="3"/>
  <c r="AF649" i="3"/>
  <c r="AH653" i="3"/>
  <c r="AF653" i="3"/>
  <c r="AI679" i="3"/>
  <c r="AH679" i="3"/>
  <c r="AG1054" i="3"/>
  <c r="AH1054" i="3"/>
  <c r="AD1054" i="3"/>
  <c r="AJ788" i="3"/>
  <c r="AJ332" i="3"/>
  <c r="AI332" i="3"/>
  <c r="AD332" i="3"/>
  <c r="AH301" i="3"/>
  <c r="AI301" i="3"/>
  <c r="AI673" i="3"/>
  <c r="AG673" i="3"/>
  <c r="AJ553" i="3"/>
  <c r="AD554" i="3"/>
  <c r="AJ563" i="3"/>
  <c r="AD564" i="3"/>
  <c r="AF400" i="3"/>
  <c r="AG399" i="3"/>
  <c r="AF402" i="3"/>
  <c r="AD418" i="3"/>
  <c r="AF429" i="3"/>
  <c r="AH416" i="3"/>
  <c r="AH417" i="3"/>
  <c r="AI437" i="3"/>
  <c r="AH431" i="3"/>
  <c r="AF434" i="3"/>
  <c r="AH435" i="3"/>
  <c r="AD448" i="3"/>
  <c r="AI455" i="3"/>
  <c r="AG449" i="3"/>
  <c r="AG454" i="3"/>
  <c r="AJ464" i="3"/>
  <c r="AD465" i="3"/>
  <c r="AG588" i="3"/>
  <c r="AF589" i="3"/>
  <c r="AG581" i="3"/>
  <c r="AG605" i="3"/>
  <c r="AJ515" i="3"/>
  <c r="AD516" i="3"/>
  <c r="AJ512" i="3"/>
  <c r="AD513" i="3"/>
  <c r="AF514" i="3"/>
  <c r="AJ520" i="3"/>
  <c r="AF538" i="3"/>
  <c r="AG541" i="3"/>
  <c r="AF546" i="3"/>
  <c r="AI507" i="3"/>
  <c r="AJ904" i="3"/>
  <c r="AH930" i="3"/>
  <c r="AD911" i="3"/>
  <c r="AG913" i="3"/>
  <c r="AF32" i="3"/>
  <c r="AJ793" i="3"/>
  <c r="AJ785" i="3"/>
  <c r="AF786" i="3"/>
  <c r="AF787" i="3"/>
  <c r="AD788" i="3"/>
  <c r="AG336" i="3"/>
  <c r="AF336" i="3"/>
  <c r="AD336" i="3"/>
  <c r="AH328" i="3"/>
  <c r="AJ328" i="3"/>
  <c r="AG328" i="3"/>
  <c r="AF328" i="3"/>
  <c r="AG822" i="3"/>
  <c r="AF822" i="3"/>
  <c r="AD822" i="3"/>
  <c r="AJ822" i="3"/>
  <c r="AG800" i="3"/>
  <c r="AJ800" i="3"/>
  <c r="AD800" i="3"/>
  <c r="AI804" i="3"/>
  <c r="AH298" i="3"/>
  <c r="AF298" i="3"/>
  <c r="AH8" i="3"/>
  <c r="AJ8" i="3"/>
  <c r="AF8" i="3"/>
  <c r="AG718" i="3"/>
  <c r="AF718" i="3"/>
  <c r="AD718" i="3"/>
  <c r="AJ564" i="3"/>
  <c r="AG733" i="3"/>
  <c r="AJ733" i="3"/>
  <c r="AD733" i="3"/>
  <c r="AF554" i="3"/>
  <c r="AF564" i="3"/>
  <c r="AJ402" i="3"/>
  <c r="AJ454" i="3"/>
  <c r="AJ588" i="3"/>
  <c r="AJ581" i="3"/>
  <c r="AJ516" i="3"/>
  <c r="AG514" i="3"/>
  <c r="AJ541" i="3"/>
  <c r="AI546" i="3"/>
  <c r="AG911" i="3"/>
  <c r="AJ786" i="3"/>
  <c r="AJ787" i="3"/>
  <c r="AF788" i="3"/>
  <c r="AI768" i="3"/>
  <c r="AF768" i="3"/>
  <c r="AH844" i="3"/>
  <c r="AG844" i="3"/>
  <c r="AI955" i="3"/>
  <c r="AD955" i="3"/>
  <c r="AH1030" i="3"/>
  <c r="AI1030" i="3"/>
  <c r="AH651" i="3"/>
  <c r="AG651" i="3"/>
  <c r="AD651" i="3"/>
  <c r="AH665" i="3"/>
  <c r="AG665" i="3"/>
  <c r="AF665" i="3"/>
  <c r="AJ644" i="3"/>
  <c r="AI644" i="3"/>
  <c r="AD644" i="3"/>
  <c r="AI687" i="3"/>
  <c r="AH687" i="3"/>
  <c r="AJ711" i="3"/>
  <c r="AH711" i="3"/>
  <c r="AD711" i="3"/>
  <c r="AF739" i="3"/>
  <c r="AF742" i="3"/>
  <c r="AF771" i="3"/>
  <c r="AJ735" i="3"/>
  <c r="AF732" i="3"/>
  <c r="AF335" i="3"/>
  <c r="AF313" i="3"/>
  <c r="AI842" i="3"/>
  <c r="AJ845" i="3"/>
  <c r="AG302" i="3"/>
  <c r="AH258" i="3"/>
  <c r="AD265" i="3"/>
  <c r="AG954" i="3"/>
  <c r="AD957" i="3"/>
  <c r="AI1014" i="3"/>
  <c r="AI1029" i="3"/>
  <c r="AJ160" i="3"/>
  <c r="AH147" i="3"/>
  <c r="AJ648" i="3"/>
  <c r="AI694" i="3"/>
  <c r="AF1038" i="3"/>
  <c r="AD1041" i="3"/>
  <c r="AD703" i="3"/>
  <c r="AD714" i="3"/>
  <c r="AI1072" i="3"/>
  <c r="AI732" i="3"/>
  <c r="AI335" i="3"/>
  <c r="AD643" i="3"/>
  <c r="AI821" i="3"/>
  <c r="AD648" i="3"/>
  <c r="AH663" i="3"/>
  <c r="AJ666" i="3"/>
  <c r="AD667" i="3"/>
  <c r="AH675" i="3"/>
  <c r="AJ684" i="3"/>
  <c r="AJ692" i="3"/>
  <c r="AD693" i="3"/>
  <c r="AG699" i="3"/>
  <c r="AJ694" i="3"/>
  <c r="AH1041" i="3"/>
  <c r="AH703" i="3"/>
  <c r="AG1157" i="3"/>
  <c r="AJ739" i="3"/>
  <c r="AJ771" i="3"/>
  <c r="AG772" i="3"/>
  <c r="AD735" i="3"/>
  <c r="AJ732" i="3"/>
  <c r="AJ335" i="3"/>
  <c r="AG500" i="3"/>
  <c r="AI1035" i="3"/>
  <c r="AJ168" i="3"/>
  <c r="AD6" i="3"/>
  <c r="AF648" i="3"/>
  <c r="AF657" i="3"/>
  <c r="AJ658" i="3"/>
  <c r="AD659" i="3"/>
  <c r="AF661" i="3"/>
  <c r="AG669" i="3"/>
  <c r="AD683" i="3"/>
  <c r="AD691" i="3"/>
  <c r="AF729" i="3"/>
  <c r="AJ714" i="3"/>
  <c r="AI720" i="3"/>
  <c r="AF1077" i="3"/>
  <c r="AF1108" i="3"/>
  <c r="AF1128" i="3"/>
  <c r="AH392" i="3"/>
  <c r="AI452" i="3"/>
  <c r="AI462" i="3"/>
  <c r="AI617" i="3"/>
  <c r="AI631" i="3"/>
  <c r="AH540" i="3"/>
  <c r="AJ549" i="3"/>
  <c r="AI510" i="3"/>
  <c r="AH373" i="3"/>
  <c r="AG373" i="3"/>
  <c r="AF373" i="3"/>
  <c r="AJ373" i="3"/>
  <c r="AD373" i="3"/>
  <c r="AI774" i="3"/>
  <c r="AJ774" i="3"/>
  <c r="AF774" i="3"/>
  <c r="AH387" i="3"/>
  <c r="AI387" i="3"/>
  <c r="AF387" i="3"/>
  <c r="AD387" i="3"/>
  <c r="AH282" i="3"/>
  <c r="AI282" i="3"/>
  <c r="AI391" i="3"/>
  <c r="AI392" i="3"/>
  <c r="AF394" i="3"/>
  <c r="AH414" i="3"/>
  <c r="AJ430" i="3"/>
  <c r="AI416" i="3"/>
  <c r="AI431" i="3"/>
  <c r="AI435" i="3"/>
  <c r="AI447" i="3"/>
  <c r="AD443" i="3"/>
  <c r="AI451" i="3"/>
  <c r="AD462" i="3"/>
  <c r="AJ462" i="3"/>
  <c r="AH466" i="3"/>
  <c r="AJ583" i="3"/>
  <c r="AI586" i="3"/>
  <c r="AD587" i="3"/>
  <c r="AJ587" i="3"/>
  <c r="AF582" i="3"/>
  <c r="AG599" i="3"/>
  <c r="AG602" i="3"/>
  <c r="AG606" i="3"/>
  <c r="AG610" i="3"/>
  <c r="AG614" i="3"/>
  <c r="AD617" i="3"/>
  <c r="AJ617" i="3"/>
  <c r="AF601" i="3"/>
  <c r="AG629" i="3"/>
  <c r="AI630" i="3"/>
  <c r="AD631" i="3"/>
  <c r="AJ631" i="3"/>
  <c r="AG633" i="3"/>
  <c r="AI634" i="3"/>
  <c r="AD635" i="3"/>
  <c r="AJ635" i="3"/>
  <c r="AF516" i="3"/>
  <c r="AI513" i="3"/>
  <c r="AG511" i="3"/>
  <c r="AH523" i="3"/>
  <c r="AI519" i="3"/>
  <c r="AD532" i="3"/>
  <c r="AJ536" i="3"/>
  <c r="AI540" i="3"/>
  <c r="AD533" i="3"/>
  <c r="AG538" i="3"/>
  <c r="AI541" i="3"/>
  <c r="AD539" i="3"/>
  <c r="AJ539" i="3"/>
  <c r="AD548" i="3"/>
  <c r="AI551" i="3"/>
  <c r="AD549" i="3"/>
  <c r="AD510" i="3"/>
  <c r="AJ510" i="3"/>
  <c r="AJ507" i="3"/>
  <c r="AI891" i="3"/>
  <c r="AF894" i="3"/>
  <c r="AD61" i="3"/>
  <c r="AH60" i="3"/>
  <c r="AJ30" i="3"/>
  <c r="AI30" i="3"/>
  <c r="AD30" i="3"/>
  <c r="AH63" i="3"/>
  <c r="AJ63" i="3"/>
  <c r="AD63" i="3"/>
  <c r="AG63" i="3"/>
  <c r="AI373" i="3"/>
  <c r="AH378" i="3"/>
  <c r="AI378" i="3"/>
  <c r="AG378" i="3"/>
  <c r="AD378" i="3"/>
  <c r="AH741" i="3"/>
  <c r="AI741" i="3"/>
  <c r="AF741" i="3"/>
  <c r="AD741" i="3"/>
  <c r="AJ342" i="3"/>
  <c r="AI342" i="3"/>
  <c r="AG342" i="3"/>
  <c r="AD342" i="3"/>
  <c r="AH329" i="3"/>
  <c r="AJ329" i="3"/>
  <c r="AG329" i="3"/>
  <c r="AF329" i="3"/>
  <c r="AG327" i="3"/>
  <c r="AJ327" i="3"/>
  <c r="AF327" i="3"/>
  <c r="AD327" i="3"/>
  <c r="AH836" i="3"/>
  <c r="AI836" i="3"/>
  <c r="AD836" i="3"/>
  <c r="AJ387" i="3"/>
  <c r="AG802" i="3"/>
  <c r="AH802" i="3"/>
  <c r="AH652" i="3"/>
  <c r="AG652" i="3"/>
  <c r="AF652" i="3"/>
  <c r="AH677" i="3"/>
  <c r="AF677" i="3"/>
  <c r="AI677" i="3"/>
  <c r="AG677" i="3"/>
  <c r="AD677" i="3"/>
  <c r="AJ677" i="3"/>
  <c r="AI430" i="3"/>
  <c r="AH447" i="3"/>
  <c r="AJ443" i="3"/>
  <c r="AI587" i="3"/>
  <c r="AI539" i="3"/>
  <c r="AI782" i="3"/>
  <c r="AJ782" i="3"/>
  <c r="AF782" i="3"/>
  <c r="AG334" i="3"/>
  <c r="AF334" i="3"/>
  <c r="AJ334" i="3"/>
  <c r="AD334" i="3"/>
  <c r="AI334" i="3"/>
  <c r="AH300" i="3"/>
  <c r="AG300" i="3"/>
  <c r="AF300" i="3"/>
  <c r="AJ300" i="3"/>
  <c r="AD300" i="3"/>
  <c r="AH555" i="3"/>
  <c r="AI554" i="3"/>
  <c r="AI555" i="3"/>
  <c r="AF562" i="3"/>
  <c r="AH564" i="3"/>
  <c r="AF390" i="3"/>
  <c r="AJ391" i="3"/>
  <c r="AD392" i="3"/>
  <c r="AJ392" i="3"/>
  <c r="AJ400" i="3"/>
  <c r="AG394" i="3"/>
  <c r="AH402" i="3"/>
  <c r="AI413" i="3"/>
  <c r="AI414" i="3"/>
  <c r="AD430" i="3"/>
  <c r="AI418" i="3"/>
  <c r="AI429" i="3"/>
  <c r="AI434" i="3"/>
  <c r="AG446" i="3"/>
  <c r="AD447" i="3"/>
  <c r="AJ447" i="3"/>
  <c r="AF443" i="3"/>
  <c r="AJ448" i="3"/>
  <c r="AD451" i="3"/>
  <c r="AJ451" i="3"/>
  <c r="AD452" i="3"/>
  <c r="AI454" i="3"/>
  <c r="AF462" i="3"/>
  <c r="AF464" i="3"/>
  <c r="AH465" i="3"/>
  <c r="AI461" i="3"/>
  <c r="AD583" i="3"/>
  <c r="AI584" i="3"/>
  <c r="AI585" i="3"/>
  <c r="AD586" i="3"/>
  <c r="AJ586" i="3"/>
  <c r="AF587" i="3"/>
  <c r="AI589" i="3"/>
  <c r="AG582" i="3"/>
  <c r="AG609" i="3"/>
  <c r="AF617" i="3"/>
  <c r="AG601" i="3"/>
  <c r="AI629" i="3"/>
  <c r="AF631" i="3"/>
  <c r="AI633" i="3"/>
  <c r="AF635" i="3"/>
  <c r="AH516" i="3"/>
  <c r="AI511" i="3"/>
  <c r="AF525" i="3"/>
  <c r="AH532" i="3"/>
  <c r="AD540" i="3"/>
  <c r="AJ540" i="3"/>
  <c r="AH533" i="3"/>
  <c r="AI538" i="3"/>
  <c r="AF539" i="3"/>
  <c r="AF548" i="3"/>
  <c r="AJ551" i="3"/>
  <c r="AF549" i="3"/>
  <c r="AF510" i="3"/>
  <c r="AJ891" i="3"/>
  <c r="AG894" i="3"/>
  <c r="AD903" i="3"/>
  <c r="AD904" i="3"/>
  <c r="AJ930" i="3"/>
  <c r="AG61" i="3"/>
  <c r="AF63" i="3"/>
  <c r="AJ375" i="3"/>
  <c r="AH375" i="3"/>
  <c r="AF375" i="3"/>
  <c r="AI775" i="3"/>
  <c r="AJ775" i="3"/>
  <c r="AF775" i="3"/>
  <c r="AI781" i="3"/>
  <c r="AJ781" i="3"/>
  <c r="AF781" i="3"/>
  <c r="AI783" i="3"/>
  <c r="AJ783" i="3"/>
  <c r="AF783" i="3"/>
  <c r="AJ741" i="3"/>
  <c r="AH334" i="3"/>
  <c r="AG304" i="3"/>
  <c r="AH304" i="3"/>
  <c r="AD304" i="3"/>
  <c r="AH970" i="3"/>
  <c r="AG970" i="3"/>
  <c r="AF970" i="3"/>
  <c r="AJ970" i="3"/>
  <c r="AD970" i="3"/>
  <c r="AH451" i="3"/>
  <c r="AI635" i="3"/>
  <c r="AJ548" i="3"/>
  <c r="AI776" i="3"/>
  <c r="AJ776" i="3"/>
  <c r="AF776" i="3"/>
  <c r="AF553" i="3"/>
  <c r="AJ554" i="3"/>
  <c r="AD555" i="3"/>
  <c r="AJ555" i="3"/>
  <c r="AJ562" i="3"/>
  <c r="AF561" i="3"/>
  <c r="AI563" i="3"/>
  <c r="AI564" i="3"/>
  <c r="AD395" i="3"/>
  <c r="AJ390" i="3"/>
  <c r="AD391" i="3"/>
  <c r="AF392" i="3"/>
  <c r="AJ394" i="3"/>
  <c r="AF399" i="3"/>
  <c r="AI401" i="3"/>
  <c r="AI402" i="3"/>
  <c r="AD414" i="3"/>
  <c r="AJ414" i="3"/>
  <c r="AF430" i="3"/>
  <c r="AJ418" i="3"/>
  <c r="AJ429" i="3"/>
  <c r="AD416" i="3"/>
  <c r="AJ437" i="3"/>
  <c r="AD431" i="3"/>
  <c r="AJ434" i="3"/>
  <c r="AD435" i="3"/>
  <c r="AF447" i="3"/>
  <c r="AI443" i="3"/>
  <c r="AF451" i="3"/>
  <c r="AH452" i="3"/>
  <c r="AG462" i="3"/>
  <c r="AH464" i="3"/>
  <c r="AI465" i="3"/>
  <c r="AF583" i="3"/>
  <c r="AJ584" i="3"/>
  <c r="AJ585" i="3"/>
  <c r="AF586" i="3"/>
  <c r="AG587" i="3"/>
  <c r="AI588" i="3"/>
  <c r="AD589" i="3"/>
  <c r="AJ589" i="3"/>
  <c r="AJ582" i="3"/>
  <c r="AG604" i="3"/>
  <c r="AG608" i="3"/>
  <c r="AG612" i="3"/>
  <c r="AG617" i="3"/>
  <c r="AJ601" i="3"/>
  <c r="AD629" i="3"/>
  <c r="AJ629" i="3"/>
  <c r="AF630" i="3"/>
  <c r="AG631" i="3"/>
  <c r="AI632" i="3"/>
  <c r="AD633" i="3"/>
  <c r="AJ633" i="3"/>
  <c r="AF634" i="3"/>
  <c r="AG635" i="3"/>
  <c r="AI515" i="3"/>
  <c r="AI516" i="3"/>
  <c r="AF512" i="3"/>
  <c r="AI514" i="3"/>
  <c r="AD511" i="3"/>
  <c r="AJ511" i="3"/>
  <c r="AD523" i="3"/>
  <c r="AJ523" i="3"/>
  <c r="AH525" i="3"/>
  <c r="AH520" i="3"/>
  <c r="AH528" i="3"/>
  <c r="AF540" i="3"/>
  <c r="AD538" i="3"/>
  <c r="AJ538" i="3"/>
  <c r="AF541" i="3"/>
  <c r="AG539" i="3"/>
  <c r="AH546" i="3"/>
  <c r="AI547" i="3"/>
  <c r="AI548" i="3"/>
  <c r="AD551" i="3"/>
  <c r="AI549" i="3"/>
  <c r="AG510" i="3"/>
  <c r="AF507" i="3"/>
  <c r="AH509" i="3"/>
  <c r="AD891" i="3"/>
  <c r="AJ894" i="3"/>
  <c r="AJ907" i="3"/>
  <c r="AF904" i="3"/>
  <c r="AD930" i="3"/>
  <c r="AD32" i="3"/>
  <c r="AI61" i="3"/>
  <c r="AH62" i="3"/>
  <c r="AD62" i="3"/>
  <c r="AF29" i="3"/>
  <c r="AJ29" i="3"/>
  <c r="AI63" i="3"/>
  <c r="AH376" i="3"/>
  <c r="AI376" i="3"/>
  <c r="AG376" i="3"/>
  <c r="AD376" i="3"/>
  <c r="AH736" i="3"/>
  <c r="AG736" i="3"/>
  <c r="AF736" i="3"/>
  <c r="AJ736" i="3"/>
  <c r="AD736" i="3"/>
  <c r="AH826" i="3"/>
  <c r="AG826" i="3"/>
  <c r="AF826" i="3"/>
  <c r="AJ826" i="3"/>
  <c r="AD826" i="3"/>
  <c r="AH641" i="3"/>
  <c r="AG641" i="3"/>
  <c r="AF641" i="3"/>
  <c r="AJ641" i="3"/>
  <c r="AD641" i="3"/>
  <c r="AG260" i="3"/>
  <c r="AH260" i="3"/>
  <c r="AD260" i="3"/>
  <c r="AF961" i="3"/>
  <c r="AG961" i="3"/>
  <c r="AF28" i="3"/>
  <c r="AI372" i="3"/>
  <c r="AF374" i="3"/>
  <c r="AG371" i="3"/>
  <c r="AD346" i="3"/>
  <c r="AF792" i="3"/>
  <c r="AF784" i="3"/>
  <c r="AI793" i="3"/>
  <c r="AD785" i="3"/>
  <c r="AI786" i="3"/>
  <c r="AD787" i="3"/>
  <c r="AI788" i="3"/>
  <c r="AD789" i="3"/>
  <c r="AI790" i="3"/>
  <c r="AI779" i="3"/>
  <c r="AF780" i="3"/>
  <c r="AI740" i="3"/>
  <c r="AI739" i="3"/>
  <c r="AJ742" i="3"/>
  <c r="AJ743" i="3"/>
  <c r="AI771" i="3"/>
  <c r="AJ768" i="3"/>
  <c r="AI772" i="3"/>
  <c r="AG345" i="3"/>
  <c r="AI735" i="3"/>
  <c r="AF733" i="3"/>
  <c r="AH333" i="3"/>
  <c r="AH313" i="3"/>
  <c r="AI500" i="3"/>
  <c r="AF497" i="3"/>
  <c r="AI827" i="3"/>
  <c r="AH829" i="3"/>
  <c r="AI830" i="3"/>
  <c r="AJ820" i="3"/>
  <c r="AH796" i="3"/>
  <c r="AI797" i="3"/>
  <c r="AF800" i="3"/>
  <c r="AG279" i="3"/>
  <c r="AH256" i="3"/>
  <c r="AI258" i="3"/>
  <c r="AI277" i="3"/>
  <c r="AH265" i="3"/>
  <c r="AG298" i="3"/>
  <c r="AG969" i="3"/>
  <c r="AI962" i="3"/>
  <c r="AH959" i="3"/>
  <c r="AI959" i="3"/>
  <c r="AH968" i="3"/>
  <c r="AF968" i="3"/>
  <c r="AH1032" i="3"/>
  <c r="AG1032" i="3"/>
  <c r="AH163" i="3"/>
  <c r="AG163" i="3"/>
  <c r="AF163" i="3"/>
  <c r="AJ163" i="3"/>
  <c r="AD163" i="3"/>
  <c r="AJ676" i="3"/>
  <c r="AG676" i="3"/>
  <c r="AI371" i="3"/>
  <c r="AH784" i="3"/>
  <c r="AJ779" i="3"/>
  <c r="AJ740" i="3"/>
  <c r="AH733" i="3"/>
  <c r="AI333" i="3"/>
  <c r="AH336" i="3"/>
  <c r="AI313" i="3"/>
  <c r="AI330" i="3"/>
  <c r="AD500" i="3"/>
  <c r="AJ500" i="3"/>
  <c r="AJ842" i="3"/>
  <c r="AG845" i="3"/>
  <c r="AH303" i="3"/>
  <c r="AG825" i="3"/>
  <c r="AI824" i="3"/>
  <c r="AD827" i="3"/>
  <c r="AJ827" i="3"/>
  <c r="AI837" i="3"/>
  <c r="AI829" i="3"/>
  <c r="AD820" i="3"/>
  <c r="AI796" i="3"/>
  <c r="AH800" i="3"/>
  <c r="AI801" i="3"/>
  <c r="AD794" i="3"/>
  <c r="AD795" i="3"/>
  <c r="AI279" i="3"/>
  <c r="AI256" i="3"/>
  <c r="AJ277" i="3"/>
  <c r="AI265" i="3"/>
  <c r="AI298" i="3"/>
  <c r="AI969" i="3"/>
  <c r="AJ962" i="3"/>
  <c r="AG957" i="3"/>
  <c r="AH957" i="3"/>
  <c r="AH1021" i="3"/>
  <c r="AI1021" i="3"/>
  <c r="AH1033" i="3"/>
  <c r="AG1033" i="3"/>
  <c r="AF1033" i="3"/>
  <c r="AJ1033" i="3"/>
  <c r="AD1033" i="3"/>
  <c r="AH660" i="3"/>
  <c r="AG660" i="3"/>
  <c r="AF660" i="3"/>
  <c r="AI680" i="3"/>
  <c r="AJ680" i="3"/>
  <c r="AF680" i="3"/>
  <c r="AI688" i="3"/>
  <c r="AJ688" i="3"/>
  <c r="AF688" i="3"/>
  <c r="AJ1050" i="3"/>
  <c r="AI1050" i="3"/>
  <c r="AD1050" i="3"/>
  <c r="AJ28" i="3"/>
  <c r="AI374" i="3"/>
  <c r="AD371" i="3"/>
  <c r="AJ371" i="3"/>
  <c r="AI346" i="3"/>
  <c r="AI792" i="3"/>
  <c r="AI784" i="3"/>
  <c r="AI785" i="3"/>
  <c r="AI787" i="3"/>
  <c r="AI789" i="3"/>
  <c r="AD779" i="3"/>
  <c r="AJ780" i="3"/>
  <c r="AD740" i="3"/>
  <c r="AH773" i="3"/>
  <c r="AD772" i="3"/>
  <c r="AI344" i="3"/>
  <c r="AF735" i="3"/>
  <c r="AH732" i="3"/>
  <c r="AI733" i="3"/>
  <c r="AD333" i="3"/>
  <c r="AJ333" i="3"/>
  <c r="AH335" i="3"/>
  <c r="AI336" i="3"/>
  <c r="AD313" i="3"/>
  <c r="AJ313" i="3"/>
  <c r="AF500" i="3"/>
  <c r="AI845" i="3"/>
  <c r="AI303" i="3"/>
  <c r="AD824" i="3"/>
  <c r="AJ824" i="3"/>
  <c r="AF827" i="3"/>
  <c r="AH822" i="3"/>
  <c r="AD837" i="3"/>
  <c r="AJ837" i="3"/>
  <c r="AD829" i="3"/>
  <c r="AJ829" i="3"/>
  <c r="AD830" i="3"/>
  <c r="AI386" i="3"/>
  <c r="AD821" i="3"/>
  <c r="AF820" i="3"/>
  <c r="AD796" i="3"/>
  <c r="AJ796" i="3"/>
  <c r="AD797" i="3"/>
  <c r="AI800" i="3"/>
  <c r="AH804" i="3"/>
  <c r="AI794" i="3"/>
  <c r="AI795" i="3"/>
  <c r="AD279" i="3"/>
  <c r="AJ279" i="3"/>
  <c r="AD258" i="3"/>
  <c r="AI262" i="3"/>
  <c r="AD277" i="3"/>
  <c r="AD301" i="3"/>
  <c r="AD298" i="3"/>
  <c r="AJ298" i="3"/>
  <c r="AD969" i="3"/>
  <c r="AJ969" i="3"/>
  <c r="AD962" i="3"/>
  <c r="AH963" i="3"/>
  <c r="AG955" i="3"/>
  <c r="AH955" i="3"/>
  <c r="AF959" i="3"/>
  <c r="AI968" i="3"/>
  <c r="AI1033" i="3"/>
  <c r="AJ1034" i="3"/>
  <c r="AJ1031" i="3"/>
  <c r="AH1014" i="3"/>
  <c r="AD1016" i="3"/>
  <c r="AJ1016" i="3"/>
  <c r="AF1029" i="3"/>
  <c r="AD1019" i="3"/>
  <c r="AF160" i="3"/>
  <c r="AG161" i="3"/>
  <c r="AI162" i="3"/>
  <c r="AI164" i="3"/>
  <c r="AH145" i="3"/>
  <c r="AI147" i="3"/>
  <c r="AH2" i="3"/>
  <c r="AH4" i="3"/>
  <c r="AF6" i="3"/>
  <c r="AI8" i="3"/>
  <c r="AG678" i="3"/>
  <c r="AG649" i="3"/>
  <c r="AG653" i="3"/>
  <c r="AG657" i="3"/>
  <c r="AG661" i="3"/>
  <c r="AI669" i="3"/>
  <c r="AH670" i="3"/>
  <c r="AJ670" i="3"/>
  <c r="AH674" i="3"/>
  <c r="AF674" i="3"/>
  <c r="AG1056" i="3"/>
  <c r="AH1056" i="3"/>
  <c r="AD1056" i="3"/>
  <c r="AH1104" i="3"/>
  <c r="AI1104" i="3"/>
  <c r="AD1104" i="3"/>
  <c r="AH1105" i="3"/>
  <c r="AI1105" i="3"/>
  <c r="AD1105" i="3"/>
  <c r="AG1074" i="3"/>
  <c r="AH1074" i="3"/>
  <c r="AD1074" i="3"/>
  <c r="AJ1156" i="3"/>
  <c r="AG1156" i="3"/>
  <c r="AF1016" i="3"/>
  <c r="AI161" i="3"/>
  <c r="AI145" i="3"/>
  <c r="AI2" i="3"/>
  <c r="AH6" i="3"/>
  <c r="AI678" i="3"/>
  <c r="AI649" i="3"/>
  <c r="AI653" i="3"/>
  <c r="AI657" i="3"/>
  <c r="AI661" i="3"/>
  <c r="AI665" i="3"/>
  <c r="AG668" i="3"/>
  <c r="AD669" i="3"/>
  <c r="AJ669" i="3"/>
  <c r="AD670" i="3"/>
  <c r="AH673" i="3"/>
  <c r="AF673" i="3"/>
  <c r="AJ673" i="3"/>
  <c r="AD674" i="3"/>
  <c r="AG679" i="3"/>
  <c r="AD679" i="3"/>
  <c r="AI682" i="3"/>
  <c r="AF682" i="3"/>
  <c r="AG687" i="3"/>
  <c r="AD687" i="3"/>
  <c r="AI690" i="3"/>
  <c r="AF690" i="3"/>
  <c r="AG1039" i="3"/>
  <c r="AD1039" i="3"/>
  <c r="AJ730" i="3"/>
  <c r="AI730" i="3"/>
  <c r="AD730" i="3"/>
  <c r="AJ731" i="3"/>
  <c r="AI731" i="3"/>
  <c r="AD731" i="3"/>
  <c r="AJ707" i="3"/>
  <c r="AH707" i="3"/>
  <c r="AD707" i="3"/>
  <c r="AI713" i="3"/>
  <c r="AH713" i="3"/>
  <c r="AG719" i="3"/>
  <c r="AH719" i="3"/>
  <c r="AH1016" i="3"/>
  <c r="AJ1029" i="3"/>
  <c r="AD1030" i="3"/>
  <c r="AD1035" i="3"/>
  <c r="AI1019" i="3"/>
  <c r="AI160" i="3"/>
  <c r="AD161" i="3"/>
  <c r="AJ161" i="3"/>
  <c r="AD165" i="3"/>
  <c r="AJ165" i="3"/>
  <c r="AD147" i="3"/>
  <c r="AJ166" i="3"/>
  <c r="AD169" i="3"/>
  <c r="AI168" i="3"/>
  <c r="AD4" i="3"/>
  <c r="AJ4" i="3"/>
  <c r="AI6" i="3"/>
  <c r="AD8" i="3"/>
  <c r="AH9" i="3"/>
  <c r="AI648" i="3"/>
  <c r="AD678" i="3"/>
  <c r="AJ678" i="3"/>
  <c r="AD649" i="3"/>
  <c r="AJ649" i="3"/>
  <c r="AD650" i="3"/>
  <c r="AD653" i="3"/>
  <c r="AJ653" i="3"/>
  <c r="AH654" i="3"/>
  <c r="AD657" i="3"/>
  <c r="AJ657" i="3"/>
  <c r="AD658" i="3"/>
  <c r="AD661" i="3"/>
  <c r="AJ661" i="3"/>
  <c r="AH662" i="3"/>
  <c r="AD665" i="3"/>
  <c r="AJ665" i="3"/>
  <c r="AD666" i="3"/>
  <c r="AF669" i="3"/>
  <c r="AF670" i="3"/>
  <c r="AD673" i="3"/>
  <c r="AI674" i="3"/>
  <c r="AH644" i="3"/>
  <c r="AF644" i="3"/>
  <c r="AH700" i="3"/>
  <c r="AJ700" i="3"/>
  <c r="AD700" i="3"/>
  <c r="AG685" i="3"/>
  <c r="AH685" i="3"/>
  <c r="AD685" i="3"/>
  <c r="AH693" i="3"/>
  <c r="AI693" i="3"/>
  <c r="AF693" i="3"/>
  <c r="AI717" i="3"/>
  <c r="AH717" i="3"/>
  <c r="AI1056" i="3"/>
  <c r="AI1074" i="3"/>
  <c r="AI681" i="3"/>
  <c r="AI689" i="3"/>
  <c r="AI1041" i="3"/>
  <c r="AF1048" i="3"/>
  <c r="AF1049" i="3"/>
  <c r="AD701" i="3"/>
  <c r="AI705" i="3"/>
  <c r="AD709" i="3"/>
  <c r="AJ729" i="3"/>
  <c r="AH714" i="3"/>
  <c r="AD716" i="3"/>
  <c r="AJ716" i="3"/>
  <c r="AH718" i="3"/>
  <c r="AD720" i="3"/>
  <c r="AJ720" i="3"/>
  <c r="AF1071" i="3"/>
  <c r="AI1054" i="3"/>
  <c r="AD1058" i="3"/>
  <c r="AI1070" i="3"/>
  <c r="AD1076" i="3"/>
  <c r="AH1106" i="3"/>
  <c r="AJ1108" i="3"/>
  <c r="AI683" i="3"/>
  <c r="AI691" i="3"/>
  <c r="AF699" i="3"/>
  <c r="AH694" i="3"/>
  <c r="AG1048" i="3"/>
  <c r="AI1049" i="3"/>
  <c r="AH701" i="3"/>
  <c r="AI703" i="3"/>
  <c r="AH709" i="3"/>
  <c r="AI711" i="3"/>
  <c r="AD729" i="3"/>
  <c r="AI714" i="3"/>
  <c r="AF716" i="3"/>
  <c r="AI718" i="3"/>
  <c r="AF720" i="3"/>
  <c r="AI1071" i="3"/>
  <c r="AH1058" i="3"/>
  <c r="AJ1070" i="3"/>
  <c r="AH1076" i="3"/>
  <c r="AI1048" i="3"/>
  <c r="AJ1049" i="3"/>
  <c r="AI701" i="3"/>
  <c r="AI709" i="3"/>
  <c r="AH716" i="3"/>
  <c r="AH720" i="3"/>
  <c r="AJ1071" i="3"/>
  <c r="AI1058" i="3"/>
  <c r="AI1076" i="3"/>
  <c r="AG556" i="3"/>
  <c r="AD557" i="3"/>
  <c r="AH556" i="3"/>
  <c r="AG562" i="3"/>
  <c r="AH389" i="3"/>
  <c r="AJ557" i="3"/>
  <c r="AI552" i="3"/>
  <c r="AH553" i="3"/>
  <c r="AG554" i="3"/>
  <c r="AD556" i="3"/>
  <c r="AG557" i="3"/>
  <c r="AF552" i="3"/>
  <c r="AJ552" i="3"/>
  <c r="AD553" i="3"/>
  <c r="AI553" i="3"/>
  <c r="AF556" i="3"/>
  <c r="AJ556" i="3"/>
  <c r="AD562" i="3"/>
  <c r="AI562" i="3"/>
  <c r="AD561" i="3"/>
  <c r="AI561" i="3"/>
  <c r="AH563" i="3"/>
  <c r="AG395" i="3"/>
  <c r="AF389" i="3"/>
  <c r="AJ389" i="3"/>
  <c r="AD390" i="3"/>
  <c r="AI390" i="3"/>
  <c r="AH391" i="3"/>
  <c r="AF393" i="3"/>
  <c r="AJ393" i="3"/>
  <c r="AD400" i="3"/>
  <c r="AI400" i="3"/>
  <c r="AD394" i="3"/>
  <c r="AI394" i="3"/>
  <c r="AD399" i="3"/>
  <c r="AI399" i="3"/>
  <c r="AH401" i="3"/>
  <c r="AG419" i="3"/>
  <c r="AF411" i="3"/>
  <c r="AJ411" i="3"/>
  <c r="AD412" i="3"/>
  <c r="AI412" i="3"/>
  <c r="AH413" i="3"/>
  <c r="AH450" i="3"/>
  <c r="AI450" i="3"/>
  <c r="AD450" i="3"/>
  <c r="AJ450" i="3"/>
  <c r="AI453" i="3"/>
  <c r="AD453" i="3"/>
  <c r="AJ453" i="3"/>
  <c r="AF453" i="3"/>
  <c r="AD466" i="3"/>
  <c r="AJ522" i="3"/>
  <c r="AF522" i="3"/>
  <c r="AI522" i="3"/>
  <c r="AD522" i="3"/>
  <c r="AG522" i="3"/>
  <c r="AH557" i="3"/>
  <c r="AH395" i="3"/>
  <c r="AG389" i="3"/>
  <c r="AG393" i="3"/>
  <c r="AH419" i="3"/>
  <c r="AG411" i="3"/>
  <c r="AF412" i="3"/>
  <c r="AJ412" i="3"/>
  <c r="AH415" i="3"/>
  <c r="AI415" i="3"/>
  <c r="AD415" i="3"/>
  <c r="AJ415" i="3"/>
  <c r="AI432" i="3"/>
  <c r="AD432" i="3"/>
  <c r="AJ432" i="3"/>
  <c r="AF432" i="3"/>
  <c r="AI445" i="3"/>
  <c r="AD445" i="3"/>
  <c r="AJ445" i="3"/>
  <c r="AF445" i="3"/>
  <c r="AH463" i="3"/>
  <c r="AI463" i="3"/>
  <c r="AD463" i="3"/>
  <c r="AJ463" i="3"/>
  <c r="AJ600" i="3"/>
  <c r="AF600" i="3"/>
  <c r="AI600" i="3"/>
  <c r="AD600" i="3"/>
  <c r="AG600" i="3"/>
  <c r="AI517" i="3"/>
  <c r="AD517" i="3"/>
  <c r="AH517" i="3"/>
  <c r="AJ517" i="3"/>
  <c r="AF517" i="3"/>
  <c r="AI524" i="3"/>
  <c r="AD524" i="3"/>
  <c r="AH524" i="3"/>
  <c r="AJ524" i="3"/>
  <c r="AF524" i="3"/>
  <c r="AJ529" i="3"/>
  <c r="AF529" i="3"/>
  <c r="AI529" i="3"/>
  <c r="AD529" i="3"/>
  <c r="AG529" i="3"/>
  <c r="AG552" i="3"/>
  <c r="AI557" i="3"/>
  <c r="AH552" i="3"/>
  <c r="AI395" i="3"/>
  <c r="AG390" i="3"/>
  <c r="AH393" i="3"/>
  <c r="AG400" i="3"/>
  <c r="AD419" i="3"/>
  <c r="AI419" i="3"/>
  <c r="AH411" i="3"/>
  <c r="AG412" i="3"/>
  <c r="AI417" i="3"/>
  <c r="AD417" i="3"/>
  <c r="AJ417" i="3"/>
  <c r="AF417" i="3"/>
  <c r="AH433" i="3"/>
  <c r="AI433" i="3"/>
  <c r="AD433" i="3"/>
  <c r="AJ433" i="3"/>
  <c r="AI436" i="3"/>
  <c r="AD436" i="3"/>
  <c r="AJ436" i="3"/>
  <c r="AF436" i="3"/>
  <c r="AI444" i="3"/>
  <c r="AD444" i="3"/>
  <c r="AJ444" i="3"/>
  <c r="AF444" i="3"/>
  <c r="AH446" i="3"/>
  <c r="AI446" i="3"/>
  <c r="AD446" i="3"/>
  <c r="AJ446" i="3"/>
  <c r="AJ455" i="3"/>
  <c r="AF455" i="3"/>
  <c r="AG455" i="3"/>
  <c r="AJ461" i="3"/>
  <c r="AF461" i="3"/>
  <c r="AG461" i="3"/>
  <c r="AH600" i="3"/>
  <c r="AJ521" i="3"/>
  <c r="AF521" i="3"/>
  <c r="AI521" i="3"/>
  <c r="AD521" i="3"/>
  <c r="AG521" i="3"/>
  <c r="AH529" i="3"/>
  <c r="AG550" i="3"/>
  <c r="AJ550" i="3"/>
  <c r="AF550" i="3"/>
  <c r="AH550" i="3"/>
  <c r="AD550" i="3"/>
  <c r="AI550" i="3"/>
  <c r="AF395" i="3"/>
  <c r="AD389" i="3"/>
  <c r="AD393" i="3"/>
  <c r="AF419" i="3"/>
  <c r="AD411" i="3"/>
  <c r="AF415" i="3"/>
  <c r="AI410" i="3"/>
  <c r="AD410" i="3"/>
  <c r="AJ410" i="3"/>
  <c r="AF410" i="3"/>
  <c r="AG432" i="3"/>
  <c r="AG445" i="3"/>
  <c r="AG436" i="3"/>
  <c r="AG444" i="3"/>
  <c r="AD455" i="3"/>
  <c r="AI449" i="3"/>
  <c r="AD449" i="3"/>
  <c r="AJ449" i="3"/>
  <c r="AF449" i="3"/>
  <c r="AF463" i="3"/>
  <c r="AD461" i="3"/>
  <c r="AJ466" i="3"/>
  <c r="AF466" i="3"/>
  <c r="AG466" i="3"/>
  <c r="AJ628" i="3"/>
  <c r="AF628" i="3"/>
  <c r="AI628" i="3"/>
  <c r="AD628" i="3"/>
  <c r="AG628" i="3"/>
  <c r="AG517" i="3"/>
  <c r="AG524" i="3"/>
  <c r="AJ518" i="3"/>
  <c r="AF518" i="3"/>
  <c r="AI518" i="3"/>
  <c r="AD518" i="3"/>
  <c r="AG518" i="3"/>
  <c r="AH521" i="3"/>
  <c r="AH430" i="3"/>
  <c r="AH418" i="3"/>
  <c r="AH429" i="3"/>
  <c r="AG416" i="3"/>
  <c r="AH437" i="3"/>
  <c r="AG431" i="3"/>
  <c r="AH434" i="3"/>
  <c r="AG435" i="3"/>
  <c r="AH443" i="3"/>
  <c r="AH448" i="3"/>
  <c r="AG452" i="3"/>
  <c r="AG465" i="3"/>
  <c r="AH583" i="3"/>
  <c r="AH584" i="3"/>
  <c r="AH585" i="3"/>
  <c r="AD581" i="3"/>
  <c r="AI581" i="3"/>
  <c r="AD582" i="3"/>
  <c r="AI582" i="3"/>
  <c r="AF599" i="3"/>
  <c r="AJ599" i="3"/>
  <c r="AF602" i="3"/>
  <c r="AJ602" i="3"/>
  <c r="AF603" i="3"/>
  <c r="AJ603" i="3"/>
  <c r="AF604" i="3"/>
  <c r="AJ604" i="3"/>
  <c r="AF605" i="3"/>
  <c r="AJ605" i="3"/>
  <c r="AF606" i="3"/>
  <c r="AJ606" i="3"/>
  <c r="AF607" i="3"/>
  <c r="AJ607" i="3"/>
  <c r="AF608" i="3"/>
  <c r="AJ608" i="3"/>
  <c r="AF609" i="3"/>
  <c r="AJ609" i="3"/>
  <c r="AF610" i="3"/>
  <c r="AJ610" i="3"/>
  <c r="AF611" i="3"/>
  <c r="AJ611" i="3"/>
  <c r="AF612" i="3"/>
  <c r="AJ612" i="3"/>
  <c r="AF613" i="3"/>
  <c r="AJ613" i="3"/>
  <c r="AF614" i="3"/>
  <c r="AJ614" i="3"/>
  <c r="AF615" i="3"/>
  <c r="AJ615" i="3"/>
  <c r="AD601" i="3"/>
  <c r="AI601" i="3"/>
  <c r="AH515" i="3"/>
  <c r="AD512" i="3"/>
  <c r="AI512" i="3"/>
  <c r="AH513" i="3"/>
  <c r="AD525" i="3"/>
  <c r="AI525" i="3"/>
  <c r="AH519" i="3"/>
  <c r="AD531" i="3"/>
  <c r="AI531" i="3"/>
  <c r="AI536" i="3"/>
  <c r="AD536" i="3"/>
  <c r="AH536" i="3"/>
  <c r="AI537" i="3"/>
  <c r="AD509" i="3"/>
  <c r="AI905" i="3"/>
  <c r="AD905" i="3"/>
  <c r="AH905" i="3"/>
  <c r="AJ905" i="3"/>
  <c r="AF905" i="3"/>
  <c r="AJ906" i="3"/>
  <c r="AF906" i="3"/>
  <c r="AI906" i="3"/>
  <c r="AD906" i="3"/>
  <c r="AG906" i="3"/>
  <c r="AH599" i="3"/>
  <c r="AH602" i="3"/>
  <c r="AH603" i="3"/>
  <c r="AH604" i="3"/>
  <c r="AH605" i="3"/>
  <c r="AH606" i="3"/>
  <c r="AH607" i="3"/>
  <c r="AH608" i="3"/>
  <c r="AH609" i="3"/>
  <c r="AH610" i="3"/>
  <c r="AH611" i="3"/>
  <c r="AH612" i="3"/>
  <c r="AH613" i="3"/>
  <c r="AH614" i="3"/>
  <c r="AH615" i="3"/>
  <c r="AG512" i="3"/>
  <c r="AF513" i="3"/>
  <c r="AJ513" i="3"/>
  <c r="AF519" i="3"/>
  <c r="AJ519" i="3"/>
  <c r="AG531" i="3"/>
  <c r="AJ532" i="3"/>
  <c r="AF532" i="3"/>
  <c r="AI532" i="3"/>
  <c r="AJ528" i="3"/>
  <c r="AF528" i="3"/>
  <c r="AI528" i="3"/>
  <c r="AF537" i="3"/>
  <c r="AJ533" i="3"/>
  <c r="AF533" i="3"/>
  <c r="AI533" i="3"/>
  <c r="AH906" i="3"/>
  <c r="AI59" i="3"/>
  <c r="AD59" i="3"/>
  <c r="AG59" i="3"/>
  <c r="AH59" i="3"/>
  <c r="AF59" i="3"/>
  <c r="AJ59" i="3"/>
  <c r="AF416" i="3"/>
  <c r="AF431" i="3"/>
  <c r="AF435" i="3"/>
  <c r="AF452" i="3"/>
  <c r="AF465" i="3"/>
  <c r="AD599" i="3"/>
  <c r="AD602" i="3"/>
  <c r="AD603" i="3"/>
  <c r="AD604" i="3"/>
  <c r="AD605" i="3"/>
  <c r="AD606" i="3"/>
  <c r="AD607" i="3"/>
  <c r="AD608" i="3"/>
  <c r="AD609" i="3"/>
  <c r="AD610" i="3"/>
  <c r="AD611" i="3"/>
  <c r="AD612" i="3"/>
  <c r="AD613" i="3"/>
  <c r="AD614" i="3"/>
  <c r="AD615" i="3"/>
  <c r="AH531" i="3"/>
  <c r="AG537" i="3"/>
  <c r="AJ542" i="3"/>
  <c r="AF542" i="3"/>
  <c r="AI542" i="3"/>
  <c r="AD542" i="3"/>
  <c r="AG509" i="3"/>
  <c r="AJ509" i="3"/>
  <c r="AF509" i="3"/>
  <c r="AG905" i="3"/>
  <c r="AI31" i="3"/>
  <c r="AD31" i="3"/>
  <c r="AG31" i="3"/>
  <c r="AJ31" i="3"/>
  <c r="AF31" i="3"/>
  <c r="AJ908" i="3"/>
  <c r="AF908" i="3"/>
  <c r="AH908" i="3"/>
  <c r="AJ910" i="3"/>
  <c r="AF910" i="3"/>
  <c r="AH910" i="3"/>
  <c r="AJ912" i="3"/>
  <c r="AF912" i="3"/>
  <c r="AH912" i="3"/>
  <c r="AJ914" i="3"/>
  <c r="AF914" i="3"/>
  <c r="AH914" i="3"/>
  <c r="AI33" i="3"/>
  <c r="AH27" i="3"/>
  <c r="AJ27" i="3"/>
  <c r="AF27" i="3"/>
  <c r="AF547" i="3"/>
  <c r="AJ547" i="3"/>
  <c r="AG548" i="3"/>
  <c r="AG551" i="3"/>
  <c r="AG549" i="3"/>
  <c r="AG507" i="3"/>
  <c r="AG891" i="3"/>
  <c r="AJ893" i="3"/>
  <c r="AH894" i="3"/>
  <c r="AH907" i="3"/>
  <c r="AJ903" i="3"/>
  <c r="AF903" i="3"/>
  <c r="AI903" i="3"/>
  <c r="AH904" i="3"/>
  <c r="AI930" i="3"/>
  <c r="AD908" i="3"/>
  <c r="AJ909" i="3"/>
  <c r="AF909" i="3"/>
  <c r="AH909" i="3"/>
  <c r="AD910" i="3"/>
  <c r="AJ911" i="3"/>
  <c r="AF911" i="3"/>
  <c r="AH911" i="3"/>
  <c r="AD912" i="3"/>
  <c r="AJ913" i="3"/>
  <c r="AF913" i="3"/>
  <c r="AH913" i="3"/>
  <c r="AD914" i="3"/>
  <c r="AH32" i="3"/>
  <c r="AF33" i="3"/>
  <c r="AI60" i="3"/>
  <c r="AD60" i="3"/>
  <c r="AG60" i="3"/>
  <c r="AD27" i="3"/>
  <c r="AG370" i="3"/>
  <c r="AJ370" i="3"/>
  <c r="AF370" i="3"/>
  <c r="AI370" i="3"/>
  <c r="AD370" i="3"/>
  <c r="AD894" i="3"/>
  <c r="AI904" i="3"/>
  <c r="AG908" i="3"/>
  <c r="AG910" i="3"/>
  <c r="AG912" i="3"/>
  <c r="AG914" i="3"/>
  <c r="AJ931" i="3"/>
  <c r="AF931" i="3"/>
  <c r="AI931" i="3"/>
  <c r="AI32" i="3"/>
  <c r="AH33" i="3"/>
  <c r="AF60" i="3"/>
  <c r="AG29" i="3"/>
  <c r="AI29" i="3"/>
  <c r="AD29" i="3"/>
  <c r="AG27" i="3"/>
  <c r="AG375" i="3"/>
  <c r="AI375" i="3"/>
  <c r="AD375" i="3"/>
  <c r="AG369" i="3"/>
  <c r="AJ369" i="3"/>
  <c r="AF369" i="3"/>
  <c r="AI369" i="3"/>
  <c r="AD369" i="3"/>
  <c r="AH370" i="3"/>
  <c r="AD778" i="3"/>
  <c r="AI778" i="3"/>
  <c r="AG774" i="3"/>
  <c r="AG775" i="3"/>
  <c r="AG776" i="3"/>
  <c r="AG781" i="3"/>
  <c r="AG782" i="3"/>
  <c r="AG783" i="3"/>
  <c r="AD750" i="3"/>
  <c r="AI750" i="3"/>
  <c r="AH748" i="3"/>
  <c r="AG742" i="3"/>
  <c r="AG743" i="3"/>
  <c r="AI773" i="3"/>
  <c r="AG768" i="3"/>
  <c r="AH772" i="3"/>
  <c r="AH759" i="3"/>
  <c r="AH760" i="3"/>
  <c r="AH761" i="3"/>
  <c r="AH762" i="3"/>
  <c r="AH763" i="3"/>
  <c r="AD769" i="3"/>
  <c r="AI769" i="3"/>
  <c r="AH345" i="3"/>
  <c r="AH342" i="3"/>
  <c r="AH340" i="3"/>
  <c r="AH341" i="3"/>
  <c r="AJ344" i="3"/>
  <c r="AD752" i="3"/>
  <c r="AI752" i="3"/>
  <c r="AD756" i="3"/>
  <c r="AI756" i="3"/>
  <c r="AG758" i="3"/>
  <c r="AF751" i="3"/>
  <c r="AJ751" i="3"/>
  <c r="AG339" i="3"/>
  <c r="AG337" i="3"/>
  <c r="AD329" i="3"/>
  <c r="AI329" i="3"/>
  <c r="AG332" i="3"/>
  <c r="AF326" i="3"/>
  <c r="AJ326" i="3"/>
  <c r="AD328" i="3"/>
  <c r="AI328" i="3"/>
  <c r="AH327" i="3"/>
  <c r="AD312" i="3"/>
  <c r="AF314" i="3"/>
  <c r="AI497" i="3"/>
  <c r="AD498" i="3"/>
  <c r="AJ498" i="3"/>
  <c r="AF839" i="3"/>
  <c r="AH846" i="3"/>
  <c r="AJ308" i="3"/>
  <c r="AF308" i="3"/>
  <c r="AI308" i="3"/>
  <c r="AD308" i="3"/>
  <c r="AJ307" i="3"/>
  <c r="AF307" i="3"/>
  <c r="AI307" i="3"/>
  <c r="AD307" i="3"/>
  <c r="AJ310" i="3"/>
  <c r="AF310" i="3"/>
  <c r="AI310" i="3"/>
  <c r="AD310" i="3"/>
  <c r="AJ311" i="3"/>
  <c r="AF311" i="3"/>
  <c r="AI311" i="3"/>
  <c r="AD311" i="3"/>
  <c r="AJ825" i="3"/>
  <c r="AF825" i="3"/>
  <c r="AI825" i="3"/>
  <c r="AD825" i="3"/>
  <c r="AF61" i="3"/>
  <c r="AJ61" i="3"/>
  <c r="AF62" i="3"/>
  <c r="AJ62" i="3"/>
  <c r="AH30" i="3"/>
  <c r="AD28" i="3"/>
  <c r="AI28" i="3"/>
  <c r="AF376" i="3"/>
  <c r="AJ376" i="3"/>
  <c r="AJ377" i="3"/>
  <c r="AF378" i="3"/>
  <c r="AJ378" i="3"/>
  <c r="AG346" i="3"/>
  <c r="AG785" i="3"/>
  <c r="AG786" i="3"/>
  <c r="AG787" i="3"/>
  <c r="AG788" i="3"/>
  <c r="AG789" i="3"/>
  <c r="AG790" i="3"/>
  <c r="AF778" i="3"/>
  <c r="AJ778" i="3"/>
  <c r="AG779" i="3"/>
  <c r="AH780" i="3"/>
  <c r="AH774" i="3"/>
  <c r="AH775" i="3"/>
  <c r="AH776" i="3"/>
  <c r="AH781" i="3"/>
  <c r="AH782" i="3"/>
  <c r="AH783" i="3"/>
  <c r="AG740" i="3"/>
  <c r="AG741" i="3"/>
  <c r="AF750" i="3"/>
  <c r="AJ750" i="3"/>
  <c r="AD748" i="3"/>
  <c r="AI748" i="3"/>
  <c r="AH742" i="3"/>
  <c r="AH743" i="3"/>
  <c r="AD773" i="3"/>
  <c r="AH768" i="3"/>
  <c r="AD759" i="3"/>
  <c r="AI759" i="3"/>
  <c r="AD760" i="3"/>
  <c r="AI760" i="3"/>
  <c r="AD761" i="3"/>
  <c r="AI761" i="3"/>
  <c r="AD762" i="3"/>
  <c r="AI762" i="3"/>
  <c r="AD763" i="3"/>
  <c r="AI763" i="3"/>
  <c r="AF769" i="3"/>
  <c r="AJ769" i="3"/>
  <c r="AD340" i="3"/>
  <c r="AI340" i="3"/>
  <c r="AD341" i="3"/>
  <c r="AI341" i="3"/>
  <c r="AF752" i="3"/>
  <c r="AJ752" i="3"/>
  <c r="AF756" i="3"/>
  <c r="AJ756" i="3"/>
  <c r="AH758" i="3"/>
  <c r="AG751" i="3"/>
  <c r="AH339" i="3"/>
  <c r="AH337" i="3"/>
  <c r="AH332" i="3"/>
  <c r="AG326" i="3"/>
  <c r="AI327" i="3"/>
  <c r="AD497" i="3"/>
  <c r="AJ497" i="3"/>
  <c r="AF498" i="3"/>
  <c r="AG308" i="3"/>
  <c r="AG307" i="3"/>
  <c r="AG310" i="3"/>
  <c r="AG311" i="3"/>
  <c r="AG778" i="3"/>
  <c r="AD774" i="3"/>
  <c r="AD775" i="3"/>
  <c r="AD776" i="3"/>
  <c r="AD781" i="3"/>
  <c r="AD782" i="3"/>
  <c r="AD783" i="3"/>
  <c r="AG750" i="3"/>
  <c r="AF748" i="3"/>
  <c r="AD742" i="3"/>
  <c r="AD743" i="3"/>
  <c r="AD768" i="3"/>
  <c r="AF772" i="3"/>
  <c r="AF759" i="3"/>
  <c r="AJ759" i="3"/>
  <c r="AF760" i="3"/>
  <c r="AJ760" i="3"/>
  <c r="AF761" i="3"/>
  <c r="AJ761" i="3"/>
  <c r="AF762" i="3"/>
  <c r="AJ762" i="3"/>
  <c r="AF763" i="3"/>
  <c r="AJ763" i="3"/>
  <c r="AG769" i="3"/>
  <c r="AF345" i="3"/>
  <c r="AF342" i="3"/>
  <c r="AF340" i="3"/>
  <c r="AJ340" i="3"/>
  <c r="AF341" i="3"/>
  <c r="AJ341" i="3"/>
  <c r="AG752" i="3"/>
  <c r="AG756" i="3"/>
  <c r="AD758" i="3"/>
  <c r="AI758" i="3"/>
  <c r="AH751" i="3"/>
  <c r="AD339" i="3"/>
  <c r="AI339" i="3"/>
  <c r="AD337" i="3"/>
  <c r="AI337" i="3"/>
  <c r="AH326" i="3"/>
  <c r="AJ312" i="3"/>
  <c r="AF312" i="3"/>
  <c r="AH312" i="3"/>
  <c r="AI314" i="3"/>
  <c r="AD314" i="3"/>
  <c r="AH314" i="3"/>
  <c r="AG498" i="3"/>
  <c r="AI839" i="3"/>
  <c r="AD839" i="3"/>
  <c r="AH839" i="3"/>
  <c r="AJ839" i="3"/>
  <c r="AG846" i="3"/>
  <c r="AJ846" i="3"/>
  <c r="AF846" i="3"/>
  <c r="AG835" i="3"/>
  <c r="AJ835" i="3"/>
  <c r="AF835" i="3"/>
  <c r="AI835" i="3"/>
  <c r="AD835" i="3"/>
  <c r="AF30" i="3"/>
  <c r="AF758" i="3"/>
  <c r="AD751" i="3"/>
  <c r="AF339" i="3"/>
  <c r="AF337" i="3"/>
  <c r="AF332" i="3"/>
  <c r="AD326" i="3"/>
  <c r="AI312" i="3"/>
  <c r="AJ314" i="3"/>
  <c r="AG497" i="3"/>
  <c r="AI498" i="3"/>
  <c r="AJ844" i="3"/>
  <c r="AF844" i="3"/>
  <c r="AI844" i="3"/>
  <c r="AD844" i="3"/>
  <c r="AD846" i="3"/>
  <c r="AJ302" i="3"/>
  <c r="AF302" i="3"/>
  <c r="AI302" i="3"/>
  <c r="AD302" i="3"/>
  <c r="AG309" i="3"/>
  <c r="AJ309" i="3"/>
  <c r="AF309" i="3"/>
  <c r="AH835" i="3"/>
  <c r="AG842" i="3"/>
  <c r="AF303" i="3"/>
  <c r="AJ303" i="3"/>
  <c r="AF304" i="3"/>
  <c r="AJ304" i="3"/>
  <c r="AF830" i="3"/>
  <c r="AJ830" i="3"/>
  <c r="AF838" i="3"/>
  <c r="AJ838" i="3"/>
  <c r="AF828" i="3"/>
  <c r="AJ828" i="3"/>
  <c r="AF836" i="3"/>
  <c r="AJ836" i="3"/>
  <c r="AD642" i="3"/>
  <c r="AI642" i="3"/>
  <c r="AF643" i="3"/>
  <c r="AJ643" i="3"/>
  <c r="AD640" i="3"/>
  <c r="AI640" i="3"/>
  <c r="AG387" i="3"/>
  <c r="AF821" i="3"/>
  <c r="AJ821" i="3"/>
  <c r="AG820" i="3"/>
  <c r="AF797" i="3"/>
  <c r="AJ797" i="3"/>
  <c r="AD798" i="3"/>
  <c r="AI798" i="3"/>
  <c r="AH799" i="3"/>
  <c r="AF801" i="3"/>
  <c r="AJ801" i="3"/>
  <c r="AD802" i="3"/>
  <c r="AI802" i="3"/>
  <c r="AH803" i="3"/>
  <c r="AF794" i="3"/>
  <c r="AJ794" i="3"/>
  <c r="AF795" i="3"/>
  <c r="AJ795" i="3"/>
  <c r="AD280" i="3"/>
  <c r="AI280" i="3"/>
  <c r="AD278" i="3"/>
  <c r="AI278" i="3"/>
  <c r="AF256" i="3"/>
  <c r="AJ256" i="3"/>
  <c r="AH257" i="3"/>
  <c r="AF258" i="3"/>
  <c r="AJ258" i="3"/>
  <c r="AH259" i="3"/>
  <c r="AF260" i="3"/>
  <c r="AJ260" i="3"/>
  <c r="AH261" i="3"/>
  <c r="AF262" i="3"/>
  <c r="AJ262" i="3"/>
  <c r="AH263" i="3"/>
  <c r="AG277" i="3"/>
  <c r="AH264" i="3"/>
  <c r="AF265" i="3"/>
  <c r="AJ265" i="3"/>
  <c r="AF301" i="3"/>
  <c r="AJ301" i="3"/>
  <c r="AF299" i="3"/>
  <c r="AD281" i="3"/>
  <c r="AD282" i="3"/>
  <c r="AJ282" i="3"/>
  <c r="AI283" i="3"/>
  <c r="AI284" i="3"/>
  <c r="AD1021" i="3"/>
  <c r="AG838" i="3"/>
  <c r="AG828" i="3"/>
  <c r="AG836" i="3"/>
  <c r="AF642" i="3"/>
  <c r="AJ642" i="3"/>
  <c r="AG643" i="3"/>
  <c r="AF640" i="3"/>
  <c r="AJ640" i="3"/>
  <c r="AG821" i="3"/>
  <c r="AF798" i="3"/>
  <c r="AJ798" i="3"/>
  <c r="AD799" i="3"/>
  <c r="AI799" i="3"/>
  <c r="AF802" i="3"/>
  <c r="AJ802" i="3"/>
  <c r="AD803" i="3"/>
  <c r="AI803" i="3"/>
  <c r="AG794" i="3"/>
  <c r="AG795" i="3"/>
  <c r="AF280" i="3"/>
  <c r="AJ280" i="3"/>
  <c r="AF278" i="3"/>
  <c r="AJ278" i="3"/>
  <c r="AD257" i="3"/>
  <c r="AI257" i="3"/>
  <c r="AD259" i="3"/>
  <c r="AI259" i="3"/>
  <c r="AD261" i="3"/>
  <c r="AI261" i="3"/>
  <c r="AD263" i="3"/>
  <c r="AI263" i="3"/>
  <c r="AD264" i="3"/>
  <c r="AI264" i="3"/>
  <c r="AG301" i="3"/>
  <c r="AG299" i="3"/>
  <c r="AF282" i="3"/>
  <c r="AD283" i="3"/>
  <c r="AD284" i="3"/>
  <c r="AJ284" i="3"/>
  <c r="AG963" i="3"/>
  <c r="AJ963" i="3"/>
  <c r="AF963" i="3"/>
  <c r="AI956" i="3"/>
  <c r="AD956" i="3"/>
  <c r="AH956" i="3"/>
  <c r="AJ956" i="3"/>
  <c r="AG960" i="3"/>
  <c r="AJ960" i="3"/>
  <c r="AF960" i="3"/>
  <c r="AJ1032" i="3"/>
  <c r="AF1032" i="3"/>
  <c r="AI1032" i="3"/>
  <c r="AD1032" i="3"/>
  <c r="AJ146" i="3"/>
  <c r="AF146" i="3"/>
  <c r="AI146" i="3"/>
  <c r="AD146" i="3"/>
  <c r="AH146" i="3"/>
  <c r="AG159" i="3"/>
  <c r="AJ159" i="3"/>
  <c r="AF159" i="3"/>
  <c r="AI159" i="3"/>
  <c r="AD159" i="3"/>
  <c r="AG167" i="3"/>
  <c r="AJ167" i="3"/>
  <c r="AF167" i="3"/>
  <c r="AI167" i="3"/>
  <c r="AD167" i="3"/>
  <c r="AG642" i="3"/>
  <c r="AG640" i="3"/>
  <c r="AF799" i="3"/>
  <c r="AJ799" i="3"/>
  <c r="AF803" i="3"/>
  <c r="AJ803" i="3"/>
  <c r="AG280" i="3"/>
  <c r="AG278" i="3"/>
  <c r="AF257" i="3"/>
  <c r="AJ257" i="3"/>
  <c r="AF259" i="3"/>
  <c r="AJ259" i="3"/>
  <c r="AF261" i="3"/>
  <c r="AJ261" i="3"/>
  <c r="AF263" i="3"/>
  <c r="AJ263" i="3"/>
  <c r="AF264" i="3"/>
  <c r="AJ264" i="3"/>
  <c r="AJ281" i="3"/>
  <c r="AF281" i="3"/>
  <c r="AH281" i="3"/>
  <c r="AG282" i="3"/>
  <c r="AF284" i="3"/>
  <c r="AG1017" i="3"/>
  <c r="AJ1017" i="3"/>
  <c r="AF1017" i="3"/>
  <c r="AI1017" i="3"/>
  <c r="AD1017" i="3"/>
  <c r="AH159" i="3"/>
  <c r="AI299" i="3"/>
  <c r="AD299" i="3"/>
  <c r="AJ299" i="3"/>
  <c r="AI281" i="3"/>
  <c r="AJ283" i="3"/>
  <c r="AF283" i="3"/>
  <c r="AH283" i="3"/>
  <c r="AG284" i="3"/>
  <c r="AI954" i="3"/>
  <c r="AD954" i="3"/>
  <c r="AH954" i="3"/>
  <c r="AJ954" i="3"/>
  <c r="AI958" i="3"/>
  <c r="AD958" i="3"/>
  <c r="AH958" i="3"/>
  <c r="AJ958" i="3"/>
  <c r="AI961" i="3"/>
  <c r="AD961" i="3"/>
  <c r="AH961" i="3"/>
  <c r="AJ961" i="3"/>
  <c r="AG1021" i="3"/>
  <c r="AJ1021" i="3"/>
  <c r="AF1021" i="3"/>
  <c r="AJ1015" i="3"/>
  <c r="AF1015" i="3"/>
  <c r="AI1015" i="3"/>
  <c r="AD1015" i="3"/>
  <c r="AJ1018" i="3"/>
  <c r="AF1018" i="3"/>
  <c r="AI1018" i="3"/>
  <c r="AD1018" i="3"/>
  <c r="AH1018" i="3"/>
  <c r="AJ1020" i="3"/>
  <c r="AF1020" i="3"/>
  <c r="AI1020" i="3"/>
  <c r="AD1020" i="3"/>
  <c r="AH1020" i="3"/>
  <c r="AG146" i="3"/>
  <c r="AH24" i="3"/>
  <c r="AH25" i="3"/>
  <c r="AH26" i="3"/>
  <c r="AG3" i="3"/>
  <c r="AG5" i="3"/>
  <c r="AH23" i="3"/>
  <c r="AG7" i="3"/>
  <c r="AI656" i="3"/>
  <c r="AD656" i="3"/>
  <c r="AJ656" i="3"/>
  <c r="AI664" i="3"/>
  <c r="AD664" i="3"/>
  <c r="AJ664" i="3"/>
  <c r="AG671" i="3"/>
  <c r="AJ671" i="3"/>
  <c r="AF671" i="3"/>
  <c r="AG962" i="3"/>
  <c r="AF955" i="3"/>
  <c r="AJ955" i="3"/>
  <c r="AF957" i="3"/>
  <c r="AJ957" i="3"/>
  <c r="AG959" i="3"/>
  <c r="AG968" i="3"/>
  <c r="AG1034" i="3"/>
  <c r="AG1031" i="3"/>
  <c r="AG1029" i="3"/>
  <c r="AF1030" i="3"/>
  <c r="AJ1030" i="3"/>
  <c r="AF1035" i="3"/>
  <c r="AJ1035" i="3"/>
  <c r="AF1019" i="3"/>
  <c r="AJ1019" i="3"/>
  <c r="AF162" i="3"/>
  <c r="AJ162" i="3"/>
  <c r="AF164" i="3"/>
  <c r="AJ164" i="3"/>
  <c r="AF145" i="3"/>
  <c r="AJ145" i="3"/>
  <c r="AF147" i="3"/>
  <c r="AJ147" i="3"/>
  <c r="AG166" i="3"/>
  <c r="AF169" i="3"/>
  <c r="AJ169" i="3"/>
  <c r="AD24" i="3"/>
  <c r="AI24" i="3"/>
  <c r="AD25" i="3"/>
  <c r="AI25" i="3"/>
  <c r="AD26" i="3"/>
  <c r="AI26" i="3"/>
  <c r="AF2" i="3"/>
  <c r="AJ2" i="3"/>
  <c r="AH3" i="3"/>
  <c r="AH5" i="3"/>
  <c r="AD23" i="3"/>
  <c r="AI23" i="3"/>
  <c r="AH7" i="3"/>
  <c r="AG8" i="3"/>
  <c r="AD9" i="3"/>
  <c r="AI9" i="3"/>
  <c r="AF650" i="3"/>
  <c r="AI654" i="3"/>
  <c r="AJ655" i="3"/>
  <c r="AF655" i="3"/>
  <c r="AI655" i="3"/>
  <c r="AF656" i="3"/>
  <c r="AF658" i="3"/>
  <c r="AI662" i="3"/>
  <c r="AJ663" i="3"/>
  <c r="AF663" i="3"/>
  <c r="AI663" i="3"/>
  <c r="AF664" i="3"/>
  <c r="AF666" i="3"/>
  <c r="AD671" i="3"/>
  <c r="AG1030" i="3"/>
  <c r="AG1035" i="3"/>
  <c r="AG162" i="3"/>
  <c r="AG164" i="3"/>
  <c r="AG169" i="3"/>
  <c r="AF24" i="3"/>
  <c r="AJ24" i="3"/>
  <c r="AF25" i="3"/>
  <c r="AJ25" i="3"/>
  <c r="AF26" i="3"/>
  <c r="AJ26" i="3"/>
  <c r="AD3" i="3"/>
  <c r="AI3" i="3"/>
  <c r="AD5" i="3"/>
  <c r="AI5" i="3"/>
  <c r="AF23" i="3"/>
  <c r="AJ23" i="3"/>
  <c r="AD7" i="3"/>
  <c r="AI7" i="3"/>
  <c r="AF9" i="3"/>
  <c r="AJ9" i="3"/>
  <c r="AH650" i="3"/>
  <c r="AI652" i="3"/>
  <c r="AD652" i="3"/>
  <c r="AJ652" i="3"/>
  <c r="AD654" i="3"/>
  <c r="AJ654" i="3"/>
  <c r="AD655" i="3"/>
  <c r="AG656" i="3"/>
  <c r="AH658" i="3"/>
  <c r="AI660" i="3"/>
  <c r="AD660" i="3"/>
  <c r="AJ660" i="3"/>
  <c r="AD662" i="3"/>
  <c r="AJ662" i="3"/>
  <c r="AD663" i="3"/>
  <c r="AG664" i="3"/>
  <c r="AH666" i="3"/>
  <c r="AI668" i="3"/>
  <c r="AD668" i="3"/>
  <c r="AJ668" i="3"/>
  <c r="AH671" i="3"/>
  <c r="AJ672" i="3"/>
  <c r="AF672" i="3"/>
  <c r="AI672" i="3"/>
  <c r="AD672" i="3"/>
  <c r="AG675" i="3"/>
  <c r="AJ675" i="3"/>
  <c r="AF675" i="3"/>
  <c r="AF3" i="3"/>
  <c r="AF5" i="3"/>
  <c r="AF7" i="3"/>
  <c r="AI650" i="3"/>
  <c r="AJ651" i="3"/>
  <c r="AF651" i="3"/>
  <c r="AI651" i="3"/>
  <c r="AF654" i="3"/>
  <c r="AH656" i="3"/>
  <c r="AI658" i="3"/>
  <c r="AJ659" i="3"/>
  <c r="AF659" i="3"/>
  <c r="AI659" i="3"/>
  <c r="AF662" i="3"/>
  <c r="AH664" i="3"/>
  <c r="AI666" i="3"/>
  <c r="AJ667" i="3"/>
  <c r="AF667" i="3"/>
  <c r="AI667" i="3"/>
  <c r="AF668" i="3"/>
  <c r="AI671" i="3"/>
  <c r="AG672" i="3"/>
  <c r="AD675" i="3"/>
  <c r="AG1036" i="3"/>
  <c r="AH702" i="3"/>
  <c r="AJ702" i="3"/>
  <c r="AF702" i="3"/>
  <c r="AI702" i="3"/>
  <c r="AD702" i="3"/>
  <c r="AH704" i="3"/>
  <c r="AJ704" i="3"/>
  <c r="AF704" i="3"/>
  <c r="AI704" i="3"/>
  <c r="AD704" i="3"/>
  <c r="AH676" i="3"/>
  <c r="AG680" i="3"/>
  <c r="AG682" i="3"/>
  <c r="AG684" i="3"/>
  <c r="AG686" i="3"/>
  <c r="AG688" i="3"/>
  <c r="AG690" i="3"/>
  <c r="AG692" i="3"/>
  <c r="AJ1042" i="3"/>
  <c r="AF1042" i="3"/>
  <c r="AI1042" i="3"/>
  <c r="AI1036" i="3"/>
  <c r="AJ1037" i="3"/>
  <c r="AF1037" i="3"/>
  <c r="AH1037" i="3"/>
  <c r="AG1038" i="3"/>
  <c r="AJ1052" i="3"/>
  <c r="AF1052" i="3"/>
  <c r="AI1052" i="3"/>
  <c r="AD1052" i="3"/>
  <c r="AG1051" i="3"/>
  <c r="AJ1051" i="3"/>
  <c r="AF1051" i="3"/>
  <c r="AG670" i="3"/>
  <c r="AG674" i="3"/>
  <c r="AD676" i="3"/>
  <c r="AI676" i="3"/>
  <c r="AG644" i="3"/>
  <c r="AF679" i="3"/>
  <c r="AJ679" i="3"/>
  <c r="AH680" i="3"/>
  <c r="AF681" i="3"/>
  <c r="AJ681" i="3"/>
  <c r="AH682" i="3"/>
  <c r="AF683" i="3"/>
  <c r="AJ683" i="3"/>
  <c r="AH684" i="3"/>
  <c r="AF685" i="3"/>
  <c r="AJ685" i="3"/>
  <c r="AH686" i="3"/>
  <c r="AF687" i="3"/>
  <c r="AJ687" i="3"/>
  <c r="AH688" i="3"/>
  <c r="AF689" i="3"/>
  <c r="AJ689" i="3"/>
  <c r="AH690" i="3"/>
  <c r="AF691" i="3"/>
  <c r="AJ691" i="3"/>
  <c r="AH692" i="3"/>
  <c r="AG693" i="3"/>
  <c r="AD1042" i="3"/>
  <c r="AD1036" i="3"/>
  <c r="AJ1036" i="3"/>
  <c r="AI1037" i="3"/>
  <c r="AI1038" i="3"/>
  <c r="AJ1039" i="3"/>
  <c r="AF1039" i="3"/>
  <c r="AH1039" i="3"/>
  <c r="AI1040" i="3"/>
  <c r="AH1040" i="3"/>
  <c r="AG1040" i="3"/>
  <c r="AG1052" i="3"/>
  <c r="AD1051" i="3"/>
  <c r="AG702" i="3"/>
  <c r="AG704" i="3"/>
  <c r="AF676" i="3"/>
  <c r="AD680" i="3"/>
  <c r="AD682" i="3"/>
  <c r="AD684" i="3"/>
  <c r="AD686" i="3"/>
  <c r="AD688" i="3"/>
  <c r="AD690" i="3"/>
  <c r="AD692" i="3"/>
  <c r="AI699" i="3"/>
  <c r="AD699" i="3"/>
  <c r="AJ699" i="3"/>
  <c r="AG1042" i="3"/>
  <c r="AF1036" i="3"/>
  <c r="AD1037" i="3"/>
  <c r="AD1038" i="3"/>
  <c r="AJ1038" i="3"/>
  <c r="AH1052" i="3"/>
  <c r="AF1041" i="3"/>
  <c r="AJ1041" i="3"/>
  <c r="AG1049" i="3"/>
  <c r="AG1050" i="3"/>
  <c r="AG730" i="3"/>
  <c r="AG731" i="3"/>
  <c r="AG701" i="3"/>
  <c r="AG703" i="3"/>
  <c r="AG705" i="3"/>
  <c r="AD706" i="3"/>
  <c r="AI706" i="3"/>
  <c r="AG707" i="3"/>
  <c r="AD708" i="3"/>
  <c r="AI708" i="3"/>
  <c r="AG709" i="3"/>
  <c r="AD710" i="3"/>
  <c r="AI710" i="3"/>
  <c r="AG711" i="3"/>
  <c r="AD712" i="3"/>
  <c r="AI712" i="3"/>
  <c r="AH729" i="3"/>
  <c r="AF713" i="3"/>
  <c r="AJ713" i="3"/>
  <c r="AF715" i="3"/>
  <c r="AJ715" i="3"/>
  <c r="AF717" i="3"/>
  <c r="AJ717" i="3"/>
  <c r="AG1053" i="3"/>
  <c r="AG1055" i="3"/>
  <c r="AG1057" i="3"/>
  <c r="AG1059" i="3"/>
  <c r="AI1073" i="3"/>
  <c r="AD1103" i="3"/>
  <c r="AJ1107" i="3"/>
  <c r="AF1107" i="3"/>
  <c r="AI1107" i="3"/>
  <c r="AD1107" i="3"/>
  <c r="AH1107" i="3"/>
  <c r="AH1050" i="3"/>
  <c r="AH730" i="3"/>
  <c r="AH731" i="3"/>
  <c r="AF706" i="3"/>
  <c r="AJ706" i="3"/>
  <c r="AF708" i="3"/>
  <c r="AJ708" i="3"/>
  <c r="AF710" i="3"/>
  <c r="AJ710" i="3"/>
  <c r="AF712" i="3"/>
  <c r="AJ712" i="3"/>
  <c r="AG713" i="3"/>
  <c r="AG715" i="3"/>
  <c r="AG717" i="3"/>
  <c r="AD719" i="3"/>
  <c r="AI719" i="3"/>
  <c r="AG1071" i="3"/>
  <c r="AH1053" i="3"/>
  <c r="AF1054" i="3"/>
  <c r="AJ1054" i="3"/>
  <c r="AH1055" i="3"/>
  <c r="AF1056" i="3"/>
  <c r="AJ1056" i="3"/>
  <c r="AH1057" i="3"/>
  <c r="AF1058" i="3"/>
  <c r="AJ1058" i="3"/>
  <c r="AH1059" i="3"/>
  <c r="AG1070" i="3"/>
  <c r="AF1072" i="3"/>
  <c r="AJ1072" i="3"/>
  <c r="AF1104" i="3"/>
  <c r="AJ1104" i="3"/>
  <c r="AF1105" i="3"/>
  <c r="AJ1105" i="3"/>
  <c r="AD1073" i="3"/>
  <c r="AJ1073" i="3"/>
  <c r="AF1075" i="3"/>
  <c r="AI1077" i="3"/>
  <c r="AD1077" i="3"/>
  <c r="AH1077" i="3"/>
  <c r="AJ1077" i="3"/>
  <c r="AH1103" i="3"/>
  <c r="AG706" i="3"/>
  <c r="AG708" i="3"/>
  <c r="AG710" i="3"/>
  <c r="AG712" i="3"/>
  <c r="AD1053" i="3"/>
  <c r="AI1053" i="3"/>
  <c r="AD1055" i="3"/>
  <c r="AI1055" i="3"/>
  <c r="AD1057" i="3"/>
  <c r="AI1057" i="3"/>
  <c r="AD1059" i="3"/>
  <c r="AI1059" i="3"/>
  <c r="AG1072" i="3"/>
  <c r="AG1104" i="3"/>
  <c r="AG1105" i="3"/>
  <c r="AF1073" i="3"/>
  <c r="AG1107" i="3"/>
  <c r="AF1050" i="3"/>
  <c r="AF730" i="3"/>
  <c r="AF731" i="3"/>
  <c r="AF701" i="3"/>
  <c r="AF703" i="3"/>
  <c r="AF705" i="3"/>
  <c r="AF707" i="3"/>
  <c r="AF709" i="3"/>
  <c r="AF711" i="3"/>
  <c r="AD713" i="3"/>
  <c r="AD715" i="3"/>
  <c r="AD717" i="3"/>
  <c r="AF1053" i="3"/>
  <c r="AF1055" i="3"/>
  <c r="AF1057" i="3"/>
  <c r="AF1059" i="3"/>
  <c r="AG1073" i="3"/>
  <c r="AI1075" i="3"/>
  <c r="AD1075" i="3"/>
  <c r="AH1075" i="3"/>
  <c r="AJ1075" i="3"/>
  <c r="AG1103" i="3"/>
  <c r="AJ1103" i="3"/>
  <c r="AF1103" i="3"/>
  <c r="AF1074" i="3"/>
  <c r="AJ1074" i="3"/>
  <c r="AF1076" i="3"/>
  <c r="AJ1076" i="3"/>
  <c r="AD1106" i="3"/>
  <c r="AI1106" i="3"/>
  <c r="AG1108" i="3"/>
  <c r="AH1156" i="3"/>
  <c r="AH1157" i="3"/>
  <c r="AG1128" i="3"/>
  <c r="AF1129" i="3"/>
  <c r="AJ1129" i="3"/>
  <c r="AF1106" i="3"/>
  <c r="AJ1106" i="3"/>
  <c r="AH1108" i="3"/>
  <c r="AD1156" i="3"/>
  <c r="AI1156" i="3"/>
  <c r="AD1157" i="3"/>
  <c r="AI1157" i="3"/>
  <c r="AH1128" i="3"/>
  <c r="AG1129" i="3"/>
  <c r="AD1108" i="3"/>
  <c r="AF1156" i="3"/>
  <c r="AF1157" i="3"/>
  <c r="AD1128" i="3"/>
  <c r="AH1129" i="3"/>
  <c r="AD1129" i="3"/>
  <c r="AE1156" i="3" l="1"/>
  <c r="AE1128" i="3"/>
  <c r="AE1126" i="3"/>
  <c r="AE1127" i="3"/>
  <c r="AE1038" i="3"/>
  <c r="AE1057" i="3"/>
  <c r="AE1073" i="3"/>
  <c r="AE1108" i="3"/>
  <c r="AE1157" i="3"/>
  <c r="AE1059" i="3"/>
  <c r="AE1055" i="3"/>
  <c r="AE1018" i="3"/>
  <c r="AE1015" i="3"/>
  <c r="AE1017" i="3"/>
  <c r="AE956" i="3"/>
  <c r="AE1021" i="3"/>
  <c r="AE905" i="3"/>
  <c r="AE895" i="3"/>
  <c r="AE1036" i="3"/>
  <c r="AE1052" i="3"/>
  <c r="AE961" i="3"/>
  <c r="AE958" i="3"/>
  <c r="AE954" i="3"/>
  <c r="AE953" i="3"/>
  <c r="AE951" i="3"/>
  <c r="AE948" i="3"/>
  <c r="AE947" i="3"/>
  <c r="AE952" i="3"/>
  <c r="AE949" i="3"/>
  <c r="AE950" i="3"/>
  <c r="AE945" i="3"/>
  <c r="AE940" i="3"/>
  <c r="AE942" i="3"/>
  <c r="AE941" i="3"/>
  <c r="AE943" i="3"/>
  <c r="AE946" i="3"/>
  <c r="AE944" i="3"/>
  <c r="AE939" i="3"/>
  <c r="AE936" i="3"/>
  <c r="AE933" i="3"/>
  <c r="AE934" i="3"/>
  <c r="AE938" i="3"/>
  <c r="AE937" i="3"/>
  <c r="AE935" i="3"/>
  <c r="AE932" i="3"/>
  <c r="AE906" i="3"/>
  <c r="AE1076" i="3"/>
  <c r="AE1035" i="3"/>
  <c r="AE1074" i="3"/>
  <c r="AE1077" i="3"/>
  <c r="AE1107" i="3"/>
  <c r="AE1037" i="3"/>
  <c r="AE1051" i="3"/>
  <c r="AE1042" i="3"/>
  <c r="AE894" i="3"/>
  <c r="AE914" i="3"/>
  <c r="AE912" i="3"/>
  <c r="AE910" i="3"/>
  <c r="AE908" i="3"/>
  <c r="AE1030" i="3"/>
  <c r="AE1039" i="3"/>
  <c r="AE1056" i="3"/>
  <c r="AE962" i="3"/>
  <c r="AE1106" i="3"/>
  <c r="AE1053" i="3"/>
  <c r="AE1103" i="3"/>
  <c r="AE1129" i="3"/>
  <c r="AE1075" i="3"/>
  <c r="AE1020" i="3"/>
  <c r="AE1032" i="3"/>
  <c r="AE1058" i="3"/>
  <c r="AE1104" i="3"/>
  <c r="AE1019" i="3"/>
  <c r="AE955" i="3"/>
  <c r="AE1054" i="3"/>
  <c r="AE909" i="3"/>
  <c r="AE960" i="3"/>
  <c r="AE931" i="3"/>
  <c r="AE968" i="3"/>
  <c r="AE1147" i="3"/>
  <c r="AE1139" i="3"/>
  <c r="AE1131" i="3"/>
  <c r="AE1094" i="3"/>
  <c r="AE1083" i="3"/>
  <c r="AE1151" i="3"/>
  <c r="AE1060" i="3"/>
  <c r="AE922" i="3"/>
  <c r="AE1148" i="3"/>
  <c r="AE1140" i="3"/>
  <c r="AE1132" i="3"/>
  <c r="AE1093" i="3"/>
  <c r="AE1086" i="3"/>
  <c r="AE1084" i="3"/>
  <c r="AE1152" i="3"/>
  <c r="AE1027" i="3"/>
  <c r="AE1125" i="3"/>
  <c r="AE898" i="3"/>
  <c r="AE970" i="3"/>
  <c r="AE913" i="3"/>
  <c r="AE1048" i="3"/>
  <c r="AE963" i="3"/>
  <c r="AE1040" i="3"/>
  <c r="AE1145" i="3"/>
  <c r="AE1137" i="3"/>
  <c r="AE1155" i="3"/>
  <c r="AE1123" i="3"/>
  <c r="AE1081" i="3"/>
  <c r="AE967" i="3"/>
  <c r="AE927" i="3"/>
  <c r="AE1089" i="3"/>
  <c r="AE1047" i="3"/>
  <c r="AE926" i="3"/>
  <c r="AE1146" i="3"/>
  <c r="AE1082" i="3"/>
  <c r="AE1101" i="3"/>
  <c r="AE929" i="3"/>
  <c r="AE925" i="3"/>
  <c r="AE1150" i="3"/>
  <c r="AE1069" i="3"/>
  <c r="AE1092" i="3"/>
  <c r="AE1063" i="3"/>
  <c r="AE964" i="3"/>
  <c r="AE1154" i="3"/>
  <c r="AE1097" i="3"/>
  <c r="AE1062" i="3"/>
  <c r="AE1025" i="3"/>
  <c r="AE1096" i="3"/>
  <c r="AE1043" i="3"/>
  <c r="AE1064" i="3"/>
  <c r="AE965" i="3"/>
  <c r="AE899" i="3"/>
  <c r="AE896" i="3"/>
  <c r="AE930" i="3"/>
  <c r="AE904" i="3"/>
  <c r="AE1041" i="3"/>
  <c r="AE957" i="3"/>
  <c r="AE911" i="3"/>
  <c r="AE907" i="3"/>
  <c r="AE959" i="3"/>
  <c r="AE1049" i="3"/>
  <c r="AE1031" i="3"/>
  <c r="AE1029" i="3"/>
  <c r="AE1143" i="3"/>
  <c r="AE1135" i="3"/>
  <c r="AE1121" i="3"/>
  <c r="AE1117" i="3"/>
  <c r="AE1113" i="3"/>
  <c r="AE1109" i="3"/>
  <c r="AE1087" i="3"/>
  <c r="AE1079" i="3"/>
  <c r="AE1122" i="3"/>
  <c r="AE1091" i="3"/>
  <c r="AE1102" i="3"/>
  <c r="AE966" i="3"/>
  <c r="AE918" i="3"/>
  <c r="AE1144" i="3"/>
  <c r="AE1138" i="3"/>
  <c r="AE1136" i="3"/>
  <c r="AE1088" i="3"/>
  <c r="AE1080" i="3"/>
  <c r="AE1061" i="3"/>
  <c r="AE1118" i="3"/>
  <c r="AE1114" i="3"/>
  <c r="AE1110" i="3"/>
  <c r="AE924" i="3"/>
  <c r="AE1068" i="3"/>
  <c r="AE902" i="3"/>
  <c r="AE900" i="3"/>
  <c r="AE1105" i="3"/>
  <c r="AE1016" i="3"/>
  <c r="AE969" i="3"/>
  <c r="AE1050" i="3"/>
  <c r="AE1033" i="3"/>
  <c r="AE903" i="3"/>
  <c r="AE1070" i="3"/>
  <c r="AE1071" i="3"/>
  <c r="AE1072" i="3"/>
  <c r="AE1014" i="3"/>
  <c r="AE1012" i="3"/>
  <c r="AE1011" i="3"/>
  <c r="AE1013" i="3"/>
  <c r="AE1010" i="3"/>
  <c r="AE1007" i="3"/>
  <c r="AE1009" i="3"/>
  <c r="AE1006" i="3"/>
  <c r="AE1008" i="3"/>
  <c r="AE998" i="3"/>
  <c r="AE994" i="3"/>
  <c r="AE991" i="3"/>
  <c r="AE1001" i="3"/>
  <c r="AE999" i="3"/>
  <c r="AE1000" i="3"/>
  <c r="AE992" i="3"/>
  <c r="AE1002" i="3"/>
  <c r="AE1004" i="3"/>
  <c r="AE1005" i="3"/>
  <c r="AE993" i="3"/>
  <c r="AE996" i="3"/>
  <c r="AE995" i="3"/>
  <c r="AE997" i="3"/>
  <c r="AE1003" i="3"/>
  <c r="AE983" i="3"/>
  <c r="AE976" i="3"/>
  <c r="AE988" i="3"/>
  <c r="AE978" i="3"/>
  <c r="AE984" i="3"/>
  <c r="AE987" i="3"/>
  <c r="AE980" i="3"/>
  <c r="AE977" i="3"/>
  <c r="AE986" i="3"/>
  <c r="AE990" i="3"/>
  <c r="AE979" i="3"/>
  <c r="AE975" i="3"/>
  <c r="AE989" i="3"/>
  <c r="AE985" i="3"/>
  <c r="AE982" i="3"/>
  <c r="AE981" i="3"/>
  <c r="AE974" i="3"/>
  <c r="AE971" i="3"/>
  <c r="AE973" i="3"/>
  <c r="AE972" i="3"/>
  <c r="AE1034" i="3"/>
  <c r="AE1022" i="3"/>
  <c r="AE1149" i="3"/>
  <c r="AE1141" i="3"/>
  <c r="AE1133" i="3"/>
  <c r="AE1130" i="3"/>
  <c r="AE1085" i="3"/>
  <c r="AE1066" i="3"/>
  <c r="AE1028" i="3"/>
  <c r="AE923" i="3"/>
  <c r="AE1120" i="3"/>
  <c r="AE1116" i="3"/>
  <c r="AE1112" i="3"/>
  <c r="AE1026" i="3"/>
  <c r="AE1142" i="3"/>
  <c r="AE1134" i="3"/>
  <c r="AE1119" i="3"/>
  <c r="AE1115" i="3"/>
  <c r="AE1111" i="3"/>
  <c r="AE1078" i="3"/>
  <c r="AE917" i="3"/>
  <c r="AE1098" i="3"/>
  <c r="AE1090" i="3"/>
  <c r="AE928" i="3"/>
  <c r="AE916" i="3"/>
  <c r="AE915" i="3"/>
  <c r="AE1045" i="3"/>
  <c r="AE919" i="3"/>
  <c r="AE1100" i="3"/>
  <c r="AE1044" i="3"/>
  <c r="AE1023" i="3"/>
  <c r="AE1153" i="3"/>
  <c r="AE1099" i="3"/>
  <c r="AE1065" i="3"/>
  <c r="AE921" i="3"/>
  <c r="AE1124" i="3"/>
  <c r="AE1095" i="3"/>
  <c r="AE1067" i="3"/>
  <c r="AE1046" i="3"/>
  <c r="AE1024" i="3"/>
  <c r="AE920" i="3"/>
  <c r="AE897" i="3"/>
  <c r="AE901" i="3"/>
  <c r="AF377" i="3"/>
  <c r="AG377" i="3"/>
  <c r="AD377" i="3"/>
  <c r="AI377" i="3"/>
  <c r="AF893" i="3"/>
  <c r="AD893" i="3"/>
  <c r="AG892" i="3"/>
  <c r="AI892" i="3"/>
  <c r="AH893" i="3"/>
  <c r="AJ892" i="3"/>
  <c r="AD892" i="3"/>
  <c r="AE872" i="3" s="1"/>
  <c r="AG530" i="3"/>
  <c r="AD530" i="3"/>
  <c r="AJ530" i="3"/>
  <c r="AD508" i="3"/>
  <c r="AE395" i="3" s="1"/>
  <c r="AI508" i="3"/>
  <c r="AI893" i="3"/>
  <c r="AF892" i="3"/>
  <c r="AI292" i="3"/>
  <c r="AD292" i="3"/>
  <c r="AG292" i="3"/>
  <c r="AF292" i="3"/>
  <c r="AJ292" i="3"/>
  <c r="AH292" i="3"/>
  <c r="AH858" i="3"/>
  <c r="AG858" i="3"/>
  <c r="AJ858" i="3"/>
  <c r="AF858" i="3"/>
  <c r="AI858" i="3"/>
  <c r="AD858" i="3"/>
  <c r="AF508" i="3"/>
  <c r="AJ508" i="3"/>
  <c r="AG508" i="3"/>
  <c r="AI530" i="3"/>
  <c r="AF530" i="3"/>
  <c r="AD636" i="3"/>
  <c r="AH749" i="3"/>
  <c r="AD749" i="3"/>
  <c r="AI636" i="3"/>
  <c r="AG749" i="3"/>
  <c r="AF636" i="3"/>
  <c r="AJ749" i="3"/>
  <c r="AG636" i="3"/>
  <c r="AJ636" i="3"/>
  <c r="AF749" i="3"/>
  <c r="AE538" i="3" l="1"/>
  <c r="AE857" i="3"/>
  <c r="AE513" i="3"/>
  <c r="AE741" i="3"/>
  <c r="AE346" i="3"/>
  <c r="AE292" i="3"/>
  <c r="AE115" i="3"/>
  <c r="AE104" i="3"/>
  <c r="AE3" i="3"/>
  <c r="AE264" i="3"/>
  <c r="AE28" i="3"/>
  <c r="AE169" i="3"/>
  <c r="AE24" i="3"/>
  <c r="AE159" i="3"/>
  <c r="AE7" i="3"/>
  <c r="AE259" i="3"/>
  <c r="AE59" i="3"/>
  <c r="AE58" i="3"/>
  <c r="AE160" i="3"/>
  <c r="AE63" i="3"/>
  <c r="AE249" i="3"/>
  <c r="AE255" i="3"/>
  <c r="AE243" i="3"/>
  <c r="AE252" i="3"/>
  <c r="AE253" i="3"/>
  <c r="AE232" i="3"/>
  <c r="AE235" i="3"/>
  <c r="AE228" i="3"/>
  <c r="AE227" i="3"/>
  <c r="AE202" i="3"/>
  <c r="AE213" i="3"/>
  <c r="AE199" i="3"/>
  <c r="AE209" i="3"/>
  <c r="AE190" i="3"/>
  <c r="AE216" i="3"/>
  <c r="AE191" i="3"/>
  <c r="AE212" i="3"/>
  <c r="AE187" i="3"/>
  <c r="AE185" i="3"/>
  <c r="AE175" i="3"/>
  <c r="AE174" i="3"/>
  <c r="AE150" i="3"/>
  <c r="AE38" i="3"/>
  <c r="AE32" i="3"/>
  <c r="AE144" i="3"/>
  <c r="AE91" i="3"/>
  <c r="AE106" i="3"/>
  <c r="AE85" i="3"/>
  <c r="AE75" i="3"/>
  <c r="AE136" i="3"/>
  <c r="AE133" i="3"/>
  <c r="AE135" i="3"/>
  <c r="AE129" i="3"/>
  <c r="AE103" i="3"/>
  <c r="AE118" i="3"/>
  <c r="AE96" i="3"/>
  <c r="AE70" i="3"/>
  <c r="AE65" i="3"/>
  <c r="AE51" i="3"/>
  <c r="AE49" i="3"/>
  <c r="AE274" i="3"/>
  <c r="AE182" i="3"/>
  <c r="AE117" i="3"/>
  <c r="AE84" i="3"/>
  <c r="AE261" i="3"/>
  <c r="AE29" i="3"/>
  <c r="AE165" i="3"/>
  <c r="AE281" i="3"/>
  <c r="AE5" i="3"/>
  <c r="AE278" i="3"/>
  <c r="AE56" i="3"/>
  <c r="AE52" i="3"/>
  <c r="AE4" i="3"/>
  <c r="AE258" i="3"/>
  <c r="AE9" i="3"/>
  <c r="AE146" i="3"/>
  <c r="AE8" i="3"/>
  <c r="AE265" i="3"/>
  <c r="AE229" i="3"/>
  <c r="AE234" i="3"/>
  <c r="AE245" i="3"/>
  <c r="AE246" i="3"/>
  <c r="AE231" i="3"/>
  <c r="AE239" i="3"/>
  <c r="AE251" i="3"/>
  <c r="AE223" i="3"/>
  <c r="AE221" i="3"/>
  <c r="AE192" i="3"/>
  <c r="AE219" i="3"/>
  <c r="AE189" i="3"/>
  <c r="AE215" i="3"/>
  <c r="AE194" i="3"/>
  <c r="AE211" i="3"/>
  <c r="AE196" i="3"/>
  <c r="AE206" i="3"/>
  <c r="AE179" i="3"/>
  <c r="AE172" i="3"/>
  <c r="AE166" i="3"/>
  <c r="AE157" i="3"/>
  <c r="AE10" i="3"/>
  <c r="AE46" i="3"/>
  <c r="AE19" i="3"/>
  <c r="AE39" i="3"/>
  <c r="AE101" i="3"/>
  <c r="AE102" i="3"/>
  <c r="AE109" i="3"/>
  <c r="AE142" i="3"/>
  <c r="AE141" i="3"/>
  <c r="AE137" i="3"/>
  <c r="AE125" i="3"/>
  <c r="AE74" i="3"/>
  <c r="AE110" i="3"/>
  <c r="AE99" i="3"/>
  <c r="AE130" i="3"/>
  <c r="AE119" i="3"/>
  <c r="AE132" i="3"/>
  <c r="AE138" i="3"/>
  <c r="AE72" i="3"/>
  <c r="AE44" i="3"/>
  <c r="AE22" i="3"/>
  <c r="AE47" i="3"/>
  <c r="AE16" i="3"/>
  <c r="AE181" i="3"/>
  <c r="AE126" i="3"/>
  <c r="AE92" i="3"/>
  <c r="AE167" i="3"/>
  <c r="AE257" i="3"/>
  <c r="AE282" i="3"/>
  <c r="AE27" i="3"/>
  <c r="AE284" i="3"/>
  <c r="AE60" i="3"/>
  <c r="AE57" i="3"/>
  <c r="AE55" i="3"/>
  <c r="AE147" i="3"/>
  <c r="AE23" i="3"/>
  <c r="AE6" i="3"/>
  <c r="AE256" i="3"/>
  <c r="AE240" i="3"/>
  <c r="AE254" i="3"/>
  <c r="AE225" i="3"/>
  <c r="AE230" i="3"/>
  <c r="AE241" i="3"/>
  <c r="AE242" i="3"/>
  <c r="AE233" i="3"/>
  <c r="AE238" i="3"/>
  <c r="AE220" i="3"/>
  <c r="AE197" i="3"/>
  <c r="AE203" i="3"/>
  <c r="AE193" i="3"/>
  <c r="AE205" i="3"/>
  <c r="AE198" i="3"/>
  <c r="AE210" i="3"/>
  <c r="AE195" i="3"/>
  <c r="AE208" i="3"/>
  <c r="AE184" i="3"/>
  <c r="AE178" i="3"/>
  <c r="AE176" i="3"/>
  <c r="AE33" i="3"/>
  <c r="AE262" i="3"/>
  <c r="AE11" i="3"/>
  <c r="AE155" i="3"/>
  <c r="AE290" i="3"/>
  <c r="AE156" i="3"/>
  <c r="AE40" i="3"/>
  <c r="AE268" i="3"/>
  <c r="AE260" i="3"/>
  <c r="AE143" i="3"/>
  <c r="AE127" i="3"/>
  <c r="AE80" i="3"/>
  <c r="AE90" i="3"/>
  <c r="AE120" i="3"/>
  <c r="AE123" i="3"/>
  <c r="AE140" i="3"/>
  <c r="AE94" i="3"/>
  <c r="AE124" i="3"/>
  <c r="AE122" i="3"/>
  <c r="AE76" i="3"/>
  <c r="AE88" i="3"/>
  <c r="AE73" i="3"/>
  <c r="AE68" i="3"/>
  <c r="AE164" i="3"/>
  <c r="AE35" i="3"/>
  <c r="AE154" i="3"/>
  <c r="AE116" i="3"/>
  <c r="AE93" i="3"/>
  <c r="AE280" i="3"/>
  <c r="AE26" i="3"/>
  <c r="AE263" i="3"/>
  <c r="AE31" i="3"/>
  <c r="AE54" i="3"/>
  <c r="AE53" i="3"/>
  <c r="AE161" i="3"/>
  <c r="AE25" i="3"/>
  <c r="AE283" i="3"/>
  <c r="AE247" i="3"/>
  <c r="AE224" i="3"/>
  <c r="AE237" i="3"/>
  <c r="AE236" i="3"/>
  <c r="AE250" i="3"/>
  <c r="AE248" i="3"/>
  <c r="AE226" i="3"/>
  <c r="AE244" i="3"/>
  <c r="AE222" i="3"/>
  <c r="AE218" i="3"/>
  <c r="AE200" i="3"/>
  <c r="AE214" i="3"/>
  <c r="AE201" i="3"/>
  <c r="AE188" i="3"/>
  <c r="AE207" i="3"/>
  <c r="AE204" i="3"/>
  <c r="AE217" i="3"/>
  <c r="AE186" i="3"/>
  <c r="AE180" i="3"/>
  <c r="AE173" i="3"/>
  <c r="AE171" i="3"/>
  <c r="AE20" i="3"/>
  <c r="AE266" i="3"/>
  <c r="AE42" i="3"/>
  <c r="AE41" i="3"/>
  <c r="AE145" i="3"/>
  <c r="AE77" i="3"/>
  <c r="AE134" i="3"/>
  <c r="AE131" i="3"/>
  <c r="AE98" i="3"/>
  <c r="AE100" i="3"/>
  <c r="AE89" i="3"/>
  <c r="AE111" i="3"/>
  <c r="AE112" i="3"/>
  <c r="AE114" i="3"/>
  <c r="AE105" i="3"/>
  <c r="AE113" i="3"/>
  <c r="AE139" i="3"/>
  <c r="AE69" i="3"/>
  <c r="AE64" i="3"/>
  <c r="AE67" i="3"/>
  <c r="AE153" i="3"/>
  <c r="AE34" i="3"/>
  <c r="AE151" i="3"/>
  <c r="AE893" i="3"/>
  <c r="AE473" i="3"/>
  <c r="AE121" i="3"/>
  <c r="AE107" i="3"/>
  <c r="AE81" i="3"/>
  <c r="AE83" i="3"/>
  <c r="AE66" i="3"/>
  <c r="AE183" i="3"/>
  <c r="AE170" i="3"/>
  <c r="AE87" i="3"/>
  <c r="AE108" i="3"/>
  <c r="AE71" i="3"/>
  <c r="AE474" i="3"/>
  <c r="AE177" i="3"/>
  <c r="AE78" i="3"/>
  <c r="AE79" i="3"/>
  <c r="AE128" i="3"/>
  <c r="AE82" i="3"/>
  <c r="AE493" i="3"/>
  <c r="AE97" i="3"/>
  <c r="AE95" i="3"/>
  <c r="AE86" i="3"/>
  <c r="AE695" i="3"/>
  <c r="AE272" i="3"/>
  <c r="AE823" i="3"/>
  <c r="AE568" i="3"/>
  <c r="AE592" i="3"/>
  <c r="AE852" i="3"/>
  <c r="AE884" i="3"/>
  <c r="AE48" i="3"/>
  <c r="AE834" i="3"/>
  <c r="AE572" i="3"/>
  <c r="AE853" i="3"/>
  <c r="AE295" i="3"/>
  <c r="AE728" i="3"/>
  <c r="AE456" i="3"/>
  <c r="AE580" i="3"/>
  <c r="AE535" i="3"/>
  <c r="AE347" i="3"/>
  <c r="AE276" i="3"/>
  <c r="AE855" i="3"/>
  <c r="AE361" i="3"/>
  <c r="AE805" i="3"/>
  <c r="AE790" i="3"/>
  <c r="AE515" i="3"/>
  <c r="AE309" i="3"/>
  <c r="AE537" i="3"/>
  <c r="AE427" i="3"/>
  <c r="AE541" i="3"/>
  <c r="AE651" i="3"/>
  <c r="AE617" i="3"/>
  <c r="AE30" i="3"/>
  <c r="AE551" i="3"/>
  <c r="AE500" i="3"/>
  <c r="AE333" i="3"/>
  <c r="AE618" i="3"/>
  <c r="AE397" i="3"/>
  <c r="AE831" i="3"/>
  <c r="AE588" i="3"/>
  <c r="AE2" i="3"/>
  <c r="AE162" i="3"/>
  <c r="AE514" i="3"/>
  <c r="AE387" i="3"/>
  <c r="AE635" i="3"/>
  <c r="AE327" i="3"/>
  <c r="AE633" i="3"/>
  <c r="AE789" i="3"/>
  <c r="AE301" i="3"/>
  <c r="AE271" i="3"/>
  <c r="AE811" i="3"/>
  <c r="AE267" i="3"/>
  <c r="AE727" i="3"/>
  <c r="AE317" i="3"/>
  <c r="AE558" i="3"/>
  <c r="AE45" i="3"/>
  <c r="AE275" i="3"/>
  <c r="AE270" i="3"/>
  <c r="AE722" i="3"/>
  <c r="AE569" i="3"/>
  <c r="AE625" i="3"/>
  <c r="AE863" i="3"/>
  <c r="AE349" i="3"/>
  <c r="AE697" i="3"/>
  <c r="AE596" i="3"/>
  <c r="AE149" i="3"/>
  <c r="AE726" i="3"/>
  <c r="AE457" i="3"/>
  <c r="AE597" i="3"/>
  <c r="AE861" i="3"/>
  <c r="AE353" i="3"/>
  <c r="AE269" i="3"/>
  <c r="AE13" i="3"/>
  <c r="AE591" i="3"/>
  <c r="AE862" i="3"/>
  <c r="AE36" i="3"/>
  <c r="AE319" i="3"/>
  <c r="AE297" i="3"/>
  <c r="AE331" i="3"/>
  <c r="AE343" i="3"/>
  <c r="AE793" i="3"/>
  <c r="AE335" i="3"/>
  <c r="AE372" i="3"/>
  <c r="AE428" i="3"/>
  <c r="AE465" i="3"/>
  <c r="AE667" i="3"/>
  <c r="AE532" i="3"/>
  <c r="AE836" i="3"/>
  <c r="AE431" i="3"/>
  <c r="AE376" i="3"/>
  <c r="AE795" i="3"/>
  <c r="AE313" i="3"/>
  <c r="AE396" i="3"/>
  <c r="AE315" i="3"/>
  <c r="AE287" i="3"/>
  <c r="AE148" i="3"/>
  <c r="AE374" i="3"/>
  <c r="AE694" i="3"/>
  <c r="AE681" i="3"/>
  <c r="AE546" i="3"/>
  <c r="AE442" i="3"/>
  <c r="AE378" i="3"/>
  <c r="AE430" i="3"/>
  <c r="AE304" i="3"/>
  <c r="AE511" i="3"/>
  <c r="AE62" i="3"/>
  <c r="AE824" i="3"/>
  <c r="AE288" i="3"/>
  <c r="AE359" i="3"/>
  <c r="AE815" i="3"/>
  <c r="AE810" i="3"/>
  <c r="AE289" i="3"/>
  <c r="AE424" i="3"/>
  <c r="AE737" i="3"/>
  <c r="AE626" i="3"/>
  <c r="AE638" i="3"/>
  <c r="AE770" i="3"/>
  <c r="AE291" i="3"/>
  <c r="AE12" i="3"/>
  <c r="AE459" i="3"/>
  <c r="AE571" i="3"/>
  <c r="AE543" i="3"/>
  <c r="AE874" i="3"/>
  <c r="AE833" i="3"/>
  <c r="AE545" i="3"/>
  <c r="AE43" i="3"/>
  <c r="AE158" i="3"/>
  <c r="AE458" i="3"/>
  <c r="AE593" i="3"/>
  <c r="AE867" i="3"/>
  <c r="AE755" i="3"/>
  <c r="AE296" i="3"/>
  <c r="AE506" i="3"/>
  <c r="AE869" i="3"/>
  <c r="AE37" i="3"/>
  <c r="AE639" i="3"/>
  <c r="AE344" i="3"/>
  <c r="AE401" i="3"/>
  <c r="AE426" i="3"/>
  <c r="AE429" i="3"/>
  <c r="AE693" i="3"/>
  <c r="AE548" i="3"/>
  <c r="AE334" i="3"/>
  <c r="AE589" i="3"/>
  <c r="AE163" i="3"/>
  <c r="AE279" i="3"/>
  <c r="AE398" i="3"/>
  <c r="AE14" i="3"/>
  <c r="AE50" i="3"/>
  <c r="AE567" i="3"/>
  <c r="AE637" i="3"/>
  <c r="AE413" i="3"/>
  <c r="AE584" i="3"/>
  <c r="AE705" i="3"/>
  <c r="AE554" i="3"/>
  <c r="AE648" i="3"/>
  <c r="AE443" i="3"/>
  <c r="AE586" i="3"/>
  <c r="AE837" i="3"/>
  <c r="AE15" i="3"/>
  <c r="AE814" i="3"/>
  <c r="AE809" i="3"/>
  <c r="AE848" i="3"/>
  <c r="AE286" i="3"/>
  <c r="AE749" i="3"/>
  <c r="AE713" i="3"/>
  <c r="AE692" i="3"/>
  <c r="AE663" i="3"/>
  <c r="AE666" i="3"/>
  <c r="AE670" i="3"/>
  <c r="AE688" i="3"/>
  <c r="AE702" i="3"/>
  <c r="AE649" i="3"/>
  <c r="AE679" i="3"/>
  <c r="AE676" i="3"/>
  <c r="AE653" i="3"/>
  <c r="AE691" i="3"/>
  <c r="AE714" i="3"/>
  <c r="AE733" i="3"/>
  <c r="AE747" i="3"/>
  <c r="AE723" i="3"/>
  <c r="AE683" i="3"/>
  <c r="AE732" i="3"/>
  <c r="AE746" i="3"/>
  <c r="AE725" i="3"/>
  <c r="AE684" i="3"/>
  <c r="AE660" i="3"/>
  <c r="AE671" i="3"/>
  <c r="AE640" i="3"/>
  <c r="AE657" i="3"/>
  <c r="AE664" i="3"/>
  <c r="AE709" i="3"/>
  <c r="AE707" i="3"/>
  <c r="AE680" i="3"/>
  <c r="AE672" i="3"/>
  <c r="AE743" i="3"/>
  <c r="AE716" i="3"/>
  <c r="AE669" i="3"/>
  <c r="AE706" i="3"/>
  <c r="AE719" i="3"/>
  <c r="AE715" i="3"/>
  <c r="AE720" i="3"/>
  <c r="AE659" i="3"/>
  <c r="AE718" i="3"/>
  <c r="AE721" i="3"/>
  <c r="AE703" i="3"/>
  <c r="AE698" i="3"/>
  <c r="AE645" i="3"/>
  <c r="AE745" i="3"/>
  <c r="AE699" i="3"/>
  <c r="AE675" i="3"/>
  <c r="AE655" i="3"/>
  <c r="AE656" i="3"/>
  <c r="AE642" i="3"/>
  <c r="AE729" i="3"/>
  <c r="AE650" i="3"/>
  <c r="AE731" i="3"/>
  <c r="AE704" i="3"/>
  <c r="AE673" i="3"/>
  <c r="AE708" i="3"/>
  <c r="AE662" i="3"/>
  <c r="AE665" i="3"/>
  <c r="AE690" i="3"/>
  <c r="AE710" i="3"/>
  <c r="AE742" i="3"/>
  <c r="AE701" i="3"/>
  <c r="AE730" i="3"/>
  <c r="AE711" i="3"/>
  <c r="AE744" i="3"/>
  <c r="AE644" i="3"/>
  <c r="AE739" i="3"/>
  <c r="AE647" i="3"/>
  <c r="AE712" i="3"/>
  <c r="AE668" i="3"/>
  <c r="AE652" i="3"/>
  <c r="AE748" i="3"/>
  <c r="AE685" i="3"/>
  <c r="AE678" i="3"/>
  <c r="AE674" i="3"/>
  <c r="AE661" i="3"/>
  <c r="AE682" i="3"/>
  <c r="AE654" i="3"/>
  <c r="AE658" i="3"/>
  <c r="AE687" i="3"/>
  <c r="AE717" i="3"/>
  <c r="AE686" i="3"/>
  <c r="AE700" i="3"/>
  <c r="AE641" i="3"/>
  <c r="AE677" i="3"/>
  <c r="AE643" i="3"/>
  <c r="AE724" i="3"/>
  <c r="AE738" i="3"/>
  <c r="AE734" i="3"/>
  <c r="AE740" i="3"/>
  <c r="AE736" i="3"/>
  <c r="AE508" i="3"/>
  <c r="AE490" i="3"/>
  <c r="AE406" i="3"/>
  <c r="AE403" i="3"/>
  <c r="AE446" i="3"/>
  <c r="AE399" i="3"/>
  <c r="AE393" i="3"/>
  <c r="AE417" i="3"/>
  <c r="AE394" i="3"/>
  <c r="AE496" i="3"/>
  <c r="AE483" i="3"/>
  <c r="AE479" i="3"/>
  <c r="AE481" i="3"/>
  <c r="AE470" i="3"/>
  <c r="AE411" i="3"/>
  <c r="AE415" i="3"/>
  <c r="AE418" i="3"/>
  <c r="AE507" i="3"/>
  <c r="AE464" i="3"/>
  <c r="AE502" i="3"/>
  <c r="AE505" i="3"/>
  <c r="AE388" i="3"/>
  <c r="AE438" i="3"/>
  <c r="AE421" i="3"/>
  <c r="AE492" i="3"/>
  <c r="AE404" i="3"/>
  <c r="AE405" i="3"/>
  <c r="AE433" i="3"/>
  <c r="AE400" i="3"/>
  <c r="AE450" i="3"/>
  <c r="AE497" i="3"/>
  <c r="AE488" i="3"/>
  <c r="AE482" i="3"/>
  <c r="AE476" i="3"/>
  <c r="AE485" i="3"/>
  <c r="AE467" i="3"/>
  <c r="AE478" i="3"/>
  <c r="AE461" i="3"/>
  <c r="AE391" i="3"/>
  <c r="AE504" i="3"/>
  <c r="AE435" i="3"/>
  <c r="AE451" i="3"/>
  <c r="AE454" i="3"/>
  <c r="AE439" i="3"/>
  <c r="AE420" i="3"/>
  <c r="AE489" i="3"/>
  <c r="AE407" i="3"/>
  <c r="AE409" i="3"/>
  <c r="AE445" i="3"/>
  <c r="AE498" i="3"/>
  <c r="AE444" i="3"/>
  <c r="AE390" i="3"/>
  <c r="AE389" i="3"/>
  <c r="AE453" i="3"/>
  <c r="AE495" i="3"/>
  <c r="AE487" i="3"/>
  <c r="AE486" i="3"/>
  <c r="AE477" i="3"/>
  <c r="AE484" i="3"/>
  <c r="AE469" i="3"/>
  <c r="AE460" i="3"/>
  <c r="AE466" i="3"/>
  <c r="AE416" i="3"/>
  <c r="AE447" i="3"/>
  <c r="AE386" i="3"/>
  <c r="AE437" i="3"/>
  <c r="AE383" i="3"/>
  <c r="AE385" i="3"/>
  <c r="AE491" i="3"/>
  <c r="AE472" i="3"/>
  <c r="AE410" i="3"/>
  <c r="AE408" i="3"/>
  <c r="AE432" i="3"/>
  <c r="AE379" i="3"/>
  <c r="AE455" i="3"/>
  <c r="AE436" i="3"/>
  <c r="AE419" i="3"/>
  <c r="AE412" i="3"/>
  <c r="AE494" i="3"/>
  <c r="AE480" i="3"/>
  <c r="AE475" i="3"/>
  <c r="AE468" i="3"/>
  <c r="AE471" i="3"/>
  <c r="AE449" i="3"/>
  <c r="AE463" i="3"/>
  <c r="AE462" i="3"/>
  <c r="AE448" i="3"/>
  <c r="AE392" i="3"/>
  <c r="AE384" i="3"/>
  <c r="AE440" i="3"/>
  <c r="AE423" i="3"/>
  <c r="AE422" i="3"/>
  <c r="AE892" i="3"/>
  <c r="AE875" i="3"/>
  <c r="AE883" i="3"/>
  <c r="AE866" i="3"/>
  <c r="AE881" i="3"/>
  <c r="AE859" i="3"/>
  <c r="AE876" i="3"/>
  <c r="AE888" i="3"/>
  <c r="AE878" i="3"/>
  <c r="AE860" i="3"/>
  <c r="AE877" i="3"/>
  <c r="AE886" i="3"/>
  <c r="AE873" i="3"/>
  <c r="AE879" i="3"/>
  <c r="AE864" i="3"/>
  <c r="AE887" i="3"/>
  <c r="AE871" i="3"/>
  <c r="AE882" i="3"/>
  <c r="AE865" i="3"/>
  <c r="AE377" i="3"/>
  <c r="AE314" i="3"/>
  <c r="AE375" i="3"/>
  <c r="AE340" i="3"/>
  <c r="AE308" i="3"/>
  <c r="AE298" i="3"/>
  <c r="AE366" i="3"/>
  <c r="AE358" i="3"/>
  <c r="AE300" i="3"/>
  <c r="AE305" i="3"/>
  <c r="AE364" i="3"/>
  <c r="AE318" i="3"/>
  <c r="AE312" i="3"/>
  <c r="AE311" i="3"/>
  <c r="AE337" i="3"/>
  <c r="AE369" i="3"/>
  <c r="AE360" i="3"/>
  <c r="AE365" i="3"/>
  <c r="AE322" i="3"/>
  <c r="AE351" i="3"/>
  <c r="AE357" i="3"/>
  <c r="AE329" i="3"/>
  <c r="AE339" i="3"/>
  <c r="AE302" i="3"/>
  <c r="AE310" i="3"/>
  <c r="AE370" i="3"/>
  <c r="AE371" i="3"/>
  <c r="AE336" i="3"/>
  <c r="AE332" i="3"/>
  <c r="AE356" i="3"/>
  <c r="AE368" i="3"/>
  <c r="AE293" i="3"/>
  <c r="AE350" i="3"/>
  <c r="AE341" i="3"/>
  <c r="AE299" i="3"/>
  <c r="AE338" i="3"/>
  <c r="AE307" i="3"/>
  <c r="AE326" i="3"/>
  <c r="AE328" i="3"/>
  <c r="AE345" i="3"/>
  <c r="AE348" i="3"/>
  <c r="AE355" i="3"/>
  <c r="AE323" i="3"/>
  <c r="AE373" i="3"/>
  <c r="AE330" i="3"/>
  <c r="AE306" i="3"/>
  <c r="AE352" i="3"/>
  <c r="AE324" i="3"/>
  <c r="AE367" i="3"/>
  <c r="AE362" i="3"/>
  <c r="AE294" i="3"/>
  <c r="AE636" i="3"/>
  <c r="AE613" i="3"/>
  <c r="AE608" i="3"/>
  <c r="AE601" i="3"/>
  <c r="AE553" i="3"/>
  <c r="AE615" i="3"/>
  <c r="AE610" i="3"/>
  <c r="AE581" i="3"/>
  <c r="AE630" i="3"/>
  <c r="AE585" i="3"/>
  <c r="AE583" i="3"/>
  <c r="AE575" i="3"/>
  <c r="AE590" i="3"/>
  <c r="AE621" i="3"/>
  <c r="AE595" i="3"/>
  <c r="AE560" i="3"/>
  <c r="AE609" i="3"/>
  <c r="AE531" i="3"/>
  <c r="AE604" i="3"/>
  <c r="AE582" i="3"/>
  <c r="AE550" i="3"/>
  <c r="AE552" i="3"/>
  <c r="AE611" i="3"/>
  <c r="AE600" i="3"/>
  <c r="AE606" i="3"/>
  <c r="AE564" i="3"/>
  <c r="AE547" i="3"/>
  <c r="AE576" i="3"/>
  <c r="AE549" i="3"/>
  <c r="AE574" i="3"/>
  <c r="AE573" i="3"/>
  <c r="AE620" i="3"/>
  <c r="AE565" i="3"/>
  <c r="AE559" i="3"/>
  <c r="AE605" i="3"/>
  <c r="AE628" i="3"/>
  <c r="AE616" i="3"/>
  <c r="AE556" i="3"/>
  <c r="AE607" i="3"/>
  <c r="AE602" i="3"/>
  <c r="AE555" i="3"/>
  <c r="AE533" i="3"/>
  <c r="AE539" i="3"/>
  <c r="AE594" i="3"/>
  <c r="AE578" i="3"/>
  <c r="AE622" i="3"/>
  <c r="AE577" i="3"/>
  <c r="AE542" i="3"/>
  <c r="AE599" i="3"/>
  <c r="AE612" i="3"/>
  <c r="AE536" i="3"/>
  <c r="AE562" i="3"/>
  <c r="AE557" i="3"/>
  <c r="AE603" i="3"/>
  <c r="AE619" i="3"/>
  <c r="AE614" i="3"/>
  <c r="AE561" i="3"/>
  <c r="AE632" i="3"/>
  <c r="AE563" i="3"/>
  <c r="AE598" i="3"/>
  <c r="AE627" i="3"/>
  <c r="AE624" i="3"/>
  <c r="AE858" i="3"/>
  <c r="AE799" i="3"/>
  <c r="AE798" i="3"/>
  <c r="AE762" i="3"/>
  <c r="AE768" i="3"/>
  <c r="AE766" i="3"/>
  <c r="AE750" i="3"/>
  <c r="AE835" i="3"/>
  <c r="AE825" i="3"/>
  <c r="AE802" i="3"/>
  <c r="AE751" i="3"/>
  <c r="AE774" i="3"/>
  <c r="AE756" i="3"/>
  <c r="AE772" i="3"/>
  <c r="AE820" i="3"/>
  <c r="AE840" i="3"/>
  <c r="AE801" i="3"/>
  <c r="AE806" i="3"/>
  <c r="AE822" i="3"/>
  <c r="AE786" i="3"/>
  <c r="AE808" i="3"/>
  <c r="AE758" i="3"/>
  <c r="AE760" i="3"/>
  <c r="AE764" i="3"/>
  <c r="AE776" i="3"/>
  <c r="AE778" i="3"/>
  <c r="AE763" i="3"/>
  <c r="AE844" i="3"/>
  <c r="AE797" i="3"/>
  <c r="AE779" i="3"/>
  <c r="AE827" i="3"/>
  <c r="AE804" i="3"/>
  <c r="AE841" i="3"/>
  <c r="AE845" i="3"/>
  <c r="AE771" i="3"/>
  <c r="AE838" i="3"/>
  <c r="AE784" i="3"/>
  <c r="AE828" i="3"/>
  <c r="AE819" i="3"/>
  <c r="AE850" i="3"/>
  <c r="AE807" i="3"/>
  <c r="AE856" i="3"/>
  <c r="AE781" i="3"/>
  <c r="AE773" i="3"/>
  <c r="AE767" i="3"/>
  <c r="AE777" i="3"/>
  <c r="AE783" i="3"/>
  <c r="AE761" i="3"/>
  <c r="AE791" i="3"/>
  <c r="AE843" i="3"/>
  <c r="AE821" i="3"/>
  <c r="AE787" i="3"/>
  <c r="AE780" i="3"/>
  <c r="AE803" i="3"/>
  <c r="AE839" i="3"/>
  <c r="AE769" i="3"/>
  <c r="AE765" i="3"/>
  <c r="AE752" i="3"/>
  <c r="AE846" i="3"/>
  <c r="AE775" i="3"/>
  <c r="AE759" i="3"/>
  <c r="AE782" i="3"/>
  <c r="AE829" i="3"/>
  <c r="AE794" i="3"/>
  <c r="AE842" i="3"/>
  <c r="AE854" i="3"/>
  <c r="AE826" i="3"/>
  <c r="AE800" i="3"/>
  <c r="AE792" i="3"/>
  <c r="AE851" i="3"/>
  <c r="AE849" i="3"/>
  <c r="AE818" i="3"/>
  <c r="AE816" i="3"/>
  <c r="AE812" i="3"/>
  <c r="AE754" i="3"/>
  <c r="AE753" i="3"/>
  <c r="AE796" i="3"/>
  <c r="AE381" i="3"/>
  <c r="AE363" i="3"/>
  <c r="AE530" i="3"/>
  <c r="AE509" i="3"/>
  <c r="AE524" i="3"/>
  <c r="AE523" i="3"/>
  <c r="AE528" i="3"/>
  <c r="AE526" i="3"/>
  <c r="AE512" i="3"/>
  <c r="AE529" i="3"/>
  <c r="AE522" i="3"/>
  <c r="AE510" i="3"/>
  <c r="AE516" i="3"/>
  <c r="AE527" i="3"/>
  <c r="AE518" i="3"/>
  <c r="AE517" i="3"/>
  <c r="AE521" i="3"/>
  <c r="AE525" i="3"/>
  <c r="AE847" i="3"/>
  <c r="AE382" i="3"/>
  <c r="AE646" i="3"/>
  <c r="AE321" i="3"/>
  <c r="AE18" i="3"/>
  <c r="AE570" i="3"/>
  <c r="AE566" i="3"/>
  <c r="AE544" i="3"/>
  <c r="AE885" i="3"/>
  <c r="AE832" i="3"/>
  <c r="AE501" i="3"/>
  <c r="AE320" i="3"/>
  <c r="AE21" i="3"/>
  <c r="AE441" i="3"/>
  <c r="AE534" i="3"/>
  <c r="AE868" i="3"/>
  <c r="AE316" i="3"/>
  <c r="AE285" i="3"/>
  <c r="AE503" i="3"/>
  <c r="AE890" i="3"/>
  <c r="AE354" i="3"/>
  <c r="AE380" i="3"/>
  <c r="AE303" i="3"/>
  <c r="AE689" i="3"/>
  <c r="AE168" i="3"/>
  <c r="AE634" i="3"/>
  <c r="AE519" i="3"/>
  <c r="AE425" i="3"/>
  <c r="AE434" i="3"/>
  <c r="AE788" i="3"/>
  <c r="AE587" i="3"/>
  <c r="AE61" i="3"/>
  <c r="AE452" i="3"/>
  <c r="AE629" i="3"/>
  <c r="AE499" i="3"/>
  <c r="AE277" i="3"/>
  <c r="AE273" i="3"/>
  <c r="AE579" i="3"/>
  <c r="AE152" i="3"/>
  <c r="AE880" i="3"/>
  <c r="AE623" i="3"/>
  <c r="AE757" i="3"/>
  <c r="AE520" i="3"/>
  <c r="AE402" i="3"/>
  <c r="AE735" i="3"/>
  <c r="AE631" i="3"/>
  <c r="AE342" i="3"/>
  <c r="AE540" i="3"/>
  <c r="AE414" i="3"/>
  <c r="AE891" i="3"/>
  <c r="AE785" i="3"/>
  <c r="AE830" i="3"/>
  <c r="AE325" i="3"/>
  <c r="AE17" i="3"/>
  <c r="AE813" i="3"/>
  <c r="AE817" i="3"/>
  <c r="AE696" i="3"/>
  <c r="AE870" i="3"/>
  <c r="AE889" i="3"/>
</calcChain>
</file>

<file path=xl/sharedStrings.xml><?xml version="1.0" encoding="utf-8"?>
<sst xmlns="http://schemas.openxmlformats.org/spreadsheetml/2006/main" count="17591" uniqueCount="1248">
  <si>
    <t>tarpaulin sheets</t>
  </si>
  <si>
    <t>material</t>
  </si>
  <si>
    <t>timber/bamboo</t>
  </si>
  <si>
    <t xml:space="preserve">local poles </t>
  </si>
  <si>
    <t>local poles (with brackets )</t>
  </si>
  <si>
    <t>local poles (rafters)</t>
  </si>
  <si>
    <t>local poles (trusses)</t>
  </si>
  <si>
    <t>bush sticks</t>
  </si>
  <si>
    <t>local rope</t>
  </si>
  <si>
    <t>nails</t>
  </si>
  <si>
    <t>bushwood</t>
  </si>
  <si>
    <t xml:space="preserve">foudation </t>
  </si>
  <si>
    <t>steel</t>
  </si>
  <si>
    <t>foundation</t>
  </si>
  <si>
    <t>plastic</t>
  </si>
  <si>
    <t>timber</t>
  </si>
  <si>
    <t>rubber</t>
  </si>
  <si>
    <t>metal</t>
  </si>
  <si>
    <t>concrete</t>
  </si>
  <si>
    <t>material category</t>
  </si>
  <si>
    <t xml:space="preserve">building component </t>
  </si>
  <si>
    <t>item</t>
  </si>
  <si>
    <t xml:space="preserve">nb of item used </t>
  </si>
  <si>
    <t>weight (kg )</t>
  </si>
  <si>
    <t>assumed material from database</t>
  </si>
  <si>
    <t>comment</t>
  </si>
  <si>
    <t>comment2</t>
  </si>
  <si>
    <t>comment3</t>
  </si>
  <si>
    <t>comment5</t>
  </si>
  <si>
    <t>ground and foundation</t>
  </si>
  <si>
    <t>wall/roof/floor</t>
  </si>
  <si>
    <t>Area given rather than volume (in m2 ) then associated to specific weight in kg/m2</t>
  </si>
  <si>
    <t>tarpaulin</t>
  </si>
  <si>
    <t>door</t>
  </si>
  <si>
    <t>window</t>
  </si>
  <si>
    <t>HDPE</t>
  </si>
  <si>
    <t>coated on both sides with LDPE( how do I include that ?)</t>
  </si>
  <si>
    <t>bamboo value not avalable in database but would be interesting to have a comparison?</t>
  </si>
  <si>
    <t>similar densities? Lack of info about specific woods used in sudan</t>
  </si>
  <si>
    <t>concrete (std.)</t>
  </si>
  <si>
    <t>wall</t>
  </si>
  <si>
    <t>extras -floor and finishes</t>
  </si>
  <si>
    <t>wall/roof</t>
  </si>
  <si>
    <t>connection</t>
  </si>
  <si>
    <t>connections</t>
  </si>
  <si>
    <t>taken as timber density. source: CISBE data</t>
  </si>
  <si>
    <t>taken as hardwood density. Source:CISBE data</t>
  </si>
  <si>
    <t>source:CISBE</t>
  </si>
  <si>
    <t>taken as compacted cast concrete .source:CISBE</t>
  </si>
  <si>
    <t>EE (MJ /kg) COEF</t>
  </si>
  <si>
    <t>EC(kgCO2e/kg) COEF</t>
  </si>
  <si>
    <t>location</t>
  </si>
  <si>
    <t>thatch</t>
  </si>
  <si>
    <t>thatch cladding</t>
  </si>
  <si>
    <t>thatch provided in bundles but unknown diameter of bundle (from pictures google, assumed 50 cm diameter bundle)</t>
  </si>
  <si>
    <t>unsure about bundle definition</t>
  </si>
  <si>
    <t>roof</t>
  </si>
  <si>
    <t>floor</t>
  </si>
  <si>
    <t>roof/floor</t>
  </si>
  <si>
    <t>virgin iron</t>
  </si>
  <si>
    <t>roof sheet</t>
  </si>
  <si>
    <t>roof cap</t>
  </si>
  <si>
    <t>"metallic"</t>
  </si>
  <si>
    <t>galvanized corrugated iron</t>
  </si>
  <si>
    <t>assumed thickness of sheet 0.004m</t>
  </si>
  <si>
    <t>nail roofing</t>
  </si>
  <si>
    <t>source: CISBE</t>
  </si>
  <si>
    <t>assumed thickness of sheet 0.0025m</t>
  </si>
  <si>
    <t>mud</t>
  </si>
  <si>
    <t>rammed soil</t>
  </si>
  <si>
    <t>outer tent roof canvas</t>
  </si>
  <si>
    <t>poly-cotton :cotton( 40%);Polyester (60%)</t>
  </si>
  <si>
    <t>specification from UNHCR in kG/m2 of fabric</t>
  </si>
  <si>
    <t>outer tent wall canvas</t>
  </si>
  <si>
    <t>inner tent canvas</t>
  </si>
  <si>
    <t>mud flap</t>
  </si>
  <si>
    <t>ground sheet</t>
  </si>
  <si>
    <t>HDPE coated in LDPE on both side</t>
  </si>
  <si>
    <t xml:space="preserve">polyester or polyethylene </t>
  </si>
  <si>
    <t>polyethylene</t>
  </si>
  <si>
    <t>6 side poles</t>
  </si>
  <si>
    <t>1 ridge beam</t>
  </si>
  <si>
    <t>4 door poles</t>
  </si>
  <si>
    <t>6 guy rope(side)</t>
  </si>
  <si>
    <t>4 guy ropes (ends)</t>
  </si>
  <si>
    <t>10 50mm wide polyester straps</t>
  </si>
  <si>
    <t>Polyester ropes</t>
  </si>
  <si>
    <t>Polyester straps.</t>
  </si>
  <si>
    <t>10 10mm diameter steel rings</t>
  </si>
  <si>
    <t xml:space="preserve">windows (0.3x3.6m) net </t>
  </si>
  <si>
    <t>galvanized steel</t>
  </si>
  <si>
    <t>steel pipe</t>
  </si>
  <si>
    <t>2 upright poles</t>
  </si>
  <si>
    <t>1 upright pole</t>
  </si>
  <si>
    <t>4 metal pegs</t>
  </si>
  <si>
    <t xml:space="preserve">steel </t>
  </si>
  <si>
    <t>6 metal pegs</t>
  </si>
  <si>
    <t>26 metal pegs</t>
  </si>
  <si>
    <t>iron rebar</t>
  </si>
  <si>
    <t>steel bar</t>
  </si>
  <si>
    <t>16 plastic hooks</t>
  </si>
  <si>
    <t>16 D-rings</t>
  </si>
  <si>
    <t>1kg head steel hammer</t>
  </si>
  <si>
    <t xml:space="preserve">area of basic tarpaulin UNHCR sheet dimension </t>
  </si>
  <si>
    <t>ventilation net (0.25x0.3 triangle )</t>
  </si>
  <si>
    <t>mosquito net door (on openings (door window and ventilation both inner and outer tent)</t>
  </si>
  <si>
    <t>source:https://www.marlowropes.com/material-properties</t>
  </si>
  <si>
    <t>source CISBE</t>
  </si>
  <si>
    <t>roof/wall</t>
  </si>
  <si>
    <t>tool</t>
  </si>
  <si>
    <t>plastic/fabric</t>
  </si>
  <si>
    <t>plastic (std.)</t>
  </si>
  <si>
    <t>cotton assumed EE coef (55MJ/kg )  EC coef: 0.0059 polyesther assumed EE: 125 MJ/kGsource : (https://oecotextiles.wordpress.com/2011/01/19/estimating-the-carbon-footprint-of-a-fabric/)</t>
  </si>
  <si>
    <t>cotton assumed EE coef (55MJ/kg )  EC coef: 0.0059 ; polyesther assume EE: 125 MJ/kgsource : (https://oecotextiles.wordpress.com/2011/01/19/estimating-the-carbon-footprint-of-a-fabric/)</t>
  </si>
  <si>
    <t xml:space="preserve">polyesther </t>
  </si>
  <si>
    <t>we know the overall pack weighs around 50 kg therefore added some metal to account for the unknown amount of materials mensioned above</t>
  </si>
  <si>
    <t>we know the overall pack weighs around 50 kg therefore added some polyesther to account for the unknown amount of materials mensioned above</t>
  </si>
  <si>
    <t>UNHCR framed tent</t>
  </si>
  <si>
    <t>2x central pole</t>
  </si>
  <si>
    <t>awning pole</t>
  </si>
  <si>
    <t>foot pole</t>
  </si>
  <si>
    <t>roof pole</t>
  </si>
  <si>
    <t>door ridge</t>
  </si>
  <si>
    <t>vestibule pole</t>
  </si>
  <si>
    <t>top front cross piece</t>
  </si>
  <si>
    <t>cross piece 4</t>
  </si>
  <si>
    <t>cross piece 3</t>
  </si>
  <si>
    <t>half inner seperation</t>
  </si>
  <si>
    <t>Vpeg</t>
  </si>
  <si>
    <t>nail peg</t>
  </si>
  <si>
    <t xml:space="preserve">windows </t>
  </si>
  <si>
    <t>hammer</t>
  </si>
  <si>
    <t>rope 6mm</t>
  </si>
  <si>
    <t>rope  8mm</t>
  </si>
  <si>
    <t>polyesther</t>
  </si>
  <si>
    <t>rope 8mm</t>
  </si>
  <si>
    <t>Hard wood or strong UV proof plastic guy runners</t>
  </si>
  <si>
    <t>hardwood</t>
  </si>
  <si>
    <t xml:space="preserve">mosquito net door </t>
  </si>
  <si>
    <t>base pole plate</t>
  </si>
  <si>
    <t>metal extra</t>
  </si>
  <si>
    <t>polyesther extra</t>
  </si>
  <si>
    <t>semi-rigid polyolefin panels</t>
  </si>
  <si>
    <t>ventilation</t>
  </si>
  <si>
    <t xml:space="preserve">nuts bolts and plate fasteners </t>
  </si>
  <si>
    <t xml:space="preserve">plastic </t>
  </si>
  <si>
    <t>from research plastic often used for fixings and fasteners is nylon or polypropylene</t>
  </si>
  <si>
    <t xml:space="preserve"> polyolefin</t>
  </si>
  <si>
    <t>galvanized high stregth steel</t>
  </si>
  <si>
    <t xml:space="preserve"> pipes foudation side structure</t>
  </si>
  <si>
    <t xml:space="preserve">pipes foundation rear </t>
  </si>
  <si>
    <t xml:space="preserve">wall vertical pipes </t>
  </si>
  <si>
    <t xml:space="preserve">roof steel structure pipes </t>
  </si>
  <si>
    <t>roof steel structure pipes rear</t>
  </si>
  <si>
    <t>roof steel structure pipes diagonal</t>
  </si>
  <si>
    <t xml:space="preserve">roof steel strucutre vertical </t>
  </si>
  <si>
    <t>ground anchor plates</t>
  </si>
  <si>
    <t xml:space="preserve">ground sheet </t>
  </si>
  <si>
    <t>HDPE coated LDPE</t>
  </si>
  <si>
    <t>nylon</t>
  </si>
  <si>
    <t>PVC</t>
  </si>
  <si>
    <t>mosquito net window</t>
  </si>
  <si>
    <t>mosquito net door</t>
  </si>
  <si>
    <t>mosquito net ventilation</t>
  </si>
  <si>
    <t>tools</t>
  </si>
  <si>
    <t>volume data quality categorisation</t>
  </si>
  <si>
    <t xml:space="preserve"> nb of item used data quality categorisation</t>
  </si>
  <si>
    <t>density data quality categorisation</t>
  </si>
  <si>
    <t>shelter design name</t>
  </si>
  <si>
    <t>shelter type</t>
  </si>
  <si>
    <t>wooden gable frame shelter (option 1)</t>
  </si>
  <si>
    <t>emergency shelter</t>
  </si>
  <si>
    <t xml:space="preserve">South Sudan </t>
  </si>
  <si>
    <t>Footprint area (m2)</t>
  </si>
  <si>
    <t>life span (years)</t>
  </si>
  <si>
    <t>provided</t>
  </si>
  <si>
    <t>calculated from data provided</t>
  </si>
  <si>
    <t>volume or area</t>
  </si>
  <si>
    <t>units (m2 or m3)</t>
  </si>
  <si>
    <t>m2</t>
  </si>
  <si>
    <t>m3</t>
  </si>
  <si>
    <t>density (kg/m2) or specific weight (kg/m2)</t>
  </si>
  <si>
    <t>units (kg/m2 or kg/m3)</t>
  </si>
  <si>
    <t>kg/m2</t>
  </si>
  <si>
    <t>kg/m3</t>
  </si>
  <si>
    <t>from database</t>
  </si>
  <si>
    <t>wooden gable frame shelter (option 2)</t>
  </si>
  <si>
    <t>assumed</t>
  </si>
  <si>
    <t>wooden gable frame shelter (option 3)</t>
  </si>
  <si>
    <t>wooden gable frame shelter (option 4)</t>
  </si>
  <si>
    <t>wooden gable frame shelter (option 5)</t>
  </si>
  <si>
    <t>global shelter</t>
  </si>
  <si>
    <t>global</t>
  </si>
  <si>
    <t>addition to meet overall weight</t>
  </si>
  <si>
    <t>researched</t>
  </si>
  <si>
    <t>side front cross piece</t>
  </si>
  <si>
    <t>bushwood window</t>
  </si>
  <si>
    <t>galvanized corrugated iron roof sheet</t>
  </si>
  <si>
    <t>"metallic" roof cap</t>
  </si>
  <si>
    <t>metal nail roofing</t>
  </si>
  <si>
    <t>bushwood door</t>
  </si>
  <si>
    <t>steel nails</t>
  </si>
  <si>
    <t xml:space="preserve">concrete foudation </t>
  </si>
  <si>
    <t>UNHCR refugee unit</t>
  </si>
  <si>
    <t>kg/m4</t>
  </si>
  <si>
    <t>kg/m5</t>
  </si>
  <si>
    <t>Burkina Faso</t>
  </si>
  <si>
    <t>Synthetic Rope</t>
  </si>
  <si>
    <t>UNHCR plastic sheeting</t>
  </si>
  <si>
    <t>Plastic mats</t>
  </si>
  <si>
    <t>eucalyptus</t>
  </si>
  <si>
    <t xml:space="preserve">synthetic material </t>
  </si>
  <si>
    <t>virgin polypropylene, aluminium coating polyesther fabric sleeve</t>
  </si>
  <si>
    <t>Eucalytus Poles 4 m length, Ø 8-12 cm</t>
  </si>
  <si>
    <t>Eucalytus Poles 3 m length, Ø 4-8 cm</t>
  </si>
  <si>
    <t>Eucalytus Poles 4 m length, Ø 2-6 cm</t>
  </si>
  <si>
    <t>from specification winterization kit UNHCR</t>
  </si>
  <si>
    <t>fabric</t>
  </si>
  <si>
    <t xml:space="preserve">wall/roof </t>
  </si>
  <si>
    <t>floor/wall/roof</t>
  </si>
  <si>
    <t>Tuareg Shelter (option 1 )</t>
  </si>
  <si>
    <t>Tuareg Shelter (option 2 )</t>
  </si>
  <si>
    <t>straw mats</t>
  </si>
  <si>
    <t>straw</t>
  </si>
  <si>
    <t xml:space="preserve">Tuareg Tent </t>
  </si>
  <si>
    <t>Algeria</t>
  </si>
  <si>
    <t>cotton canvas *</t>
  </si>
  <si>
    <t>blended cloth</t>
  </si>
  <si>
    <t>cotton rope</t>
  </si>
  <si>
    <t>bamboo poles</t>
  </si>
  <si>
    <t>rivet pins</t>
  </si>
  <si>
    <t>iron pegs</t>
  </si>
  <si>
    <t xml:space="preserve">connections </t>
  </si>
  <si>
    <t xml:space="preserve">cotton </t>
  </si>
  <si>
    <t>cotton</t>
  </si>
  <si>
    <t>bamboo</t>
  </si>
  <si>
    <t>iron</t>
  </si>
  <si>
    <t xml:space="preserve">polyesther cotton? </t>
  </si>
  <si>
    <t>m</t>
  </si>
  <si>
    <t>local poles 1.8 m</t>
  </si>
  <si>
    <t>local poles 3.6 m</t>
  </si>
  <si>
    <t>bamboo sticks</t>
  </si>
  <si>
    <t>thatch roofing</t>
  </si>
  <si>
    <t xml:space="preserve">local door </t>
  </si>
  <si>
    <t>floor/wall</t>
  </si>
  <si>
    <t>local wood</t>
  </si>
  <si>
    <t>kg/m</t>
  </si>
  <si>
    <t>synthetic rope</t>
  </si>
  <si>
    <t>tukul shelter (option 1 )</t>
  </si>
  <si>
    <t>tukul shelther (option 2)</t>
  </si>
  <si>
    <t xml:space="preserve">Tent Shelter </t>
  </si>
  <si>
    <t>Afghanistan</t>
  </si>
  <si>
    <t>plywood</t>
  </si>
  <si>
    <t>bolts and nuts</t>
  </si>
  <si>
    <t>washers</t>
  </si>
  <si>
    <t>AZRAQ T-SHELTER</t>
  </si>
  <si>
    <t>transitional shelter</t>
  </si>
  <si>
    <t xml:space="preserve">Jordan </t>
  </si>
  <si>
    <t>Column and horizontal wall structures Tube 6 cm x 3 cm x 1.2 mm L=2.2 m</t>
  </si>
  <si>
    <t>Column and horizontal wall structures Tube 6 cm x 3 cm x 1.2 mm L=2.68m</t>
  </si>
  <si>
    <t>Column and horizontal wall structures Tube 6 cm x 3 cm x 1.2 mm L=3 m</t>
  </si>
  <si>
    <t>Column and horizontal wall structures Tube 6 cm x 3 cm x 1.2 mm L=0.95 m</t>
  </si>
  <si>
    <t>Column and horizontal wall structures Tube 6 cm x 3 cm x 1.2 mm L=2 m</t>
  </si>
  <si>
    <t>Rafter steel Tube 6 cm x 3 cm x 1.2 mm L=2.3m</t>
  </si>
  <si>
    <t>Purlin steel Tube 6 cm x 3 cm x 1.2 mm L=1.97m</t>
  </si>
  <si>
    <t>Rafter Tie Beam (50mmx2mm) L=1m</t>
  </si>
  <si>
    <t>Steel interlockers for steel tubes; profile 5 cm x 2.5 m x 1.5 mm L= 0.10m</t>
  </si>
  <si>
    <t xml:space="preserve">foundation steel anchor plate </t>
  </si>
  <si>
    <t xml:space="preserve">steel leg welded to anchor plate </t>
  </si>
  <si>
    <t>Deformed steel Anchor Pegs with cap on top (30cm long and 16mm dia) / 2 pcs per foundation plate</t>
  </si>
  <si>
    <t>Supporting steel Angle 3 cm x 2 cm x 2 mm L= 0.95 m</t>
  </si>
  <si>
    <t>door frame steel tube 30mmx30mmx1.2mm L=2</t>
  </si>
  <si>
    <t>door frame steel tube 30mmx30mmx1.2mm L=1.2</t>
  </si>
  <si>
    <t xml:space="preserve">door frame steel tube 30mmx30mmx1.2mm </t>
  </si>
  <si>
    <t xml:space="preserve">corrugated iron sheeting </t>
  </si>
  <si>
    <t xml:space="preserve">polyethylene expanded insulation layer </t>
  </si>
  <si>
    <t>door handles</t>
  </si>
  <si>
    <t>angle iron</t>
  </si>
  <si>
    <t>Padlock with 4 keys &amp; plastic key label</t>
  </si>
  <si>
    <t>Door tower bolts fitted to door top and side to inside of door frames</t>
  </si>
  <si>
    <t>Door flashing (10x10cm, 90 degrees, 1.1 metre length, 0.4 mm thickness)</t>
  </si>
  <si>
    <t>weight taken from internet product description :http://www.silverlinetools.com/en-GB/Products/Security/Padlocks/291405</t>
  </si>
  <si>
    <t>frame window long tubes</t>
  </si>
  <si>
    <t>frame window short tubes</t>
  </si>
  <si>
    <t>2 # of (14 mm thick) steel hinges per wing,</t>
  </si>
  <si>
    <t>Lockers fixed to window wings and window frames</t>
  </si>
  <si>
    <t>Window burglar bar (89 cm x 5 cm X 3 mm flat steel iron) welded to the outside window frame</t>
  </si>
  <si>
    <t>Framed metal wire mosquito screen fixed to window frame with all needed fixing material, size 0.84m x 0.85m positioned between the window wings and the burglar bars</t>
  </si>
  <si>
    <t>U-shaped Window flashing (Flat metal 200 mm x 1000 mm x 0.40 mm) fixed to inside and outside of window frame</t>
  </si>
  <si>
    <t>Aluminium foam Insulation (Expanded Polyethylene 15 mm thickness ) tightly stretched and fixed with self driving screws (aluminium foam outside) to the shelter's outside frame structure</t>
  </si>
  <si>
    <t>Roof Cladding: IBR sheeting 0.35 mm thick, eggshell white factory sprayed with a minimum of 17 cm roof overhang at eve level</t>
  </si>
  <si>
    <t>External Wall Cladding: IBR (Inverted Box Rib) sheeting 0.35 mm thick, eggshell white factory sprayed</t>
  </si>
  <si>
    <t>Internal Wall Cladding: IBR sheeting, vertically running from gable ridge and wall plate level to 5cm below natural ground floor level, fixed to shelter frame with self driving screws, color: eggshell white, thickness: 0.35mm</t>
  </si>
  <si>
    <t>Gable end Steel flashing (flat), 15 cm x 15 cm x 0.40 mm x 2.5 m length</t>
  </si>
  <si>
    <t>Ridge flashing (flat), 15 cm x 15 cm x 0.40 mm x 6.105 m lenth</t>
  </si>
  <si>
    <t>Wall Corner flashing (flat), 15 cm x 15 cm x 0.40 mm x 2.25 m length</t>
  </si>
  <si>
    <t>Eve flashing to close the gap between roof and wall IBR cladding, 8 cm x 8 cm X 6.1 m</t>
  </si>
  <si>
    <t>Two way intercrossing 6 mm diameter reinforcement steel bars at a rate of 30 cm spacing; to be installed on levelled compacted basecourse. Reinforcemet bars to be raised 2 cm above the basecourse layer</t>
  </si>
  <si>
    <t>Supplying, compacting, and levelling of ready mix M20 (20 Mpa) concrete with minimum 5 cm thickness</t>
  </si>
  <si>
    <t>Fixing of L-iron steel angle holders 30 mm x 30 mm x 2 mm x 50 mm length screwed to shelter frame as anchor for ceiling wires</t>
  </si>
  <si>
    <t>Supply and fixing of turnbuckles for ceiling and curtain &amp; wires</t>
  </si>
  <si>
    <t>Galvanized wires (2.5 mm dia) fixed to L-iron steel angles for partitioning shelter at wall plate level.</t>
  </si>
  <si>
    <t>Galvanized wires for curtain partitioning (2.5 mm dia) fixed to L-iron steel angles and to turnbukles at wall plate level</t>
  </si>
  <si>
    <t>Fixing of 6 inch dia PVC ventilation pipes fitted with metal wire mosquito screen and silicon sealed to Gable wall</t>
  </si>
  <si>
    <t>mosquito net</t>
  </si>
  <si>
    <t>Self drilling screw : Ind Hex washer head C1022 Hardened, Dia 3mm x 30mm</t>
  </si>
  <si>
    <t>Supporting steel Angle 3 cm x 2 cm x 2 mm L= 0.05 m</t>
  </si>
  <si>
    <t>insulation</t>
  </si>
  <si>
    <t>expanded polyethylene foam</t>
  </si>
  <si>
    <t>polyethylene net</t>
  </si>
  <si>
    <t>Stainless steel</t>
  </si>
  <si>
    <t>stainless steel</t>
  </si>
  <si>
    <t>rebar</t>
  </si>
  <si>
    <t>steel rebar</t>
  </si>
  <si>
    <t>concrete mix</t>
  </si>
  <si>
    <t>PVC pipe</t>
  </si>
  <si>
    <t>PVC Pipe</t>
  </si>
  <si>
    <t xml:space="preserve">compact bamboo shelter </t>
  </si>
  <si>
    <t>Ethiopia</t>
  </si>
  <si>
    <t>eucalyptus poles</t>
  </si>
  <si>
    <t>engine oil</t>
  </si>
  <si>
    <t xml:space="preserve">metal straps </t>
  </si>
  <si>
    <t>hinges</t>
  </si>
  <si>
    <t>lock system</t>
  </si>
  <si>
    <t>oil</t>
  </si>
  <si>
    <t>corrugated iron</t>
  </si>
  <si>
    <t xml:space="preserve"> assumed weight of 4 hinges from research :https://www.amazon.com/gp/product/B018Y0L402/ref=s9_acsd_topr_hd_bw_b16rgp_c_x_w?pf_rd_m=ATVPDKIKX0DER&amp;pf_rd_s=merchandised-search-3&amp;pf_rd_r=DRD7NSFGYPVSJ9R0D41G&amp;pf_rd_t=101&amp;pf_rd_p=90eef0a3-64f6-578c-a690-c4071e98fad9&amp;pf_rd_i=16412691</t>
  </si>
  <si>
    <t xml:space="preserve"> 2cm x 10m strap stainless steel weight found at : https://www.toolstation.com/shop/Construction+Materials/d210/Builders+Metalwork/sd2797/Stainless+Steel+Banding/p48657</t>
  </si>
  <si>
    <t>assumed from basic lock source : https://www.screwfix.com/p/squire-die-cast-steel-combination-locking-bolt-50mm/27477#product_additional_details_container</t>
  </si>
  <si>
    <t>twin elevated shelter</t>
  </si>
  <si>
    <t>Myanmar</t>
  </si>
  <si>
    <t>concrete pole footing</t>
  </si>
  <si>
    <t xml:space="preserve">bolt and nuts </t>
  </si>
  <si>
    <t>Timber Poles</t>
  </si>
  <si>
    <t xml:space="preserve">assumed from previous design UNHCR specification assume also 30 nuts and bolt per set ? </t>
  </si>
  <si>
    <t xml:space="preserve">bamboo mat </t>
  </si>
  <si>
    <t xml:space="preserve">butt hinge </t>
  </si>
  <si>
    <t xml:space="preserve">tower bolt </t>
  </si>
  <si>
    <t>door handles  4cm x 4cm x
16cm x 2 mm</t>
  </si>
  <si>
    <t xml:space="preserve">haps and stamples </t>
  </si>
  <si>
    <t xml:space="preserve">nails </t>
  </si>
  <si>
    <t>wire nail</t>
  </si>
  <si>
    <t>30 gauge GI sheet</t>
  </si>
  <si>
    <t>Eave and Verge Board</t>
  </si>
  <si>
    <t>30 Gauge G.I Plaine Sheet</t>
  </si>
  <si>
    <t>assumed thiknes of 0.7mm</t>
  </si>
  <si>
    <t xml:space="preserve">assumed </t>
  </si>
  <si>
    <t xml:space="preserve">assumption on the base of previous UNHCR project door handle </t>
  </si>
  <si>
    <t>assumption from research</t>
  </si>
  <si>
    <t>thickness of floor mat taken from UNHCR catalogue  : http://www.ifrc.org/PageFiles/95186/900300-Transitional%20Shelters-Eight%20designs-EN-LR.pdf</t>
  </si>
  <si>
    <t>assumption based on previous design</t>
  </si>
  <si>
    <t>gutter</t>
  </si>
  <si>
    <t>assumed thickness from gutter in :  http://www.ifrc.org/PageFiles/95186/900300-Transitional%20Shelters-Eight%20designs-EN-LR.pdf</t>
  </si>
  <si>
    <t>PVC - downtake pipe</t>
  </si>
  <si>
    <t>PVC elbow</t>
  </si>
  <si>
    <t>PVC 135˚ bend socket</t>
  </si>
  <si>
    <t>Oil</t>
  </si>
  <si>
    <t xml:space="preserve">assumed thickness and length </t>
  </si>
  <si>
    <t>assumed thickness PVC</t>
  </si>
  <si>
    <t>One room shelter</t>
  </si>
  <si>
    <t>durable shelter</t>
  </si>
  <si>
    <t>Pakistan</t>
  </si>
  <si>
    <t>stone</t>
  </si>
  <si>
    <t>cement</t>
  </si>
  <si>
    <t>sand</t>
  </si>
  <si>
    <t xml:space="preserve">stone </t>
  </si>
  <si>
    <t>aggregate</t>
  </si>
  <si>
    <t xml:space="preserve">cement </t>
  </si>
  <si>
    <t xml:space="preserve">sand </t>
  </si>
  <si>
    <t>bricks</t>
  </si>
  <si>
    <t xml:space="preserve">I - Beam, size 4"x 6"x 21.25' </t>
  </si>
  <si>
    <t>girder</t>
  </si>
  <si>
    <t>T - Beam, size 2"x 1"x 14.75'</t>
  </si>
  <si>
    <t>T Iron</t>
  </si>
  <si>
    <t>Brick Tiles, size 12"x 6"x 1.5", 504 units</t>
  </si>
  <si>
    <t>Well-Compacted roof soil, 4" thick (mud)</t>
  </si>
  <si>
    <t>Good Quality Plastic sheeting</t>
  </si>
  <si>
    <t>Straw mixed mud plaster 2" thick (straw mud)</t>
  </si>
  <si>
    <t>Capping Precast Concrete cement</t>
  </si>
  <si>
    <t>Capping Precast Concrete aggregates</t>
  </si>
  <si>
    <t>Steps in 1:4 CMS cement</t>
  </si>
  <si>
    <t>Steps in 1:4 CMS sand</t>
  </si>
  <si>
    <t>filling mud floor</t>
  </si>
  <si>
    <t>straw mud floor</t>
  </si>
  <si>
    <t>Door, timber, 1m x 2m, with frame, hinges and locks</t>
  </si>
  <si>
    <t>Window, timber, 0,9m x 1,2 m, with frame, hinges and locks</t>
  </si>
  <si>
    <t>clay based product</t>
  </si>
  <si>
    <t>hinges door</t>
  </si>
  <si>
    <t xml:space="preserve">locks door </t>
  </si>
  <si>
    <t>locks window</t>
  </si>
  <si>
    <t xml:space="preserve">hinges window </t>
  </si>
  <si>
    <t xml:space="preserve"> 10 bags weight from this converter: http://www.kylesconverter.com/mass/bags-of-portland-cement-to-kilograms</t>
  </si>
  <si>
    <t>assumption o, amount of protland cement per bag</t>
  </si>
  <si>
    <t xml:space="preserve"> 6.5 bags weight from this converter: http://www.kylesconverter.com/mass/bags-of-portland-cement-to-kilograms</t>
  </si>
  <si>
    <t>2 bags weight from this converter: http://www.kylesconverter.com/mass/bags-of-portland-cement-to-kilograms</t>
  </si>
  <si>
    <t>3 bags weight from this converter: http://www.kylesconverter.com/mass/bags-of-portland-cement-to-kilograms</t>
  </si>
  <si>
    <t>provided weight</t>
  </si>
  <si>
    <t>20 bags weight from this converter: http://www.kylesconverter.com/mass/bags-of-portland-cement-to-kilograms</t>
  </si>
  <si>
    <t>taken typical brick size UK 215x102.5x65</t>
  </si>
  <si>
    <t>thickness if I beam estimated at 6mm</t>
  </si>
  <si>
    <t>assumed thickness 0.003m</t>
  </si>
  <si>
    <t>1 bags weight from this converter: http://www.kylesconverter.com/mass/bags-of-portland-cement-to-kilograms</t>
  </si>
  <si>
    <t>0.8 bags weight from this converter: http://www.kylesconverter.com/mass/bags-of-portland-cement-to-kilograms</t>
  </si>
  <si>
    <t>weight taken from internet product description :http://www.silverlinetools.com/en-GB/Products/Security/Padlocks/291406</t>
  </si>
  <si>
    <t>L-shape shelter</t>
  </si>
  <si>
    <t>Iraq</t>
  </si>
  <si>
    <t>20cm layer cement  SRC (Sulphate
Resisting Portland Cement)</t>
  </si>
  <si>
    <t xml:space="preserve">layer broken bricks </t>
  </si>
  <si>
    <t>concrete layer for floor 10cm</t>
  </si>
  <si>
    <t xml:space="preserve">concrete SRC prtland cement </t>
  </si>
  <si>
    <t xml:space="preserve">hollow concrete blocks </t>
  </si>
  <si>
    <t>http://www.amaarblock.com/hollow.html</t>
  </si>
  <si>
    <t>kg/block</t>
  </si>
  <si>
    <t>hollow concrete blocks internal partition</t>
  </si>
  <si>
    <t>concrete block</t>
  </si>
  <si>
    <t>Plastering the internal walls by using ordinary Portland cement and fine sand (1:3) and then put layer of gypsum material taking into consideration the verticality and alignment according to the technical specifications</t>
  </si>
  <si>
    <t>portland cement</t>
  </si>
  <si>
    <t>using source following to assume a 2.2 cm layer overall (9mm+9mm+4mm):https://www.ecocem.ie/wp-content/uploads/2016/07/Ecocem-Technical-Advisory-Note-2-Plastering.pdf</t>
  </si>
  <si>
    <t>Plastering façade and toilet by using ordinary Portland cement and fine sand (1:3) taking into consideration the verticality and alignment according to the technical sepcifications</t>
  </si>
  <si>
    <t>Supply materials and sprinkling the external walls (front facade) with white cement</t>
  </si>
  <si>
    <t>Fill the joints between the concrete hollow blocks for the external walls with Portland cement and fine sand (1:3)</t>
  </si>
  <si>
    <t>Supply materials and paint the internal walls, for the toilet and kitchen with three coats of matt white oil paint</t>
  </si>
  <si>
    <t xml:space="preserve">assumption in database : 2.22 sqm coverage per kg </t>
  </si>
  <si>
    <t>paint (std.)</t>
  </si>
  <si>
    <t xml:space="preserve">4" channels </t>
  </si>
  <si>
    <t>C 4 x 7.25 from engineering toolbox data: https://www.engineeringtoolbox.com/american-standard-steel-channels-d_1321.html</t>
  </si>
  <si>
    <t>engineering toolbox data</t>
  </si>
  <si>
    <t>weight for 2 padlocks taken from internet product description :http://www.silverlinetools.com/en-GB/Products/Security/Padlocks/291405</t>
  </si>
  <si>
    <t>sheeting for roof  MTD TL 85/1000</t>
  </si>
  <si>
    <t>source : https://www.tatasteelconstruction.com/static_files/Tata%20Steel/content/products/Montana/Montanatherm/Downloads/montanatherm_detail_en.pdf</t>
  </si>
  <si>
    <t>stone (std.)</t>
  </si>
  <si>
    <t>cement (std.)</t>
  </si>
  <si>
    <t>sand (std.)</t>
  </si>
  <si>
    <t>aggregate (std.)</t>
  </si>
  <si>
    <t>brick</t>
  </si>
  <si>
    <t>clay brick</t>
  </si>
  <si>
    <t>brick tile</t>
  </si>
  <si>
    <t>clay tile</t>
  </si>
  <si>
    <t>straw mud</t>
  </si>
  <si>
    <t>Capping Precast Concrete sand</t>
  </si>
  <si>
    <t>assumed bamboo thickness 2cm</t>
  </si>
  <si>
    <t>from research</t>
  </si>
  <si>
    <t>source : https://www.research-collection.ethz.ch/bitstream/handle/20.500.11850/114729/ETH23193.pdf?sequence=1</t>
  </si>
  <si>
    <t xml:space="preserve">bamboo </t>
  </si>
  <si>
    <t>source: https://www.research-collection.ethz.ch/bitstream/handle/20.500.11850/114729/ETH23193.pdf?sequence=1</t>
  </si>
  <si>
    <t>CISBE data</t>
  </si>
  <si>
    <t>source: https://www.foamsearch.com/products/epp-epe-foam/ taken as foam 1.5 density</t>
  </si>
  <si>
    <t xml:space="preserve">steel bar </t>
  </si>
  <si>
    <t>CISBE</t>
  </si>
  <si>
    <t>Rakhine Timber rush matting shelter</t>
  </si>
  <si>
    <t>Pads. twelve 20cm x 20cm x 40cm</t>
  </si>
  <si>
    <t>Rush matting, 2m x(4+4+4+4)</t>
  </si>
  <si>
    <t>David Coley assumption</t>
  </si>
  <si>
    <t>four 4.5m x 2.5m sheets</t>
  </si>
  <si>
    <t>alluminium alloy</t>
  </si>
  <si>
    <t>kg/m6</t>
  </si>
  <si>
    <t>twelve 15cm x 15cm uprights, 3m long timber poles</t>
  </si>
  <si>
    <t>eight 4m x 5cm x 2cm beams</t>
  </si>
  <si>
    <t>four 2m x 5cm x 5cm beams</t>
  </si>
  <si>
    <t>eight 4m x 5cm x 5cm beams</t>
  </si>
  <si>
    <t>twelve 15cm x 5cm beams</t>
  </si>
  <si>
    <t>sixteen 4m x 25cm x 2cm floor boards</t>
  </si>
  <si>
    <t>fixings</t>
  </si>
  <si>
    <t>Rakhine metal  shelter</t>
  </si>
  <si>
    <t>Pads. twelve 20cm x 20cm x 40cm concrete foundation</t>
  </si>
  <si>
    <t>2m x(4+4+4+4) of sheeting</t>
  </si>
  <si>
    <t>aluminum alloy</t>
  </si>
  <si>
    <t>two 4.5m x 2.5m sheets aluminium</t>
  </si>
  <si>
    <t>aluminium alloy</t>
  </si>
  <si>
    <t>aluminium</t>
  </si>
  <si>
    <t>twelve 15cm x 15cm uprights, 3m long wood frame</t>
  </si>
  <si>
    <t>Nepal</t>
  </si>
  <si>
    <t>25.12m2 of sheeting</t>
  </si>
  <si>
    <t>Aluminium alloy</t>
  </si>
  <si>
    <t>12.56 m2 of 3cm diameter bamboo</t>
  </si>
  <si>
    <t xml:space="preserve">15 mm diameter  Steel pipe </t>
  </si>
  <si>
    <t xml:space="preserve">scaled volumes </t>
  </si>
  <si>
    <t>3cm diameter bamboo 6m</t>
  </si>
  <si>
    <t xml:space="preserve">fixings </t>
  </si>
  <si>
    <t>Nepal Metal and brick seismic design</t>
  </si>
  <si>
    <t>Nepal Metal and bamboo seismic design</t>
  </si>
  <si>
    <t>wall structure 4 4.15 m rebar 6mm diameter</t>
  </si>
  <si>
    <t>assumed 6mm diameter rebar</t>
  </si>
  <si>
    <t xml:space="preserve">david Coley </t>
  </si>
  <si>
    <t>assumption o, amount of protland cement per bag/ scaled down value from other design brickwork requirements</t>
  </si>
  <si>
    <t xml:space="preserve"> scaled down value from other design brickwork requirements</t>
  </si>
  <si>
    <t>taken typical brick size UK 215x102.5x65  scaled down value from other design brickwork requirements</t>
  </si>
  <si>
    <t xml:space="preserve">window timber frame </t>
  </si>
  <si>
    <t xml:space="preserve">door timber </t>
  </si>
  <si>
    <t>david Coley</t>
  </si>
  <si>
    <t>Phillipines</t>
  </si>
  <si>
    <t>Post Typhoon Wood hut</t>
  </si>
  <si>
    <t>concrete block (0.3x16x0.1) for under wall layer foundation</t>
  </si>
  <si>
    <t xml:space="preserve">david coley </t>
  </si>
  <si>
    <t xml:space="preserve">cement for foundation mortar </t>
  </si>
  <si>
    <t>assumed from specifications : http://www.corletts.im/resources/Downloads/PRODUCT%20INFORMATION%20SALES%20PACK%202012.pdf</t>
  </si>
  <si>
    <t>sand for mortar foundation</t>
  </si>
  <si>
    <t>rammed soil (0.5)+straw(0.5)</t>
  </si>
  <si>
    <t>polypropylene oriented film</t>
  </si>
  <si>
    <t>coefficients for gasoline taken from following table: http://www.claverton-energy.com/wordpress/wp-content/uploads/2012/08/the_energy_and_fuel_data_sheet1.pdf</t>
  </si>
  <si>
    <t>concrete wall</t>
  </si>
  <si>
    <t>sand for mortal</t>
  </si>
  <si>
    <t>cement for mortar</t>
  </si>
  <si>
    <t>four 4.5m x 2.5m  aluminium sheets</t>
  </si>
  <si>
    <t>Aluminium</t>
  </si>
  <si>
    <t>david coley</t>
  </si>
  <si>
    <t>eight 4m x 5cm x 2cm beams timber</t>
  </si>
  <si>
    <t>bamboo mat</t>
  </si>
  <si>
    <t>four 2m x 5cm x 5cm beams timber</t>
  </si>
  <si>
    <t>16m2 by 15cm deep concrete</t>
  </si>
  <si>
    <t xml:space="preserve">steel fixings </t>
  </si>
  <si>
    <t>vernacular Vanuatu palm straw shelter</t>
  </si>
  <si>
    <t>Vanuatu</t>
  </si>
  <si>
    <t>Two 2x2m = 8m2</t>
  </si>
  <si>
    <t>2.8 m by 4.5 m by 30cm thick</t>
  </si>
  <si>
    <t>4m x six of x 5cm x 5cm wood frame</t>
  </si>
  <si>
    <t>Main roof beam 3.14(0.05)^2 x 4m</t>
  </si>
  <si>
    <t>Fiji metal braced shelter</t>
  </si>
  <si>
    <t xml:space="preserve">Fiji </t>
  </si>
  <si>
    <t>4+2 )2m x 2 = 24m2 alluminium wall panels</t>
  </si>
  <si>
    <t>4.3m x 2.3m=9.89m2 aluminium roof panel</t>
  </si>
  <si>
    <t xml:space="preserve">5cmx5cmx2mx(16+20+10+5)+4.3x3cm*2cm*12=0.255 + 0.03096 = 0.286  wood frame </t>
  </si>
  <si>
    <t>floor timber 8m2 of 2cm timber</t>
  </si>
  <si>
    <t>Nigeria reinforced canvas shelter</t>
  </si>
  <si>
    <t>Nigeria</t>
  </si>
  <si>
    <t>3x(5+3)x2=48m2 wall plastic sheet</t>
  </si>
  <si>
    <t>concrete foundation One row of blocks. =18mx100mmx300mm</t>
  </si>
  <si>
    <t xml:space="preserve">aluminium </t>
  </si>
  <si>
    <t xml:space="preserve">5.3mx 6m = 31.8m2 sheet </t>
  </si>
  <si>
    <t>0.00035 m thickness assumed</t>
  </si>
  <si>
    <t>mosquito net 18x0.3</t>
  </si>
  <si>
    <t>polypropylene</t>
  </si>
  <si>
    <t>Vernacular flood resistant mud and thatch shelter</t>
  </si>
  <si>
    <t>malawi</t>
  </si>
  <si>
    <t xml:space="preserve">2x2(4+3)=28m2 assume 100mm thick earth block </t>
  </si>
  <si>
    <t>earth</t>
  </si>
  <si>
    <t>30m2, 30cm thick thatch</t>
  </si>
  <si>
    <t>5cmx5cmx2m x ten of. Plus 2mx3cmx2cmx(28+14) = 0.05m3+0.0504m3 frame battens</t>
  </si>
  <si>
    <t>8m2 of 2cm timber</t>
  </si>
  <si>
    <t>wood door 2mx1mx2cm</t>
  </si>
  <si>
    <t>wood window Total of 1mx1mx1cm</t>
  </si>
  <si>
    <t>Somalia concrete shelter</t>
  </si>
  <si>
    <t>Somalia</t>
  </si>
  <si>
    <t>3m(4+3)x2 x 100mm concrete blocks</t>
  </si>
  <si>
    <t xml:space="preserve">mortar cement </t>
  </si>
  <si>
    <t>mortar sand</t>
  </si>
  <si>
    <t xml:space="preserve">4.5m x 3.5m=15.75m2 aluminium sheeting </t>
  </si>
  <si>
    <t xml:space="preserve">roof </t>
  </si>
  <si>
    <t xml:space="preserve">roofing nails + wire nails </t>
  </si>
  <si>
    <t>4m x 5cmx5cm2 twenty one</t>
  </si>
  <si>
    <t>steel stirrups</t>
  </si>
  <si>
    <t xml:space="preserve">door frame </t>
  </si>
  <si>
    <t xml:space="preserve">window frame </t>
  </si>
  <si>
    <t>concrete floor</t>
  </si>
  <si>
    <t>(12+3)x2 plastic tarp sheeting +36m2 roof</t>
  </si>
  <si>
    <t>7cmx7cmxeight x2m=0.0784m3</t>
  </si>
  <si>
    <t xml:space="preserve">7cmx7cmxfourx3m=0.0588m3 plus 7cmx7cmxeight x2m=0.0784m3 main framing </t>
  </si>
  <si>
    <t>fixing</t>
  </si>
  <si>
    <t>South sudan Tarpaulin timber communal shelter</t>
  </si>
  <si>
    <t>Two room clay brick shelter</t>
  </si>
  <si>
    <t>Tanzania</t>
  </si>
  <si>
    <t>lime stabilized clay bricks 150mm x (6+4)x2x2m=40</t>
  </si>
  <si>
    <t xml:space="preserve">mortar sand </t>
  </si>
  <si>
    <t>6.5mx5m=32.5m2 of aluminium sheeting</t>
  </si>
  <si>
    <t>3cmx3cmx6.5xfive roof frame</t>
  </si>
  <si>
    <t>2m2 of sheeting door</t>
  </si>
  <si>
    <t xml:space="preserve">1m2 of sheeting window </t>
  </si>
  <si>
    <t>Gaza L-shape wood shelter</t>
  </si>
  <si>
    <t>Palestine</t>
  </si>
  <si>
    <t>concrete pads foundation Thirty five 45cmx45cmx15cm</t>
  </si>
  <si>
    <t>1cm thick (8+4+4+5+4+3+4)x2 timber planks for wall</t>
  </si>
  <si>
    <t>47m2 of roof aluminium sheeting</t>
  </si>
  <si>
    <t xml:space="preserve">main wood frame 4cmx2cmx2m eighty </t>
  </si>
  <si>
    <t>5cmx5cmx4mxtwelve roof frame</t>
  </si>
  <si>
    <t>18mm 44m2</t>
  </si>
  <si>
    <t>(8+4+4+5+4+3+4)x2 internal Gypsum plasterboard</t>
  </si>
  <si>
    <t>gympsum plaster board</t>
  </si>
  <si>
    <t>plaster board</t>
  </si>
  <si>
    <t xml:space="preserve">1mx0.89 aluminium windows </t>
  </si>
  <si>
    <t>1mx2m aluminium door</t>
  </si>
  <si>
    <t>T elevated bamboo shelter</t>
  </si>
  <si>
    <t>concrete pad 3.14x(0.5m^2)x200mm six of</t>
  </si>
  <si>
    <t>bamboo flattened</t>
  </si>
  <si>
    <t>flattened bamboo</t>
  </si>
  <si>
    <t>4.5mx3.5m=15.75m2 of sheeting for roof</t>
  </si>
  <si>
    <t>100mm diameter, 3m thirty one of 3.14(0.05^2)x3x31</t>
  </si>
  <si>
    <t>bamboo cane</t>
  </si>
  <si>
    <t>timber flooring 2cm 12m2</t>
  </si>
  <si>
    <t>Tukul shelter Ethiopia project</t>
  </si>
  <si>
    <t>ethiopia</t>
  </si>
  <si>
    <t>8 bamboo poles 10cm diam</t>
  </si>
  <si>
    <t>eucalyptus poles 8 cm diam</t>
  </si>
  <si>
    <t>eucalyptus poles 6 cm diam</t>
  </si>
  <si>
    <t xml:space="preserve"> bamboo poles 5cm diam</t>
  </si>
  <si>
    <t>door iron sheet</t>
  </si>
  <si>
    <t>polyester</t>
  </si>
  <si>
    <t xml:space="preserve">polyester rope </t>
  </si>
  <si>
    <t xml:space="preserve">nail roofing </t>
  </si>
  <si>
    <t xml:space="preserve">assorted nails </t>
  </si>
  <si>
    <t>earth for plastering</t>
  </si>
  <si>
    <t>Full bamboo National Danish Council design</t>
  </si>
  <si>
    <t xml:space="preserve">bamboo poles </t>
  </si>
  <si>
    <t>plastic cable ties</t>
  </si>
  <si>
    <t>https://www.hellermanntyton.com/products/cable-ties-inside-serrated/gl150/111-01546</t>
  </si>
  <si>
    <t>bamboo for door (1.75*0.75)</t>
  </si>
  <si>
    <t>plastic and timber emergency shelter</t>
  </si>
  <si>
    <t xml:space="preserve">portland cement </t>
  </si>
  <si>
    <t>gravel</t>
  </si>
  <si>
    <t>70mm x 40mm x 2.7m long softwood poles</t>
  </si>
  <si>
    <t>80mm x 80mm x 2.7m long softwood poles</t>
  </si>
  <si>
    <t>softwood</t>
  </si>
  <si>
    <t>pine</t>
  </si>
  <si>
    <t xml:space="preserve">steel wire </t>
  </si>
  <si>
    <t>75mm long nails</t>
  </si>
  <si>
    <t>32 mm long nails</t>
  </si>
  <si>
    <t>Haiti – 2010 – ‘T-Shelter’</t>
  </si>
  <si>
    <t>Haiti</t>
  </si>
  <si>
    <t xml:space="preserve">gravel </t>
  </si>
  <si>
    <t>89mm x 89mm x 2.4m</t>
  </si>
  <si>
    <t>38mm x 89mm x 2.4m</t>
  </si>
  <si>
    <t>38mm x 89mm x 3.0m</t>
  </si>
  <si>
    <t>38mm x 89mm x 3.7m</t>
  </si>
  <si>
    <t>38mm x 89mm x 4.3m</t>
  </si>
  <si>
    <t>38mm x 89mm x 6.1m</t>
  </si>
  <si>
    <t>38mm x 38mm x 3.0m</t>
  </si>
  <si>
    <t>38mm x 38mm x 4.3m</t>
  </si>
  <si>
    <t>19mm x 89mm x 4.9m</t>
  </si>
  <si>
    <t>plywood sheet</t>
  </si>
  <si>
    <t>iron sheet</t>
  </si>
  <si>
    <t xml:space="preserve">ridge cap </t>
  </si>
  <si>
    <t>ring nail 76mm</t>
  </si>
  <si>
    <t>Ring nail 51mm</t>
  </si>
  <si>
    <t>Ring nail 38 mm</t>
  </si>
  <si>
    <t>common nail 127 mm</t>
  </si>
  <si>
    <t>common nails 102 mm</t>
  </si>
  <si>
    <t>common nails 76 mm</t>
  </si>
  <si>
    <t>nail plates</t>
  </si>
  <si>
    <t>Haiti – 2010 – ‘T-Shelter’ B4</t>
  </si>
  <si>
    <t>concrete blocks</t>
  </si>
  <si>
    <t>block</t>
  </si>
  <si>
    <t>38mm x 38mm x 3.7m</t>
  </si>
  <si>
    <t>38mm x 102mm x 2.4m</t>
  </si>
  <si>
    <t>38mm x 102mm x 3.1m</t>
  </si>
  <si>
    <t>38mm x 102mm x 3.7m</t>
  </si>
  <si>
    <t>38mm x 102mm x 4.3m</t>
  </si>
  <si>
    <t>38mm x 152mm x 3.7m</t>
  </si>
  <si>
    <t>102mm x 102mm x 3.1m</t>
  </si>
  <si>
    <t>latch</t>
  </si>
  <si>
    <t>5 pair# of (14 mm thick) steel hinges per wing,</t>
  </si>
  <si>
    <t>common nails 50mm</t>
  </si>
  <si>
    <t>common nails 76mm</t>
  </si>
  <si>
    <t xml:space="preserve">common nails roofing </t>
  </si>
  <si>
    <t xml:space="preserve">wire </t>
  </si>
  <si>
    <t>hurricane strap</t>
  </si>
  <si>
    <t>Haiti – 2010 – ‘T-Shelter’ B5</t>
  </si>
  <si>
    <t>19mm x 152mm x 4.3m</t>
  </si>
  <si>
    <t>19mm x 89mm x 4.3m</t>
  </si>
  <si>
    <t xml:space="preserve">mosquito net </t>
  </si>
  <si>
    <t>steel sheet roofing</t>
  </si>
  <si>
    <t xml:space="preserve">2 # of (14 mm thick) door steel hinges  </t>
  </si>
  <si>
    <t>3  pairs # of (14 mm thick) steel hinges per wing,</t>
  </si>
  <si>
    <t>fasteners</t>
  </si>
  <si>
    <t>wire</t>
  </si>
  <si>
    <t>0.089 wood screws</t>
  </si>
  <si>
    <t>steel reinforcement</t>
  </si>
  <si>
    <t>steel reinforcement 10 mm dia 6m long</t>
  </si>
  <si>
    <t>steel reinforcement8 dia 6m long</t>
  </si>
  <si>
    <t>89mm x 89mm x 3.7m</t>
  </si>
  <si>
    <t>38mm x 64mm x 3.7m</t>
  </si>
  <si>
    <t>38mm x 38mm x 2.4m</t>
  </si>
  <si>
    <t>wire steel</t>
  </si>
  <si>
    <t>Philippines – 2011 – ‘Transitional-Shelter’ B6</t>
  </si>
  <si>
    <t>Philippines – 2011 – ‘Transitional-Shelter’ B7</t>
  </si>
  <si>
    <t>concrete column 102mm x 102mm x 3.1m</t>
  </si>
  <si>
    <t>38mm x 114mm x 4.3m</t>
  </si>
  <si>
    <t>38mm x 89mm x 3.1m 1</t>
  </si>
  <si>
    <t>38mm x 38mm x 3.1m</t>
  </si>
  <si>
    <t>concrete block 0.425*0.215*0.100</t>
  </si>
  <si>
    <t xml:space="preserve">plywood 4.7mm thick </t>
  </si>
  <si>
    <t>pluwood 6.4mm thick</t>
  </si>
  <si>
    <t xml:space="preserve">iron sheet 0.4mm thick </t>
  </si>
  <si>
    <t>iron  ridge cap sheet 0.6 mm thick</t>
  </si>
  <si>
    <t xml:space="preserve">brass hinges </t>
  </si>
  <si>
    <t xml:space="preserve">window wood </t>
  </si>
  <si>
    <t>brass</t>
  </si>
  <si>
    <t>B.8 Bangladesh – 2007 – ‘Core-Shelter’</t>
  </si>
  <si>
    <t>earth fill</t>
  </si>
  <si>
    <t xml:space="preserve">sand columns </t>
  </si>
  <si>
    <t>brick chip</t>
  </si>
  <si>
    <t>portland cement grade beam</t>
  </si>
  <si>
    <t>sand grade beam</t>
  </si>
  <si>
    <t>brack chip grade beam</t>
  </si>
  <si>
    <t>100mm x 63mm x 2m</t>
  </si>
  <si>
    <t>bamboo mat window</t>
  </si>
  <si>
    <t xml:space="preserve">bamboo mat door </t>
  </si>
  <si>
    <t>Bangladesh</t>
  </si>
  <si>
    <t xml:space="preserve">I beam </t>
  </si>
  <si>
    <t xml:space="preserve">2 # of (14 mm thick) window steel hinges  </t>
  </si>
  <si>
    <t>B.10 Sri Lanka – 2007 – ‘Core Shelter’</t>
  </si>
  <si>
    <t>Sri Lanka</t>
  </si>
  <si>
    <t xml:space="preserve">steel reiforcement 10mm </t>
  </si>
  <si>
    <t>steel reinforcement 6mm</t>
  </si>
  <si>
    <t>tie wire</t>
  </si>
  <si>
    <t>64mm x 114m x 3.7m</t>
  </si>
  <si>
    <t>64mm x 114m x 1m</t>
  </si>
  <si>
    <t>38mm x 89mm x 2.5m</t>
  </si>
  <si>
    <t>19mm x 38mm x 3.7m</t>
  </si>
  <si>
    <t>3.4x1m wide tarpaulin sheet</t>
  </si>
  <si>
    <t>0.5mm x 2.4m long iron sheet roof</t>
  </si>
  <si>
    <t xml:space="preserve">Ridge Tiles </t>
  </si>
  <si>
    <t>Lhook</t>
  </si>
  <si>
    <t>nuts and bolts</t>
  </si>
  <si>
    <t>common nails</t>
  </si>
  <si>
    <t>Indonesia West Java bamboo frame Shelter</t>
  </si>
  <si>
    <t>Indonesia</t>
  </si>
  <si>
    <t xml:space="preserve">rebar </t>
  </si>
  <si>
    <t xml:space="preserve">bamboo stud  80 x 7.2 thick (L=0.45m) </t>
  </si>
  <si>
    <t>Main Columns – 150 x 13.5 thick (L=2.66m)</t>
  </si>
  <si>
    <t>Roof and Floor Beams – 80 x 7.2 thick (L=6.08m)</t>
  </si>
  <si>
    <t>Roof and Floor Beams – 80 x 7.2 thick (L=4.0m)</t>
  </si>
  <si>
    <t>Bracing – 80 x 7.2 thick (L=3.5m)</t>
  </si>
  <si>
    <t>Front Bracing – 80 x 7.2 thick (L=2.75m)</t>
  </si>
  <si>
    <t>Front Brace – 80 x 7.2 thick (L=2.15m)</t>
  </si>
  <si>
    <t>Ceiling diaphragm bracing – 80 x 7.2 thick (L=1.65m)</t>
  </si>
  <si>
    <t>Roof truss diagonals – 80 x 7.2 thick (L=3.5m)</t>
  </si>
  <si>
    <t>Roof truss bottom chord – 80 x 7.2 thick (L=6.08m)</t>
  </si>
  <si>
    <t>Roof truss bracing – 80 x 7.2 thick (L=1.8m)</t>
  </si>
  <si>
    <t>Roof truss verticals – 80 x 7.2 thick (L=1.3m)</t>
  </si>
  <si>
    <t>Ridge beam – 150 x 13.5 thick (L=2.6m)</t>
  </si>
  <si>
    <t>Rafters – 80 x 7.2 thick (L=4.0m)</t>
  </si>
  <si>
    <t>floor/roof</t>
  </si>
  <si>
    <t>Small Columns – 80 x 7.2 thick (L=2.86m)</t>
  </si>
  <si>
    <t>Lintel/window framing – 80 x 7.2 thick (L=1.0m)</t>
  </si>
  <si>
    <t>Ceiling Beams – 80 x 7.2 thick (L=3.84m)</t>
  </si>
  <si>
    <t>Purlins – 80 x 7.2 thick (L=3.5m)</t>
  </si>
  <si>
    <t>Floor Ties – 80 x 7.2 thick (L=5.85m)</t>
  </si>
  <si>
    <t>Floor Beams – 80 x 7.2 thick (L=3.0m)</t>
  </si>
  <si>
    <t>Floor Joists – 80 x 7.2 thick (L=4.08m)</t>
  </si>
  <si>
    <t>Front Top Bracing – 80 x 7.2 thick (L=1.3m)</t>
  </si>
  <si>
    <t>Roof edge beam – 80 x 7.2 thick (L=5.13m)</t>
  </si>
  <si>
    <t>Roof edge beam – 80 x 7.2 thick (L=7.13m)</t>
  </si>
  <si>
    <t>Collar Beam – 80 x 7.2 thick (L=0.4m)</t>
  </si>
  <si>
    <t>Roof Bracing – 80 x 7.2 thick (L=0.5m)</t>
  </si>
  <si>
    <t>Roof ties – 80 x 7.2 thick (L=4.08m)</t>
  </si>
  <si>
    <t>covering floor roof lath flattened bamboo</t>
  </si>
  <si>
    <t>Woven bamboo matting – 4 thick</t>
  </si>
  <si>
    <t>Terracotta tiles</t>
  </si>
  <si>
    <t xml:space="preserve">teracotta tile </t>
  </si>
  <si>
    <t>Indonesia, Sumatra, Padang (2009) - Timber frame</t>
  </si>
  <si>
    <t>sand and gravel</t>
  </si>
  <si>
    <t>Floor Beams 5 x 10cm (L=4.00m)</t>
  </si>
  <si>
    <t>Truss Beams 5 x 10cm (L=4.00m)</t>
  </si>
  <si>
    <t>Floor Ties 5 x 10cm (L=4.50m)</t>
  </si>
  <si>
    <t>Ridge Beam 5 x 10cm (L=4.50m)</t>
  </si>
  <si>
    <t>Eaves Beams 5 x 10cm (L=4.50m)</t>
  </si>
  <si>
    <t>Floor Joists 5 x 10cm (L=4.50m)</t>
  </si>
  <si>
    <t>Columns 5 x 10cm (L=2.75m)</t>
  </si>
  <si>
    <t>Columns 5 x 10cm (L=3.65m)</t>
  </si>
  <si>
    <t>Wall Mullions 5 x 7cm (L=2.20m)</t>
  </si>
  <si>
    <t>Portal Brace 5 x 10cm (L=0.65m)</t>
  </si>
  <si>
    <t>Truss Brace 5 x 7cm (L=0.80m)</t>
  </si>
  <si>
    <t>Truss Brace 5 x 7cm (L=0.95m)</t>
  </si>
  <si>
    <t>Rafter 5 x 7cm (L=2.80m)</t>
  </si>
  <si>
    <t>Roof Joist 5 x 7cm (L=2.25m)</t>
  </si>
  <si>
    <t>Palm mat walling 1 x 2m</t>
  </si>
  <si>
    <t>Plastic Sheet 4 x 6m</t>
  </si>
  <si>
    <t>Floor Boards – 2.5cm thick</t>
  </si>
  <si>
    <t>Nails – 8d</t>
  </si>
  <si>
    <t xml:space="preserve">bolt </t>
  </si>
  <si>
    <t>B.3 Pakistan (2010) - Timber frame</t>
  </si>
  <si>
    <t>Stone Bases 200 x 200 x 100 (thick)</t>
  </si>
  <si>
    <t>Guy rope stakes 75mm dia. (L = 1m)</t>
  </si>
  <si>
    <t>Vertical columns 75 dia. (L=3.05m)</t>
  </si>
  <si>
    <t>Inclined rafters 75 dia. (L=4.27m)</t>
  </si>
  <si>
    <t>Ridge beam 75 dia. (L=4.27m)</t>
  </si>
  <si>
    <t>Floor footing beams 75 dia. (L=4.88m)</t>
  </si>
  <si>
    <t>Roof Purlins 75 dia. (L=4.27m)</t>
  </si>
  <si>
    <t>Roof Sheeting 1.85m x 0.75m</t>
  </si>
  <si>
    <t>Insulation Material</t>
  </si>
  <si>
    <t>Plastic Sheeting 4m X 6m</t>
  </si>
  <si>
    <t>Masonry 215 x 102 x 65 clay bricks</t>
  </si>
  <si>
    <t>Galvanised Nails – 10d</t>
  </si>
  <si>
    <t>Galvanised Nails – 20d</t>
  </si>
  <si>
    <t>Galvanised steel washers – 1.5” diameter</t>
  </si>
  <si>
    <t>Round rubber washers – 1.5” diameter</t>
  </si>
  <si>
    <t>Polyethylene rope – 12mm diameter</t>
  </si>
  <si>
    <t>Rope – 9.4mm diameter</t>
  </si>
  <si>
    <t>Peru (2007) - Timber frame</t>
  </si>
  <si>
    <t>Peru</t>
  </si>
  <si>
    <t>Portland Cement</t>
  </si>
  <si>
    <t>Sand</t>
  </si>
  <si>
    <t>Gravel</t>
  </si>
  <si>
    <t>Wire mesh Reinforcement</t>
  </si>
  <si>
    <t>Nails – 6d</t>
  </si>
  <si>
    <t>Wire (16 AWG)</t>
  </si>
  <si>
    <t>Columns – 25 x 50 (L=2.5m)</t>
  </si>
  <si>
    <t>Roof Beam – 25 x 50 (L=3m)</t>
  </si>
  <si>
    <t>Eaves Beams – 25 x 50 (L=2.9m)</t>
  </si>
  <si>
    <t>Eaves Beams – 25 x 50 (L=3.0m)</t>
  </si>
  <si>
    <t>Floor Beams– 25 x 50 (L=2.9m)</t>
  </si>
  <si>
    <t>Floor Beams – 25 x 50 (L=3.0m)</t>
  </si>
  <si>
    <t>Bracing – 25 x 50 (L=3.0m)</t>
  </si>
  <si>
    <t>Purlins – 25 x 50 (L=3.0m)</t>
  </si>
  <si>
    <t>Wall Transoms – 25 x 50 (L=3.0m)</t>
  </si>
  <si>
    <t>Wall Transoms – 25 x 50 (L=2.9m)</t>
  </si>
  <si>
    <t>Wall Transoms – 25 x 50 (L=2.05m)</t>
  </si>
  <si>
    <t>Door &amp; window framing – 25 x 50 (L=1.0m)</t>
  </si>
  <si>
    <t>Fibre cement roof sheeting (1 x 3m sheet, 6.25 thick)</t>
  </si>
  <si>
    <t>Timber tongue &amp; groove planks. 87.5 x 9.4 (L=2.48m)</t>
  </si>
  <si>
    <t>Timber tongue &amp; groove planks. 87.5 x 9.4 (L=2.30m)</t>
  </si>
  <si>
    <t>Timber tongue &amp; groove planks. 87.5 x 9.4 (L=0.42m)</t>
  </si>
  <si>
    <t>Timber tongue &amp; groove planks. 87.5 x 9.4 (L=0.32m)</t>
  </si>
  <si>
    <t>Timber tongue &amp; groove planks. 87.5 x 9.4 (L=1.01m)</t>
  </si>
  <si>
    <t>Timber tongue &amp; groove planks. 87.5 x 9.4 (L=2.48 decreasing to 2.30m)</t>
  </si>
  <si>
    <t>Nails – 8d roofing nails with protecting cap/ washer</t>
  </si>
  <si>
    <t>Steel hinge 2.5”</t>
  </si>
  <si>
    <t>Wood strips – 30 x 60 (L=3m)</t>
  </si>
  <si>
    <t>Screws</t>
  </si>
  <si>
    <t>Wall plates – 60 x 60 x 9.4 thick</t>
  </si>
  <si>
    <t xml:space="preserve">fibre cement </t>
  </si>
  <si>
    <t>fibre cement panels uncoated</t>
  </si>
  <si>
    <t>Portland cement</t>
  </si>
  <si>
    <t>Sand/Grave</t>
  </si>
  <si>
    <t>Wire mesh reinforcement</t>
  </si>
  <si>
    <t>Main columns (2m x 75mm dia.)</t>
  </si>
  <si>
    <t>Window column (1.6m x 75mm dia.)</t>
  </si>
  <si>
    <t>Beams (6m x 50mm dia.)</t>
  </si>
  <si>
    <t>Beams (5.1m x 50mm dia.)</t>
  </si>
  <si>
    <t>Beams (3m x 50mm dia.)</t>
  </si>
  <si>
    <t>Verticals (2m x 50mm dia.)</t>
  </si>
  <si>
    <t xml:space="preserve">Horizontals (0.9m x 50mm dia.) </t>
  </si>
  <si>
    <t>Plastic sheet (4m x 6m)</t>
  </si>
  <si>
    <t>Bamboo mats (2m x 3m)</t>
  </si>
  <si>
    <t>B.5 Peru (2007) - bamboo mat shelter</t>
  </si>
  <si>
    <t>Galvanised AWG16 wire</t>
  </si>
  <si>
    <t>Nails – 10d</t>
  </si>
  <si>
    <t>Nails – 4d</t>
  </si>
  <si>
    <t>Staples – 22/25</t>
  </si>
  <si>
    <t>Knocker – 50mm steel</t>
  </si>
  <si>
    <t>Padlock</t>
  </si>
  <si>
    <t>B.6 Haiti (2010) - Steel Frame</t>
  </si>
  <si>
    <t>Portland cement (42.5kg bags)</t>
  </si>
  <si>
    <t>Gravel (20mm aggregate)</t>
  </si>
  <si>
    <t>Reinforcement bars 10mm diameter (L=9.0m)</t>
  </si>
  <si>
    <t>Column base plate (300x300x6thk plate, 300 long 80x80x2thk column stub)</t>
  </si>
  <si>
    <t>Floor support base plate (100x100x6thk plate,435 long 40x40x2 column stub)</t>
  </si>
  <si>
    <t>Holding down bolts (20 dia. 320 long)</t>
  </si>
  <si>
    <t>Columns (80x80x2thk, L=3m)</t>
  </si>
  <si>
    <t>Columns (80x80x2thk, L=2.55m)</t>
  </si>
  <si>
    <t>Floor beams (40x40x2, L=2.995m)</t>
  </si>
  <si>
    <t>Roof cross beams (80x80x2, L=3.0m)</t>
  </si>
  <si>
    <t>Floor joists (40x40x2, L=2.9m)</t>
  </si>
  <si>
    <t>Roof purlins (40x40x2, L=2.88m)</t>
  </si>
  <si>
    <t>Wall transoms (40x40x2, L=3.0m)</t>
  </si>
  <si>
    <t>Window framing (32.5x100, L=0.75m)</t>
  </si>
  <si>
    <t>Door framing (32.5x100, L=1.95m)</t>
  </si>
  <si>
    <t>Timber studs (32.5x100, L=3.35m)</t>
  </si>
  <si>
    <t>Plywood door (1.94m x 0.7m)</t>
  </si>
  <si>
    <t>Plywood flooring (21.8 thick)</t>
  </si>
  <si>
    <t>Steel sheeting (0.75m x 1.83m)</t>
  </si>
  <si>
    <t>Plastic sheeting (6m x 4m)</t>
  </si>
  <si>
    <t>Mosquito net</t>
  </si>
  <si>
    <t>Bolts, nuts + washers (20 dia. 320 long)</t>
  </si>
  <si>
    <t>Bolts, nuts + washers (10 dia. 100 long)</t>
  </si>
  <si>
    <t>Brackets (35wide, 70+20legs, 2 thick)</t>
  </si>
  <si>
    <t>Bolts, nuts + washers (6.25 dia. 100 long)</t>
  </si>
  <si>
    <t>steel angles (75x75x18.75)</t>
  </si>
  <si>
    <t>Nails (10d)</t>
  </si>
  <si>
    <t>Nails (8d)</t>
  </si>
  <si>
    <t>Nails (4d)</t>
  </si>
  <si>
    <t>Door latch + padlock</t>
  </si>
  <si>
    <t>Self tapping screws</t>
  </si>
  <si>
    <t>B.7 Indonesia, Aceh (2005) - Steel frame</t>
  </si>
  <si>
    <t>Guide post foundation 1 (400x400x8mm tichk plate)</t>
  </si>
  <si>
    <t>Guide post foundation 2 (400x400x8mm thick plate)</t>
  </si>
  <si>
    <t>Anchor nails ( 19 dia. x 600)</t>
  </si>
  <si>
    <t>Centre columns (150x50x1.6, L=3.79m)</t>
  </si>
  <si>
    <t>Corner columns (100x100x1.6, L=2.425m) S</t>
  </si>
  <si>
    <t>Primary floor beams (150x50x1.6, L=4.613m)</t>
  </si>
  <si>
    <t>Roof truss beam (100x50x1.6, L=3.205m)</t>
  </si>
  <si>
    <t>Primary roof beams (100x50x1.6, L=2.79m)</t>
  </si>
  <si>
    <t>Bracing (25 dia. x 1.6thk, L=1.2m)</t>
  </si>
  <si>
    <t>Floor edge joists (100x50x1.6, L=2.79m)</t>
  </si>
  <si>
    <t>Main floor joists (100x50x1.6, L=2.873m)</t>
  </si>
  <si>
    <t>Roof purlins (246x2, L=5.68m)</t>
  </si>
  <si>
    <t>Roof panels (740x3440)</t>
  </si>
  <si>
    <t>Timber wall planks (160x20, L varies)</t>
  </si>
  <si>
    <t>Timber studs (3.79 or 2.42m)</t>
  </si>
  <si>
    <t>Timber floor planks (160x20, L varies)</t>
  </si>
  <si>
    <t>Guttering (457x0.5thk, L=4.675m)</t>
  </si>
  <si>
    <t>Roof flashing (458x0.5thk, L=2.028m)</t>
  </si>
  <si>
    <t>Bolt + nut + 2 washer (M12x25)</t>
  </si>
  <si>
    <t>Bolt + nut + 2 washer (M14x30)</t>
  </si>
  <si>
    <t>Hex Screw (M5x19)</t>
  </si>
  <si>
    <t>B.8 Vietnam (2004) - Steel frame</t>
  </si>
  <si>
    <t>Vietnam</t>
  </si>
  <si>
    <t>Screw Ground Anchors</t>
  </si>
  <si>
    <t>Wire Mesh Reinforcement</t>
  </si>
  <si>
    <t>Columns 2No. 100x50x0.75 Channels Interlocking to form box (L=3.3m)</t>
  </si>
  <si>
    <t>Columns 2No. 100x50x0.75 Channels Interlocking to form box (L=4.5m)</t>
  </si>
  <si>
    <t>Columns 2No. 100x50x0.75 Channels Interlocking to form box (L=3.7m)</t>
  </si>
  <si>
    <t>Rafters 75x40x0.75 Channel (L=4.5m)</t>
  </si>
  <si>
    <t>Transverse Beams 75x40x0.75 Channel (L=3.5m)</t>
  </si>
  <si>
    <t>Longitudinal Beams 75x40x0.75 Channel (L=4.3m)</t>
  </si>
  <si>
    <t>Longitudinal Beams 75x40x0.75 Channel (L=4.1m)</t>
  </si>
  <si>
    <t>Truss Bracing 75x40x0.75 Channel (L=1.65m)</t>
  </si>
  <si>
    <t>Truss Bracing 75x40x0.75 Channel (L=1.93m)</t>
  </si>
  <si>
    <t>Wall Bracing 75x40x0.75 Channel (L=1.7m)</t>
  </si>
  <si>
    <t>Floor Ties 100x50x0.75 Channel (L=3.5m)</t>
  </si>
  <si>
    <t>Cable Bracing – 4mm dia. (L=5.3m or 4.5m) + Turn Buckle</t>
  </si>
  <si>
    <t>Wall columns 75x40x0.75 Channel (L=3.65m)</t>
  </si>
  <si>
    <t>Wall Transoms 75x40x0.75 Channel (L=3.0m)</t>
  </si>
  <si>
    <t>Wall Transoms 75x40x0.75 Channel (L=4.1m)</t>
  </si>
  <si>
    <t>Door Framing 75x40x0.75 Channel (L=2.3m)</t>
  </si>
  <si>
    <t>Purlins 75x35x0.75 Channel, 12mm lip (L=3.6m)</t>
  </si>
  <si>
    <t>Purlins 103x61x1.0 thk. (L=3.6m)</t>
  </si>
  <si>
    <t>Plywood – 12.5mm thick</t>
  </si>
  <si>
    <t>Roof Sheeting – 0.5mm thick (4.65x2m)</t>
  </si>
  <si>
    <t>Ridge Capping 578x0.45mm thk. (L=3.8m)</t>
  </si>
  <si>
    <t>Flashing 289 x 0.4mm thk (L=4.9m)</t>
  </si>
  <si>
    <t>Timber studs</t>
  </si>
  <si>
    <t>Bolts – M12x30</t>
  </si>
  <si>
    <t>additional fixings</t>
  </si>
  <si>
    <t>steel wire</t>
  </si>
  <si>
    <t>38mm x 38mm x 3mm angle</t>
  </si>
  <si>
    <t>200mm x 200mm x 5mm plate</t>
  </si>
  <si>
    <t>source</t>
  </si>
  <si>
    <t>Fiji</t>
  </si>
  <si>
    <t>plastic tarpaulin ( HDPE )</t>
  </si>
  <si>
    <t>25.12m2 of  Aluminium sheeting</t>
  </si>
  <si>
    <t>steel rod</t>
  </si>
  <si>
    <t>ceramic tiles</t>
  </si>
  <si>
    <t>EC (kgCO2e/year/m2) biomass maintained</t>
  </si>
  <si>
    <t>EC (kgCO2e/year/m2) biomass excluded</t>
  </si>
  <si>
    <t>EE ( MJ/year/m2)2</t>
  </si>
  <si>
    <t>EE ( MJ/m²)</t>
  </si>
  <si>
    <t>EC(kgCO2e/m²) biomass excluded</t>
  </si>
  <si>
    <t>EC(kgCO2e/m²) biomass maintained</t>
  </si>
  <si>
    <t>UNHCR Shelter design catalogue</t>
  </si>
  <si>
    <t>Shelter project 2015-2016</t>
  </si>
  <si>
    <t>Danish Refugee council</t>
  </si>
  <si>
    <t>Shelter Cluster 10 Design</t>
  </si>
  <si>
    <t>Shelter Cluster 8 Design</t>
  </si>
  <si>
    <t>quality source inventory</t>
  </si>
  <si>
    <t>Primary design</t>
  </si>
  <si>
    <t>detailed design</t>
  </si>
  <si>
    <t>T.1</t>
  </si>
  <si>
    <t>D.1</t>
  </si>
  <si>
    <t>D.2</t>
  </si>
  <si>
    <t>D.8</t>
  </si>
  <si>
    <t>D.3</t>
  </si>
  <si>
    <t>D.4</t>
  </si>
  <si>
    <t>E.1</t>
  </si>
  <si>
    <t>T.2</t>
  </si>
  <si>
    <t>T.3</t>
  </si>
  <si>
    <t>T.4</t>
  </si>
  <si>
    <t>T.5</t>
  </si>
  <si>
    <t>T.6</t>
  </si>
  <si>
    <t>T.7</t>
  </si>
  <si>
    <t>T.8</t>
  </si>
  <si>
    <t>T.9</t>
  </si>
  <si>
    <t>T.10</t>
  </si>
  <si>
    <t>T.11</t>
  </si>
  <si>
    <t>T.12</t>
  </si>
  <si>
    <t>D.5</t>
  </si>
  <si>
    <t>D.6</t>
  </si>
  <si>
    <t>D.7</t>
  </si>
  <si>
    <t>E.2</t>
  </si>
  <si>
    <t>T.13</t>
  </si>
  <si>
    <t>T.14</t>
  </si>
  <si>
    <t>T.15</t>
  </si>
  <si>
    <t>T.16</t>
  </si>
  <si>
    <t>T.17</t>
  </si>
  <si>
    <t>T.18</t>
  </si>
  <si>
    <t>T.19</t>
  </si>
  <si>
    <t>T.20</t>
  </si>
  <si>
    <t>T.21</t>
  </si>
  <si>
    <t>T.22</t>
  </si>
  <si>
    <t>D.9</t>
  </si>
  <si>
    <t>D.10</t>
  </si>
  <si>
    <t>E.3</t>
  </si>
  <si>
    <t>E.4</t>
  </si>
  <si>
    <t>E.5</t>
  </si>
  <si>
    <t>E.6</t>
  </si>
  <si>
    <t>E.7</t>
  </si>
  <si>
    <t>E.8</t>
  </si>
  <si>
    <t>E.9</t>
  </si>
  <si>
    <t>T.23</t>
  </si>
  <si>
    <t>T.24</t>
  </si>
  <si>
    <t>T.25</t>
  </si>
  <si>
    <t>G.1</t>
  </si>
  <si>
    <t>G.2</t>
  </si>
  <si>
    <t>G.3</t>
  </si>
  <si>
    <t>E.10</t>
  </si>
  <si>
    <t>E.11</t>
  </si>
  <si>
    <t>E.12</t>
  </si>
  <si>
    <t>T.26</t>
  </si>
  <si>
    <t>Main Material</t>
  </si>
  <si>
    <t>masonry</t>
  </si>
  <si>
    <t>UNHCR family tent</t>
  </si>
  <si>
    <t xml:space="preserve">insulation </t>
  </si>
  <si>
    <t>code</t>
  </si>
  <si>
    <t>E.13</t>
  </si>
  <si>
    <t>Tuareg wood and canvas shelter</t>
  </si>
  <si>
    <t>shelter project 2011-2012</t>
  </si>
  <si>
    <t xml:space="preserve">thickness assumed </t>
  </si>
  <si>
    <t>calculated</t>
  </si>
  <si>
    <t xml:space="preserve">diameter of poles assumed </t>
  </si>
  <si>
    <t>wooden pole wall frame</t>
  </si>
  <si>
    <t>straw matt</t>
  </si>
  <si>
    <t>plastic mats</t>
  </si>
  <si>
    <t xml:space="preserve">woodne poles </t>
  </si>
  <si>
    <t>UNCHR plastic sheet</t>
  </si>
  <si>
    <t>cotton rope 8mm thick</t>
  </si>
  <si>
    <t>Côte d’Ivoire self-recovery shelters</t>
  </si>
  <si>
    <t>Côte d’Ivoire</t>
  </si>
  <si>
    <t>wooden pole wall/ room frame</t>
  </si>
  <si>
    <t>kgs</t>
  </si>
  <si>
    <t>This is actualy straw matt but I had to use timber under "material category"</t>
  </si>
  <si>
    <t xml:space="preserve">Durable shelters with concrete block foundation </t>
  </si>
  <si>
    <t>Duékoué, Western Côte d’Ivoire</t>
  </si>
  <si>
    <t>cement sand morter</t>
  </si>
  <si>
    <t>D.11</t>
  </si>
  <si>
    <t>foundation/walls</t>
  </si>
  <si>
    <t>concrete block wall and foundation</t>
  </si>
  <si>
    <t xml:space="preserve">concrete blocks are used for foundation construction  </t>
  </si>
  <si>
    <t xml:space="preserve">concrete </t>
  </si>
  <si>
    <t xml:space="preserve">3 mm thickness assummed </t>
  </si>
  <si>
    <t>timber roof framing</t>
  </si>
  <si>
    <t xml:space="preserve">2 mm thickness assumed </t>
  </si>
  <si>
    <t xml:space="preserve">timebr door and widnow </t>
  </si>
  <si>
    <t xml:space="preserve">dimensions assumed from photos </t>
  </si>
  <si>
    <t>Montagnes, Western Côte d’Ivoire</t>
  </si>
  <si>
    <t>clay bricks walls and foundation</t>
  </si>
  <si>
    <t>3 mm thicness assumed</t>
  </si>
  <si>
    <t>this is door and window NOT wall</t>
  </si>
  <si>
    <t>Timber and bamboo frames shelters were built with thatched roofs</t>
  </si>
  <si>
    <t>Used motor oil</t>
  </si>
  <si>
    <t>ltrs</t>
  </si>
  <si>
    <t xml:space="preserve">diameters assumed </t>
  </si>
  <si>
    <t xml:space="preserve">Grass for roof insualtion </t>
  </si>
  <si>
    <t>Mud with grass</t>
  </si>
  <si>
    <t>fence</t>
  </si>
  <si>
    <t>Bamboo/Eucalyptus</t>
  </si>
  <si>
    <t>Gambrel roof type shelter with mud-straw plaster</t>
  </si>
  <si>
    <t>Dollo Ado, Ethiopia</t>
  </si>
  <si>
    <t>hinges and locks</t>
  </si>
  <si>
    <t>black wire</t>
  </si>
  <si>
    <t>local poles</t>
  </si>
  <si>
    <t>T.27</t>
  </si>
  <si>
    <t xml:space="preserve">Stone masonry shelter </t>
  </si>
  <si>
    <t>D.12</t>
  </si>
  <si>
    <t>Haiti, Rural south-eastern Haiti</t>
  </si>
  <si>
    <t>stone masonry foundation 0.35x0.5 m</t>
  </si>
  <si>
    <t>stone masonry with sand-cement mortar</t>
  </si>
  <si>
    <t>stone masonry 0.25-0.35 thick</t>
  </si>
  <si>
    <t xml:space="preserve">roof framing </t>
  </si>
  <si>
    <t>Madagascar</t>
  </si>
  <si>
    <t>Wooden shelter</t>
  </si>
  <si>
    <t>E.14</t>
  </si>
  <si>
    <t>wooden pole wall/roof frame</t>
  </si>
  <si>
    <t xml:space="preserve">The whole shelter is made of timer therefore according to UN book on “timber in humanitarian shelters” 2.5 m3 is estimated </t>
  </si>
  <si>
    <t>bamboo poles 5cm diam</t>
  </si>
  <si>
    <t xml:space="preserve">Timber and wooden planks shelter  </t>
  </si>
  <si>
    <t>Nicaragua</t>
  </si>
  <si>
    <t>D.13</t>
  </si>
  <si>
    <t xml:space="preserve">The whole shelter is made of timer therefore according to UN book on “timber in humanitarian shelters” for this design 4 m3 is estimated </t>
  </si>
  <si>
    <t>Clay brick wall, flat roof shelter</t>
  </si>
  <si>
    <t>D.14</t>
  </si>
  <si>
    <t>burnt bricks</t>
  </si>
  <si>
    <t xml:space="preserve">sun dried bricks </t>
  </si>
  <si>
    <t>stone crush</t>
  </si>
  <si>
    <t>brick ballast</t>
  </si>
  <si>
    <t>Straw for mixing mud plastering walls and roof</t>
  </si>
  <si>
    <t>sun dried bricks</t>
  </si>
  <si>
    <t>bamboo matt</t>
  </si>
  <si>
    <t xml:space="preserve">Lintel/window framing </t>
  </si>
  <si>
    <t>bitumen</t>
  </si>
  <si>
    <t>Cocoa lumber transitional shelter</t>
  </si>
  <si>
    <t>Philippines</t>
  </si>
  <si>
    <t>wooden pole/ wall frame</t>
  </si>
  <si>
    <t>Cocoa lumber</t>
  </si>
  <si>
    <t>10 kgs steel nails and 1 kg iron bar</t>
  </si>
  <si>
    <t xml:space="preserve">concrete blocks permanent shelters </t>
  </si>
  <si>
    <t xml:space="preserve">foundation/walls </t>
  </si>
  <si>
    <t>Steel truss/ frame</t>
  </si>
  <si>
    <t>2 pcs plain iron sheets</t>
  </si>
  <si>
    <t>glass</t>
  </si>
  <si>
    <t>wodnow clear glass</t>
  </si>
  <si>
    <t>D.15</t>
  </si>
  <si>
    <t>Mogadishu, Somalia</t>
  </si>
  <si>
    <t>Open gable roof iron sheet shelter</t>
  </si>
  <si>
    <t>weight taken form UNHCR shelter handbook</t>
  </si>
  <si>
    <t>T.28</t>
  </si>
  <si>
    <t>compressed mud blocks</t>
  </si>
  <si>
    <t>walls</t>
  </si>
  <si>
    <t>anti-termite material</t>
  </si>
  <si>
    <t>iron sheet door</t>
  </si>
  <si>
    <t>D.16</t>
  </si>
  <si>
    <t>Shelter is entirely made of iron sheets</t>
  </si>
  <si>
    <t>T.29</t>
  </si>
  <si>
    <t xml:space="preserve">Chicago, USA </t>
  </si>
  <si>
    <t xml:space="preserve">the entire shelter is made of time and timebr planks </t>
  </si>
  <si>
    <t xml:space="preserve">Open gable roof wooden shelter </t>
  </si>
  <si>
    <t>Central African Republic,</t>
  </si>
  <si>
    <t>Communal plastic shetler with wodoen frame</t>
  </si>
  <si>
    <t>shelter project 2013-2014</t>
  </si>
  <si>
    <t>Shed roof compressed mud block shetler</t>
  </si>
  <si>
    <t>wooden pole wall/ roof frame</t>
  </si>
  <si>
    <t>E.15</t>
  </si>
  <si>
    <t>D.17</t>
  </si>
  <si>
    <t>Open gable with CGI and wooden structure shelter</t>
  </si>
  <si>
    <t>Cuba</t>
  </si>
  <si>
    <t xml:space="preserve">PCC concrete 35x35x40 cm </t>
  </si>
  <si>
    <t xml:space="preserve">roof ridging </t>
  </si>
  <si>
    <t>includes the volume of floor beams and supports</t>
  </si>
  <si>
    <t>screws</t>
  </si>
  <si>
    <t>Dominic Republic</t>
  </si>
  <si>
    <t>D.18</t>
  </si>
  <si>
    <t>concrete floor 5 cm thick</t>
  </si>
  <si>
    <t>plain concrete floor</t>
  </si>
  <si>
    <t>widnow glass</t>
  </si>
  <si>
    <t>foundation/wall</t>
  </si>
  <si>
    <t>Cobblestone walls and wooden bracing  shelter</t>
  </si>
  <si>
    <t xml:space="preserve">Cobblestone with cement-sand masonry </t>
  </si>
  <si>
    <t>D.19</t>
  </si>
  <si>
    <t>D.22</t>
  </si>
  <si>
    <t>T.30</t>
  </si>
  <si>
    <t>includes the volume for wall bracing, floor frame and roof frames</t>
  </si>
  <si>
    <t>incldues volume for window</t>
  </si>
  <si>
    <t xml:space="preserve">flat CGI roof wooden shelter </t>
  </si>
  <si>
    <t>Lebanon</t>
  </si>
  <si>
    <t>RCC</t>
  </si>
  <si>
    <t>Reinforced cocrete</t>
  </si>
  <si>
    <t>The volume of pillars</t>
  </si>
  <si>
    <t>RCC columns</t>
  </si>
  <si>
    <t>pillars</t>
  </si>
  <si>
    <t>RCC shelters</t>
  </si>
  <si>
    <t>4 mm glass for windows</t>
  </si>
  <si>
    <t>local door</t>
  </si>
  <si>
    <t>Myaw posts (2"dia.- 4"dia.)</t>
  </si>
  <si>
    <t>Myaw posts (4"dia.- 6"dia.)</t>
  </si>
  <si>
    <t>Timber scant (local hardwood)</t>
  </si>
  <si>
    <t>tone</t>
  </si>
  <si>
    <t>plain iron sheets</t>
  </si>
  <si>
    <t>Bamboo (seasonal dry)</t>
  </si>
  <si>
    <t>2345 pcs</t>
  </si>
  <si>
    <t>820 pcs</t>
  </si>
  <si>
    <t>Dahni/nipa</t>
  </si>
  <si>
    <t>plastic rope</t>
  </si>
  <si>
    <t xml:space="preserve">min. 1/16" thick x 1" x 6") with screws 15 pcs </t>
  </si>
  <si>
    <t>T.31</t>
  </si>
  <si>
    <t>temporary 8-unit shelters.</t>
  </si>
  <si>
    <t>E.16</t>
  </si>
  <si>
    <t>mud bricks-iron wood shelters</t>
  </si>
  <si>
    <t xml:space="preserve">foundation concrete </t>
  </si>
  <si>
    <t>ironwood square cut timbers</t>
  </si>
  <si>
    <t>Iron wood (columns, wall plates and rafters)</t>
  </si>
  <si>
    <t xml:space="preserve">timber bracing 2”x 4” x 12 ft </t>
  </si>
  <si>
    <t>Purlin made of soft wood</t>
  </si>
  <si>
    <t>iron bar</t>
  </si>
  <si>
    <t>flat roof- mud bricks wall shelter</t>
  </si>
  <si>
    <t xml:space="preserve">dry stone masonry </t>
  </si>
  <si>
    <t>Sun dried mud bricks 7x10x21 cm</t>
  </si>
  <si>
    <t>Bamboo poles</t>
  </si>
  <si>
    <t>lime</t>
  </si>
  <si>
    <t>cotton rope 3mm thick</t>
  </si>
  <si>
    <t>D.23</t>
  </si>
  <si>
    <t>Bamboo shelter</t>
  </si>
  <si>
    <t>Bamboo poles 1"-2" dia</t>
  </si>
  <si>
    <t>poplar wood</t>
  </si>
  <si>
    <t>2 pcs 35 kgs each</t>
  </si>
  <si>
    <t>timber door</t>
  </si>
  <si>
    <t>door/window included</t>
  </si>
  <si>
    <t>E.17</t>
  </si>
  <si>
    <t>T.33</t>
  </si>
  <si>
    <t>compacted stones with concrete mixture</t>
  </si>
  <si>
    <t>Coco lumber posts (2” x 4” &amp; 4” x 4”) 10 foot</t>
  </si>
  <si>
    <t xml:space="preserve">(2” x 3” purlins) 12 foot </t>
  </si>
  <si>
    <t xml:space="preserve">8ft Coco lumber (2” x 4” &amp; 4” x 4”) </t>
  </si>
  <si>
    <t>coco lumber</t>
  </si>
  <si>
    <t>coco log</t>
  </si>
  <si>
    <t>T.34</t>
  </si>
  <si>
    <t>T.35</t>
  </si>
  <si>
    <t>Coco lumber transitional shelter</t>
  </si>
  <si>
    <t>Tie-wire hooks</t>
  </si>
  <si>
    <t>50 pcs</t>
  </si>
  <si>
    <t>Common wire nails (various
sizes) and roofing nails</t>
  </si>
  <si>
    <t>Yolanda timber-plastic sheet shelter</t>
  </si>
  <si>
    <t>coco lumber main, sub and wall frames</t>
  </si>
  <si>
    <t>Ridge roll</t>
  </si>
  <si>
    <t>3 pcs</t>
  </si>
  <si>
    <t>Kaya camp timber shelters</t>
  </si>
  <si>
    <t>Sudan</t>
  </si>
  <si>
    <t>1 pre-assembled roof (12 timber pieces 4”
x 2”, and 8 timber pieces 2” x 2”)</t>
  </si>
  <si>
    <t>Bamboo various sizes</t>
  </si>
  <si>
    <t>D.24</t>
  </si>
  <si>
    <t xml:space="preserve">Self-build Permanent shelters in Afghanistan </t>
  </si>
  <si>
    <t>I-shape steel beam Size: (135 x 75 x 5)mm x 4,000mm long weight 48.5 KG</t>
  </si>
  <si>
    <t>T-shape steel beam  Size: (50 x 35 x 4)mm x 6,000mm long  weight 15  KG</t>
  </si>
  <si>
    <t>T-shape steel beam  Size: (50x35x4)mm x 4,500 mm long weight 11.25 KG</t>
  </si>
  <si>
    <t>T-shape steel beam  Size: (50 x 35 x 4)mm x 2,000mm long weight 5 KG</t>
  </si>
  <si>
    <t>Metal  Door external, (Size: 900 x 2,000)mm as per design</t>
  </si>
  <si>
    <t>Metal window (Size: 1,500 x 1,500)mm</t>
  </si>
  <si>
    <t>Hammer 600 gr</t>
  </si>
  <si>
    <t>Shovel</t>
  </si>
  <si>
    <t>Pickaxe</t>
  </si>
  <si>
    <t>Hand saw 18"</t>
  </si>
  <si>
    <t>Screwdriver (medium)</t>
  </si>
  <si>
    <t>Iron Bucket</t>
  </si>
  <si>
    <t>Wheelbarrow</t>
  </si>
  <si>
    <t>10 pcs</t>
  </si>
  <si>
    <t>Common nails</t>
  </si>
  <si>
    <t>Mud straw plaster (spreaded on all over the roof)</t>
  </si>
  <si>
    <t>Dry soil (spreaded on all roof)</t>
  </si>
  <si>
    <t xml:space="preserve">Plastic sheeting (minimum 1.2 mm thick) placed as dump proof course over ceiling , T-beams and foundation walls </t>
  </si>
  <si>
    <t xml:space="preserve">Chawka Bricks Size: (290 x 145 x 50)mm </t>
  </si>
  <si>
    <t>Wall plate timber  (100 x 100)mm x 6,000mm long (Russain khar timber wood)</t>
  </si>
  <si>
    <t>Mud walls (116m2 x 40 cm thick external and 30 cm thick internal mud wall)</t>
  </si>
  <si>
    <t>Wooden door  (Size: 900 x 2,000)mm as per design</t>
  </si>
  <si>
    <t>Door lintel timber 100x100 x 1500mm (Russain khar wood)</t>
  </si>
  <si>
    <t>Window lintel  timber 100x100x2250mm (Russain khar wood)</t>
  </si>
  <si>
    <t>Hollow brick with net (Size:300 x 300)mm</t>
  </si>
  <si>
    <t>Plain window glass (3mm thick) cut as per window  design size</t>
  </si>
  <si>
    <t>Metal  Door, (Size: 800 x 1,800)mm</t>
  </si>
  <si>
    <t>Wooden poles (120 - 140 mm diameter x 2,000mm length ) for latrine roof</t>
  </si>
  <si>
    <t>Door lintel (l=1,400 &amp; c=25 cm)</t>
  </si>
  <si>
    <t xml:space="preserve">RCC squatting slab (1,200 x 1,200 x 80 ) mm with 6 mm reinforcement </t>
  </si>
  <si>
    <t>Trap door and frame / Prefab RCC, (frame size: 550 x 550 x 50 with door size: 400 x 400)mm (for latrine)</t>
  </si>
  <si>
    <t>Cement for pit wall lining (M:400, 1:3)</t>
  </si>
  <si>
    <t xml:space="preserve">Dry stone masonry </t>
  </si>
  <si>
    <t>mud straw plaster</t>
  </si>
  <si>
    <t>kg/m7</t>
  </si>
  <si>
    <t>Metal  Door, (Size: 700 x 1,600)mm</t>
  </si>
  <si>
    <t xml:space="preserve">Wall bracing: "Katiba"- beams (seismic resistance) 60 x 40 x 1,200mm - length:  153.6cm / Treated, cut and joint to specifications as per design  </t>
  </si>
  <si>
    <t>Anval Bulk Density Chart</t>
  </si>
  <si>
    <t>EE&amp;EC are not accurate for glass</t>
  </si>
  <si>
    <t>EE&amp;EC are not accurate for Bitumen</t>
  </si>
  <si>
    <t>EE&amp;EC are not accurate for RCC</t>
  </si>
  <si>
    <t>D.25</t>
  </si>
  <si>
    <t xml:space="preserve">Self-build Permanent shelters with stone wall in Afghanistan </t>
  </si>
  <si>
    <t>E.10-1</t>
  </si>
  <si>
    <t>D.10-2</t>
  </si>
  <si>
    <t>with cement mortar</t>
  </si>
  <si>
    <t>Durable shelters with concrete block foundation IN Côte d’Ivoire</t>
  </si>
  <si>
    <t>E.11-2</t>
  </si>
  <si>
    <t>T.33-2</t>
  </si>
  <si>
    <t>EE rank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</si>
</sst>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0.000000"/>
    <numFmt numFmtId="165" formatCode="0.00000"/>
    <numFmt numFmtId="166" formatCode="0.0000"/>
    <numFmt numFmtId="167" formatCode="0.000"/>
    <numFmt numFmtId="168" formatCode="0.0"/>
  </numFmts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A3098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5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 style="thin">
        <color theme="4" tint="0.39997558519241921"/>
      </left>
      <right/>
      <top/>
      <bottom style="thin">
        <color theme="4" tint="0.39997558519241921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Border="1"/>
    <xf numFmtId="0" fontId="0" fillId="0" borderId="1" xfId="0" applyFont="1" applyBorder="1"/>
    <xf numFmtId="0" fontId="0" fillId="0" borderId="0" xfId="0" applyAlignment="1"/>
    <xf numFmtId="0" fontId="0" fillId="0" borderId="0" xfId="0" applyNumberFormat="1"/>
    <xf numFmtId="0" fontId="0" fillId="3" borderId="0" xfId="0" applyFont="1" applyFill="1" applyBorder="1"/>
    <xf numFmtId="0" fontId="0" fillId="0" borderId="0" xfId="0" applyFont="1" applyFill="1" applyBorder="1"/>
    <xf numFmtId="0" fontId="1" fillId="2" borderId="4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vertical="center" wrapText="1"/>
    </xf>
    <xf numFmtId="164" fontId="0" fillId="0" borderId="0" xfId="0" applyNumberFormat="1"/>
    <xf numFmtId="165" fontId="0" fillId="0" borderId="0" xfId="0" applyNumberFormat="1"/>
    <xf numFmtId="166" fontId="0" fillId="0" borderId="0" xfId="0" applyNumberFormat="1"/>
    <xf numFmtId="167" fontId="0" fillId="0" borderId="0" xfId="0" applyNumberFormat="1"/>
    <xf numFmtId="168" fontId="0" fillId="0" borderId="0" xfId="0" applyNumberFormat="1"/>
    <xf numFmtId="0" fontId="3" fillId="0" borderId="0" xfId="0" applyFont="1"/>
    <xf numFmtId="0" fontId="0" fillId="0" borderId="0" xfId="0" applyFont="1" applyBorder="1"/>
    <xf numFmtId="0" fontId="0" fillId="0" borderId="1" xfId="0" applyBorder="1"/>
    <xf numFmtId="0" fontId="2" fillId="0" borderId="0" xfId="0" applyNumberFormat="1" applyFont="1"/>
    <xf numFmtId="0" fontId="2" fillId="0" borderId="0" xfId="0" applyFont="1"/>
    <xf numFmtId="168" fontId="2" fillId="0" borderId="0" xfId="0" applyNumberFormat="1" applyFont="1"/>
    <xf numFmtId="0" fontId="4" fillId="0" borderId="0" xfId="0" applyFont="1"/>
    <xf numFmtId="0" fontId="4" fillId="0" borderId="0" xfId="0" applyFont="1" applyAlignment="1"/>
    <xf numFmtId="0" fontId="4" fillId="0" borderId="0" xfId="0" applyFont="1" applyBorder="1"/>
    <xf numFmtId="0" fontId="4" fillId="0" borderId="0" xfId="0" applyNumberFormat="1" applyFont="1"/>
    <xf numFmtId="168" fontId="4" fillId="0" borderId="0" xfId="0" applyNumberFormat="1" applyFont="1"/>
    <xf numFmtId="0" fontId="4" fillId="0" borderId="0" xfId="0" applyFont="1" applyFill="1" applyBorder="1"/>
    <xf numFmtId="0" fontId="5" fillId="0" borderId="0" xfId="0" applyNumberFormat="1" applyFont="1"/>
    <xf numFmtId="0" fontId="5" fillId="0" borderId="0" xfId="0" applyFont="1"/>
    <xf numFmtId="168" fontId="5" fillId="0" borderId="0" xfId="0" applyNumberFormat="1" applyFont="1"/>
    <xf numFmtId="166" fontId="1" fillId="2" borderId="2" xfId="0" applyNumberFormat="1" applyFont="1" applyFill="1" applyBorder="1" applyAlignment="1">
      <alignment vertical="center" wrapText="1"/>
    </xf>
    <xf numFmtId="166" fontId="1" fillId="2" borderId="3" xfId="0" applyNumberFormat="1" applyFont="1" applyFill="1" applyBorder="1" applyAlignment="1">
      <alignment vertical="center" wrapText="1"/>
    </xf>
    <xf numFmtId="166" fontId="2" fillId="0" borderId="0" xfId="0" applyNumberFormat="1" applyFont="1"/>
    <xf numFmtId="166" fontId="5" fillId="0" borderId="0" xfId="0" applyNumberFormat="1" applyFont="1"/>
    <xf numFmtId="166" fontId="4" fillId="0" borderId="0" xfId="0" applyNumberFormat="1" applyFont="1"/>
    <xf numFmtId="0" fontId="4" fillId="0" borderId="1" xfId="0" applyFont="1" applyBorder="1"/>
    <xf numFmtId="0" fontId="0" fillId="0" borderId="0" xfId="0" applyNumberFormat="1" applyFont="1"/>
    <xf numFmtId="0" fontId="0" fillId="0" borderId="0" xfId="0" applyFont="1"/>
    <xf numFmtId="168" fontId="0" fillId="0" borderId="0" xfId="0" applyNumberFormat="1" applyFont="1"/>
    <xf numFmtId="166" fontId="0" fillId="0" borderId="0" xfId="0" applyNumberFormat="1" applyFont="1"/>
    <xf numFmtId="0" fontId="2" fillId="0" borderId="0" xfId="0" applyFont="1" applyFill="1" applyBorder="1"/>
    <xf numFmtId="0" fontId="2" fillId="0" borderId="0" xfId="0" applyFont="1" applyBorder="1"/>
    <xf numFmtId="0" fontId="2" fillId="0" borderId="0" xfId="0" applyFont="1" applyAlignment="1"/>
  </cellXfs>
  <cellStyles count="1">
    <cellStyle name="Normal" xfId="0" builtinId="0"/>
  </cellStyles>
  <dxfs count="15">
    <dxf>
      <numFmt numFmtId="166" formatCode="0.0000"/>
    </dxf>
    <dxf>
      <numFmt numFmtId="166" formatCode="0.0000"/>
    </dxf>
    <dxf>
      <numFmt numFmtId="166" formatCode="0.0000"/>
    </dxf>
    <dxf>
      <numFmt numFmtId="166" formatCode="0.0000"/>
    </dxf>
    <dxf>
      <numFmt numFmtId="166" formatCode="0.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A30982"/>
        <name val="Calibri"/>
        <scheme val="minor"/>
      </font>
      <numFmt numFmtId="166" formatCode="0.0000"/>
    </dxf>
    <dxf>
      <numFmt numFmtId="166" formatCode="0.0000"/>
    </dxf>
    <dxf>
      <numFmt numFmtId="168" formatCode="0.0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border outline="0">
        <top style="thin">
          <color theme="4" tint="0.39997558519241921"/>
        </top>
      </border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4"/>
          <bgColor theme="4"/>
        </patternFill>
      </fill>
      <alignment horizontal="general" vertical="center" textRotation="0" wrapText="1" indent="0" justifyLastLine="0" shrinkToFit="0" readingOrder="0"/>
    </dxf>
  </dxfs>
  <tableStyles count="1" defaultTableStyle="TableStyleMedium2" defaultPivotStyle="PivotStyleLight16">
    <tableStyle name="Style de tableau 1" pivot="0" count="0"/>
  </tableStyles>
  <colors>
    <mruColors>
      <color rgb="FFC65A6C"/>
      <color rgb="FFA30982"/>
      <color rgb="FFFC2490"/>
      <color rgb="FF1905AB"/>
      <color rgb="FFB73CD0"/>
      <color rgb="FF89E14D"/>
      <color rgb="FF4472C4"/>
      <color rgb="FFED7D31"/>
      <color rgb="FFFE8206"/>
      <color rgb="FFEBE11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8" name="Tableau8" displayName="Tableau8" ref="A1:AJ1171" totalsRowShown="0" headerRowDxfId="14" headerRowBorderDxfId="13" tableBorderDxfId="12">
  <autoFilter ref="A1:AJ1171"/>
  <tableColumns count="36">
    <tableColumn id="34" name="quality source inventory" dataDxfId="11"/>
    <tableColumn id="35" name="code" dataDxfId="10"/>
    <tableColumn id="31" name="Main Material" dataDxfId="9"/>
    <tableColumn id="33" name="source" dataDxfId="8"/>
    <tableColumn id="1" name="shelter design name"/>
    <tableColumn id="2" name="shelter type"/>
    <tableColumn id="3" name="location"/>
    <tableColumn id="4" name="Footprint area (m2)"/>
    <tableColumn id="5" name="life span (years)"/>
    <tableColumn id="6" name="building component "/>
    <tableColumn id="7" name="material category"/>
    <tableColumn id="8" name="item"/>
    <tableColumn id="9" name="material"/>
    <tableColumn id="10" name="assumed material from database"/>
    <tableColumn id="11" name="comment"/>
    <tableColumn id="12" name="volume or area"/>
    <tableColumn id="13" name="units (m2 or m3)"/>
    <tableColumn id="14" name="volume data quality categorisation"/>
    <tableColumn id="15" name="comment2"/>
    <tableColumn id="16" name="nb of item used "/>
    <tableColumn id="17" name=" nb of item used data quality categorisation"/>
    <tableColumn id="18" name="comment3"/>
    <tableColumn id="19" name="density (kg/m2) or specific weight (kg/m2)"/>
    <tableColumn id="20" name="units (kg/m2 or kg/m3)"/>
    <tableColumn id="21" name="density data quality categorisation"/>
    <tableColumn id="22" name="comment5"/>
    <tableColumn id="23" name="weight (kg )" dataDxfId="7"/>
    <tableColumn id="24" name="EE (MJ /kg) COEF"/>
    <tableColumn id="25" name="EC(kgCO2e/kg) COEF"/>
    <tableColumn id="30" name="EE ( MJ/m²)" dataDxfId="6">
      <calculatedColumnFormula>AB2*AA2/H2</calculatedColumnFormula>
    </tableColumn>
    <tableColumn id="37" name="EE rank" dataDxfId="5">
      <calculatedColumnFormula>_xlfn.RANK.AVG(Tableau8[[#This Row],[EE ( MJ/m²)]],AD2:AD1157)</calculatedColumnFormula>
    </tableColumn>
    <tableColumn id="26" name="EE ( MJ/year/m2)2" dataDxfId="4">
      <calculatedColumnFormula>AB2*AA2/H2/I2</calculatedColumnFormula>
    </tableColumn>
    <tableColumn id="29" name="EC(kgCO2e/m²) biomass excluded" dataDxfId="3">
      <calculatedColumnFormula>(AC2-0.41)*AA2/H2</calculatedColumnFormula>
    </tableColumn>
    <tableColumn id="28" name="EC(kgCO2e/m²) biomass maintained" dataDxfId="2">
      <calculatedColumnFormula>AC2*AA2/H2</calculatedColumnFormula>
    </tableColumn>
    <tableColumn id="32" name="EC (kgCO2e/year/m2) biomass excluded" dataDxfId="1">
      <calculatedColumnFormula>(AC2-0.41)*AA2/H2/I2</calculatedColumnFormula>
    </tableColumn>
    <tableColumn id="27" name="EC (kgCO2e/year/m2) biomass maintained" dataDxfId="0">
      <calculatedColumnFormula>AC2*AA2/H2/I2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171"/>
  <sheetViews>
    <sheetView tabSelected="1" zoomScaleNormal="100" workbookViewId="0">
      <selection activeCell="F9" sqref="F9"/>
    </sheetView>
  </sheetViews>
  <sheetFormatPr defaultColWidth="11.42578125" defaultRowHeight="15" x14ac:dyDescent="0.25"/>
  <cols>
    <col min="1" max="1" width="19.140625" customWidth="1"/>
    <col min="2" max="2" width="13.7109375" customWidth="1"/>
    <col min="3" max="3" width="11.42578125" customWidth="1"/>
    <col min="4" max="4" width="34.42578125" customWidth="1"/>
    <col min="5" max="5" width="21.7109375" customWidth="1"/>
    <col min="6" max="6" width="16.140625" customWidth="1"/>
    <col min="7" max="7" width="17.85546875" customWidth="1"/>
    <col min="8" max="8" width="8.140625" customWidth="1"/>
    <col min="9" max="9" width="12.7109375" customWidth="1"/>
    <col min="10" max="10" width="18" customWidth="1"/>
    <col min="11" max="11" width="16.5703125" customWidth="1"/>
    <col min="12" max="12" width="28.85546875" customWidth="1"/>
    <col min="13" max="13" width="18.85546875" customWidth="1"/>
    <col min="14" max="14" width="13.7109375" customWidth="1"/>
    <col min="15" max="15" width="17.5703125" hidden="1" customWidth="1"/>
    <col min="16" max="16" width="7.7109375" customWidth="1"/>
    <col min="17" max="17" width="10.42578125" customWidth="1"/>
    <col min="18" max="18" width="29.42578125" customWidth="1"/>
    <col min="19" max="19" width="11.7109375" customWidth="1"/>
    <col min="20" max="20" width="12.5703125" customWidth="1"/>
    <col min="21" max="21" width="11.28515625" customWidth="1"/>
    <col min="22" max="22" width="9.42578125" customWidth="1"/>
    <col min="23" max="23" width="12.28515625" customWidth="1"/>
    <col min="24" max="24" width="12.5703125" customWidth="1"/>
    <col min="25" max="25" width="13.5703125" customWidth="1"/>
    <col min="26" max="26" width="17.85546875" customWidth="1"/>
    <col min="27" max="28" width="21.28515625" customWidth="1"/>
    <col min="29" max="29" width="18.28515625" customWidth="1"/>
    <col min="30" max="31" width="18.28515625" style="11" customWidth="1"/>
    <col min="32" max="32" width="28.85546875" style="11" customWidth="1"/>
    <col min="33" max="33" width="22.140625" style="11" customWidth="1"/>
    <col min="34" max="35" width="11.42578125" style="11"/>
  </cols>
  <sheetData>
    <row r="1" spans="1:36" ht="75" x14ac:dyDescent="0.25">
      <c r="A1" s="8" t="s">
        <v>943</v>
      </c>
      <c r="B1" s="8" t="s">
        <v>1001</v>
      </c>
      <c r="C1" s="8" t="s">
        <v>997</v>
      </c>
      <c r="D1" s="8" t="s">
        <v>926</v>
      </c>
      <c r="E1" s="7" t="s">
        <v>168</v>
      </c>
      <c r="F1" s="7" t="s">
        <v>169</v>
      </c>
      <c r="G1" s="7" t="s">
        <v>51</v>
      </c>
      <c r="H1" s="7" t="s">
        <v>173</v>
      </c>
      <c r="I1" s="7" t="s">
        <v>174</v>
      </c>
      <c r="J1" s="7" t="s">
        <v>20</v>
      </c>
      <c r="K1" s="8" t="s">
        <v>19</v>
      </c>
      <c r="L1" s="8" t="s">
        <v>21</v>
      </c>
      <c r="M1" s="8" t="s">
        <v>1</v>
      </c>
      <c r="N1" s="8" t="s">
        <v>24</v>
      </c>
      <c r="O1" s="8" t="s">
        <v>25</v>
      </c>
      <c r="P1" s="8" t="s">
        <v>177</v>
      </c>
      <c r="Q1" s="8" t="s">
        <v>178</v>
      </c>
      <c r="R1" s="8" t="s">
        <v>165</v>
      </c>
      <c r="S1" s="8" t="s">
        <v>26</v>
      </c>
      <c r="T1" s="8" t="s">
        <v>22</v>
      </c>
      <c r="U1" s="8" t="s">
        <v>166</v>
      </c>
      <c r="V1" s="8" t="s">
        <v>27</v>
      </c>
      <c r="W1" s="8" t="s">
        <v>181</v>
      </c>
      <c r="X1" s="8" t="s">
        <v>182</v>
      </c>
      <c r="Y1" s="8" t="s">
        <v>167</v>
      </c>
      <c r="Z1" s="8" t="s">
        <v>28</v>
      </c>
      <c r="AA1" s="8" t="s">
        <v>23</v>
      </c>
      <c r="AB1" s="8" t="s">
        <v>49</v>
      </c>
      <c r="AC1" s="8" t="s">
        <v>50</v>
      </c>
      <c r="AD1" s="29" t="s">
        <v>935</v>
      </c>
      <c r="AE1" s="29" t="s">
        <v>1247</v>
      </c>
      <c r="AF1" s="29" t="s">
        <v>934</v>
      </c>
      <c r="AG1" s="29" t="s">
        <v>936</v>
      </c>
      <c r="AH1" s="29" t="s">
        <v>937</v>
      </c>
      <c r="AI1" s="29" t="s">
        <v>933</v>
      </c>
      <c r="AJ1" s="30" t="s">
        <v>932</v>
      </c>
    </row>
    <row r="2" spans="1:36" x14ac:dyDescent="0.25">
      <c r="A2" s="4" t="s">
        <v>945</v>
      </c>
      <c r="B2" s="4" t="s">
        <v>947</v>
      </c>
      <c r="C2" s="4" t="s">
        <v>998</v>
      </c>
      <c r="D2" s="4" t="s">
        <v>941</v>
      </c>
      <c r="E2" t="s">
        <v>698</v>
      </c>
      <c r="F2" t="s">
        <v>360</v>
      </c>
      <c r="G2" t="s">
        <v>699</v>
      </c>
      <c r="H2">
        <f t="shared" ref="H2:H26" si="0">3.5*2.8</f>
        <v>9.7999999999999989</v>
      </c>
      <c r="I2">
        <v>12</v>
      </c>
      <c r="J2" t="s">
        <v>42</v>
      </c>
      <c r="K2" t="s">
        <v>15</v>
      </c>
      <c r="L2" t="s">
        <v>703</v>
      </c>
      <c r="M2" t="s">
        <v>15</v>
      </c>
      <c r="N2" t="s">
        <v>15</v>
      </c>
      <c r="P2">
        <f>0.064*0.114*3.7</f>
        <v>2.6995200000000004E-2</v>
      </c>
      <c r="T2">
        <v>1</v>
      </c>
      <c r="W2">
        <v>510</v>
      </c>
      <c r="X2" t="s">
        <v>184</v>
      </c>
      <c r="AA2" s="13">
        <f>Tableau8[[#This Row],[nb of item used ]]*Tableau8[[#This Row],[density (kg/m2) or specific weight (kg/m2)]]*Tableau8[[#This Row],[volume or area]]</f>
        <v>13.767552000000002</v>
      </c>
      <c r="AB2">
        <f t="shared" ref="AB2:AB9" si="1">10-4.4</f>
        <v>5.6</v>
      </c>
      <c r="AC2">
        <f t="shared" ref="AC2:AC9" si="2">0.31+0.41</f>
        <v>0.72</v>
      </c>
      <c r="AD2" s="11">
        <f t="shared" ref="AD2:AD33" si="3">AB2*AA2/H2</f>
        <v>7.867172571428573</v>
      </c>
      <c r="AE2" s="11">
        <f>_xlfn.RANK.AVG(Tableau8[[#This Row],[EE ( MJ/m²)]],AD2:AD1157)</f>
        <v>638.5</v>
      </c>
      <c r="AF2" s="11">
        <f t="shared" ref="AF2:AF33" si="4">AB2*AA2/H2/I2</f>
        <v>0.65559771428571445</v>
      </c>
      <c r="AG2" s="11">
        <f t="shared" ref="AG2:AG9" si="5">(AC2-0.41)*AA2/H2</f>
        <v>0.43550419591836748</v>
      </c>
      <c r="AH2" s="11">
        <f t="shared" ref="AH2:AH33" si="6">AC2*AA2/H2</f>
        <v>1.0114936163265309</v>
      </c>
      <c r="AI2" s="11">
        <f t="shared" ref="AI2:AI9" si="7">(AC2-0.41)*AA2/H2/I2</f>
        <v>3.6292016326530625E-2</v>
      </c>
      <c r="AJ2" s="11">
        <f t="shared" ref="AJ2:AJ33" si="8">AC2*AA2/H2/I2</f>
        <v>8.429113469387757E-2</v>
      </c>
    </row>
    <row r="3" spans="1:36" x14ac:dyDescent="0.25">
      <c r="A3" s="4" t="s">
        <v>945</v>
      </c>
      <c r="B3" s="4" t="s">
        <v>947</v>
      </c>
      <c r="C3" s="4" t="s">
        <v>998</v>
      </c>
      <c r="D3" s="4" t="s">
        <v>941</v>
      </c>
      <c r="E3" t="s">
        <v>698</v>
      </c>
      <c r="F3" t="s">
        <v>360</v>
      </c>
      <c r="G3" t="s">
        <v>699</v>
      </c>
      <c r="H3">
        <f t="shared" si="0"/>
        <v>9.7999999999999989</v>
      </c>
      <c r="I3">
        <v>12</v>
      </c>
      <c r="J3" t="s">
        <v>42</v>
      </c>
      <c r="K3" t="s">
        <v>15</v>
      </c>
      <c r="L3" t="s">
        <v>704</v>
      </c>
      <c r="M3" t="s">
        <v>15</v>
      </c>
      <c r="N3" t="s">
        <v>15</v>
      </c>
      <c r="P3">
        <f>0.064*0.114*3.7</f>
        <v>2.6995200000000004E-2</v>
      </c>
      <c r="T3">
        <v>1</v>
      </c>
      <c r="W3">
        <v>510</v>
      </c>
      <c r="X3" t="s">
        <v>184</v>
      </c>
      <c r="AA3" s="13">
        <f>Tableau8[[#This Row],[nb of item used ]]*Tableau8[[#This Row],[density (kg/m2) or specific weight (kg/m2)]]*Tableau8[[#This Row],[volume or area]]</f>
        <v>13.767552000000002</v>
      </c>
      <c r="AB3">
        <f t="shared" si="1"/>
        <v>5.6</v>
      </c>
      <c r="AC3">
        <f t="shared" si="2"/>
        <v>0.72</v>
      </c>
      <c r="AD3" s="11">
        <f t="shared" si="3"/>
        <v>7.867172571428573</v>
      </c>
      <c r="AE3" s="11">
        <f>_xlfn.RANK.AVG(Tableau8[[#This Row],[EE ( MJ/m²)]],AD3:AD1158)</f>
        <v>638</v>
      </c>
      <c r="AF3" s="11">
        <f t="shared" si="4"/>
        <v>0.65559771428571445</v>
      </c>
      <c r="AG3" s="11">
        <f t="shared" si="5"/>
        <v>0.43550419591836748</v>
      </c>
      <c r="AH3" s="11">
        <f t="shared" si="6"/>
        <v>1.0114936163265309</v>
      </c>
      <c r="AI3" s="11">
        <f t="shared" si="7"/>
        <v>3.6292016326530625E-2</v>
      </c>
      <c r="AJ3" s="11">
        <f t="shared" si="8"/>
        <v>8.429113469387757E-2</v>
      </c>
    </row>
    <row r="4" spans="1:36" x14ac:dyDescent="0.25">
      <c r="A4" s="4" t="s">
        <v>945</v>
      </c>
      <c r="B4" s="4" t="s">
        <v>947</v>
      </c>
      <c r="C4" s="4" t="s">
        <v>998</v>
      </c>
      <c r="D4" s="4" t="s">
        <v>941</v>
      </c>
      <c r="E4" t="s">
        <v>698</v>
      </c>
      <c r="F4" t="s">
        <v>360</v>
      </c>
      <c r="G4" t="s">
        <v>699</v>
      </c>
      <c r="H4">
        <f t="shared" si="0"/>
        <v>9.7999999999999989</v>
      </c>
      <c r="I4">
        <v>12</v>
      </c>
      <c r="J4" t="s">
        <v>42</v>
      </c>
      <c r="K4" t="s">
        <v>15</v>
      </c>
      <c r="L4" t="s">
        <v>621</v>
      </c>
      <c r="M4" t="s">
        <v>15</v>
      </c>
      <c r="N4" t="s">
        <v>15</v>
      </c>
      <c r="P4">
        <f>0.64*0.114*1</f>
        <v>7.2960000000000011E-2</v>
      </c>
      <c r="T4">
        <v>6</v>
      </c>
      <c r="W4">
        <v>510</v>
      </c>
      <c r="X4" t="s">
        <v>184</v>
      </c>
      <c r="AA4" s="13">
        <f>Tableau8[[#This Row],[nb of item used ]]*Tableau8[[#This Row],[density (kg/m2) or specific weight (kg/m2)]]*Tableau8[[#This Row],[volume or area]]</f>
        <v>223.25760000000002</v>
      </c>
      <c r="AB4">
        <f t="shared" si="1"/>
        <v>5.6</v>
      </c>
      <c r="AC4">
        <f t="shared" si="2"/>
        <v>0.72</v>
      </c>
      <c r="AD4" s="11">
        <f t="shared" si="3"/>
        <v>127.57577142857146</v>
      </c>
      <c r="AE4" s="11">
        <f>_xlfn.RANK.AVG(Tableau8[[#This Row],[EE ( MJ/m²)]],AD4:AD1159)</f>
        <v>155</v>
      </c>
      <c r="AF4" s="11">
        <f t="shared" si="4"/>
        <v>10.631314285714287</v>
      </c>
      <c r="AG4" s="11">
        <f t="shared" si="5"/>
        <v>7.0622302040816338</v>
      </c>
      <c r="AH4" s="11">
        <f t="shared" si="6"/>
        <v>16.402599183673473</v>
      </c>
      <c r="AI4" s="11">
        <f t="shared" si="7"/>
        <v>0.58851918367346945</v>
      </c>
      <c r="AJ4" s="11">
        <f t="shared" si="8"/>
        <v>1.3668832653061227</v>
      </c>
    </row>
    <row r="5" spans="1:36" x14ac:dyDescent="0.25">
      <c r="A5" s="4" t="s">
        <v>945</v>
      </c>
      <c r="B5" s="4" t="s">
        <v>947</v>
      </c>
      <c r="C5" s="4" t="s">
        <v>998</v>
      </c>
      <c r="D5" s="4" t="s">
        <v>941</v>
      </c>
      <c r="E5" t="s">
        <v>698</v>
      </c>
      <c r="F5" t="s">
        <v>360</v>
      </c>
      <c r="G5" t="s">
        <v>699</v>
      </c>
      <c r="H5">
        <f t="shared" si="0"/>
        <v>9.7999999999999989</v>
      </c>
      <c r="I5">
        <v>12</v>
      </c>
      <c r="J5" t="s">
        <v>42</v>
      </c>
      <c r="K5" t="s">
        <v>15</v>
      </c>
      <c r="L5" t="s">
        <v>705</v>
      </c>
      <c r="M5" t="s">
        <v>15</v>
      </c>
      <c r="N5" t="s">
        <v>15</v>
      </c>
      <c r="P5">
        <f>0.038*0.089*2.5</f>
        <v>8.454999999999999E-3</v>
      </c>
      <c r="T5">
        <v>18</v>
      </c>
      <c r="W5">
        <v>510</v>
      </c>
      <c r="X5" t="s">
        <v>184</v>
      </c>
      <c r="AA5" s="13">
        <f>Tableau8[[#This Row],[nb of item used ]]*Tableau8[[#This Row],[density (kg/m2) or specific weight (kg/m2)]]*Tableau8[[#This Row],[volume or area]]</f>
        <v>77.616899999999987</v>
      </c>
      <c r="AB5">
        <f t="shared" si="1"/>
        <v>5.6</v>
      </c>
      <c r="AC5">
        <f t="shared" si="2"/>
        <v>0.72</v>
      </c>
      <c r="AD5" s="11">
        <f t="shared" si="3"/>
        <v>44.352514285714285</v>
      </c>
      <c r="AE5" s="11">
        <f>_xlfn.RANK.AVG(Tableau8[[#This Row],[EE ( MJ/m²)]],AD5:AD1160)</f>
        <v>304</v>
      </c>
      <c r="AF5" s="11">
        <f t="shared" si="4"/>
        <v>3.696042857142857</v>
      </c>
      <c r="AG5" s="11">
        <f t="shared" si="5"/>
        <v>2.4552284693877549</v>
      </c>
      <c r="AH5" s="11">
        <f t="shared" si="6"/>
        <v>5.7024661224489792</v>
      </c>
      <c r="AI5" s="11">
        <f t="shared" si="7"/>
        <v>0.20460237244897958</v>
      </c>
      <c r="AJ5" s="11">
        <f t="shared" si="8"/>
        <v>0.47520551020408158</v>
      </c>
    </row>
    <row r="6" spans="1:36" x14ac:dyDescent="0.25">
      <c r="A6" s="4" t="s">
        <v>945</v>
      </c>
      <c r="B6" s="4" t="s">
        <v>947</v>
      </c>
      <c r="C6" s="4" t="s">
        <v>998</v>
      </c>
      <c r="D6" s="4" t="s">
        <v>941</v>
      </c>
      <c r="E6" t="s">
        <v>698</v>
      </c>
      <c r="F6" t="s">
        <v>360</v>
      </c>
      <c r="G6" t="s">
        <v>699</v>
      </c>
      <c r="H6">
        <f t="shared" si="0"/>
        <v>9.7999999999999989</v>
      </c>
      <c r="I6">
        <v>12</v>
      </c>
      <c r="J6" t="s">
        <v>42</v>
      </c>
      <c r="K6" t="s">
        <v>15</v>
      </c>
      <c r="L6" t="s">
        <v>706</v>
      </c>
      <c r="M6" t="s">
        <v>15</v>
      </c>
      <c r="N6" t="s">
        <v>15</v>
      </c>
      <c r="P6">
        <f>0.019*0.038*3.7</f>
        <v>2.6714E-3</v>
      </c>
      <c r="T6">
        <v>16</v>
      </c>
      <c r="W6">
        <v>510</v>
      </c>
      <c r="X6" t="s">
        <v>184</v>
      </c>
      <c r="AA6" s="13">
        <f>Tableau8[[#This Row],[nb of item used ]]*Tableau8[[#This Row],[density (kg/m2) or specific weight (kg/m2)]]*Tableau8[[#This Row],[volume or area]]</f>
        <v>21.798624</v>
      </c>
      <c r="AB6">
        <f t="shared" si="1"/>
        <v>5.6</v>
      </c>
      <c r="AC6">
        <f t="shared" si="2"/>
        <v>0.72</v>
      </c>
      <c r="AD6" s="11">
        <f t="shared" si="3"/>
        <v>12.456356571428572</v>
      </c>
      <c r="AE6" s="11">
        <f>_xlfn.RANK.AVG(Tableau8[[#This Row],[EE ( MJ/m²)]],AD6:AD1161)</f>
        <v>554</v>
      </c>
      <c r="AF6" s="11">
        <f t="shared" si="4"/>
        <v>1.0380297142857142</v>
      </c>
      <c r="AG6" s="11">
        <f t="shared" si="5"/>
        <v>0.68954831020408169</v>
      </c>
      <c r="AH6" s="11">
        <f t="shared" si="6"/>
        <v>1.6015315591836736</v>
      </c>
      <c r="AI6" s="11">
        <f t="shared" si="7"/>
        <v>5.7462359183673477E-2</v>
      </c>
      <c r="AJ6" s="11">
        <f t="shared" si="8"/>
        <v>0.13346096326530613</v>
      </c>
    </row>
    <row r="7" spans="1:36" x14ac:dyDescent="0.25">
      <c r="A7" s="4" t="s">
        <v>945</v>
      </c>
      <c r="B7" s="4" t="s">
        <v>947</v>
      </c>
      <c r="C7" s="4" t="s">
        <v>998</v>
      </c>
      <c r="D7" s="4" t="s">
        <v>941</v>
      </c>
      <c r="E7" t="s">
        <v>698</v>
      </c>
      <c r="F7" t="s">
        <v>360</v>
      </c>
      <c r="G7" t="s">
        <v>699</v>
      </c>
      <c r="H7">
        <f t="shared" si="0"/>
        <v>9.7999999999999989</v>
      </c>
      <c r="I7">
        <v>12</v>
      </c>
      <c r="J7" t="s">
        <v>40</v>
      </c>
      <c r="K7" t="s">
        <v>15</v>
      </c>
      <c r="L7" t="s">
        <v>539</v>
      </c>
      <c r="M7" t="s">
        <v>15</v>
      </c>
      <c r="N7" t="s">
        <v>15</v>
      </c>
      <c r="P7">
        <v>0.04</v>
      </c>
      <c r="Q7" t="s">
        <v>180</v>
      </c>
      <c r="R7" t="s">
        <v>187</v>
      </c>
      <c r="T7">
        <v>2</v>
      </c>
      <c r="W7">
        <v>510</v>
      </c>
      <c r="X7" t="s">
        <v>184</v>
      </c>
      <c r="AA7" s="13">
        <f>Tableau8[[#This Row],[density (kg/m2) or specific weight (kg/m2)]]*Tableau8[[#This Row],[nb of item used ]]*Tableau8[[#This Row],[volume or area]]</f>
        <v>40.800000000000004</v>
      </c>
      <c r="AB7">
        <f t="shared" si="1"/>
        <v>5.6</v>
      </c>
      <c r="AC7">
        <f t="shared" si="2"/>
        <v>0.72</v>
      </c>
      <c r="AD7" s="11">
        <f t="shared" si="3"/>
        <v>23.31428571428572</v>
      </c>
      <c r="AE7" s="11">
        <f>_xlfn.RANK.AVG(Tableau8[[#This Row],[EE ( MJ/m²)]],AD7:AD1162)</f>
        <v>424</v>
      </c>
      <c r="AF7" s="11">
        <f t="shared" si="4"/>
        <v>1.9428571428571433</v>
      </c>
      <c r="AG7" s="11">
        <f t="shared" si="5"/>
        <v>1.2906122448979596</v>
      </c>
      <c r="AH7" s="11">
        <f t="shared" si="6"/>
        <v>2.9975510204081637</v>
      </c>
      <c r="AI7" s="11">
        <f t="shared" si="7"/>
        <v>0.10755102040816329</v>
      </c>
      <c r="AJ7" s="11">
        <f t="shared" si="8"/>
        <v>0.24979591836734696</v>
      </c>
    </row>
    <row r="8" spans="1:36" x14ac:dyDescent="0.25">
      <c r="A8" s="4" t="s">
        <v>945</v>
      </c>
      <c r="B8" s="4" t="s">
        <v>947</v>
      </c>
      <c r="C8" s="4" t="s">
        <v>998</v>
      </c>
      <c r="D8" s="4" t="s">
        <v>941</v>
      </c>
      <c r="E8" t="s">
        <v>698</v>
      </c>
      <c r="F8" t="s">
        <v>360</v>
      </c>
      <c r="G8" t="s">
        <v>699</v>
      </c>
      <c r="H8">
        <f t="shared" si="0"/>
        <v>9.7999999999999989</v>
      </c>
      <c r="I8">
        <v>12</v>
      </c>
      <c r="J8" t="s">
        <v>40</v>
      </c>
      <c r="K8" t="s">
        <v>15</v>
      </c>
      <c r="L8" t="s">
        <v>540</v>
      </c>
      <c r="M8" t="s">
        <v>15</v>
      </c>
      <c r="N8" t="s">
        <v>15</v>
      </c>
      <c r="P8">
        <v>0.02</v>
      </c>
      <c r="Q8" t="s">
        <v>180</v>
      </c>
      <c r="R8" t="s">
        <v>187</v>
      </c>
      <c r="T8">
        <v>2</v>
      </c>
      <c r="W8">
        <v>510</v>
      </c>
      <c r="X8" t="s">
        <v>184</v>
      </c>
      <c r="AA8" s="13">
        <f>Tableau8[[#This Row],[density (kg/m2) or specific weight (kg/m2)]]*Tableau8[[#This Row],[nb of item used ]]*Tableau8[[#This Row],[volume or area]]</f>
        <v>20.400000000000002</v>
      </c>
      <c r="AB8">
        <f t="shared" si="1"/>
        <v>5.6</v>
      </c>
      <c r="AC8">
        <f t="shared" si="2"/>
        <v>0.72</v>
      </c>
      <c r="AD8" s="11">
        <f t="shared" si="3"/>
        <v>11.65714285714286</v>
      </c>
      <c r="AE8" s="11">
        <f>_xlfn.RANK.AVG(Tableau8[[#This Row],[EE ( MJ/m²)]],AD8:AD1163)</f>
        <v>562</v>
      </c>
      <c r="AF8" s="11">
        <f t="shared" si="4"/>
        <v>0.97142857142857164</v>
      </c>
      <c r="AG8" s="11">
        <f t="shared" si="5"/>
        <v>0.64530612244897978</v>
      </c>
      <c r="AH8" s="11">
        <f t="shared" si="6"/>
        <v>1.4987755102040818</v>
      </c>
      <c r="AI8" s="11">
        <f t="shared" si="7"/>
        <v>5.3775510204081646E-2</v>
      </c>
      <c r="AJ8" s="11">
        <f t="shared" si="8"/>
        <v>0.12489795918367348</v>
      </c>
    </row>
    <row r="9" spans="1:36" x14ac:dyDescent="0.25">
      <c r="A9" s="4" t="s">
        <v>945</v>
      </c>
      <c r="B9" s="4" t="s">
        <v>947</v>
      </c>
      <c r="C9" s="4" t="s">
        <v>998</v>
      </c>
      <c r="D9" s="4" t="s">
        <v>941</v>
      </c>
      <c r="E9" t="s">
        <v>698</v>
      </c>
      <c r="F9" t="s">
        <v>360</v>
      </c>
      <c r="G9" t="s">
        <v>699</v>
      </c>
      <c r="H9">
        <f t="shared" si="0"/>
        <v>9.7999999999999989</v>
      </c>
      <c r="I9">
        <v>12</v>
      </c>
      <c r="J9" t="s">
        <v>40</v>
      </c>
      <c r="K9" t="s">
        <v>15</v>
      </c>
      <c r="L9" t="s">
        <v>487</v>
      </c>
      <c r="M9" t="s">
        <v>15</v>
      </c>
      <c r="N9" t="s">
        <v>15</v>
      </c>
      <c r="P9">
        <f>6*0.572*0.1*0.015</f>
        <v>5.1479999999999989E-3</v>
      </c>
      <c r="Q9" t="s">
        <v>180</v>
      </c>
      <c r="T9">
        <v>2</v>
      </c>
      <c r="W9">
        <v>510</v>
      </c>
      <c r="X9" t="s">
        <v>184</v>
      </c>
      <c r="AA9" s="13">
        <f>Tableau8[[#This Row],[nb of item used ]]*Tableau8[[#This Row],[density (kg/m2) or specific weight (kg/m2)]]*Tableau8[[#This Row],[volume or area]]</f>
        <v>5.2509599999999992</v>
      </c>
      <c r="AB9">
        <f t="shared" si="1"/>
        <v>5.6</v>
      </c>
      <c r="AC9">
        <f t="shared" si="2"/>
        <v>0.72</v>
      </c>
      <c r="AD9" s="11">
        <f t="shared" si="3"/>
        <v>3.0005485714285709</v>
      </c>
      <c r="AE9" s="11">
        <f>_xlfn.RANK.AVG(Tableau8[[#This Row],[EE ( MJ/m²)]],AD9:AD1164)</f>
        <v>799</v>
      </c>
      <c r="AF9" s="11">
        <f t="shared" si="4"/>
        <v>0.25004571428571426</v>
      </c>
      <c r="AG9" s="11">
        <f t="shared" si="5"/>
        <v>0.16610179591836735</v>
      </c>
      <c r="AH9" s="11">
        <f t="shared" si="6"/>
        <v>0.38578481632653056</v>
      </c>
      <c r="AI9" s="11">
        <f t="shared" si="7"/>
        <v>1.3841816326530613E-2</v>
      </c>
      <c r="AJ9" s="11">
        <f t="shared" si="8"/>
        <v>3.2148734693877544E-2</v>
      </c>
    </row>
    <row r="10" spans="1:36" x14ac:dyDescent="0.25">
      <c r="A10" s="4" t="s">
        <v>945</v>
      </c>
      <c r="B10" s="4" t="s">
        <v>947</v>
      </c>
      <c r="C10" s="4" t="s">
        <v>998</v>
      </c>
      <c r="D10" s="4" t="s">
        <v>941</v>
      </c>
      <c r="E10" t="s">
        <v>698</v>
      </c>
      <c r="F10" t="s">
        <v>360</v>
      </c>
      <c r="G10" t="s">
        <v>699</v>
      </c>
      <c r="H10">
        <f t="shared" si="0"/>
        <v>9.7999999999999989</v>
      </c>
      <c r="I10">
        <v>12</v>
      </c>
      <c r="J10" t="s">
        <v>13</v>
      </c>
      <c r="K10" t="s">
        <v>17</v>
      </c>
      <c r="L10" t="s">
        <v>700</v>
      </c>
      <c r="M10" t="s">
        <v>12</v>
      </c>
      <c r="N10" t="s">
        <v>99</v>
      </c>
      <c r="P10">
        <f>PI()*(0.005^2)*6</f>
        <v>4.7123889803846896E-4</v>
      </c>
      <c r="T10">
        <v>6</v>
      </c>
      <c r="W10">
        <v>7800</v>
      </c>
      <c r="X10" t="s">
        <v>184</v>
      </c>
      <c r="AA10" s="13">
        <f>Tableau8[[#This Row],[density (kg/m2) or specific weight (kg/m2)]]*Tableau8[[#This Row],[nb of item used ]]*Tableau8[[#This Row],[volume or area]]</f>
        <v>22.053980428200347</v>
      </c>
      <c r="AB10">
        <v>21.6</v>
      </c>
      <c r="AC10">
        <v>1.86</v>
      </c>
      <c r="AD10" s="11">
        <f t="shared" si="3"/>
        <v>48.608773188686484</v>
      </c>
      <c r="AE10" s="11">
        <f>_xlfn.RANK.AVG(Tableau8[[#This Row],[EE ( MJ/m²)]],AD10:AD1165)</f>
        <v>289</v>
      </c>
      <c r="AF10" s="11">
        <f t="shared" si="4"/>
        <v>4.0507310990572067</v>
      </c>
      <c r="AG10" s="11">
        <f t="shared" ref="AG10:AG26" si="9">(AC10)*AA10/H10</f>
        <v>4.1857554690257803</v>
      </c>
      <c r="AH10" s="11">
        <f t="shared" si="6"/>
        <v>4.1857554690257803</v>
      </c>
      <c r="AI10" s="11">
        <f t="shared" ref="AI10:AI26" si="10">(AC10)*AA10/H10/I10</f>
        <v>0.34881295575214838</v>
      </c>
      <c r="AJ10" s="11">
        <f t="shared" si="8"/>
        <v>0.34881295575214838</v>
      </c>
    </row>
    <row r="11" spans="1:36" x14ac:dyDescent="0.25">
      <c r="A11" s="4" t="s">
        <v>945</v>
      </c>
      <c r="B11" s="4" t="s">
        <v>947</v>
      </c>
      <c r="C11" s="4" t="s">
        <v>998</v>
      </c>
      <c r="D11" s="4" t="s">
        <v>941</v>
      </c>
      <c r="E11" t="s">
        <v>698</v>
      </c>
      <c r="F11" t="s">
        <v>360</v>
      </c>
      <c r="G11" t="s">
        <v>699</v>
      </c>
      <c r="H11">
        <f t="shared" si="0"/>
        <v>9.7999999999999989</v>
      </c>
      <c r="I11">
        <v>12</v>
      </c>
      <c r="J11" t="s">
        <v>13</v>
      </c>
      <c r="K11" t="s">
        <v>17</v>
      </c>
      <c r="L11" t="s">
        <v>701</v>
      </c>
      <c r="M11" t="s">
        <v>12</v>
      </c>
      <c r="N11" t="s">
        <v>99</v>
      </c>
      <c r="P11">
        <f>PI()*(0.003^2)*3.7</f>
        <v>1.0461503536454011E-4</v>
      </c>
      <c r="T11">
        <v>1</v>
      </c>
      <c r="W11">
        <v>7800</v>
      </c>
      <c r="X11" t="s">
        <v>184</v>
      </c>
      <c r="AA11" s="13">
        <f>Tableau8[[#This Row],[density (kg/m2) or specific weight (kg/m2)]]*Tableau8[[#This Row],[nb of item used ]]*Tableau8[[#This Row],[volume or area]]</f>
        <v>0.81599727584341286</v>
      </c>
      <c r="AB11">
        <v>21.6</v>
      </c>
      <c r="AC11">
        <v>1.86</v>
      </c>
      <c r="AD11" s="11">
        <f t="shared" si="3"/>
        <v>1.7985246079813999</v>
      </c>
      <c r="AE11" s="11">
        <f>_xlfn.RANK.AVG(Tableau8[[#This Row],[EE ( MJ/m²)]],AD11:AD1166)</f>
        <v>878</v>
      </c>
      <c r="AF11" s="11">
        <f t="shared" si="4"/>
        <v>0.14987705066511667</v>
      </c>
      <c r="AG11" s="11">
        <f t="shared" si="9"/>
        <v>0.1548729523539539</v>
      </c>
      <c r="AH11" s="11">
        <f t="shared" si="6"/>
        <v>0.1548729523539539</v>
      </c>
      <c r="AI11" s="11">
        <f t="shared" si="10"/>
        <v>1.2906079362829491E-2</v>
      </c>
      <c r="AJ11" s="11">
        <f t="shared" si="8"/>
        <v>1.2906079362829491E-2</v>
      </c>
    </row>
    <row r="12" spans="1:36" x14ac:dyDescent="0.25">
      <c r="A12" s="4" t="s">
        <v>945</v>
      </c>
      <c r="B12" s="4" t="s">
        <v>947</v>
      </c>
      <c r="C12" s="4" t="s">
        <v>998</v>
      </c>
      <c r="D12" s="4" t="s">
        <v>941</v>
      </c>
      <c r="E12" t="s">
        <v>698</v>
      </c>
      <c r="F12" t="s">
        <v>360</v>
      </c>
      <c r="G12" t="s">
        <v>699</v>
      </c>
      <c r="H12">
        <f t="shared" si="0"/>
        <v>9.7999999999999989</v>
      </c>
      <c r="I12">
        <v>12</v>
      </c>
      <c r="J12" t="s">
        <v>44</v>
      </c>
      <c r="K12" t="s">
        <v>17</v>
      </c>
      <c r="L12" t="s">
        <v>702</v>
      </c>
      <c r="M12" t="s">
        <v>12</v>
      </c>
      <c r="N12" t="s">
        <v>612</v>
      </c>
      <c r="T12">
        <v>1</v>
      </c>
      <c r="W12">
        <v>7800</v>
      </c>
      <c r="X12" t="s">
        <v>184</v>
      </c>
      <c r="AA12" s="13">
        <v>0.2</v>
      </c>
      <c r="AB12">
        <v>36</v>
      </c>
      <c r="AC12">
        <v>3.02</v>
      </c>
      <c r="AD12" s="11">
        <f t="shared" si="3"/>
        <v>0.73469387755102056</v>
      </c>
      <c r="AE12" s="11">
        <f>_xlfn.RANK.AVG(Tableau8[[#This Row],[EE ( MJ/m²)]],AD12:AD1167)</f>
        <v>964</v>
      </c>
      <c r="AF12" s="11">
        <f t="shared" si="4"/>
        <v>6.122448979591838E-2</v>
      </c>
      <c r="AG12" s="11">
        <f t="shared" si="9"/>
        <v>6.1632653061224507E-2</v>
      </c>
      <c r="AH12" s="11">
        <f t="shared" si="6"/>
        <v>6.1632653061224507E-2</v>
      </c>
      <c r="AI12" s="11">
        <f t="shared" si="10"/>
        <v>5.1360544217687086E-3</v>
      </c>
      <c r="AJ12" s="11">
        <f t="shared" si="8"/>
        <v>5.1360544217687086E-3</v>
      </c>
    </row>
    <row r="13" spans="1:36" x14ac:dyDescent="0.25">
      <c r="A13" s="4" t="s">
        <v>945</v>
      </c>
      <c r="B13" s="4" t="s">
        <v>947</v>
      </c>
      <c r="C13" s="4" t="s">
        <v>998</v>
      </c>
      <c r="D13" s="4" t="s">
        <v>941</v>
      </c>
      <c r="E13" t="s">
        <v>698</v>
      </c>
      <c r="F13" t="s">
        <v>360</v>
      </c>
      <c r="G13" t="s">
        <v>699</v>
      </c>
      <c r="H13">
        <f t="shared" si="0"/>
        <v>9.7999999999999989</v>
      </c>
      <c r="I13">
        <v>12</v>
      </c>
      <c r="J13" t="s">
        <v>56</v>
      </c>
      <c r="K13" t="s">
        <v>17</v>
      </c>
      <c r="L13" t="s">
        <v>708</v>
      </c>
      <c r="M13" t="s">
        <v>12</v>
      </c>
      <c r="N13" t="s">
        <v>12</v>
      </c>
      <c r="P13">
        <f>0.0005*2.4*1</f>
        <v>1.1999999999999999E-3</v>
      </c>
      <c r="T13">
        <v>20</v>
      </c>
      <c r="W13">
        <v>7800</v>
      </c>
      <c r="X13" t="s">
        <v>184</v>
      </c>
      <c r="AA13" s="13">
        <f>Tableau8[[#This Row],[density (kg/m2) or specific weight (kg/m2)]]*Tableau8[[#This Row],[nb of item used ]]*Tableau8[[#This Row],[volume or area]]</f>
        <v>187.2</v>
      </c>
      <c r="AB13">
        <v>25.3</v>
      </c>
      <c r="AC13">
        <v>1.95</v>
      </c>
      <c r="AD13" s="11">
        <f t="shared" si="3"/>
        <v>483.28163265306125</v>
      </c>
      <c r="AE13" s="11">
        <f>_xlfn.RANK.AVG(Tableau8[[#This Row],[EE ( MJ/m²)]],AD13:AD1168)</f>
        <v>52</v>
      </c>
      <c r="AF13" s="11">
        <f t="shared" si="4"/>
        <v>40.273469387755107</v>
      </c>
      <c r="AG13" s="11">
        <f t="shared" si="9"/>
        <v>37.248979591836736</v>
      </c>
      <c r="AH13" s="11">
        <f t="shared" si="6"/>
        <v>37.248979591836736</v>
      </c>
      <c r="AI13" s="11">
        <f t="shared" si="10"/>
        <v>3.1040816326530614</v>
      </c>
      <c r="AJ13" s="11">
        <f t="shared" si="8"/>
        <v>3.1040816326530614</v>
      </c>
    </row>
    <row r="14" spans="1:36" x14ac:dyDescent="0.25">
      <c r="A14" s="4" t="s">
        <v>945</v>
      </c>
      <c r="B14" s="4" t="s">
        <v>947</v>
      </c>
      <c r="C14" s="4" t="s">
        <v>998</v>
      </c>
      <c r="D14" s="4" t="s">
        <v>941</v>
      </c>
      <c r="E14" t="s">
        <v>698</v>
      </c>
      <c r="F14" t="s">
        <v>360</v>
      </c>
      <c r="G14" t="s">
        <v>699</v>
      </c>
      <c r="H14">
        <f t="shared" si="0"/>
        <v>9.7999999999999989</v>
      </c>
      <c r="I14">
        <v>12</v>
      </c>
      <c r="J14" t="s">
        <v>56</v>
      </c>
      <c r="K14" t="s">
        <v>17</v>
      </c>
      <c r="L14" t="s">
        <v>709</v>
      </c>
      <c r="M14" t="s">
        <v>12</v>
      </c>
      <c r="N14" t="s">
        <v>12</v>
      </c>
      <c r="P14">
        <f>0.1*2.4*0.0005</f>
        <v>1.2E-4</v>
      </c>
      <c r="T14">
        <v>20</v>
      </c>
      <c r="W14">
        <v>7800</v>
      </c>
      <c r="X14" t="s">
        <v>184</v>
      </c>
      <c r="AA14" s="13">
        <f>Tableau8[[#This Row],[density (kg/m2) or specific weight (kg/m2)]]*Tableau8[[#This Row],[nb of item used ]]*Tableau8[[#This Row],[volume or area]]</f>
        <v>18.72</v>
      </c>
      <c r="AB14">
        <v>25.3</v>
      </c>
      <c r="AC14">
        <v>1.95</v>
      </c>
      <c r="AD14" s="11">
        <f t="shared" si="3"/>
        <v>48.328163265306124</v>
      </c>
      <c r="AE14" s="11">
        <f>_xlfn.RANK.AVG(Tableau8[[#This Row],[EE ( MJ/m²)]],AD14:AD1169)</f>
        <v>290</v>
      </c>
      <c r="AF14" s="11">
        <f t="shared" si="4"/>
        <v>4.0273469387755103</v>
      </c>
      <c r="AG14" s="11">
        <f t="shared" si="9"/>
        <v>3.7248979591836737</v>
      </c>
      <c r="AH14" s="11">
        <f t="shared" si="6"/>
        <v>3.7248979591836737</v>
      </c>
      <c r="AI14" s="11">
        <f t="shared" si="10"/>
        <v>0.31040816326530613</v>
      </c>
      <c r="AJ14" s="11">
        <f t="shared" si="8"/>
        <v>0.31040816326530613</v>
      </c>
    </row>
    <row r="15" spans="1:36" x14ac:dyDescent="0.25">
      <c r="A15" s="4" t="s">
        <v>945</v>
      </c>
      <c r="B15" s="4" t="s">
        <v>947</v>
      </c>
      <c r="C15" s="4" t="s">
        <v>998</v>
      </c>
      <c r="D15" s="4" t="s">
        <v>941</v>
      </c>
      <c r="E15" t="s">
        <v>698</v>
      </c>
      <c r="F15" t="s">
        <v>360</v>
      </c>
      <c r="G15" t="s">
        <v>699</v>
      </c>
      <c r="H15">
        <f t="shared" si="0"/>
        <v>9.7999999999999989</v>
      </c>
      <c r="I15">
        <v>12</v>
      </c>
      <c r="J15" t="s">
        <v>44</v>
      </c>
      <c r="K15" t="s">
        <v>17</v>
      </c>
      <c r="L15" t="s">
        <v>710</v>
      </c>
      <c r="M15" t="s">
        <v>12</v>
      </c>
      <c r="N15" t="s">
        <v>12</v>
      </c>
      <c r="T15">
        <v>1</v>
      </c>
      <c r="W15">
        <v>7800</v>
      </c>
      <c r="X15" t="s">
        <v>184</v>
      </c>
      <c r="AA15" s="13">
        <v>6</v>
      </c>
      <c r="AB15">
        <v>25.3</v>
      </c>
      <c r="AC15">
        <v>1.95</v>
      </c>
      <c r="AD15" s="11">
        <f t="shared" si="3"/>
        <v>15.489795918367349</v>
      </c>
      <c r="AE15" s="11">
        <f>_xlfn.RANK.AVG(Tableau8[[#This Row],[EE ( MJ/m²)]],AD15:AD1170)</f>
        <v>494</v>
      </c>
      <c r="AF15" s="11">
        <f t="shared" si="4"/>
        <v>1.2908163265306125</v>
      </c>
      <c r="AG15" s="11">
        <f t="shared" si="9"/>
        <v>1.1938775510204083</v>
      </c>
      <c r="AH15" s="11">
        <f t="shared" si="6"/>
        <v>1.1938775510204083</v>
      </c>
      <c r="AI15" s="11">
        <f t="shared" si="10"/>
        <v>9.948979591836736E-2</v>
      </c>
      <c r="AJ15" s="11">
        <f t="shared" si="8"/>
        <v>9.948979591836736E-2</v>
      </c>
    </row>
    <row r="16" spans="1:36" x14ac:dyDescent="0.25">
      <c r="A16" s="4" t="s">
        <v>945</v>
      </c>
      <c r="B16" s="4" t="s">
        <v>947</v>
      </c>
      <c r="C16" s="4" t="s">
        <v>998</v>
      </c>
      <c r="D16" s="4" t="s">
        <v>941</v>
      </c>
      <c r="E16" t="s">
        <v>698</v>
      </c>
      <c r="F16" t="s">
        <v>360</v>
      </c>
      <c r="G16" t="s">
        <v>699</v>
      </c>
      <c r="H16">
        <f t="shared" si="0"/>
        <v>9.7999999999999989</v>
      </c>
      <c r="I16">
        <v>12</v>
      </c>
      <c r="J16" t="s">
        <v>44</v>
      </c>
      <c r="K16" t="s">
        <v>17</v>
      </c>
      <c r="L16" t="s">
        <v>711</v>
      </c>
      <c r="M16" t="s">
        <v>12</v>
      </c>
      <c r="N16" t="s">
        <v>12</v>
      </c>
      <c r="T16">
        <v>1</v>
      </c>
      <c r="W16">
        <v>7800</v>
      </c>
      <c r="X16" t="s">
        <v>184</v>
      </c>
      <c r="AA16" s="13">
        <f>(0.144*2)+(0.352*2)</f>
        <v>0.99199999999999999</v>
      </c>
      <c r="AB16">
        <v>25.3</v>
      </c>
      <c r="AC16">
        <v>1.95</v>
      </c>
      <c r="AD16" s="11">
        <f t="shared" si="3"/>
        <v>2.5609795918367348</v>
      </c>
      <c r="AE16" s="11">
        <f>_xlfn.RANK.AVG(Tableau8[[#This Row],[EE ( MJ/m²)]],AD16:AD1171)</f>
        <v>813</v>
      </c>
      <c r="AF16" s="11">
        <f t="shared" si="4"/>
        <v>0.21341496598639456</v>
      </c>
      <c r="AG16" s="11">
        <f t="shared" si="9"/>
        <v>0.19738775510204082</v>
      </c>
      <c r="AH16" s="11">
        <f t="shared" si="6"/>
        <v>0.19738775510204082</v>
      </c>
      <c r="AI16" s="11">
        <f t="shared" si="10"/>
        <v>1.6448979591836735E-2</v>
      </c>
      <c r="AJ16" s="11">
        <f t="shared" si="8"/>
        <v>1.6448979591836735E-2</v>
      </c>
    </row>
    <row r="17" spans="1:36" x14ac:dyDescent="0.25">
      <c r="A17" s="4" t="s">
        <v>945</v>
      </c>
      <c r="B17" s="4" t="s">
        <v>947</v>
      </c>
      <c r="C17" s="4" t="s">
        <v>998</v>
      </c>
      <c r="D17" s="4" t="s">
        <v>941</v>
      </c>
      <c r="E17" t="s">
        <v>698</v>
      </c>
      <c r="F17" t="s">
        <v>360</v>
      </c>
      <c r="G17" t="s">
        <v>699</v>
      </c>
      <c r="H17">
        <f t="shared" si="0"/>
        <v>9.7999999999999989</v>
      </c>
      <c r="I17">
        <v>12</v>
      </c>
      <c r="J17" t="s">
        <v>44</v>
      </c>
      <c r="K17" t="s">
        <v>17</v>
      </c>
      <c r="L17" t="s">
        <v>712</v>
      </c>
      <c r="M17" t="s">
        <v>12</v>
      </c>
      <c r="N17" t="s">
        <v>12</v>
      </c>
      <c r="T17">
        <v>1</v>
      </c>
      <c r="W17">
        <v>7800</v>
      </c>
      <c r="X17" t="s">
        <v>184</v>
      </c>
      <c r="AA17" s="13">
        <v>4</v>
      </c>
      <c r="AB17">
        <v>25.3</v>
      </c>
      <c r="AC17">
        <v>1.95</v>
      </c>
      <c r="AD17" s="11">
        <f t="shared" si="3"/>
        <v>10.3265306122449</v>
      </c>
      <c r="AE17" s="11">
        <f>_xlfn.RANK.AVG(Tableau8[[#This Row],[EE ( MJ/m²)]],AD17:AD1172)</f>
        <v>586</v>
      </c>
      <c r="AF17" s="11">
        <f t="shared" si="4"/>
        <v>0.86054421768707501</v>
      </c>
      <c r="AG17" s="11">
        <f t="shared" si="9"/>
        <v>0.79591836734693888</v>
      </c>
      <c r="AH17" s="11">
        <f t="shared" si="6"/>
        <v>0.79591836734693888</v>
      </c>
      <c r="AI17" s="11">
        <f t="shared" si="10"/>
        <v>6.6326530612244902E-2</v>
      </c>
      <c r="AJ17" s="11">
        <f t="shared" si="8"/>
        <v>6.6326530612244902E-2</v>
      </c>
    </row>
    <row r="18" spans="1:36" x14ac:dyDescent="0.25">
      <c r="A18" s="4" t="s">
        <v>945</v>
      </c>
      <c r="B18" s="4" t="s">
        <v>947</v>
      </c>
      <c r="C18" s="4" t="s">
        <v>998</v>
      </c>
      <c r="D18" s="4" t="s">
        <v>941</v>
      </c>
      <c r="E18" t="s">
        <v>698</v>
      </c>
      <c r="F18" t="s">
        <v>360</v>
      </c>
      <c r="G18" t="s">
        <v>699</v>
      </c>
      <c r="H18">
        <f t="shared" si="0"/>
        <v>9.7999999999999989</v>
      </c>
      <c r="I18">
        <v>12</v>
      </c>
      <c r="J18" t="s">
        <v>40</v>
      </c>
      <c r="K18" t="s">
        <v>17</v>
      </c>
      <c r="L18" t="s">
        <v>278</v>
      </c>
      <c r="M18" t="s">
        <v>12</v>
      </c>
      <c r="N18" t="s">
        <v>12</v>
      </c>
      <c r="T18">
        <v>1</v>
      </c>
      <c r="W18">
        <v>7800</v>
      </c>
      <c r="X18" t="s">
        <v>184</v>
      </c>
      <c r="AA18" s="13">
        <f>1*0.538</f>
        <v>0.53800000000000003</v>
      </c>
      <c r="AB18">
        <v>25.3</v>
      </c>
      <c r="AC18">
        <v>1.95</v>
      </c>
      <c r="AD18" s="11">
        <f t="shared" si="3"/>
        <v>1.3889183673469392</v>
      </c>
      <c r="AE18" s="11">
        <f>_xlfn.RANK.AVG(Tableau8[[#This Row],[EE ( MJ/m²)]],AD18:AD1173)</f>
        <v>894.5</v>
      </c>
      <c r="AF18" s="11">
        <f t="shared" si="4"/>
        <v>0.11574319727891159</v>
      </c>
      <c r="AG18" s="11">
        <f t="shared" si="9"/>
        <v>0.10705102040816329</v>
      </c>
      <c r="AH18" s="11">
        <f t="shared" si="6"/>
        <v>0.10705102040816329</v>
      </c>
      <c r="AI18" s="11">
        <f t="shared" si="10"/>
        <v>8.920918367346941E-3</v>
      </c>
      <c r="AJ18" s="11">
        <f t="shared" si="8"/>
        <v>8.920918367346941E-3</v>
      </c>
    </row>
    <row r="19" spans="1:36" x14ac:dyDescent="0.25">
      <c r="A19" s="4" t="s">
        <v>945</v>
      </c>
      <c r="B19" s="4" t="s">
        <v>947</v>
      </c>
      <c r="C19" s="4" t="s">
        <v>998</v>
      </c>
      <c r="D19" s="4" t="s">
        <v>941</v>
      </c>
      <c r="E19" t="s">
        <v>698</v>
      </c>
      <c r="F19" t="s">
        <v>360</v>
      </c>
      <c r="G19" t="s">
        <v>699</v>
      </c>
      <c r="H19">
        <f t="shared" si="0"/>
        <v>9.7999999999999989</v>
      </c>
      <c r="I19">
        <v>12</v>
      </c>
      <c r="J19" t="s">
        <v>40</v>
      </c>
      <c r="K19" t="s">
        <v>17</v>
      </c>
      <c r="L19" t="s">
        <v>278</v>
      </c>
      <c r="M19" t="s">
        <v>12</v>
      </c>
      <c r="N19" t="s">
        <v>12</v>
      </c>
      <c r="T19">
        <v>1</v>
      </c>
      <c r="W19">
        <v>7800</v>
      </c>
      <c r="X19" t="s">
        <v>184</v>
      </c>
      <c r="AA19" s="13">
        <f>1*0.538</f>
        <v>0.53800000000000003</v>
      </c>
      <c r="AB19">
        <v>25.3</v>
      </c>
      <c r="AC19">
        <v>1.95</v>
      </c>
      <c r="AD19" s="11">
        <f t="shared" si="3"/>
        <v>1.3889183673469392</v>
      </c>
      <c r="AE19" s="11">
        <f>_xlfn.RANK.AVG(Tableau8[[#This Row],[EE ( MJ/m²)]],AD19:AD1174)</f>
        <v>894</v>
      </c>
      <c r="AF19" s="11">
        <f t="shared" si="4"/>
        <v>0.11574319727891159</v>
      </c>
      <c r="AG19" s="11">
        <f t="shared" si="9"/>
        <v>0.10705102040816329</v>
      </c>
      <c r="AH19" s="11">
        <f t="shared" si="6"/>
        <v>0.10705102040816329</v>
      </c>
      <c r="AI19" s="11">
        <f t="shared" si="10"/>
        <v>8.920918367346941E-3</v>
      </c>
      <c r="AJ19" s="11">
        <f t="shared" si="8"/>
        <v>8.920918367346941E-3</v>
      </c>
    </row>
    <row r="20" spans="1:36" x14ac:dyDescent="0.25">
      <c r="A20" s="4" t="s">
        <v>945</v>
      </c>
      <c r="B20" s="4" t="s">
        <v>947</v>
      </c>
      <c r="C20" s="4" t="s">
        <v>998</v>
      </c>
      <c r="D20" s="4" t="s">
        <v>941</v>
      </c>
      <c r="E20" t="s">
        <v>698</v>
      </c>
      <c r="F20" t="s">
        <v>360</v>
      </c>
      <c r="G20" t="s">
        <v>699</v>
      </c>
      <c r="H20">
        <f t="shared" si="0"/>
        <v>9.7999999999999989</v>
      </c>
      <c r="I20">
        <v>12</v>
      </c>
      <c r="J20" t="s">
        <v>44</v>
      </c>
      <c r="K20" t="s">
        <v>17</v>
      </c>
      <c r="L20" t="s">
        <v>659</v>
      </c>
      <c r="M20" t="s">
        <v>12</v>
      </c>
      <c r="N20" t="s">
        <v>12</v>
      </c>
      <c r="P20">
        <f>0.014*0.1*0.05</f>
        <v>7.0000000000000007E-5</v>
      </c>
      <c r="Q20" t="s">
        <v>180</v>
      </c>
      <c r="R20" t="s">
        <v>187</v>
      </c>
      <c r="T20">
        <v>4</v>
      </c>
      <c r="W20">
        <v>7800</v>
      </c>
      <c r="X20" t="s">
        <v>184</v>
      </c>
      <c r="AA20" s="13">
        <f>Tableau8[[#This Row],[density (kg/m2) or specific weight (kg/m2)]]*Tableau8[[#This Row],[nb of item used ]]*Tableau8[[#This Row],[volume or area]]</f>
        <v>2.1840000000000002</v>
      </c>
      <c r="AB20">
        <v>25.3</v>
      </c>
      <c r="AC20">
        <v>1.95</v>
      </c>
      <c r="AD20" s="11">
        <f t="shared" si="3"/>
        <v>5.6382857142857157</v>
      </c>
      <c r="AE20" s="11">
        <f>_xlfn.RANK.AVG(Tableau8[[#This Row],[EE ( MJ/m²)]],AD20:AD1175)</f>
        <v>705.5</v>
      </c>
      <c r="AF20" s="11">
        <f t="shared" si="4"/>
        <v>0.46985714285714297</v>
      </c>
      <c r="AG20" s="11">
        <f t="shared" si="9"/>
        <v>0.43457142857142861</v>
      </c>
      <c r="AH20" s="11">
        <f t="shared" si="6"/>
        <v>0.43457142857142861</v>
      </c>
      <c r="AI20" s="11">
        <f t="shared" si="10"/>
        <v>3.621428571428572E-2</v>
      </c>
      <c r="AJ20" s="11">
        <f t="shared" si="8"/>
        <v>3.621428571428572E-2</v>
      </c>
    </row>
    <row r="21" spans="1:36" x14ac:dyDescent="0.25">
      <c r="A21" s="4" t="s">
        <v>945</v>
      </c>
      <c r="B21" s="4" t="s">
        <v>947</v>
      </c>
      <c r="C21" s="4" t="s">
        <v>998</v>
      </c>
      <c r="D21" s="4" t="s">
        <v>941</v>
      </c>
      <c r="E21" t="s">
        <v>698</v>
      </c>
      <c r="F21" t="s">
        <v>360</v>
      </c>
      <c r="G21" t="s">
        <v>699</v>
      </c>
      <c r="H21">
        <f t="shared" si="0"/>
        <v>9.7999999999999989</v>
      </c>
      <c r="I21">
        <v>12</v>
      </c>
      <c r="J21" t="s">
        <v>44</v>
      </c>
      <c r="K21" t="s">
        <v>17</v>
      </c>
      <c r="L21" t="s">
        <v>697</v>
      </c>
      <c r="M21" t="s">
        <v>12</v>
      </c>
      <c r="N21" t="s">
        <v>12</v>
      </c>
      <c r="P21">
        <f>0.014*0.1*0.05</f>
        <v>7.0000000000000007E-5</v>
      </c>
      <c r="Q21" t="s">
        <v>180</v>
      </c>
      <c r="R21" t="s">
        <v>187</v>
      </c>
      <c r="T21">
        <v>4</v>
      </c>
      <c r="W21">
        <v>7800</v>
      </c>
      <c r="X21" t="s">
        <v>184</v>
      </c>
      <c r="AA21" s="13">
        <f>Tableau8[[#This Row],[density (kg/m2) or specific weight (kg/m2)]]*Tableau8[[#This Row],[nb of item used ]]*Tableau8[[#This Row],[volume or area]]</f>
        <v>2.1840000000000002</v>
      </c>
      <c r="AB21">
        <v>25.3</v>
      </c>
      <c r="AC21">
        <v>1.95</v>
      </c>
      <c r="AD21" s="11">
        <f t="shared" si="3"/>
        <v>5.6382857142857157</v>
      </c>
      <c r="AE21" s="11">
        <f>_xlfn.RANK.AVG(Tableau8[[#This Row],[EE ( MJ/m²)]],AD21:AD1176)</f>
        <v>705</v>
      </c>
      <c r="AF21" s="11">
        <f t="shared" si="4"/>
        <v>0.46985714285714297</v>
      </c>
      <c r="AG21" s="11">
        <f t="shared" si="9"/>
        <v>0.43457142857142861</v>
      </c>
      <c r="AH21" s="11">
        <f t="shared" si="6"/>
        <v>0.43457142857142861</v>
      </c>
      <c r="AI21" s="11">
        <f t="shared" si="10"/>
        <v>3.621428571428572E-2</v>
      </c>
      <c r="AJ21" s="11">
        <f t="shared" si="8"/>
        <v>3.621428571428572E-2</v>
      </c>
    </row>
    <row r="22" spans="1:36" x14ac:dyDescent="0.25">
      <c r="A22" s="4" t="s">
        <v>945</v>
      </c>
      <c r="B22" s="4" t="s">
        <v>947</v>
      </c>
      <c r="C22" s="4" t="s">
        <v>998</v>
      </c>
      <c r="D22" s="4" t="s">
        <v>941</v>
      </c>
      <c r="E22" t="s">
        <v>698</v>
      </c>
      <c r="F22" t="s">
        <v>360</v>
      </c>
      <c r="G22" t="s">
        <v>699</v>
      </c>
      <c r="H22">
        <f t="shared" si="0"/>
        <v>9.7999999999999989</v>
      </c>
      <c r="I22">
        <v>12</v>
      </c>
      <c r="J22" t="s">
        <v>13</v>
      </c>
      <c r="K22" t="s">
        <v>29</v>
      </c>
      <c r="L22" t="s">
        <v>364</v>
      </c>
      <c r="M22" t="s">
        <v>364</v>
      </c>
      <c r="N22" t="s">
        <v>432</v>
      </c>
      <c r="P22">
        <v>1.3</v>
      </c>
      <c r="Q22" t="s">
        <v>180</v>
      </c>
      <c r="T22">
        <v>1</v>
      </c>
      <c r="W22">
        <v>2240</v>
      </c>
      <c r="X22" t="s">
        <v>184</v>
      </c>
      <c r="AA22" s="13">
        <f>Tableau8[[#This Row],[density (kg/m2) or specific weight (kg/m2)]]*Tableau8[[#This Row],[nb of item used ]]*Tableau8[[#This Row],[volume or area]]</f>
        <v>2912</v>
      </c>
      <c r="AB22">
        <v>8.0999999999999996E-3</v>
      </c>
      <c r="AC22">
        <v>5.1000000000000004E-3</v>
      </c>
      <c r="AD22" s="11">
        <f t="shared" si="3"/>
        <v>2.406857142857143</v>
      </c>
      <c r="AE22" s="11">
        <f>_xlfn.RANK.AVG(Tableau8[[#This Row],[EE ( MJ/m²)]],AD22:AD1177)</f>
        <v>816</v>
      </c>
      <c r="AF22" s="11">
        <f t="shared" si="4"/>
        <v>0.20057142857142859</v>
      </c>
      <c r="AG22" s="11">
        <f t="shared" si="9"/>
        <v>1.5154285714285716</v>
      </c>
      <c r="AH22" s="11">
        <f t="shared" si="6"/>
        <v>1.5154285714285716</v>
      </c>
      <c r="AI22" s="11">
        <f t="shared" si="10"/>
        <v>0.12628571428571431</v>
      </c>
      <c r="AJ22" s="11">
        <f t="shared" si="8"/>
        <v>0.12628571428571431</v>
      </c>
    </row>
    <row r="23" spans="1:36" x14ac:dyDescent="0.25">
      <c r="A23" s="4" t="s">
        <v>945</v>
      </c>
      <c r="B23" s="4" t="s">
        <v>947</v>
      </c>
      <c r="C23" s="4" t="s">
        <v>998</v>
      </c>
      <c r="D23" s="4" t="s">
        <v>941</v>
      </c>
      <c r="E23" t="s">
        <v>698</v>
      </c>
      <c r="F23" t="s">
        <v>360</v>
      </c>
      <c r="G23" t="s">
        <v>699</v>
      </c>
      <c r="H23">
        <f t="shared" si="0"/>
        <v>9.7999999999999989</v>
      </c>
      <c r="I23">
        <v>12</v>
      </c>
      <c r="J23" t="s">
        <v>56</v>
      </c>
      <c r="K23" t="s">
        <v>14</v>
      </c>
      <c r="L23" t="s">
        <v>707</v>
      </c>
      <c r="M23" t="s">
        <v>35</v>
      </c>
      <c r="N23" t="s">
        <v>35</v>
      </c>
      <c r="P23">
        <f>3.4*1</f>
        <v>3.4</v>
      </c>
      <c r="T23">
        <v>1</v>
      </c>
      <c r="W23">
        <v>0.18</v>
      </c>
      <c r="X23" t="s">
        <v>183</v>
      </c>
      <c r="AA23" s="13">
        <f>Tableau8[[#This Row],[nb of item used ]]*Tableau8[[#This Row],[density (kg/m2) or specific weight (kg/m2)]]*Tableau8[[#This Row],[volume or area]]</f>
        <v>0.61199999999999999</v>
      </c>
      <c r="AB23">
        <v>54.3</v>
      </c>
      <c r="AC23">
        <v>1.93</v>
      </c>
      <c r="AD23" s="11">
        <f t="shared" si="3"/>
        <v>3.3909795918367349</v>
      </c>
      <c r="AE23" s="11">
        <f>_xlfn.RANK.AVG(Tableau8[[#This Row],[EE ( MJ/m²)]],AD23:AD1178)</f>
        <v>775</v>
      </c>
      <c r="AF23" s="11">
        <f t="shared" si="4"/>
        <v>0.28258163265306124</v>
      </c>
      <c r="AG23" s="11">
        <f t="shared" si="9"/>
        <v>0.12052653061224491</v>
      </c>
      <c r="AH23" s="11">
        <f t="shared" si="6"/>
        <v>0.12052653061224491</v>
      </c>
      <c r="AI23" s="11">
        <f t="shared" si="10"/>
        <v>1.004387755102041E-2</v>
      </c>
      <c r="AJ23" s="11">
        <f t="shared" si="8"/>
        <v>1.004387755102041E-2</v>
      </c>
    </row>
    <row r="24" spans="1:36" x14ac:dyDescent="0.25">
      <c r="A24" s="4" t="s">
        <v>945</v>
      </c>
      <c r="B24" s="4" t="s">
        <v>947</v>
      </c>
      <c r="C24" s="4" t="s">
        <v>998</v>
      </c>
      <c r="D24" s="4" t="s">
        <v>941</v>
      </c>
      <c r="E24" t="s">
        <v>698</v>
      </c>
      <c r="F24" t="s">
        <v>360</v>
      </c>
      <c r="G24" t="s">
        <v>699</v>
      </c>
      <c r="H24">
        <f t="shared" si="0"/>
        <v>9.7999999999999989</v>
      </c>
      <c r="I24">
        <v>12</v>
      </c>
      <c r="J24" t="s">
        <v>13</v>
      </c>
      <c r="K24" t="s">
        <v>18</v>
      </c>
      <c r="L24" t="s">
        <v>416</v>
      </c>
      <c r="M24" t="s">
        <v>363</v>
      </c>
      <c r="N24" t="s">
        <v>431</v>
      </c>
      <c r="P24">
        <v>0.1</v>
      </c>
      <c r="T24">
        <v>1</v>
      </c>
      <c r="W24">
        <v>1860</v>
      </c>
      <c r="X24" t="s">
        <v>184</v>
      </c>
      <c r="AA24" s="13">
        <f>26*42.5</f>
        <v>1105</v>
      </c>
      <c r="AB24">
        <v>4.51</v>
      </c>
      <c r="AC24">
        <v>0.74</v>
      </c>
      <c r="AD24" s="11">
        <f t="shared" si="3"/>
        <v>508.52551020408168</v>
      </c>
      <c r="AE24" s="11">
        <f>_xlfn.RANK.AVG(Tableau8[[#This Row],[EE ( MJ/m²)]],AD24:AD1179)</f>
        <v>51</v>
      </c>
      <c r="AF24" s="11">
        <f t="shared" si="4"/>
        <v>42.377125850340143</v>
      </c>
      <c r="AG24" s="11">
        <f t="shared" si="9"/>
        <v>83.438775510204096</v>
      </c>
      <c r="AH24" s="11">
        <f t="shared" si="6"/>
        <v>83.438775510204096</v>
      </c>
      <c r="AI24" s="11">
        <f t="shared" si="10"/>
        <v>6.9532312925170077</v>
      </c>
      <c r="AJ24" s="11">
        <f t="shared" si="8"/>
        <v>6.9532312925170077</v>
      </c>
    </row>
    <row r="25" spans="1:36" x14ac:dyDescent="0.25">
      <c r="A25" s="4" t="s">
        <v>945</v>
      </c>
      <c r="B25" s="4" t="s">
        <v>947</v>
      </c>
      <c r="C25" s="4" t="s">
        <v>998</v>
      </c>
      <c r="D25" s="4" t="s">
        <v>941</v>
      </c>
      <c r="E25" t="s">
        <v>698</v>
      </c>
      <c r="F25" t="s">
        <v>360</v>
      </c>
      <c r="G25" t="s">
        <v>699</v>
      </c>
      <c r="H25">
        <f t="shared" si="0"/>
        <v>9.7999999999999989</v>
      </c>
      <c r="I25">
        <v>12</v>
      </c>
      <c r="J25" t="s">
        <v>13</v>
      </c>
      <c r="K25" t="s">
        <v>29</v>
      </c>
      <c r="L25" t="s">
        <v>366</v>
      </c>
      <c r="M25" t="s">
        <v>366</v>
      </c>
      <c r="N25" t="s">
        <v>433</v>
      </c>
      <c r="P25">
        <v>3.1</v>
      </c>
      <c r="Q25" t="s">
        <v>180</v>
      </c>
      <c r="T25">
        <v>1</v>
      </c>
      <c r="U25" t="s">
        <v>175</v>
      </c>
      <c r="W25">
        <v>2240</v>
      </c>
      <c r="X25" t="s">
        <v>184</v>
      </c>
      <c r="AA25" s="13">
        <f>Tableau8[[#This Row],[density (kg/m2) or specific weight (kg/m2)]]*Tableau8[[#This Row],[nb of item used ]]*Tableau8[[#This Row],[volume or area]]</f>
        <v>6944</v>
      </c>
      <c r="AB25">
        <v>8.3000000000000004E-2</v>
      </c>
      <c r="AC25">
        <v>5.1999999999999998E-3</v>
      </c>
      <c r="AD25" s="11">
        <f t="shared" si="3"/>
        <v>58.811428571428578</v>
      </c>
      <c r="AE25" s="11">
        <f>_xlfn.RANK.AVG(Tableau8[[#This Row],[EE ( MJ/m²)]],AD25:AD1180)</f>
        <v>256</v>
      </c>
      <c r="AF25" s="11">
        <f t="shared" si="4"/>
        <v>4.9009523809523818</v>
      </c>
      <c r="AG25" s="11">
        <f t="shared" si="9"/>
        <v>3.6845714285714286</v>
      </c>
      <c r="AH25" s="11">
        <f t="shared" si="6"/>
        <v>3.6845714285714286</v>
      </c>
      <c r="AI25" s="11">
        <f t="shared" si="10"/>
        <v>0.30704761904761907</v>
      </c>
      <c r="AJ25" s="11">
        <f t="shared" si="8"/>
        <v>0.30704761904761907</v>
      </c>
    </row>
    <row r="26" spans="1:36" x14ac:dyDescent="0.25">
      <c r="A26" s="4" t="s">
        <v>945</v>
      </c>
      <c r="B26" s="4" t="s">
        <v>947</v>
      </c>
      <c r="C26" s="4" t="s">
        <v>998</v>
      </c>
      <c r="D26" s="4" t="s">
        <v>941</v>
      </c>
      <c r="E26" t="s">
        <v>698</v>
      </c>
      <c r="F26" t="s">
        <v>360</v>
      </c>
      <c r="G26" t="s">
        <v>699</v>
      </c>
      <c r="H26">
        <f t="shared" si="0"/>
        <v>9.7999999999999989</v>
      </c>
      <c r="I26">
        <v>12</v>
      </c>
      <c r="J26" t="s">
        <v>13</v>
      </c>
      <c r="K26" t="s">
        <v>29</v>
      </c>
      <c r="L26" t="s">
        <v>607</v>
      </c>
      <c r="M26" t="s">
        <v>366</v>
      </c>
      <c r="N26" t="s">
        <v>433</v>
      </c>
      <c r="P26">
        <v>1.3</v>
      </c>
      <c r="T26">
        <v>1</v>
      </c>
      <c r="W26">
        <v>2240</v>
      </c>
      <c r="X26" t="s">
        <v>184</v>
      </c>
      <c r="AA26" s="13">
        <f>Tableau8[[#This Row],[density (kg/m2) or specific weight (kg/m2)]]*Tableau8[[#This Row],[nb of item used ]]*Tableau8[[#This Row],[volume or area]]</f>
        <v>2912</v>
      </c>
      <c r="AB26">
        <v>8.3000000000000004E-2</v>
      </c>
      <c r="AC26">
        <v>5.1999999999999998E-3</v>
      </c>
      <c r="AD26" s="11">
        <f t="shared" si="3"/>
        <v>24.662857142857149</v>
      </c>
      <c r="AE26" s="11">
        <f>_xlfn.RANK.AVG(Tableau8[[#This Row],[EE ( MJ/m²)]],AD26:AD1181)</f>
        <v>405</v>
      </c>
      <c r="AF26" s="11">
        <f t="shared" si="4"/>
        <v>2.0552380952380958</v>
      </c>
      <c r="AG26" s="11">
        <f t="shared" si="9"/>
        <v>1.5451428571428572</v>
      </c>
      <c r="AH26" s="11">
        <f t="shared" si="6"/>
        <v>1.5451428571428572</v>
      </c>
      <c r="AI26" s="11">
        <f t="shared" si="10"/>
        <v>0.12876190476190477</v>
      </c>
      <c r="AJ26" s="11">
        <f t="shared" si="8"/>
        <v>0.12876190476190477</v>
      </c>
    </row>
    <row r="27" spans="1:36" x14ac:dyDescent="0.25">
      <c r="A27" s="4" t="s">
        <v>945</v>
      </c>
      <c r="B27" s="4" t="s">
        <v>979</v>
      </c>
      <c r="C27" s="4" t="s">
        <v>998</v>
      </c>
      <c r="D27" s="4" t="s">
        <v>938</v>
      </c>
      <c r="E27" t="s">
        <v>359</v>
      </c>
      <c r="F27" t="s">
        <v>360</v>
      </c>
      <c r="G27" t="s">
        <v>361</v>
      </c>
      <c r="H27">
        <v>25</v>
      </c>
      <c r="I27">
        <v>10</v>
      </c>
      <c r="J27" t="s">
        <v>40</v>
      </c>
      <c r="K27" t="s">
        <v>15</v>
      </c>
      <c r="L27" t="s">
        <v>384</v>
      </c>
      <c r="M27" t="s">
        <v>15</v>
      </c>
      <c r="N27" t="s">
        <v>15</v>
      </c>
      <c r="P27">
        <f>(0.03*0.03*1*3)+(0.03*0.03*2*2)+(2*1*0.01)</f>
        <v>2.63E-2</v>
      </c>
      <c r="Q27" t="s">
        <v>180</v>
      </c>
      <c r="R27" t="s">
        <v>187</v>
      </c>
      <c r="T27">
        <v>1</v>
      </c>
      <c r="W27">
        <v>510</v>
      </c>
      <c r="X27" t="s">
        <v>184</v>
      </c>
      <c r="Y27" t="s">
        <v>185</v>
      </c>
      <c r="AA27" s="13">
        <f>W27*T27*P27</f>
        <v>13.413</v>
      </c>
      <c r="AB27">
        <f>10-4.4</f>
        <v>5.6</v>
      </c>
      <c r="AC27">
        <f>0.31+0.41</f>
        <v>0.72</v>
      </c>
      <c r="AD27" s="11">
        <f t="shared" si="3"/>
        <v>3.0045119999999996</v>
      </c>
      <c r="AE27" s="11">
        <f>_xlfn.RANK.AVG(Tableau8[[#This Row],[EE ( MJ/m²)]],AD27:AD1182)</f>
        <v>787</v>
      </c>
      <c r="AF27" s="11">
        <f t="shared" si="4"/>
        <v>0.30045119999999997</v>
      </c>
      <c r="AG27" s="11">
        <f>(AC27-0.41)*AA27/H27</f>
        <v>0.1663212</v>
      </c>
      <c r="AH27" s="11">
        <f t="shared" si="6"/>
        <v>0.38629440000000004</v>
      </c>
      <c r="AI27" s="11">
        <f>(AC27-0.41)*AA27/H27/I27</f>
        <v>1.663212E-2</v>
      </c>
      <c r="AJ27" s="11">
        <f t="shared" si="8"/>
        <v>3.8629440000000001E-2</v>
      </c>
    </row>
    <row r="28" spans="1:36" x14ac:dyDescent="0.25">
      <c r="A28" s="4" t="s">
        <v>945</v>
      </c>
      <c r="B28" s="4" t="s">
        <v>979</v>
      </c>
      <c r="C28" s="4" t="s">
        <v>998</v>
      </c>
      <c r="D28" s="4" t="s">
        <v>938</v>
      </c>
      <c r="E28" t="s">
        <v>359</v>
      </c>
      <c r="F28" t="s">
        <v>360</v>
      </c>
      <c r="G28" t="s">
        <v>361</v>
      </c>
      <c r="H28">
        <v>25</v>
      </c>
      <c r="I28">
        <v>10</v>
      </c>
      <c r="J28" t="s">
        <v>40</v>
      </c>
      <c r="K28" t="s">
        <v>15</v>
      </c>
      <c r="L28" t="s">
        <v>385</v>
      </c>
      <c r="M28" t="s">
        <v>15</v>
      </c>
      <c r="N28" t="s">
        <v>15</v>
      </c>
      <c r="P28">
        <f>(0.03*0.03*0.9*3)+(0.03*0.03*1.2*2)+(1.2*0.9*0.01)</f>
        <v>1.5390000000000001E-2</v>
      </c>
      <c r="Q28" t="s">
        <v>180</v>
      </c>
      <c r="R28" t="s">
        <v>187</v>
      </c>
      <c r="T28">
        <v>2</v>
      </c>
      <c r="U28" t="s">
        <v>175</v>
      </c>
      <c r="W28">
        <v>510</v>
      </c>
      <c r="X28" t="s">
        <v>184</v>
      </c>
      <c r="Y28" t="s">
        <v>185</v>
      </c>
      <c r="AA28" s="13">
        <f>W28*T28*P28</f>
        <v>15.697800000000001</v>
      </c>
      <c r="AB28">
        <f>10-4.4</f>
        <v>5.6</v>
      </c>
      <c r="AC28">
        <f>0.31+0.41</f>
        <v>0.72</v>
      </c>
      <c r="AD28" s="11">
        <f t="shared" si="3"/>
        <v>3.5163072</v>
      </c>
      <c r="AE28" s="11">
        <f>_xlfn.RANK.AVG(Tableau8[[#This Row],[EE ( MJ/m²)]],AD28:AD1183)</f>
        <v>765</v>
      </c>
      <c r="AF28" s="11">
        <f t="shared" si="4"/>
        <v>0.35163072000000001</v>
      </c>
      <c r="AG28" s="11">
        <f>(AC28-0.41)*AA28/H28</f>
        <v>0.19465272000000003</v>
      </c>
      <c r="AH28" s="11">
        <f t="shared" si="6"/>
        <v>0.45209664000000005</v>
      </c>
      <c r="AI28" s="11">
        <f>(AC28-0.41)*AA28/H28/I28</f>
        <v>1.9465272000000002E-2</v>
      </c>
      <c r="AJ28" s="11">
        <f t="shared" si="8"/>
        <v>4.5209664000000004E-2</v>
      </c>
    </row>
    <row r="29" spans="1:36" x14ac:dyDescent="0.25">
      <c r="A29" s="4" t="s">
        <v>945</v>
      </c>
      <c r="B29" s="4" t="s">
        <v>979</v>
      </c>
      <c r="C29" s="4" t="s">
        <v>998</v>
      </c>
      <c r="D29" s="4" t="s">
        <v>938</v>
      </c>
      <c r="E29" t="s">
        <v>359</v>
      </c>
      <c r="F29" t="s">
        <v>360</v>
      </c>
      <c r="G29" t="s">
        <v>361</v>
      </c>
      <c r="H29">
        <v>25</v>
      </c>
      <c r="I29">
        <v>10</v>
      </c>
      <c r="J29" t="s">
        <v>56</v>
      </c>
      <c r="K29" t="s">
        <v>14</v>
      </c>
      <c r="L29" t="s">
        <v>376</v>
      </c>
      <c r="M29" t="s">
        <v>32</v>
      </c>
      <c r="N29" t="s">
        <v>35</v>
      </c>
      <c r="P29">
        <v>9.2902999999999999E-2</v>
      </c>
      <c r="Q29" t="s">
        <v>179</v>
      </c>
      <c r="R29" t="s">
        <v>175</v>
      </c>
      <c r="T29">
        <v>1</v>
      </c>
      <c r="U29" t="s">
        <v>175</v>
      </c>
      <c r="W29" s="1">
        <v>0.18</v>
      </c>
      <c r="X29" t="s">
        <v>183</v>
      </c>
      <c r="Y29" t="s">
        <v>175</v>
      </c>
      <c r="AA29" s="13">
        <f>Tableau8[[#This Row],[nb of item used ]]*Tableau8[[#This Row],[density (kg/m2) or specific weight (kg/m2)]]*Tableau8[[#This Row],[volume or area]]</f>
        <v>1.6722540000000001E-2</v>
      </c>
      <c r="AB29">
        <v>54.3</v>
      </c>
      <c r="AC29">
        <v>1.93</v>
      </c>
      <c r="AD29" s="11">
        <f t="shared" si="3"/>
        <v>3.6321356880000003E-2</v>
      </c>
      <c r="AE29" s="11">
        <f>_xlfn.RANK.AVG(Tableau8[[#This Row],[EE ( MJ/m²)]],AD29:AD1184)</f>
        <v>1071</v>
      </c>
      <c r="AF29" s="11">
        <f t="shared" si="4"/>
        <v>3.6321356880000002E-3</v>
      </c>
      <c r="AG29" s="11">
        <f t="shared" ref="AG29:AG63" si="11">(AC29)*AA29/H29</f>
        <v>1.290980088E-3</v>
      </c>
      <c r="AH29" s="11">
        <f t="shared" si="6"/>
        <v>1.290980088E-3</v>
      </c>
      <c r="AI29" s="11">
        <f t="shared" ref="AI29:AI63" si="12">(AC29)*AA29/H29/I29</f>
        <v>1.290980088E-4</v>
      </c>
      <c r="AJ29" s="11">
        <f t="shared" si="8"/>
        <v>1.290980088E-4</v>
      </c>
    </row>
    <row r="30" spans="1:36" x14ac:dyDescent="0.25">
      <c r="A30" s="4" t="s">
        <v>945</v>
      </c>
      <c r="B30" s="4" t="s">
        <v>979</v>
      </c>
      <c r="C30" s="4" t="s">
        <v>998</v>
      </c>
      <c r="D30" s="4" t="s">
        <v>938</v>
      </c>
      <c r="E30" t="s">
        <v>359</v>
      </c>
      <c r="F30" t="s">
        <v>360</v>
      </c>
      <c r="G30" t="s">
        <v>361</v>
      </c>
      <c r="H30">
        <v>25</v>
      </c>
      <c r="I30">
        <v>10</v>
      </c>
      <c r="J30" t="s">
        <v>56</v>
      </c>
      <c r="K30" t="s">
        <v>29</v>
      </c>
      <c r="L30" t="s">
        <v>377</v>
      </c>
      <c r="M30" t="s">
        <v>438</v>
      </c>
      <c r="N30" t="s">
        <v>497</v>
      </c>
      <c r="P30">
        <v>1.3875299999999999</v>
      </c>
      <c r="Q30" t="s">
        <v>180</v>
      </c>
      <c r="R30" t="s">
        <v>175</v>
      </c>
      <c r="T30">
        <v>1</v>
      </c>
      <c r="U30" t="s">
        <v>175</v>
      </c>
      <c r="W30">
        <v>1460</v>
      </c>
      <c r="X30" t="s">
        <v>184</v>
      </c>
      <c r="Y30" t="s">
        <v>185</v>
      </c>
      <c r="AA30" s="13">
        <f>W30*T30*P30</f>
        <v>2025.7937999999999</v>
      </c>
      <c r="AB30">
        <f>(0.5*0.45)+(0.24*0.5)</f>
        <v>0.34499999999999997</v>
      </c>
      <c r="AC30">
        <f>(0.5*0.024)+(0.5*0.01)</f>
        <v>1.7000000000000001E-2</v>
      </c>
      <c r="AD30" s="11">
        <f t="shared" si="3"/>
        <v>27.955954439999996</v>
      </c>
      <c r="AE30" s="11">
        <f>_xlfn.RANK.AVG(Tableau8[[#This Row],[EE ( MJ/m²)]],AD30:AD1185)</f>
        <v>381</v>
      </c>
      <c r="AF30" s="11">
        <f t="shared" si="4"/>
        <v>2.7955954439999995</v>
      </c>
      <c r="AG30" s="11">
        <f t="shared" si="11"/>
        <v>1.3775397839999999</v>
      </c>
      <c r="AH30" s="11">
        <f t="shared" si="6"/>
        <v>1.3775397839999999</v>
      </c>
      <c r="AI30" s="11">
        <f t="shared" si="12"/>
        <v>0.13775397839999998</v>
      </c>
      <c r="AJ30" s="11">
        <f t="shared" si="8"/>
        <v>0.13775397839999998</v>
      </c>
    </row>
    <row r="31" spans="1:36" x14ac:dyDescent="0.25">
      <c r="A31" s="4" t="s">
        <v>945</v>
      </c>
      <c r="B31" s="4" t="s">
        <v>979</v>
      </c>
      <c r="C31" s="4" t="s">
        <v>998</v>
      </c>
      <c r="D31" s="4" t="s">
        <v>938</v>
      </c>
      <c r="E31" t="s">
        <v>359</v>
      </c>
      <c r="F31" t="s">
        <v>360</v>
      </c>
      <c r="G31" t="s">
        <v>361</v>
      </c>
      <c r="H31">
        <v>25</v>
      </c>
      <c r="I31">
        <v>10</v>
      </c>
      <c r="J31" t="s">
        <v>57</v>
      </c>
      <c r="K31" t="s">
        <v>29</v>
      </c>
      <c r="L31" t="s">
        <v>383</v>
      </c>
      <c r="M31" t="s">
        <v>438</v>
      </c>
      <c r="N31" t="s">
        <v>497</v>
      </c>
      <c r="P31">
        <v>1.2742599999999999</v>
      </c>
      <c r="Q31" t="s">
        <v>180</v>
      </c>
      <c r="R31" t="s">
        <v>175</v>
      </c>
      <c r="T31">
        <v>1</v>
      </c>
      <c r="U31" t="s">
        <v>175</v>
      </c>
      <c r="W31" s="1">
        <v>1460</v>
      </c>
      <c r="X31" t="s">
        <v>184</v>
      </c>
      <c r="Y31" t="s">
        <v>185</v>
      </c>
      <c r="AA31" s="13">
        <f>W31*T31*P31</f>
        <v>1860.4195999999999</v>
      </c>
      <c r="AB31">
        <f>(0.5*0.45)+(0.24*0.5)</f>
        <v>0.34499999999999997</v>
      </c>
      <c r="AC31">
        <f>(0.5*0.024)+(0.5*0.01)</f>
        <v>1.7000000000000001E-2</v>
      </c>
      <c r="AD31" s="11">
        <f t="shared" si="3"/>
        <v>25.673790479999997</v>
      </c>
      <c r="AE31" s="11">
        <f>_xlfn.RANK.AVG(Tableau8[[#This Row],[EE ( MJ/m²)]],AD31:AD1186)</f>
        <v>396</v>
      </c>
      <c r="AF31" s="11">
        <f t="shared" si="4"/>
        <v>2.5673790479999998</v>
      </c>
      <c r="AG31" s="11">
        <f t="shared" si="11"/>
        <v>1.2650853280000001</v>
      </c>
      <c r="AH31" s="11">
        <f t="shared" si="6"/>
        <v>1.2650853280000001</v>
      </c>
      <c r="AI31" s="11">
        <f t="shared" si="12"/>
        <v>0.12650853280000002</v>
      </c>
      <c r="AJ31" s="11">
        <f t="shared" si="8"/>
        <v>0.12650853280000002</v>
      </c>
    </row>
    <row r="32" spans="1:36" x14ac:dyDescent="0.25">
      <c r="A32" s="4" t="s">
        <v>945</v>
      </c>
      <c r="B32" s="4" t="s">
        <v>979</v>
      </c>
      <c r="C32" s="4" t="s">
        <v>998</v>
      </c>
      <c r="D32" s="4" t="s">
        <v>938</v>
      </c>
      <c r="E32" t="s">
        <v>359</v>
      </c>
      <c r="F32" t="s">
        <v>360</v>
      </c>
      <c r="G32" t="s">
        <v>361</v>
      </c>
      <c r="H32">
        <v>25</v>
      </c>
      <c r="I32">
        <v>10</v>
      </c>
      <c r="J32" t="s">
        <v>13</v>
      </c>
      <c r="K32" t="s">
        <v>362</v>
      </c>
      <c r="L32" t="s">
        <v>362</v>
      </c>
      <c r="M32" t="s">
        <v>362</v>
      </c>
      <c r="N32" t="s">
        <v>430</v>
      </c>
      <c r="P32">
        <f>7.84377</f>
        <v>7.8437700000000001</v>
      </c>
      <c r="Q32" t="s">
        <v>180</v>
      </c>
      <c r="R32" t="s">
        <v>175</v>
      </c>
      <c r="T32">
        <v>1</v>
      </c>
      <c r="W32">
        <v>2880</v>
      </c>
      <c r="X32" t="s">
        <v>184</v>
      </c>
      <c r="Y32" t="s">
        <v>185</v>
      </c>
      <c r="Z32" t="s">
        <v>448</v>
      </c>
      <c r="AA32" s="13">
        <f>Tableau8[[#This Row],[density (kg/m2) or specific weight (kg/m2)]]*Tableau8[[#This Row],[nb of item used ]]*Tableau8[[#This Row],[volume or area]]</f>
        <v>22590.0576</v>
      </c>
      <c r="AB32">
        <v>1.26</v>
      </c>
      <c r="AC32">
        <v>7.9000000000000001E-2</v>
      </c>
      <c r="AD32" s="11">
        <f t="shared" si="3"/>
        <v>1138.5389030399999</v>
      </c>
      <c r="AE32" s="11">
        <f>_xlfn.RANK.AVG(Tableau8[[#This Row],[EE ( MJ/m²)]],AD32:AD1187)</f>
        <v>12</v>
      </c>
      <c r="AF32" s="11">
        <f t="shared" si="4"/>
        <v>113.85389030399999</v>
      </c>
      <c r="AG32" s="11">
        <f t="shared" si="11"/>
        <v>71.38458201600001</v>
      </c>
      <c r="AH32" s="11">
        <f t="shared" si="6"/>
        <v>71.38458201600001</v>
      </c>
      <c r="AI32" s="11">
        <f t="shared" si="12"/>
        <v>7.1384582016000007</v>
      </c>
      <c r="AJ32" s="11">
        <f t="shared" si="8"/>
        <v>7.1384582016000007</v>
      </c>
    </row>
    <row r="33" spans="1:36" s="18" customFormat="1" x14ac:dyDescent="0.25">
      <c r="A33" s="4" t="s">
        <v>945</v>
      </c>
      <c r="B33" s="4" t="s">
        <v>979</v>
      </c>
      <c r="C33" s="4" t="s">
        <v>998</v>
      </c>
      <c r="D33" s="4" t="s">
        <v>938</v>
      </c>
      <c r="E33" t="s">
        <v>359</v>
      </c>
      <c r="F33" t="s">
        <v>360</v>
      </c>
      <c r="G33" t="s">
        <v>361</v>
      </c>
      <c r="H33">
        <v>25</v>
      </c>
      <c r="I33">
        <v>10</v>
      </c>
      <c r="J33" t="s">
        <v>13</v>
      </c>
      <c r="K33" t="s">
        <v>362</v>
      </c>
      <c r="L33" t="s">
        <v>365</v>
      </c>
      <c r="M33" t="s">
        <v>362</v>
      </c>
      <c r="N33" t="s">
        <v>430</v>
      </c>
      <c r="O33"/>
      <c r="P33">
        <v>5.2952500000000002</v>
      </c>
      <c r="Q33" t="s">
        <v>180</v>
      </c>
      <c r="R33" t="s">
        <v>175</v>
      </c>
      <c r="S33"/>
      <c r="T33">
        <v>1</v>
      </c>
      <c r="U33"/>
      <c r="V33"/>
      <c r="W33">
        <v>2880</v>
      </c>
      <c r="X33" t="s">
        <v>184</v>
      </c>
      <c r="Y33" t="s">
        <v>185</v>
      </c>
      <c r="Z33" t="s">
        <v>448</v>
      </c>
      <c r="AA33" s="13">
        <f>Tableau8[[#This Row],[density (kg/m2) or specific weight (kg/m2)]]*Tableau8[[#This Row],[nb of item used ]]*Tableau8[[#This Row],[volume or area]]</f>
        <v>15250.320000000002</v>
      </c>
      <c r="AB33">
        <v>1.26</v>
      </c>
      <c r="AC33">
        <v>7.9000000000000001E-2</v>
      </c>
      <c r="AD33" s="11">
        <f t="shared" si="3"/>
        <v>768.616128</v>
      </c>
      <c r="AE33" s="11">
        <f>_xlfn.RANK.AVG(Tableau8[[#This Row],[EE ( MJ/m²)]],AD33:AD1188)</f>
        <v>24</v>
      </c>
      <c r="AF33" s="11">
        <f t="shared" si="4"/>
        <v>76.861612800000003</v>
      </c>
      <c r="AG33" s="11">
        <f t="shared" si="11"/>
        <v>48.191011200000005</v>
      </c>
      <c r="AH33" s="11">
        <f t="shared" si="6"/>
        <v>48.191011200000005</v>
      </c>
      <c r="AI33" s="11">
        <f t="shared" si="12"/>
        <v>4.8191011200000009</v>
      </c>
      <c r="AJ33" s="11">
        <f t="shared" si="8"/>
        <v>4.8191011200000009</v>
      </c>
    </row>
    <row r="34" spans="1:36" x14ac:dyDescent="0.25">
      <c r="A34" s="4" t="s">
        <v>945</v>
      </c>
      <c r="B34" s="4" t="s">
        <v>979</v>
      </c>
      <c r="C34" s="4" t="s">
        <v>998</v>
      </c>
      <c r="D34" s="4" t="s">
        <v>938</v>
      </c>
      <c r="E34" t="s">
        <v>359</v>
      </c>
      <c r="F34" t="s">
        <v>360</v>
      </c>
      <c r="G34" t="s">
        <v>361</v>
      </c>
      <c r="H34">
        <v>25</v>
      </c>
      <c r="I34">
        <v>10</v>
      </c>
      <c r="J34" t="s">
        <v>57</v>
      </c>
      <c r="K34" t="s">
        <v>17</v>
      </c>
      <c r="L34" t="s">
        <v>12</v>
      </c>
      <c r="M34" t="s">
        <v>12</v>
      </c>
      <c r="N34" t="s">
        <v>95</v>
      </c>
      <c r="R34" t="s">
        <v>175</v>
      </c>
      <c r="W34">
        <v>7800</v>
      </c>
      <c r="X34" t="s">
        <v>184</v>
      </c>
      <c r="Y34" t="s">
        <v>185</v>
      </c>
      <c r="Z34" t="s">
        <v>396</v>
      </c>
      <c r="AA34" s="13">
        <v>48</v>
      </c>
      <c r="AB34">
        <v>25.3</v>
      </c>
      <c r="AC34">
        <v>1.95</v>
      </c>
      <c r="AD34" s="11">
        <f t="shared" ref="AD34:AD65" si="13">AB34*AA34/H34</f>
        <v>48.576000000000001</v>
      </c>
      <c r="AE34" s="11">
        <f>_xlfn.RANK.AVG(Tableau8[[#This Row],[EE ( MJ/m²)]],AD34:AD1189)</f>
        <v>285</v>
      </c>
      <c r="AF34" s="11">
        <f t="shared" ref="AF34:AF51" si="14">AB34*AA34/H34/I34</f>
        <v>4.8575999999999997</v>
      </c>
      <c r="AG34" s="11">
        <f t="shared" si="11"/>
        <v>3.7439999999999998</v>
      </c>
      <c r="AH34" s="11">
        <f t="shared" ref="AH34:AH65" si="15">AC34*AA34/H34</f>
        <v>3.7439999999999998</v>
      </c>
      <c r="AI34" s="11">
        <f t="shared" si="12"/>
        <v>0.37439999999999996</v>
      </c>
      <c r="AJ34" s="11">
        <f t="shared" ref="AJ34:AJ51" si="16">AC34*AA34/H34/I34</f>
        <v>0.37439999999999996</v>
      </c>
    </row>
    <row r="35" spans="1:36" x14ac:dyDescent="0.25">
      <c r="A35" s="4" t="s">
        <v>945</v>
      </c>
      <c r="B35" s="4" t="s">
        <v>979</v>
      </c>
      <c r="C35" s="4" t="s">
        <v>998</v>
      </c>
      <c r="D35" s="4" t="s">
        <v>938</v>
      </c>
      <c r="E35" t="s">
        <v>359</v>
      </c>
      <c r="F35" t="s">
        <v>360</v>
      </c>
      <c r="G35" t="s">
        <v>361</v>
      </c>
      <c r="H35">
        <v>25</v>
      </c>
      <c r="I35">
        <v>10</v>
      </c>
      <c r="J35" t="s">
        <v>56</v>
      </c>
      <c r="K35" t="s">
        <v>17</v>
      </c>
      <c r="L35" t="s">
        <v>370</v>
      </c>
      <c r="M35" t="s">
        <v>12</v>
      </c>
      <c r="N35" t="s">
        <v>95</v>
      </c>
      <c r="P35">
        <f>((0.1*0.0006)+(2*0.15*0.0006))*6.4</f>
        <v>1.536E-3</v>
      </c>
      <c r="R35" t="s">
        <v>187</v>
      </c>
      <c r="S35" t="s">
        <v>399</v>
      </c>
      <c r="T35">
        <v>2</v>
      </c>
      <c r="U35" t="s">
        <v>175</v>
      </c>
      <c r="W35">
        <v>7800</v>
      </c>
      <c r="X35" t="s">
        <v>184</v>
      </c>
      <c r="Y35" t="s">
        <v>185</v>
      </c>
      <c r="AA35" s="13">
        <f>Tableau8[[#This Row],[density (kg/m2) or specific weight (kg/m2)]]*Tableau8[[#This Row],[nb of item used ]]*Tableau8[[#This Row],[volume or area]]</f>
        <v>23.961600000000001</v>
      </c>
      <c r="AB35">
        <v>25.3</v>
      </c>
      <c r="AC35">
        <v>1.95</v>
      </c>
      <c r="AD35" s="11">
        <f t="shared" si="13"/>
        <v>24.249139199999998</v>
      </c>
      <c r="AE35" s="11">
        <f>_xlfn.RANK.AVG(Tableau8[[#This Row],[EE ( MJ/m²)]],AD35:AD1190)</f>
        <v>401</v>
      </c>
      <c r="AF35" s="11">
        <f t="shared" si="14"/>
        <v>2.4249139199999998</v>
      </c>
      <c r="AG35" s="11">
        <f t="shared" si="11"/>
        <v>1.8690047999999999</v>
      </c>
      <c r="AH35" s="11">
        <f t="shared" si="15"/>
        <v>1.8690047999999999</v>
      </c>
      <c r="AI35" s="11">
        <f t="shared" si="12"/>
        <v>0.18690047999999998</v>
      </c>
      <c r="AJ35" s="11">
        <f t="shared" si="16"/>
        <v>0.18690047999999998</v>
      </c>
    </row>
    <row r="36" spans="1:36" x14ac:dyDescent="0.25">
      <c r="A36" s="4" t="s">
        <v>945</v>
      </c>
      <c r="B36" s="4" t="s">
        <v>979</v>
      </c>
      <c r="C36" s="4" t="s">
        <v>998</v>
      </c>
      <c r="D36" s="4" t="s">
        <v>938</v>
      </c>
      <c r="E36" t="s">
        <v>359</v>
      </c>
      <c r="F36" t="s">
        <v>360</v>
      </c>
      <c r="G36" t="s">
        <v>361</v>
      </c>
      <c r="H36">
        <v>25</v>
      </c>
      <c r="I36">
        <v>10</v>
      </c>
      <c r="J36" t="s">
        <v>56</v>
      </c>
      <c r="K36" t="s">
        <v>17</v>
      </c>
      <c r="L36" t="s">
        <v>371</v>
      </c>
      <c r="M36" t="s">
        <v>12</v>
      </c>
      <c r="N36" t="s">
        <v>95</v>
      </c>
      <c r="R36" t="s">
        <v>175</v>
      </c>
      <c r="W36" s="1">
        <v>7800</v>
      </c>
      <c r="X36" t="s">
        <v>184</v>
      </c>
      <c r="Y36" t="s">
        <v>185</v>
      </c>
      <c r="AA36" s="13">
        <v>62</v>
      </c>
      <c r="AB36">
        <v>25.3</v>
      </c>
      <c r="AC36">
        <v>1.95</v>
      </c>
      <c r="AD36" s="11">
        <f t="shared" si="13"/>
        <v>62.744000000000007</v>
      </c>
      <c r="AE36" s="11">
        <f>_xlfn.RANK.AVG(Tableau8[[#This Row],[EE ( MJ/m²)]],AD36:AD1191)</f>
        <v>240</v>
      </c>
      <c r="AF36" s="11">
        <f t="shared" si="14"/>
        <v>6.2744000000000009</v>
      </c>
      <c r="AG36" s="11">
        <f t="shared" si="11"/>
        <v>4.8359999999999994</v>
      </c>
      <c r="AH36" s="11">
        <f t="shared" si="15"/>
        <v>4.8359999999999994</v>
      </c>
      <c r="AI36" s="11">
        <f t="shared" si="12"/>
        <v>0.48359999999999992</v>
      </c>
      <c r="AJ36" s="11">
        <f t="shared" si="16"/>
        <v>0.48359999999999992</v>
      </c>
    </row>
    <row r="37" spans="1:36" x14ac:dyDescent="0.25">
      <c r="A37" s="4" t="s">
        <v>945</v>
      </c>
      <c r="B37" s="4" t="s">
        <v>979</v>
      </c>
      <c r="C37" s="4" t="s">
        <v>998</v>
      </c>
      <c r="D37" s="4" t="s">
        <v>938</v>
      </c>
      <c r="E37" t="s">
        <v>359</v>
      </c>
      <c r="F37" t="s">
        <v>360</v>
      </c>
      <c r="G37" t="s">
        <v>361</v>
      </c>
      <c r="H37">
        <v>25</v>
      </c>
      <c r="I37">
        <v>10</v>
      </c>
      <c r="J37" t="s">
        <v>56</v>
      </c>
      <c r="K37" t="s">
        <v>17</v>
      </c>
      <c r="L37" t="s">
        <v>372</v>
      </c>
      <c r="M37" t="s">
        <v>12</v>
      </c>
      <c r="N37" t="s">
        <v>95</v>
      </c>
      <c r="P37">
        <f>((0.0508*0.003)+(0.0254*0.003))*4.267</f>
        <v>9.7543619999999995E-4</v>
      </c>
      <c r="Q37" t="s">
        <v>180</v>
      </c>
      <c r="R37" t="s">
        <v>187</v>
      </c>
      <c r="S37" t="s">
        <v>400</v>
      </c>
      <c r="T37">
        <v>1</v>
      </c>
      <c r="U37" t="s">
        <v>175</v>
      </c>
      <c r="W37">
        <v>7800</v>
      </c>
      <c r="X37" t="s">
        <v>184</v>
      </c>
      <c r="Y37" t="s">
        <v>185</v>
      </c>
      <c r="AA37" s="13">
        <f>Tableau8[[#This Row],[density (kg/m2) or specific weight (kg/m2)]]*Tableau8[[#This Row],[nb of item used ]]*Tableau8[[#This Row],[volume or area]]</f>
        <v>7.6084023599999995</v>
      </c>
      <c r="AB37">
        <v>25.3</v>
      </c>
      <c r="AC37">
        <v>1.95</v>
      </c>
      <c r="AD37" s="11">
        <f t="shared" si="13"/>
        <v>7.69970318832</v>
      </c>
      <c r="AE37" s="11">
        <f>_xlfn.RANK.AVG(Tableau8[[#This Row],[EE ( MJ/m²)]],AD37:AD1192)</f>
        <v>623</v>
      </c>
      <c r="AF37" s="11">
        <f t="shared" si="14"/>
        <v>0.76997031883199996</v>
      </c>
      <c r="AG37" s="11">
        <f t="shared" si="11"/>
        <v>0.59345538407999998</v>
      </c>
      <c r="AH37" s="11">
        <f t="shared" si="15"/>
        <v>0.59345538407999998</v>
      </c>
      <c r="AI37" s="11">
        <f t="shared" si="12"/>
        <v>5.9345538407999998E-2</v>
      </c>
      <c r="AJ37" s="11">
        <f t="shared" si="16"/>
        <v>5.9345538407999998E-2</v>
      </c>
    </row>
    <row r="38" spans="1:36" x14ac:dyDescent="0.25">
      <c r="A38" s="4" t="s">
        <v>945</v>
      </c>
      <c r="B38" s="4" t="s">
        <v>979</v>
      </c>
      <c r="C38" s="4" t="s">
        <v>998</v>
      </c>
      <c r="D38" s="4" t="s">
        <v>938</v>
      </c>
      <c r="E38" t="s">
        <v>359</v>
      </c>
      <c r="F38" t="s">
        <v>360</v>
      </c>
      <c r="G38" t="s">
        <v>361</v>
      </c>
      <c r="H38">
        <v>25</v>
      </c>
      <c r="I38">
        <v>10</v>
      </c>
      <c r="J38" t="s">
        <v>56</v>
      </c>
      <c r="K38" t="s">
        <v>17</v>
      </c>
      <c r="L38" t="s">
        <v>373</v>
      </c>
      <c r="M38" t="s">
        <v>12</v>
      </c>
      <c r="N38" t="s">
        <v>95</v>
      </c>
      <c r="R38" t="s">
        <v>175</v>
      </c>
      <c r="W38">
        <v>7800</v>
      </c>
      <c r="X38" t="s">
        <v>184</v>
      </c>
      <c r="Y38" t="s">
        <v>185</v>
      </c>
      <c r="AA38" s="13">
        <v>177</v>
      </c>
      <c r="AB38">
        <v>25.3</v>
      </c>
      <c r="AC38">
        <v>1.95</v>
      </c>
      <c r="AD38" s="11">
        <f t="shared" si="13"/>
        <v>179.12400000000002</v>
      </c>
      <c r="AE38" s="11">
        <f>_xlfn.RANK.AVG(Tableau8[[#This Row],[EE ( MJ/m²)]],AD38:AD1193)</f>
        <v>111</v>
      </c>
      <c r="AF38" s="11">
        <f t="shared" si="14"/>
        <v>17.912400000000002</v>
      </c>
      <c r="AG38" s="11">
        <f t="shared" si="11"/>
        <v>13.805999999999999</v>
      </c>
      <c r="AH38" s="11">
        <f t="shared" si="15"/>
        <v>13.805999999999999</v>
      </c>
      <c r="AI38" s="11">
        <f t="shared" si="12"/>
        <v>1.3805999999999998</v>
      </c>
      <c r="AJ38" s="11">
        <f t="shared" si="16"/>
        <v>1.3805999999999998</v>
      </c>
    </row>
    <row r="39" spans="1:36" x14ac:dyDescent="0.25">
      <c r="A39" s="4" t="s">
        <v>945</v>
      </c>
      <c r="B39" s="4" t="s">
        <v>979</v>
      </c>
      <c r="C39" s="4" t="s">
        <v>998</v>
      </c>
      <c r="D39" s="4" t="s">
        <v>938</v>
      </c>
      <c r="E39" t="s">
        <v>359</v>
      </c>
      <c r="F39" t="s">
        <v>360</v>
      </c>
      <c r="G39" t="s">
        <v>361</v>
      </c>
      <c r="H39">
        <v>25</v>
      </c>
      <c r="I39">
        <v>10</v>
      </c>
      <c r="J39" t="s">
        <v>40</v>
      </c>
      <c r="K39" t="s">
        <v>17</v>
      </c>
      <c r="L39" t="s">
        <v>387</v>
      </c>
      <c r="M39" t="s">
        <v>12</v>
      </c>
      <c r="N39" t="s">
        <v>95</v>
      </c>
      <c r="R39" t="s">
        <v>187</v>
      </c>
      <c r="T39">
        <v>1</v>
      </c>
      <c r="U39" t="s">
        <v>175</v>
      </c>
      <c r="W39" s="1">
        <v>7800</v>
      </c>
      <c r="X39" t="s">
        <v>184</v>
      </c>
      <c r="Y39" t="s">
        <v>185</v>
      </c>
      <c r="Z39" t="s">
        <v>326</v>
      </c>
      <c r="AA39" s="13">
        <v>1.8</v>
      </c>
      <c r="AB39">
        <v>25.3</v>
      </c>
      <c r="AC39">
        <v>1.95</v>
      </c>
      <c r="AD39" s="11">
        <f t="shared" si="13"/>
        <v>1.8215999999999999</v>
      </c>
      <c r="AE39" s="11">
        <f>_xlfn.RANK.AVG(Tableau8[[#This Row],[EE ( MJ/m²)]],AD39:AD1194)</f>
        <v>850.5</v>
      </c>
      <c r="AF39" s="11">
        <f t="shared" si="14"/>
        <v>0.18215999999999999</v>
      </c>
      <c r="AG39" s="11">
        <f t="shared" si="11"/>
        <v>0.1404</v>
      </c>
      <c r="AH39" s="11">
        <f t="shared" si="15"/>
        <v>0.1404</v>
      </c>
      <c r="AI39" s="11">
        <f t="shared" si="12"/>
        <v>1.404E-2</v>
      </c>
      <c r="AJ39" s="11">
        <f t="shared" si="16"/>
        <v>1.404E-2</v>
      </c>
    </row>
    <row r="40" spans="1:36" x14ac:dyDescent="0.25">
      <c r="A40" s="4" t="s">
        <v>945</v>
      </c>
      <c r="B40" s="4" t="s">
        <v>979</v>
      </c>
      <c r="C40" s="4" t="s">
        <v>998</v>
      </c>
      <c r="D40" s="4" t="s">
        <v>938</v>
      </c>
      <c r="E40" t="s">
        <v>359</v>
      </c>
      <c r="F40" t="s">
        <v>360</v>
      </c>
      <c r="G40" t="s">
        <v>361</v>
      </c>
      <c r="H40">
        <v>25</v>
      </c>
      <c r="I40">
        <v>10</v>
      </c>
      <c r="J40" t="s">
        <v>40</v>
      </c>
      <c r="K40" t="s">
        <v>17</v>
      </c>
      <c r="L40" t="s">
        <v>390</v>
      </c>
      <c r="M40" t="s">
        <v>12</v>
      </c>
      <c r="N40" t="s">
        <v>95</v>
      </c>
      <c r="R40" t="s">
        <v>187</v>
      </c>
      <c r="T40">
        <v>1</v>
      </c>
      <c r="U40" t="s">
        <v>175</v>
      </c>
      <c r="W40">
        <v>7800</v>
      </c>
      <c r="X40" t="s">
        <v>184</v>
      </c>
      <c r="Y40" t="s">
        <v>185</v>
      </c>
      <c r="Z40" t="s">
        <v>326</v>
      </c>
      <c r="AA40" s="13">
        <v>1.8</v>
      </c>
      <c r="AB40">
        <v>25.3</v>
      </c>
      <c r="AC40">
        <v>1.95</v>
      </c>
      <c r="AD40" s="11">
        <f t="shared" si="13"/>
        <v>1.8215999999999999</v>
      </c>
      <c r="AE40" s="11">
        <f>_xlfn.RANK.AVG(Tableau8[[#This Row],[EE ( MJ/m²)]],AD40:AD1195)</f>
        <v>850</v>
      </c>
      <c r="AF40" s="11">
        <f t="shared" si="14"/>
        <v>0.18215999999999999</v>
      </c>
      <c r="AG40" s="11">
        <f t="shared" si="11"/>
        <v>0.1404</v>
      </c>
      <c r="AH40" s="11">
        <f t="shared" si="15"/>
        <v>0.1404</v>
      </c>
      <c r="AI40" s="11">
        <f t="shared" si="12"/>
        <v>1.404E-2</v>
      </c>
      <c r="AJ40" s="11">
        <f t="shared" si="16"/>
        <v>1.404E-2</v>
      </c>
    </row>
    <row r="41" spans="1:36" x14ac:dyDescent="0.25">
      <c r="A41" s="4" t="s">
        <v>945</v>
      </c>
      <c r="B41" s="4" t="s">
        <v>979</v>
      </c>
      <c r="C41" s="4" t="s">
        <v>998</v>
      </c>
      <c r="D41" s="4" t="s">
        <v>938</v>
      </c>
      <c r="E41" t="s">
        <v>359</v>
      </c>
      <c r="F41" t="s">
        <v>360</v>
      </c>
      <c r="G41" t="s">
        <v>361</v>
      </c>
      <c r="H41">
        <v>25</v>
      </c>
      <c r="I41">
        <v>10</v>
      </c>
      <c r="J41" t="s">
        <v>40</v>
      </c>
      <c r="K41" t="s">
        <v>17</v>
      </c>
      <c r="L41" t="s">
        <v>388</v>
      </c>
      <c r="M41" t="s">
        <v>12</v>
      </c>
      <c r="N41" t="s">
        <v>95</v>
      </c>
      <c r="R41" t="s">
        <v>187</v>
      </c>
      <c r="T41">
        <v>1</v>
      </c>
      <c r="U41" t="s">
        <v>175</v>
      </c>
      <c r="W41">
        <v>7800</v>
      </c>
      <c r="X41" t="s">
        <v>184</v>
      </c>
      <c r="Y41" t="s">
        <v>185</v>
      </c>
      <c r="Z41" t="s">
        <v>281</v>
      </c>
      <c r="AA41" s="13">
        <v>0.53800000000000003</v>
      </c>
      <c r="AB41">
        <v>25.3</v>
      </c>
      <c r="AC41">
        <v>1.95</v>
      </c>
      <c r="AD41" s="11">
        <f t="shared" si="13"/>
        <v>0.54445600000000005</v>
      </c>
      <c r="AE41" s="11">
        <f>_xlfn.RANK.AVG(Tableau8[[#This Row],[EE ( MJ/m²)]],AD41:AD1196)</f>
        <v>955</v>
      </c>
      <c r="AF41" s="11">
        <f t="shared" si="14"/>
        <v>5.4445600000000004E-2</v>
      </c>
      <c r="AG41" s="11">
        <f t="shared" si="11"/>
        <v>4.1964000000000008E-2</v>
      </c>
      <c r="AH41" s="11">
        <f t="shared" si="15"/>
        <v>4.1964000000000008E-2</v>
      </c>
      <c r="AI41" s="11">
        <f t="shared" si="12"/>
        <v>4.1964000000000012E-3</v>
      </c>
      <c r="AJ41" s="11">
        <f t="shared" si="16"/>
        <v>4.1964000000000012E-3</v>
      </c>
    </row>
    <row r="42" spans="1:36" x14ac:dyDescent="0.25">
      <c r="A42" s="4" t="s">
        <v>945</v>
      </c>
      <c r="B42" s="4" t="s">
        <v>979</v>
      </c>
      <c r="C42" s="4" t="s">
        <v>998</v>
      </c>
      <c r="D42" s="4" t="s">
        <v>938</v>
      </c>
      <c r="E42" t="s">
        <v>359</v>
      </c>
      <c r="F42" t="s">
        <v>360</v>
      </c>
      <c r="G42" t="s">
        <v>361</v>
      </c>
      <c r="H42">
        <v>25</v>
      </c>
      <c r="I42">
        <v>10</v>
      </c>
      <c r="J42" t="s">
        <v>40</v>
      </c>
      <c r="K42" t="s">
        <v>17</v>
      </c>
      <c r="L42" t="s">
        <v>389</v>
      </c>
      <c r="M42" t="s">
        <v>12</v>
      </c>
      <c r="N42" t="s">
        <v>95</v>
      </c>
      <c r="R42" t="s">
        <v>187</v>
      </c>
      <c r="T42">
        <v>1</v>
      </c>
      <c r="U42" t="s">
        <v>175</v>
      </c>
      <c r="W42">
        <v>7800</v>
      </c>
      <c r="X42" t="s">
        <v>184</v>
      </c>
      <c r="Y42" t="s">
        <v>185</v>
      </c>
      <c r="Z42" t="s">
        <v>403</v>
      </c>
      <c r="AA42" s="13">
        <f>0.538*2</f>
        <v>1.0760000000000001</v>
      </c>
      <c r="AB42">
        <v>25.3</v>
      </c>
      <c r="AC42">
        <v>1.95</v>
      </c>
      <c r="AD42" s="11">
        <f t="shared" si="13"/>
        <v>1.0889120000000001</v>
      </c>
      <c r="AE42" s="11">
        <f>_xlfn.RANK.AVG(Tableau8[[#This Row],[EE ( MJ/m²)]],AD42:AD1197)</f>
        <v>898</v>
      </c>
      <c r="AF42" s="11">
        <f t="shared" si="14"/>
        <v>0.10889120000000001</v>
      </c>
      <c r="AG42" s="11">
        <f t="shared" si="11"/>
        <v>8.3928000000000016E-2</v>
      </c>
      <c r="AH42" s="11">
        <f t="shared" si="15"/>
        <v>8.3928000000000016E-2</v>
      </c>
      <c r="AI42" s="11">
        <f t="shared" si="12"/>
        <v>8.3928000000000023E-3</v>
      </c>
      <c r="AJ42" s="11">
        <f t="shared" si="16"/>
        <v>8.3928000000000023E-3</v>
      </c>
    </row>
    <row r="43" spans="1:36" x14ac:dyDescent="0.25">
      <c r="A43" s="4" t="s">
        <v>945</v>
      </c>
      <c r="B43" s="4" t="s">
        <v>979</v>
      </c>
      <c r="C43" s="4" t="s">
        <v>998</v>
      </c>
      <c r="D43" s="4" t="s">
        <v>938</v>
      </c>
      <c r="E43" t="s">
        <v>359</v>
      </c>
      <c r="F43" t="s">
        <v>360</v>
      </c>
      <c r="G43" t="s">
        <v>361</v>
      </c>
      <c r="H43">
        <v>25</v>
      </c>
      <c r="I43">
        <v>10</v>
      </c>
      <c r="J43" t="s">
        <v>13</v>
      </c>
      <c r="K43" t="s">
        <v>29</v>
      </c>
      <c r="L43" t="s">
        <v>364</v>
      </c>
      <c r="M43" t="s">
        <v>364</v>
      </c>
      <c r="N43" t="s">
        <v>432</v>
      </c>
      <c r="P43">
        <v>2.0105</v>
      </c>
      <c r="Q43" t="s">
        <v>180</v>
      </c>
      <c r="R43" t="s">
        <v>175</v>
      </c>
      <c r="T43">
        <v>1</v>
      </c>
      <c r="U43" t="s">
        <v>175</v>
      </c>
      <c r="W43">
        <v>2240</v>
      </c>
      <c r="X43" t="s">
        <v>184</v>
      </c>
      <c r="Y43" t="s">
        <v>185</v>
      </c>
      <c r="Z43" t="s">
        <v>47</v>
      </c>
      <c r="AA43" s="13">
        <f t="shared" ref="AA43:AA49" si="17">W43*T43*P43</f>
        <v>4503.5199999999995</v>
      </c>
      <c r="AB43">
        <v>8.0999999999999996E-3</v>
      </c>
      <c r="AC43">
        <v>5.1000000000000004E-3</v>
      </c>
      <c r="AD43" s="11">
        <f t="shared" si="13"/>
        <v>1.4591404799999999</v>
      </c>
      <c r="AE43" s="11">
        <f>_xlfn.RANK.AVG(Tableau8[[#This Row],[EE ( MJ/m²)]],AD43:AD1198)</f>
        <v>869</v>
      </c>
      <c r="AF43" s="11">
        <f t="shared" si="14"/>
        <v>0.14591404799999999</v>
      </c>
      <c r="AG43" s="11">
        <f t="shared" si="11"/>
        <v>0.91871807999999999</v>
      </c>
      <c r="AH43" s="11">
        <f t="shared" si="15"/>
        <v>0.91871807999999999</v>
      </c>
      <c r="AI43" s="11">
        <f t="shared" si="12"/>
        <v>9.1871807999999999E-2</v>
      </c>
      <c r="AJ43" s="11">
        <f t="shared" si="16"/>
        <v>9.1871807999999999E-2</v>
      </c>
    </row>
    <row r="44" spans="1:36" x14ac:dyDescent="0.25">
      <c r="A44" s="4" t="s">
        <v>945</v>
      </c>
      <c r="B44" s="4" t="s">
        <v>979</v>
      </c>
      <c r="C44" s="4" t="s">
        <v>998</v>
      </c>
      <c r="D44" s="4" t="s">
        <v>938</v>
      </c>
      <c r="E44" t="s">
        <v>359</v>
      </c>
      <c r="F44" t="s">
        <v>360</v>
      </c>
      <c r="G44" t="s">
        <v>361</v>
      </c>
      <c r="H44">
        <v>25</v>
      </c>
      <c r="I44">
        <v>10</v>
      </c>
      <c r="J44" t="s">
        <v>13</v>
      </c>
      <c r="K44" t="s">
        <v>29</v>
      </c>
      <c r="L44" t="s">
        <v>364</v>
      </c>
      <c r="M44" t="s">
        <v>364</v>
      </c>
      <c r="N44" t="s">
        <v>432</v>
      </c>
      <c r="P44">
        <v>1.35921</v>
      </c>
      <c r="Q44" t="s">
        <v>180</v>
      </c>
      <c r="R44" t="s">
        <v>175</v>
      </c>
      <c r="T44">
        <v>1</v>
      </c>
      <c r="U44" t="s">
        <v>175</v>
      </c>
      <c r="W44">
        <v>2240</v>
      </c>
      <c r="X44" t="s">
        <v>184</v>
      </c>
      <c r="Y44" t="s">
        <v>185</v>
      </c>
      <c r="Z44" t="s">
        <v>47</v>
      </c>
      <c r="AA44" s="13">
        <f t="shared" si="17"/>
        <v>3044.6304</v>
      </c>
      <c r="AB44">
        <v>8.0999999999999996E-3</v>
      </c>
      <c r="AC44">
        <v>5.1000000000000004E-3</v>
      </c>
      <c r="AD44" s="11">
        <f t="shared" si="13"/>
        <v>0.98646024959999989</v>
      </c>
      <c r="AE44" s="11">
        <f>_xlfn.RANK.AVG(Tableau8[[#This Row],[EE ( MJ/m²)]],AD44:AD1199)</f>
        <v>910</v>
      </c>
      <c r="AF44" s="11">
        <f t="shared" si="14"/>
        <v>9.8646024959999995E-2</v>
      </c>
      <c r="AG44" s="11">
        <f t="shared" si="11"/>
        <v>0.62110460160000003</v>
      </c>
      <c r="AH44" s="11">
        <f t="shared" si="15"/>
        <v>0.62110460160000003</v>
      </c>
      <c r="AI44" s="11">
        <f t="shared" si="12"/>
        <v>6.2110460160000006E-2</v>
      </c>
      <c r="AJ44" s="11">
        <f t="shared" si="16"/>
        <v>6.2110460160000006E-2</v>
      </c>
    </row>
    <row r="45" spans="1:36" x14ac:dyDescent="0.25">
      <c r="A45" s="4" t="s">
        <v>945</v>
      </c>
      <c r="B45" s="4" t="s">
        <v>979</v>
      </c>
      <c r="C45" s="4" t="s">
        <v>998</v>
      </c>
      <c r="D45" s="4" t="s">
        <v>938</v>
      </c>
      <c r="E45" t="s">
        <v>359</v>
      </c>
      <c r="F45" t="s">
        <v>360</v>
      </c>
      <c r="G45" t="s">
        <v>361</v>
      </c>
      <c r="H45">
        <v>25</v>
      </c>
      <c r="I45">
        <v>10</v>
      </c>
      <c r="J45" t="s">
        <v>57</v>
      </c>
      <c r="K45" t="s">
        <v>29</v>
      </c>
      <c r="L45" t="s">
        <v>364</v>
      </c>
      <c r="M45" t="s">
        <v>364</v>
      </c>
      <c r="N45" t="s">
        <v>432</v>
      </c>
      <c r="P45">
        <v>0.169901</v>
      </c>
      <c r="Q45" t="s">
        <v>180</v>
      </c>
      <c r="R45" t="s">
        <v>175</v>
      </c>
      <c r="T45">
        <v>1</v>
      </c>
      <c r="U45" t="s">
        <v>175</v>
      </c>
      <c r="W45">
        <v>2240</v>
      </c>
      <c r="X45" t="s">
        <v>184</v>
      </c>
      <c r="Y45" t="s">
        <v>185</v>
      </c>
      <c r="Z45" t="s">
        <v>47</v>
      </c>
      <c r="AA45" s="13">
        <f t="shared" si="17"/>
        <v>380.57823999999999</v>
      </c>
      <c r="AB45">
        <v>8.0999999999999996E-3</v>
      </c>
      <c r="AC45">
        <v>5.1000000000000004E-3</v>
      </c>
      <c r="AD45" s="11">
        <f t="shared" si="13"/>
        <v>0.12330734975999999</v>
      </c>
      <c r="AE45" s="11">
        <f>_xlfn.RANK.AVG(Tableau8[[#This Row],[EE ( MJ/m²)]],AD45:AD1200)</f>
        <v>1026</v>
      </c>
      <c r="AF45" s="11">
        <f t="shared" si="14"/>
        <v>1.2330734975999999E-2</v>
      </c>
      <c r="AG45" s="11">
        <f t="shared" si="11"/>
        <v>7.7637960960000002E-2</v>
      </c>
      <c r="AH45" s="11">
        <f t="shared" si="15"/>
        <v>7.7637960960000002E-2</v>
      </c>
      <c r="AI45" s="11">
        <f t="shared" si="12"/>
        <v>7.7637960960000004E-3</v>
      </c>
      <c r="AJ45" s="11">
        <f t="shared" si="16"/>
        <v>7.7637960960000004E-3</v>
      </c>
    </row>
    <row r="46" spans="1:36" x14ac:dyDescent="0.25">
      <c r="A46" s="4" t="s">
        <v>945</v>
      </c>
      <c r="B46" s="4" t="s">
        <v>979</v>
      </c>
      <c r="C46" s="4" t="s">
        <v>998</v>
      </c>
      <c r="D46" s="4" t="s">
        <v>938</v>
      </c>
      <c r="E46" t="s">
        <v>359</v>
      </c>
      <c r="F46" t="s">
        <v>360</v>
      </c>
      <c r="G46" t="s">
        <v>361</v>
      </c>
      <c r="H46">
        <v>25</v>
      </c>
      <c r="I46">
        <v>10</v>
      </c>
      <c r="J46" t="s">
        <v>57</v>
      </c>
      <c r="K46" t="s">
        <v>29</v>
      </c>
      <c r="L46" t="s">
        <v>364</v>
      </c>
      <c r="M46" t="s">
        <v>364</v>
      </c>
      <c r="N46" t="s">
        <v>432</v>
      </c>
      <c r="P46">
        <v>0.25485200000000002</v>
      </c>
      <c r="Q46" t="s">
        <v>180</v>
      </c>
      <c r="R46" t="s">
        <v>175</v>
      </c>
      <c r="T46">
        <v>1</v>
      </c>
      <c r="U46" t="s">
        <v>175</v>
      </c>
      <c r="W46">
        <v>2240</v>
      </c>
      <c r="X46" t="s">
        <v>184</v>
      </c>
      <c r="Y46" t="s">
        <v>185</v>
      </c>
      <c r="Z46" t="s">
        <v>47</v>
      </c>
      <c r="AA46" s="13">
        <f t="shared" si="17"/>
        <v>570.86848000000009</v>
      </c>
      <c r="AB46">
        <v>8.0999999999999996E-3</v>
      </c>
      <c r="AC46">
        <v>5.1000000000000004E-3</v>
      </c>
      <c r="AD46" s="11">
        <f t="shared" si="13"/>
        <v>0.18496138751999999</v>
      </c>
      <c r="AE46" s="11">
        <f>_xlfn.RANK.AVG(Tableau8[[#This Row],[EE ( MJ/m²)]],AD46:AD1201)</f>
        <v>1014</v>
      </c>
      <c r="AF46" s="11">
        <f t="shared" si="14"/>
        <v>1.8496138751999999E-2</v>
      </c>
      <c r="AG46" s="11">
        <f t="shared" si="11"/>
        <v>0.11645716992000002</v>
      </c>
      <c r="AH46" s="11">
        <f t="shared" si="15"/>
        <v>0.11645716992000002</v>
      </c>
      <c r="AI46" s="11">
        <f t="shared" si="12"/>
        <v>1.1645716992000002E-2</v>
      </c>
      <c r="AJ46" s="11">
        <f t="shared" si="16"/>
        <v>1.1645716992000002E-2</v>
      </c>
    </row>
    <row r="47" spans="1:36" x14ac:dyDescent="0.25">
      <c r="A47" s="4" t="s">
        <v>945</v>
      </c>
      <c r="B47" s="4" t="s">
        <v>979</v>
      </c>
      <c r="C47" s="4" t="s">
        <v>998</v>
      </c>
      <c r="D47" s="4" t="s">
        <v>938</v>
      </c>
      <c r="E47" t="s">
        <v>359</v>
      </c>
      <c r="F47" t="s">
        <v>360</v>
      </c>
      <c r="G47" t="s">
        <v>361</v>
      </c>
      <c r="H47">
        <v>25</v>
      </c>
      <c r="I47">
        <v>10</v>
      </c>
      <c r="J47" t="s">
        <v>40</v>
      </c>
      <c r="K47" t="s">
        <v>29</v>
      </c>
      <c r="L47" t="s">
        <v>368</v>
      </c>
      <c r="M47" t="s">
        <v>364</v>
      </c>
      <c r="N47" t="s">
        <v>432</v>
      </c>
      <c r="P47">
        <v>3.4829699999999999</v>
      </c>
      <c r="Q47" t="s">
        <v>180</v>
      </c>
      <c r="R47" t="s">
        <v>175</v>
      </c>
      <c r="T47">
        <v>1</v>
      </c>
      <c r="U47" t="s">
        <v>175</v>
      </c>
      <c r="W47">
        <v>2240</v>
      </c>
      <c r="X47" t="s">
        <v>184</v>
      </c>
      <c r="Y47" t="s">
        <v>185</v>
      </c>
      <c r="Z47" t="s">
        <v>47</v>
      </c>
      <c r="AA47" s="13">
        <f t="shared" si="17"/>
        <v>7801.8527999999997</v>
      </c>
      <c r="AB47">
        <v>8.0999999999999996E-3</v>
      </c>
      <c r="AC47">
        <v>5.1000000000000004E-3</v>
      </c>
      <c r="AD47" s="11">
        <f t="shared" si="13"/>
        <v>2.5278003071999997</v>
      </c>
      <c r="AE47" s="11">
        <f>_xlfn.RANK.AVG(Tableau8[[#This Row],[EE ( MJ/m²)]],AD47:AD1202)</f>
        <v>796</v>
      </c>
      <c r="AF47" s="11">
        <f t="shared" si="14"/>
        <v>0.25278003071999999</v>
      </c>
      <c r="AG47" s="11">
        <f t="shared" si="11"/>
        <v>1.5915779712</v>
      </c>
      <c r="AH47" s="11">
        <f t="shared" si="15"/>
        <v>1.5915779712</v>
      </c>
      <c r="AI47" s="11">
        <f t="shared" si="12"/>
        <v>0.15915779712</v>
      </c>
      <c r="AJ47" s="11">
        <f t="shared" si="16"/>
        <v>0.15915779712</v>
      </c>
    </row>
    <row r="48" spans="1:36" x14ac:dyDescent="0.25">
      <c r="A48" s="4" t="s">
        <v>945</v>
      </c>
      <c r="B48" s="4" t="s">
        <v>979</v>
      </c>
      <c r="C48" s="4" t="s">
        <v>998</v>
      </c>
      <c r="D48" s="4" t="s">
        <v>938</v>
      </c>
      <c r="E48" t="s">
        <v>359</v>
      </c>
      <c r="F48" t="s">
        <v>360</v>
      </c>
      <c r="G48" t="s">
        <v>361</v>
      </c>
      <c r="H48">
        <v>25</v>
      </c>
      <c r="I48">
        <v>10</v>
      </c>
      <c r="J48" t="s">
        <v>40</v>
      </c>
      <c r="K48" t="s">
        <v>29</v>
      </c>
      <c r="L48" t="s">
        <v>439</v>
      </c>
      <c r="M48" t="s">
        <v>364</v>
      </c>
      <c r="N48" t="s">
        <v>432</v>
      </c>
      <c r="P48">
        <v>0.11326700000000001</v>
      </c>
      <c r="Q48" t="s">
        <v>180</v>
      </c>
      <c r="R48" t="s">
        <v>175</v>
      </c>
      <c r="T48">
        <v>1</v>
      </c>
      <c r="U48" t="s">
        <v>175</v>
      </c>
      <c r="W48">
        <v>2240</v>
      </c>
      <c r="X48" t="s">
        <v>184</v>
      </c>
      <c r="Y48" t="s">
        <v>185</v>
      </c>
      <c r="Z48" t="s">
        <v>47</v>
      </c>
      <c r="AA48" s="13">
        <f t="shared" si="17"/>
        <v>253.71808000000001</v>
      </c>
      <c r="AB48">
        <v>8.0999999999999996E-3</v>
      </c>
      <c r="AC48">
        <v>5.1000000000000004E-3</v>
      </c>
      <c r="AD48" s="11">
        <f t="shared" si="13"/>
        <v>8.2204657920000007E-2</v>
      </c>
      <c r="AE48" s="11">
        <f>_xlfn.RANK.AVG(Tableau8[[#This Row],[EE ( MJ/m²)]],AD48:AD1203)</f>
        <v>1031.5</v>
      </c>
      <c r="AF48" s="11">
        <f t="shared" si="14"/>
        <v>8.220465792E-3</v>
      </c>
      <c r="AG48" s="11">
        <f t="shared" si="11"/>
        <v>5.1758488320000004E-2</v>
      </c>
      <c r="AH48" s="11">
        <f t="shared" si="15"/>
        <v>5.1758488320000004E-2</v>
      </c>
      <c r="AI48" s="11">
        <f t="shared" si="12"/>
        <v>5.1758488320000004E-3</v>
      </c>
      <c r="AJ48" s="11">
        <f t="shared" si="16"/>
        <v>5.1758488320000004E-3</v>
      </c>
    </row>
    <row r="49" spans="1:36" x14ac:dyDescent="0.25">
      <c r="A49" s="4" t="s">
        <v>945</v>
      </c>
      <c r="B49" s="4" t="s">
        <v>979</v>
      </c>
      <c r="C49" s="4" t="s">
        <v>998</v>
      </c>
      <c r="D49" s="4" t="s">
        <v>938</v>
      </c>
      <c r="E49" t="s">
        <v>359</v>
      </c>
      <c r="F49" t="s">
        <v>360</v>
      </c>
      <c r="G49" t="s">
        <v>361</v>
      </c>
      <c r="H49">
        <v>25</v>
      </c>
      <c r="I49">
        <v>10</v>
      </c>
      <c r="J49" t="s">
        <v>57</v>
      </c>
      <c r="K49" t="s">
        <v>29</v>
      </c>
      <c r="L49" t="s">
        <v>381</v>
      </c>
      <c r="M49" t="s">
        <v>364</v>
      </c>
      <c r="N49" t="s">
        <v>432</v>
      </c>
      <c r="P49">
        <v>0.11326700000000001</v>
      </c>
      <c r="Q49" t="s">
        <v>180</v>
      </c>
      <c r="R49" t="s">
        <v>175</v>
      </c>
      <c r="T49">
        <v>1</v>
      </c>
      <c r="U49" t="s">
        <v>175</v>
      </c>
      <c r="W49">
        <v>2240</v>
      </c>
      <c r="X49" t="s">
        <v>184</v>
      </c>
      <c r="Y49" t="s">
        <v>185</v>
      </c>
      <c r="Z49" t="s">
        <v>47</v>
      </c>
      <c r="AA49" s="13">
        <f t="shared" si="17"/>
        <v>253.71808000000001</v>
      </c>
      <c r="AB49">
        <v>8.0999999999999996E-3</v>
      </c>
      <c r="AC49">
        <v>5.1000000000000004E-3</v>
      </c>
      <c r="AD49" s="11">
        <f t="shared" si="13"/>
        <v>8.2204657920000007E-2</v>
      </c>
      <c r="AE49" s="11">
        <f>_xlfn.RANK.AVG(Tableau8[[#This Row],[EE ( MJ/m²)]],AD49:AD1204)</f>
        <v>1031</v>
      </c>
      <c r="AF49" s="11">
        <f t="shared" si="14"/>
        <v>8.220465792E-3</v>
      </c>
      <c r="AG49" s="11">
        <f t="shared" si="11"/>
        <v>5.1758488320000004E-2</v>
      </c>
      <c r="AH49" s="11">
        <f t="shared" si="15"/>
        <v>5.1758488320000004E-2</v>
      </c>
      <c r="AI49" s="11">
        <f t="shared" si="12"/>
        <v>5.1758488320000004E-3</v>
      </c>
      <c r="AJ49" s="11">
        <f t="shared" si="16"/>
        <v>5.1758488320000004E-3</v>
      </c>
    </row>
    <row r="50" spans="1:36" x14ac:dyDescent="0.25">
      <c r="A50" s="4" t="s">
        <v>945</v>
      </c>
      <c r="B50" s="4" t="s">
        <v>979</v>
      </c>
      <c r="C50" s="4" t="s">
        <v>998</v>
      </c>
      <c r="D50" s="4" t="s">
        <v>938</v>
      </c>
      <c r="E50" t="s">
        <v>359</v>
      </c>
      <c r="F50" t="s">
        <v>360</v>
      </c>
      <c r="G50" t="s">
        <v>361</v>
      </c>
      <c r="H50">
        <v>25</v>
      </c>
      <c r="I50">
        <v>10</v>
      </c>
      <c r="J50" t="s">
        <v>57</v>
      </c>
      <c r="K50" t="s">
        <v>29</v>
      </c>
      <c r="L50" t="s">
        <v>382</v>
      </c>
      <c r="M50" t="s">
        <v>69</v>
      </c>
      <c r="N50" t="s">
        <v>497</v>
      </c>
      <c r="P50">
        <v>7.1358499999999996</v>
      </c>
      <c r="Q50" t="s">
        <v>180</v>
      </c>
      <c r="R50" t="s">
        <v>175</v>
      </c>
      <c r="T50">
        <v>1</v>
      </c>
      <c r="U50" t="s">
        <v>175</v>
      </c>
      <c r="W50">
        <v>1460</v>
      </c>
      <c r="X50" t="s">
        <v>184</v>
      </c>
      <c r="Y50" t="s">
        <v>445</v>
      </c>
      <c r="AA50" s="13">
        <f>Tableau8[[#This Row],[density (kg/m2) or specific weight (kg/m2)]]*Tableau8[[#This Row],[nb of item used ]]*Tableau8[[#This Row],[volume or area]]</f>
        <v>10418.340999999999</v>
      </c>
      <c r="AB50">
        <v>0.45</v>
      </c>
      <c r="AC50">
        <v>2.4E-2</v>
      </c>
      <c r="AD50" s="11">
        <f t="shared" si="13"/>
        <v>187.53013799999997</v>
      </c>
      <c r="AE50" s="11">
        <f>_xlfn.RANK.AVG(Tableau8[[#This Row],[EE ( MJ/m²)]],AD50:AD1205)</f>
        <v>107</v>
      </c>
      <c r="AF50" s="11">
        <f t="shared" si="14"/>
        <v>18.753013799999998</v>
      </c>
      <c r="AG50" s="11">
        <f t="shared" si="11"/>
        <v>10.00160736</v>
      </c>
      <c r="AH50" s="11">
        <f t="shared" si="15"/>
        <v>10.00160736</v>
      </c>
      <c r="AI50" s="11">
        <f t="shared" si="12"/>
        <v>1.000160736</v>
      </c>
      <c r="AJ50" s="11">
        <f t="shared" si="16"/>
        <v>1.000160736</v>
      </c>
    </row>
    <row r="51" spans="1:36" x14ac:dyDescent="0.25">
      <c r="A51" s="4" t="s">
        <v>945</v>
      </c>
      <c r="B51" s="4" t="s">
        <v>979</v>
      </c>
      <c r="C51" s="4" t="s">
        <v>998</v>
      </c>
      <c r="D51" s="4" t="s">
        <v>938</v>
      </c>
      <c r="E51" t="s">
        <v>359</v>
      </c>
      <c r="F51" t="s">
        <v>360</v>
      </c>
      <c r="G51" t="s">
        <v>361</v>
      </c>
      <c r="H51">
        <v>25</v>
      </c>
      <c r="I51">
        <v>10</v>
      </c>
      <c r="J51" t="s">
        <v>56</v>
      </c>
      <c r="K51" t="s">
        <v>29</v>
      </c>
      <c r="L51" t="s">
        <v>375</v>
      </c>
      <c r="M51" t="s">
        <v>68</v>
      </c>
      <c r="N51" t="s">
        <v>69</v>
      </c>
      <c r="P51">
        <v>2.7467299999999999</v>
      </c>
      <c r="Q51" t="s">
        <v>180</v>
      </c>
      <c r="R51" t="s">
        <v>175</v>
      </c>
      <c r="T51">
        <v>1</v>
      </c>
      <c r="U51" t="s">
        <v>175</v>
      </c>
      <c r="W51">
        <v>1460</v>
      </c>
      <c r="X51" t="s">
        <v>184</v>
      </c>
      <c r="Y51" t="s">
        <v>185</v>
      </c>
      <c r="AA51" s="13">
        <f>W51*T51*P51</f>
        <v>4010.2257999999997</v>
      </c>
      <c r="AB51">
        <v>0.45</v>
      </c>
      <c r="AC51">
        <v>2.4E-2</v>
      </c>
      <c r="AD51" s="11">
        <f t="shared" si="13"/>
        <v>72.184064399999997</v>
      </c>
      <c r="AE51" s="11">
        <f>_xlfn.RANK.AVG(Tableau8[[#This Row],[EE ( MJ/m²)]],AD51:AD1206)</f>
        <v>222</v>
      </c>
      <c r="AF51" s="11">
        <f t="shared" si="14"/>
        <v>7.2184064399999999</v>
      </c>
      <c r="AG51" s="11">
        <f t="shared" si="11"/>
        <v>3.8498167680000002</v>
      </c>
      <c r="AH51" s="11">
        <f t="shared" si="15"/>
        <v>3.8498167680000002</v>
      </c>
      <c r="AI51" s="11">
        <f t="shared" si="12"/>
        <v>0.38498167680000001</v>
      </c>
      <c r="AJ51" s="11">
        <f t="shared" si="16"/>
        <v>0.38498167680000001</v>
      </c>
    </row>
    <row r="52" spans="1:36" x14ac:dyDescent="0.25">
      <c r="A52" s="4" t="s">
        <v>945</v>
      </c>
      <c r="B52" s="4" t="s">
        <v>979</v>
      </c>
      <c r="C52" s="4" t="s">
        <v>998</v>
      </c>
      <c r="D52" s="4" t="s">
        <v>938</v>
      </c>
      <c r="E52" t="s">
        <v>359</v>
      </c>
      <c r="F52" t="s">
        <v>360</v>
      </c>
      <c r="G52" t="s">
        <v>361</v>
      </c>
      <c r="H52">
        <v>25</v>
      </c>
      <c r="I52">
        <v>10</v>
      </c>
      <c r="J52" t="s">
        <v>13</v>
      </c>
      <c r="K52" t="s">
        <v>18</v>
      </c>
      <c r="L52" t="s">
        <v>363</v>
      </c>
      <c r="M52" t="s">
        <v>363</v>
      </c>
      <c r="N52" t="s">
        <v>431</v>
      </c>
      <c r="R52" t="s">
        <v>346</v>
      </c>
      <c r="S52" t="s">
        <v>392</v>
      </c>
      <c r="T52">
        <v>1</v>
      </c>
      <c r="W52">
        <v>1860</v>
      </c>
      <c r="X52" t="s">
        <v>184</v>
      </c>
      <c r="Z52" t="s">
        <v>391</v>
      </c>
      <c r="AA52" s="13">
        <v>426.38</v>
      </c>
      <c r="AB52">
        <v>4.51</v>
      </c>
      <c r="AC52">
        <v>0.74</v>
      </c>
      <c r="AD52" s="11">
        <f t="shared" si="13"/>
        <v>76.918952000000004</v>
      </c>
      <c r="AE52" s="11">
        <f>_xlfn.RANK.AVG(Tableau8[[#This Row],[EE ( MJ/m²)]],AD52:AD1207)</f>
        <v>216</v>
      </c>
      <c r="AF52" s="11">
        <f>AB52*Tableau8[[#This Row],[weight (kg )]]/H52/I52</f>
        <v>7.6918952000000003</v>
      </c>
      <c r="AG52" s="11">
        <f t="shared" si="11"/>
        <v>12.620847999999999</v>
      </c>
      <c r="AH52" s="11">
        <f t="shared" si="15"/>
        <v>12.620847999999999</v>
      </c>
      <c r="AI52" s="11">
        <f t="shared" si="12"/>
        <v>1.2620847999999998</v>
      </c>
      <c r="AJ52" s="11">
        <f>AC52*Tableau8[[#This Row],[weight (kg )]]/H52/I52</f>
        <v>1.2620847999999998</v>
      </c>
    </row>
    <row r="53" spans="1:36" x14ac:dyDescent="0.25">
      <c r="A53" s="4" t="s">
        <v>945</v>
      </c>
      <c r="B53" s="4" t="s">
        <v>979</v>
      </c>
      <c r="C53" s="4" t="s">
        <v>998</v>
      </c>
      <c r="D53" s="4" t="s">
        <v>938</v>
      </c>
      <c r="E53" t="s">
        <v>359</v>
      </c>
      <c r="F53" t="s">
        <v>360</v>
      </c>
      <c r="G53" t="s">
        <v>361</v>
      </c>
      <c r="H53">
        <v>25</v>
      </c>
      <c r="I53">
        <v>10</v>
      </c>
      <c r="J53" t="s">
        <v>13</v>
      </c>
      <c r="K53" t="s">
        <v>18</v>
      </c>
      <c r="L53" t="s">
        <v>363</v>
      </c>
      <c r="M53" t="s">
        <v>363</v>
      </c>
      <c r="N53" t="s">
        <v>431</v>
      </c>
      <c r="R53" t="s">
        <v>175</v>
      </c>
      <c r="S53" t="s">
        <v>392</v>
      </c>
      <c r="T53">
        <v>1</v>
      </c>
      <c r="W53">
        <v>1860</v>
      </c>
      <c r="X53" t="s">
        <v>184</v>
      </c>
      <c r="Z53" t="s">
        <v>393</v>
      </c>
      <c r="AA53" s="13">
        <v>277.14</v>
      </c>
      <c r="AB53">
        <v>4.51</v>
      </c>
      <c r="AC53">
        <v>0.74</v>
      </c>
      <c r="AD53" s="11">
        <f t="shared" si="13"/>
        <v>49.996055999999996</v>
      </c>
      <c r="AE53" s="11">
        <f>_xlfn.RANK.AVG(Tableau8[[#This Row],[EE ( MJ/m²)]],AD53:AD1208)</f>
        <v>272</v>
      </c>
      <c r="AF53" s="11">
        <f>AB53*Tableau8[[#This Row],[weight (kg )]]/H53/I53</f>
        <v>4.9996055999999998</v>
      </c>
      <c r="AG53" s="11">
        <f t="shared" si="11"/>
        <v>8.2033439999999995</v>
      </c>
      <c r="AH53" s="11">
        <f t="shared" si="15"/>
        <v>8.2033439999999995</v>
      </c>
      <c r="AI53" s="11">
        <f t="shared" si="12"/>
        <v>0.82033439999999991</v>
      </c>
      <c r="AJ53" s="11">
        <f>AC53*Tableau8[[#This Row],[weight (kg )]]/H53/I53</f>
        <v>0.82033439999999991</v>
      </c>
    </row>
    <row r="54" spans="1:36" x14ac:dyDescent="0.25">
      <c r="A54" s="4" t="s">
        <v>945</v>
      </c>
      <c r="B54" s="4" t="s">
        <v>979</v>
      </c>
      <c r="C54" s="4" t="s">
        <v>998</v>
      </c>
      <c r="D54" s="4" t="s">
        <v>938</v>
      </c>
      <c r="E54" t="s">
        <v>359</v>
      </c>
      <c r="F54" t="s">
        <v>360</v>
      </c>
      <c r="G54" t="s">
        <v>361</v>
      </c>
      <c r="H54">
        <v>25</v>
      </c>
      <c r="I54">
        <v>10</v>
      </c>
      <c r="J54" t="s">
        <v>57</v>
      </c>
      <c r="K54" t="s">
        <v>18</v>
      </c>
      <c r="L54" t="s">
        <v>363</v>
      </c>
      <c r="M54" t="s">
        <v>363</v>
      </c>
      <c r="N54" t="s">
        <v>431</v>
      </c>
      <c r="R54" t="s">
        <v>175</v>
      </c>
      <c r="S54" t="s">
        <v>392</v>
      </c>
      <c r="T54">
        <v>1</v>
      </c>
      <c r="W54">
        <v>1860</v>
      </c>
      <c r="X54" t="s">
        <v>184</v>
      </c>
      <c r="Z54" t="s">
        <v>394</v>
      </c>
      <c r="AA54" s="13">
        <v>85.28</v>
      </c>
      <c r="AB54">
        <v>4.51</v>
      </c>
      <c r="AC54">
        <v>0.74</v>
      </c>
      <c r="AD54" s="11">
        <f t="shared" si="13"/>
        <v>15.384511999999999</v>
      </c>
      <c r="AE54" s="11">
        <f>_xlfn.RANK.AVG(Tableau8[[#This Row],[EE ( MJ/m²)]],AD54:AD1209)</f>
        <v>484</v>
      </c>
      <c r="AF54" s="11">
        <f t="shared" ref="AF54:AF85" si="18">AB54*AA54/H54/I54</f>
        <v>1.5384511999999999</v>
      </c>
      <c r="AG54" s="11">
        <f t="shared" si="11"/>
        <v>2.5242879999999999</v>
      </c>
      <c r="AH54" s="11">
        <f t="shared" si="15"/>
        <v>2.5242879999999999</v>
      </c>
      <c r="AI54" s="11">
        <f t="shared" si="12"/>
        <v>0.25242880000000001</v>
      </c>
      <c r="AJ54" s="11">
        <f t="shared" ref="AJ54:AJ85" si="19">AC54*AA54/H54/I54</f>
        <v>0.25242880000000001</v>
      </c>
    </row>
    <row r="55" spans="1:36" x14ac:dyDescent="0.25">
      <c r="A55" s="4" t="s">
        <v>945</v>
      </c>
      <c r="B55" s="4" t="s">
        <v>979</v>
      </c>
      <c r="C55" s="4" t="s">
        <v>998</v>
      </c>
      <c r="D55" s="4" t="s">
        <v>938</v>
      </c>
      <c r="E55" t="s">
        <v>359</v>
      </c>
      <c r="F55" t="s">
        <v>360</v>
      </c>
      <c r="G55" t="s">
        <v>361</v>
      </c>
      <c r="H55">
        <v>25</v>
      </c>
      <c r="I55">
        <v>10</v>
      </c>
      <c r="J55" t="s">
        <v>57</v>
      </c>
      <c r="K55" t="s">
        <v>18</v>
      </c>
      <c r="L55" t="s">
        <v>363</v>
      </c>
      <c r="M55" t="s">
        <v>363</v>
      </c>
      <c r="N55" t="s">
        <v>431</v>
      </c>
      <c r="R55" t="s">
        <v>175</v>
      </c>
      <c r="S55" t="s">
        <v>392</v>
      </c>
      <c r="T55">
        <v>1</v>
      </c>
      <c r="W55">
        <v>1860</v>
      </c>
      <c r="X55" t="s">
        <v>184</v>
      </c>
      <c r="Z55" t="s">
        <v>395</v>
      </c>
      <c r="AA55" s="13">
        <v>127.91</v>
      </c>
      <c r="AB55">
        <v>4.51</v>
      </c>
      <c r="AC55">
        <v>0.74</v>
      </c>
      <c r="AD55" s="11">
        <f t="shared" si="13"/>
        <v>23.074964000000001</v>
      </c>
      <c r="AE55" s="11">
        <f>_xlfn.RANK.AVG(Tableau8[[#This Row],[EE ( MJ/m²)]],AD55:AD1210)</f>
        <v>410</v>
      </c>
      <c r="AF55" s="11">
        <f t="shared" si="18"/>
        <v>2.3074964000000002</v>
      </c>
      <c r="AG55" s="11">
        <f t="shared" si="11"/>
        <v>3.7861359999999995</v>
      </c>
      <c r="AH55" s="11">
        <f t="shared" si="15"/>
        <v>3.7861359999999995</v>
      </c>
      <c r="AI55" s="11">
        <f t="shared" si="12"/>
        <v>0.37861359999999994</v>
      </c>
      <c r="AJ55" s="11">
        <f t="shared" si="19"/>
        <v>0.37861359999999994</v>
      </c>
    </row>
    <row r="56" spans="1:36" x14ac:dyDescent="0.25">
      <c r="A56" s="4" t="s">
        <v>945</v>
      </c>
      <c r="B56" s="4" t="s">
        <v>979</v>
      </c>
      <c r="C56" s="4" t="s">
        <v>998</v>
      </c>
      <c r="D56" s="4" t="s">
        <v>938</v>
      </c>
      <c r="E56" t="s">
        <v>359</v>
      </c>
      <c r="F56" t="s">
        <v>360</v>
      </c>
      <c r="G56" t="s">
        <v>361</v>
      </c>
      <c r="H56">
        <v>25</v>
      </c>
      <c r="I56">
        <v>10</v>
      </c>
      <c r="J56" t="s">
        <v>40</v>
      </c>
      <c r="K56" t="s">
        <v>18</v>
      </c>
      <c r="L56" t="s">
        <v>367</v>
      </c>
      <c r="M56" t="s">
        <v>363</v>
      </c>
      <c r="N56" t="s">
        <v>431</v>
      </c>
      <c r="R56" t="s">
        <v>175</v>
      </c>
      <c r="S56" t="s">
        <v>392</v>
      </c>
      <c r="T56">
        <v>1</v>
      </c>
      <c r="W56">
        <v>1860</v>
      </c>
      <c r="X56" t="s">
        <v>184</v>
      </c>
      <c r="Z56" t="s">
        <v>397</v>
      </c>
      <c r="AA56" s="13">
        <v>852.75</v>
      </c>
      <c r="AB56">
        <v>4.51</v>
      </c>
      <c r="AC56">
        <v>0.74</v>
      </c>
      <c r="AD56" s="11">
        <f t="shared" si="13"/>
        <v>153.83609999999999</v>
      </c>
      <c r="AE56" s="11">
        <f>_xlfn.RANK.AVG(Tableau8[[#This Row],[EE ( MJ/m²)]],AD56:AD1211)</f>
        <v>124</v>
      </c>
      <c r="AF56" s="11">
        <f t="shared" si="18"/>
        <v>15.383609999999999</v>
      </c>
      <c r="AG56" s="11">
        <f t="shared" si="11"/>
        <v>25.241399999999999</v>
      </c>
      <c r="AH56" s="11">
        <f t="shared" si="15"/>
        <v>25.241399999999999</v>
      </c>
      <c r="AI56" s="11">
        <f t="shared" si="12"/>
        <v>2.5241400000000001</v>
      </c>
      <c r="AJ56" s="11">
        <f t="shared" si="19"/>
        <v>2.5241400000000001</v>
      </c>
    </row>
    <row r="57" spans="1:36" x14ac:dyDescent="0.25">
      <c r="A57" s="4" t="s">
        <v>945</v>
      </c>
      <c r="B57" s="4" t="s">
        <v>979</v>
      </c>
      <c r="C57" s="4" t="s">
        <v>998</v>
      </c>
      <c r="D57" s="4" t="s">
        <v>938</v>
      </c>
      <c r="E57" t="s">
        <v>359</v>
      </c>
      <c r="F57" t="s">
        <v>360</v>
      </c>
      <c r="G57" t="s">
        <v>361</v>
      </c>
      <c r="H57">
        <v>25</v>
      </c>
      <c r="I57">
        <v>10</v>
      </c>
      <c r="J57" t="s">
        <v>40</v>
      </c>
      <c r="K57" t="s">
        <v>18</v>
      </c>
      <c r="L57" t="s">
        <v>378</v>
      </c>
      <c r="M57" t="s">
        <v>363</v>
      </c>
      <c r="N57" t="s">
        <v>431</v>
      </c>
      <c r="R57" t="s">
        <v>187</v>
      </c>
      <c r="T57">
        <v>1</v>
      </c>
      <c r="W57">
        <v>1860</v>
      </c>
      <c r="X57" t="s">
        <v>184</v>
      </c>
      <c r="Z57" t="s">
        <v>401</v>
      </c>
      <c r="AA57" s="13">
        <v>42.64</v>
      </c>
      <c r="AB57">
        <v>4.51</v>
      </c>
      <c r="AC57">
        <v>0.74</v>
      </c>
      <c r="AD57" s="11">
        <f t="shared" si="13"/>
        <v>7.6922559999999995</v>
      </c>
      <c r="AE57" s="11">
        <f>_xlfn.RANK.AVG(Tableau8[[#This Row],[EE ( MJ/m²)]],AD57:AD1212)</f>
        <v>615</v>
      </c>
      <c r="AF57" s="11">
        <f t="shared" si="18"/>
        <v>0.76922559999999995</v>
      </c>
      <c r="AG57" s="11">
        <f t="shared" si="11"/>
        <v>1.2621439999999999</v>
      </c>
      <c r="AH57" s="11">
        <f t="shared" si="15"/>
        <v>1.2621439999999999</v>
      </c>
      <c r="AI57" s="11">
        <f t="shared" si="12"/>
        <v>0.1262144</v>
      </c>
      <c r="AJ57" s="11">
        <f t="shared" si="19"/>
        <v>0.1262144</v>
      </c>
    </row>
    <row r="58" spans="1:36" x14ac:dyDescent="0.25">
      <c r="A58" s="4" t="s">
        <v>945</v>
      </c>
      <c r="B58" s="4" t="s">
        <v>979</v>
      </c>
      <c r="C58" s="4" t="s">
        <v>998</v>
      </c>
      <c r="D58" s="4" t="s">
        <v>938</v>
      </c>
      <c r="E58" t="s">
        <v>359</v>
      </c>
      <c r="F58" t="s">
        <v>360</v>
      </c>
      <c r="G58" t="s">
        <v>361</v>
      </c>
      <c r="H58">
        <v>25</v>
      </c>
      <c r="I58">
        <v>10</v>
      </c>
      <c r="J58" t="s">
        <v>57</v>
      </c>
      <c r="K58" t="s">
        <v>18</v>
      </c>
      <c r="L58" t="s">
        <v>380</v>
      </c>
      <c r="M58" t="s">
        <v>363</v>
      </c>
      <c r="N58" t="s">
        <v>431</v>
      </c>
      <c r="R58" t="s">
        <v>346</v>
      </c>
      <c r="T58">
        <v>1</v>
      </c>
      <c r="W58">
        <v>1860</v>
      </c>
      <c r="X58" t="s">
        <v>184</v>
      </c>
      <c r="Z58" t="s">
        <v>402</v>
      </c>
      <c r="AA58" s="13">
        <v>34.11</v>
      </c>
      <c r="AB58">
        <v>4.51</v>
      </c>
      <c r="AC58">
        <v>0.74</v>
      </c>
      <c r="AD58" s="11">
        <f t="shared" si="13"/>
        <v>6.1534439999999995</v>
      </c>
      <c r="AE58" s="11">
        <f>_xlfn.RANK.AVG(Tableau8[[#This Row],[EE ( MJ/m²)]],AD58:AD1213)</f>
        <v>668</v>
      </c>
      <c r="AF58" s="11">
        <f t="shared" si="18"/>
        <v>0.6153443999999999</v>
      </c>
      <c r="AG58" s="11">
        <f t="shared" si="11"/>
        <v>1.0096559999999999</v>
      </c>
      <c r="AH58" s="11">
        <f t="shared" si="15"/>
        <v>1.0096559999999999</v>
      </c>
      <c r="AI58" s="11">
        <f t="shared" si="12"/>
        <v>0.10096559999999999</v>
      </c>
      <c r="AJ58" s="11">
        <f t="shared" si="19"/>
        <v>0.10096559999999999</v>
      </c>
    </row>
    <row r="59" spans="1:36" x14ac:dyDescent="0.25">
      <c r="A59" s="4" t="s">
        <v>945</v>
      </c>
      <c r="B59" s="4" t="s">
        <v>979</v>
      </c>
      <c r="C59" s="4" t="s">
        <v>998</v>
      </c>
      <c r="D59" s="4" t="s">
        <v>938</v>
      </c>
      <c r="E59" t="s">
        <v>359</v>
      </c>
      <c r="F59" t="s">
        <v>360</v>
      </c>
      <c r="G59" t="s">
        <v>361</v>
      </c>
      <c r="H59">
        <v>25</v>
      </c>
      <c r="I59">
        <v>10</v>
      </c>
      <c r="J59" t="s">
        <v>56</v>
      </c>
      <c r="K59" t="s">
        <v>386</v>
      </c>
      <c r="L59" t="s">
        <v>374</v>
      </c>
      <c r="M59" t="s">
        <v>436</v>
      </c>
      <c r="N59" t="s">
        <v>931</v>
      </c>
      <c r="P59">
        <f>0.3*0.15*0.025</f>
        <v>1.1249999999999999E-3</v>
      </c>
      <c r="Q59" t="s">
        <v>180</v>
      </c>
      <c r="R59" t="s">
        <v>175</v>
      </c>
      <c r="T59">
        <v>504</v>
      </c>
      <c r="U59" t="s">
        <v>175</v>
      </c>
      <c r="W59">
        <v>2000</v>
      </c>
      <c r="X59" t="s">
        <v>184</v>
      </c>
      <c r="Y59" t="s">
        <v>445</v>
      </c>
      <c r="AA59" s="13">
        <f>Tableau8[[#This Row],[density (kg/m2) or specific weight (kg/m2)]]*Tableau8[[#This Row],[nb of item used ]]*Tableau8[[#This Row],[volume or area]]</f>
        <v>1134</v>
      </c>
      <c r="AB59">
        <v>12</v>
      </c>
      <c r="AC59">
        <v>0.78</v>
      </c>
      <c r="AD59" s="11">
        <f t="shared" si="13"/>
        <v>544.32000000000005</v>
      </c>
      <c r="AE59" s="11">
        <f>_xlfn.RANK.AVG(Tableau8[[#This Row],[EE ( MJ/m²)]],AD59:AD1214)</f>
        <v>44</v>
      </c>
      <c r="AF59" s="11">
        <f t="shared" si="18"/>
        <v>54.432000000000002</v>
      </c>
      <c r="AG59" s="11">
        <f t="shared" si="11"/>
        <v>35.380800000000001</v>
      </c>
      <c r="AH59" s="11">
        <f t="shared" si="15"/>
        <v>35.380800000000001</v>
      </c>
      <c r="AI59" s="11">
        <f t="shared" si="12"/>
        <v>3.5380799999999999</v>
      </c>
      <c r="AJ59" s="11">
        <f t="shared" si="19"/>
        <v>3.5380799999999999</v>
      </c>
    </row>
    <row r="60" spans="1:36" x14ac:dyDescent="0.25">
      <c r="A60" s="4" t="s">
        <v>945</v>
      </c>
      <c r="B60" s="4" t="s">
        <v>979</v>
      </c>
      <c r="C60" s="4" t="s">
        <v>998</v>
      </c>
      <c r="D60" s="4" t="s">
        <v>938</v>
      </c>
      <c r="E60" t="s">
        <v>359</v>
      </c>
      <c r="F60" t="s">
        <v>360</v>
      </c>
      <c r="G60" t="s">
        <v>361</v>
      </c>
      <c r="H60">
        <v>25</v>
      </c>
      <c r="I60">
        <v>10</v>
      </c>
      <c r="J60" t="s">
        <v>40</v>
      </c>
      <c r="K60" t="s">
        <v>386</v>
      </c>
      <c r="L60" t="s">
        <v>369</v>
      </c>
      <c r="M60" t="s">
        <v>434</v>
      </c>
      <c r="N60" t="s">
        <v>435</v>
      </c>
      <c r="P60">
        <f>0.065*0.215*0.1025</f>
        <v>1.4324374999999999E-3</v>
      </c>
      <c r="Q60" t="s">
        <v>180</v>
      </c>
      <c r="R60" t="s">
        <v>187</v>
      </c>
      <c r="S60" t="s">
        <v>398</v>
      </c>
      <c r="T60">
        <v>7718</v>
      </c>
      <c r="U60" t="s">
        <v>175</v>
      </c>
      <c r="W60">
        <v>1920</v>
      </c>
      <c r="X60" t="s">
        <v>184</v>
      </c>
      <c r="Y60" t="s">
        <v>445</v>
      </c>
      <c r="AA60" s="13">
        <f>Tableau8[[#This Row],[density (kg/m2) or specific weight (kg/m2)]]*Tableau8[[#This Row],[nb of item used ]]*Tableau8[[#This Row],[volume or area]]</f>
        <v>21226.661039999999</v>
      </c>
      <c r="AB60">
        <v>3</v>
      </c>
      <c r="AC60">
        <v>0.24</v>
      </c>
      <c r="AD60" s="11">
        <f t="shared" si="13"/>
        <v>2547.1993247999999</v>
      </c>
      <c r="AE60" s="11">
        <f>_xlfn.RANK.AVG(Tableau8[[#This Row],[EE ( MJ/m²)]],AD60:AD1215)</f>
        <v>1</v>
      </c>
      <c r="AF60" s="11">
        <f t="shared" si="18"/>
        <v>254.71993247999998</v>
      </c>
      <c r="AG60" s="11">
        <f t="shared" si="11"/>
        <v>203.775945984</v>
      </c>
      <c r="AH60" s="11">
        <f t="shared" si="15"/>
        <v>203.775945984</v>
      </c>
      <c r="AI60" s="11">
        <f t="shared" si="12"/>
        <v>20.377594598400002</v>
      </c>
      <c r="AJ60" s="11">
        <f t="shared" si="19"/>
        <v>20.377594598400002</v>
      </c>
    </row>
    <row r="61" spans="1:36" x14ac:dyDescent="0.25">
      <c r="A61" s="4" t="s">
        <v>945</v>
      </c>
      <c r="B61" s="4" t="s">
        <v>979</v>
      </c>
      <c r="C61" s="4" t="s">
        <v>998</v>
      </c>
      <c r="D61" s="4" t="s">
        <v>938</v>
      </c>
      <c r="E61" t="s">
        <v>359</v>
      </c>
      <c r="F61" t="s">
        <v>360</v>
      </c>
      <c r="G61" t="s">
        <v>361</v>
      </c>
      <c r="H61">
        <v>25</v>
      </c>
      <c r="I61">
        <v>10</v>
      </c>
      <c r="J61" t="s">
        <v>57</v>
      </c>
      <c r="K61" t="s">
        <v>29</v>
      </c>
      <c r="L61" t="s">
        <v>366</v>
      </c>
      <c r="M61" t="s">
        <v>366</v>
      </c>
      <c r="N61" t="s">
        <v>433</v>
      </c>
      <c r="P61">
        <v>0.36811899999999997</v>
      </c>
      <c r="Q61" t="s">
        <v>180</v>
      </c>
      <c r="R61" t="s">
        <v>175</v>
      </c>
      <c r="T61">
        <v>1</v>
      </c>
      <c r="U61" t="s">
        <v>175</v>
      </c>
      <c r="W61">
        <v>2240</v>
      </c>
      <c r="X61" t="s">
        <v>184</v>
      </c>
      <c r="Y61" t="s">
        <v>445</v>
      </c>
      <c r="AA61" s="13">
        <f>Tableau8[[#This Row],[density (kg/m2) or specific weight (kg/m2)]]*Tableau8[[#This Row],[nb of item used ]]*Tableau8[[#This Row],[volume or area]]</f>
        <v>824.58655999999996</v>
      </c>
      <c r="AB61">
        <v>8.3000000000000004E-2</v>
      </c>
      <c r="AC61">
        <v>5.1999999999999998E-3</v>
      </c>
      <c r="AD61" s="11">
        <f t="shared" si="13"/>
        <v>2.7376273792000001</v>
      </c>
      <c r="AE61" s="11">
        <f>_xlfn.RANK.AVG(Tableau8[[#This Row],[EE ( MJ/m²)]],AD61:AD1216)</f>
        <v>776</v>
      </c>
      <c r="AF61" s="11">
        <f t="shared" si="18"/>
        <v>0.27376273792</v>
      </c>
      <c r="AG61" s="11">
        <f t="shared" si="11"/>
        <v>0.17151400447999998</v>
      </c>
      <c r="AH61" s="11">
        <f t="shared" si="15"/>
        <v>0.17151400447999998</v>
      </c>
      <c r="AI61" s="11">
        <f t="shared" si="12"/>
        <v>1.7151400447999999E-2</v>
      </c>
      <c r="AJ61" s="11">
        <f t="shared" si="19"/>
        <v>1.7151400447999999E-2</v>
      </c>
    </row>
    <row r="62" spans="1:36" x14ac:dyDescent="0.25">
      <c r="A62" s="4" t="s">
        <v>945</v>
      </c>
      <c r="B62" s="4" t="s">
        <v>979</v>
      </c>
      <c r="C62" s="4" t="s">
        <v>998</v>
      </c>
      <c r="D62" s="4" t="s">
        <v>938</v>
      </c>
      <c r="E62" t="s">
        <v>359</v>
      </c>
      <c r="F62" t="s">
        <v>360</v>
      </c>
      <c r="G62" t="s">
        <v>361</v>
      </c>
      <c r="H62">
        <v>25</v>
      </c>
      <c r="I62">
        <v>10</v>
      </c>
      <c r="J62" t="s">
        <v>57</v>
      </c>
      <c r="K62" t="s">
        <v>29</v>
      </c>
      <c r="L62" t="s">
        <v>366</v>
      </c>
      <c r="M62" t="s">
        <v>366</v>
      </c>
      <c r="N62" t="s">
        <v>433</v>
      </c>
      <c r="P62">
        <v>0.53802000000000005</v>
      </c>
      <c r="Q62" t="s">
        <v>180</v>
      </c>
      <c r="R62" t="s">
        <v>175</v>
      </c>
      <c r="T62">
        <v>1</v>
      </c>
      <c r="U62" t="s">
        <v>175</v>
      </c>
      <c r="W62">
        <v>2240</v>
      </c>
      <c r="X62" t="s">
        <v>184</v>
      </c>
      <c r="Y62" t="s">
        <v>445</v>
      </c>
      <c r="AA62" s="13">
        <f>Tableau8[[#This Row],[density (kg/m2) or specific weight (kg/m2)]]*Tableau8[[#This Row],[nb of item used ]]*Tableau8[[#This Row],[volume or area]]</f>
        <v>1205.1648</v>
      </c>
      <c r="AB62">
        <v>8.3000000000000004E-2</v>
      </c>
      <c r="AC62">
        <v>5.1999999999999998E-3</v>
      </c>
      <c r="AD62" s="11">
        <f t="shared" si="13"/>
        <v>4.0011471360000002</v>
      </c>
      <c r="AE62" s="11">
        <f>_xlfn.RANK.AVG(Tableau8[[#This Row],[EE ( MJ/m²)]],AD62:AD1217)</f>
        <v>731</v>
      </c>
      <c r="AF62" s="11">
        <f t="shared" si="18"/>
        <v>0.4001147136</v>
      </c>
      <c r="AG62" s="11">
        <f t="shared" si="11"/>
        <v>0.25067427840000001</v>
      </c>
      <c r="AH62" s="11">
        <f t="shared" si="15"/>
        <v>0.25067427840000001</v>
      </c>
      <c r="AI62" s="11">
        <f t="shared" si="12"/>
        <v>2.506742784E-2</v>
      </c>
      <c r="AJ62" s="11">
        <f t="shared" si="19"/>
        <v>2.506742784E-2</v>
      </c>
    </row>
    <row r="63" spans="1:36" x14ac:dyDescent="0.25">
      <c r="A63" s="4" t="s">
        <v>945</v>
      </c>
      <c r="B63" s="4" t="s">
        <v>979</v>
      </c>
      <c r="C63" s="4" t="s">
        <v>998</v>
      </c>
      <c r="D63" s="4" t="s">
        <v>938</v>
      </c>
      <c r="E63" t="s">
        <v>359</v>
      </c>
      <c r="F63" t="s">
        <v>360</v>
      </c>
      <c r="G63" t="s">
        <v>361</v>
      </c>
      <c r="H63">
        <v>25</v>
      </c>
      <c r="I63">
        <v>10</v>
      </c>
      <c r="J63" t="s">
        <v>40</v>
      </c>
      <c r="K63" t="s">
        <v>29</v>
      </c>
      <c r="L63" t="s">
        <v>379</v>
      </c>
      <c r="M63" t="s">
        <v>366</v>
      </c>
      <c r="N63" t="s">
        <v>433</v>
      </c>
      <c r="P63">
        <v>0.19821800000000001</v>
      </c>
      <c r="Q63" t="s">
        <v>180</v>
      </c>
      <c r="R63" t="s">
        <v>175</v>
      </c>
      <c r="T63">
        <v>1</v>
      </c>
      <c r="U63" t="s">
        <v>175</v>
      </c>
      <c r="W63">
        <v>2240</v>
      </c>
      <c r="X63" t="s">
        <v>184</v>
      </c>
      <c r="Y63" t="s">
        <v>445</v>
      </c>
      <c r="AA63" s="13">
        <f>Tableau8[[#This Row],[density (kg/m2) or specific weight (kg/m2)]]*Tableau8[[#This Row],[nb of item used ]]*Tableau8[[#This Row],[volume or area]]</f>
        <v>444.00832000000003</v>
      </c>
      <c r="AB63">
        <v>8.3000000000000004E-2</v>
      </c>
      <c r="AC63">
        <v>5.1999999999999998E-3</v>
      </c>
      <c r="AD63" s="11">
        <f t="shared" si="13"/>
        <v>1.4741076224000003</v>
      </c>
      <c r="AE63" s="11">
        <f>_xlfn.RANK.AVG(Tableau8[[#This Row],[EE ( MJ/m²)]],AD63:AD1218)</f>
        <v>854</v>
      </c>
      <c r="AF63" s="11">
        <f t="shared" si="18"/>
        <v>0.14741076224000002</v>
      </c>
      <c r="AG63" s="11">
        <f t="shared" si="11"/>
        <v>9.235373056E-2</v>
      </c>
      <c r="AH63" s="11">
        <f t="shared" si="15"/>
        <v>9.235373056E-2</v>
      </c>
      <c r="AI63" s="11">
        <f t="shared" si="12"/>
        <v>9.2353730559999996E-3</v>
      </c>
      <c r="AJ63" s="11">
        <f t="shared" si="19"/>
        <v>9.2353730559999996E-3</v>
      </c>
    </row>
    <row r="64" spans="1:36" s="20" customFormat="1" x14ac:dyDescent="0.25">
      <c r="A64" s="23" t="s">
        <v>944</v>
      </c>
      <c r="B64" s="23" t="s">
        <v>1242</v>
      </c>
      <c r="C64" s="23" t="s">
        <v>15</v>
      </c>
      <c r="D64" s="23" t="s">
        <v>1004</v>
      </c>
      <c r="E64" s="20" t="s">
        <v>1244</v>
      </c>
      <c r="F64" s="20" t="s">
        <v>360</v>
      </c>
      <c r="G64" s="20" t="s">
        <v>1020</v>
      </c>
      <c r="H64" s="20">
        <v>28</v>
      </c>
      <c r="I64" s="20">
        <v>10</v>
      </c>
      <c r="J64" s="20" t="s">
        <v>56</v>
      </c>
      <c r="K64" s="20" t="s">
        <v>15</v>
      </c>
      <c r="L64" s="20" t="s">
        <v>1028</v>
      </c>
      <c r="M64" s="20" t="s">
        <v>15</v>
      </c>
      <c r="N64" s="20" t="s">
        <v>15</v>
      </c>
      <c r="O64"/>
      <c r="P64" s="20">
        <v>0.2298</v>
      </c>
      <c r="Q64" s="20" t="s">
        <v>180</v>
      </c>
      <c r="R64" s="20" t="s">
        <v>176</v>
      </c>
      <c r="T64" s="20">
        <v>1</v>
      </c>
      <c r="U64" s="20" t="s">
        <v>1006</v>
      </c>
      <c r="W64" s="20">
        <v>510</v>
      </c>
      <c r="X64" s="20" t="s">
        <v>184</v>
      </c>
      <c r="AA64" s="24">
        <f>Tableau8[[#This Row],[nb of item used ]]*Tableau8[[#This Row],[density (kg/m2) or specific weight (kg/m2)]]*Tableau8[[#This Row],[volume or area]]</f>
        <v>117.19800000000001</v>
      </c>
      <c r="AB64" s="20">
        <f>10-4.4</f>
        <v>5.6</v>
      </c>
      <c r="AC64" s="20">
        <f>0.31+0.41</f>
        <v>0.72</v>
      </c>
      <c r="AD64" s="33">
        <f t="shared" si="13"/>
        <v>23.439600000000002</v>
      </c>
      <c r="AE64" s="33">
        <f>_xlfn.RANK.AVG(Tableau8[[#This Row],[EE ( MJ/m²)]],AD64:AD1219)</f>
        <v>402</v>
      </c>
      <c r="AF64" s="33">
        <f t="shared" si="18"/>
        <v>2.34396</v>
      </c>
      <c r="AG64" s="33">
        <f>(AC64-0.41)*AA64/H64</f>
        <v>1.2975492857142858</v>
      </c>
      <c r="AH64" s="33">
        <f t="shared" si="15"/>
        <v>3.0136628571428572</v>
      </c>
      <c r="AI64" s="33">
        <f>(AC64-0.41)*AA64/H64/I64</f>
        <v>0.12975492857142859</v>
      </c>
      <c r="AJ64" s="33">
        <f t="shared" si="19"/>
        <v>0.3013662857142857</v>
      </c>
    </row>
    <row r="65" spans="1:36" s="20" customFormat="1" x14ac:dyDescent="0.25">
      <c r="A65" s="23" t="s">
        <v>944</v>
      </c>
      <c r="B65" s="23" t="s">
        <v>1242</v>
      </c>
      <c r="C65" s="23" t="s">
        <v>15</v>
      </c>
      <c r="D65" s="23" t="s">
        <v>1004</v>
      </c>
      <c r="E65" s="20" t="s">
        <v>1244</v>
      </c>
      <c r="F65" s="20" t="s">
        <v>360</v>
      </c>
      <c r="G65" s="20" t="s">
        <v>1020</v>
      </c>
      <c r="H65" s="20">
        <v>28</v>
      </c>
      <c r="I65" s="20">
        <v>10</v>
      </c>
      <c r="J65" s="20" t="s">
        <v>40</v>
      </c>
      <c r="K65" s="20" t="s">
        <v>15</v>
      </c>
      <c r="L65" s="20" t="s">
        <v>1030</v>
      </c>
      <c r="M65" s="20" t="s">
        <v>15</v>
      </c>
      <c r="N65" s="20" t="s">
        <v>15</v>
      </c>
      <c r="O65" t="s">
        <v>1031</v>
      </c>
      <c r="P65" s="20">
        <v>9.4E-2</v>
      </c>
      <c r="Q65" s="20" t="s">
        <v>180</v>
      </c>
      <c r="T65" s="20">
        <v>1</v>
      </c>
      <c r="U65" s="20" t="s">
        <v>346</v>
      </c>
      <c r="W65" s="20">
        <v>510</v>
      </c>
      <c r="X65" s="20" t="s">
        <v>184</v>
      </c>
      <c r="AA65" s="24">
        <f>Tableau8[[#This Row],[nb of item used ]]*Tableau8[[#This Row],[density (kg/m2) or specific weight (kg/m2)]]*Tableau8[[#This Row],[volume or area]]</f>
        <v>47.94</v>
      </c>
      <c r="AB65" s="20">
        <f>10-4.4</f>
        <v>5.6</v>
      </c>
      <c r="AC65" s="20">
        <f>0.31+0.41</f>
        <v>0.72</v>
      </c>
      <c r="AD65" s="33">
        <f t="shared" si="13"/>
        <v>9.5879999999999992</v>
      </c>
      <c r="AE65" s="33">
        <f>_xlfn.RANK.AVG(Tableau8[[#This Row],[EE ( MJ/m²)]],AD65:AD1220)</f>
        <v>570</v>
      </c>
      <c r="AF65" s="33">
        <f t="shared" si="18"/>
        <v>0.95879999999999987</v>
      </c>
      <c r="AG65" s="33">
        <f>(AC65-0.41)*AA65/H65</f>
        <v>0.53076428571428569</v>
      </c>
      <c r="AH65" s="33">
        <f t="shared" si="15"/>
        <v>1.2327428571428569</v>
      </c>
      <c r="AI65" s="33">
        <f>(AC65-0.41)*AA65/H65/I65</f>
        <v>5.3076428571428566E-2</v>
      </c>
      <c r="AJ65" s="33">
        <f t="shared" si="19"/>
        <v>0.1232742857142857</v>
      </c>
    </row>
    <row r="66" spans="1:36" s="20" customFormat="1" x14ac:dyDescent="0.25">
      <c r="A66" s="23" t="s">
        <v>944</v>
      </c>
      <c r="B66" s="23" t="s">
        <v>1242</v>
      </c>
      <c r="C66" s="23" t="s">
        <v>12</v>
      </c>
      <c r="D66" s="23" t="s">
        <v>1004</v>
      </c>
      <c r="E66" s="20" t="s">
        <v>1244</v>
      </c>
      <c r="F66" s="20" t="s">
        <v>360</v>
      </c>
      <c r="G66" s="20" t="s">
        <v>1020</v>
      </c>
      <c r="H66" s="20">
        <v>28</v>
      </c>
      <c r="I66" s="20">
        <v>10</v>
      </c>
      <c r="J66" s="20" t="s">
        <v>44</v>
      </c>
      <c r="K66" t="s">
        <v>17</v>
      </c>
      <c r="L66" s="20" t="s">
        <v>462</v>
      </c>
      <c r="M66" s="20" t="s">
        <v>12</v>
      </c>
      <c r="N66" s="20" t="s">
        <v>95</v>
      </c>
      <c r="O66"/>
      <c r="R66" s="20" t="s">
        <v>176</v>
      </c>
      <c r="T66" s="20">
        <v>1</v>
      </c>
      <c r="U66" s="20" t="s">
        <v>1006</v>
      </c>
      <c r="W66" s="20">
        <v>7800</v>
      </c>
      <c r="X66" s="20" t="s">
        <v>184</v>
      </c>
      <c r="AA66" s="24">
        <v>12.8</v>
      </c>
      <c r="AB66" s="20">
        <v>25.3</v>
      </c>
      <c r="AC66" s="20">
        <v>1.95</v>
      </c>
      <c r="AD66" s="33">
        <f t="shared" ref="AD66:AD97" si="20">AB66*AA66/H66</f>
        <v>11.565714285714288</v>
      </c>
      <c r="AE66" s="33">
        <f>_xlfn.RANK.AVG(Tableau8[[#This Row],[EE ( MJ/m²)]],AD66:AD1221)</f>
        <v>537</v>
      </c>
      <c r="AF66" s="33">
        <f t="shared" si="18"/>
        <v>1.1565714285714288</v>
      </c>
      <c r="AG66" s="11">
        <f t="shared" ref="AG66:AG71" si="21">(AC66)*AA66/H66</f>
        <v>0.89142857142857146</v>
      </c>
      <c r="AH66" s="33">
        <f t="shared" ref="AH66:AH97" si="22">AC66*AA66/H66</f>
        <v>0.89142857142857146</v>
      </c>
      <c r="AI66" s="33">
        <f t="shared" ref="AI66:AI71" si="23">(AC66)*AA66/H66/I66</f>
        <v>8.9142857142857149E-2</v>
      </c>
      <c r="AJ66" s="33">
        <f t="shared" si="19"/>
        <v>8.9142857142857149E-2</v>
      </c>
    </row>
    <row r="67" spans="1:36" s="20" customFormat="1" x14ac:dyDescent="0.25">
      <c r="A67" s="23" t="s">
        <v>944</v>
      </c>
      <c r="B67" s="23" t="s">
        <v>1242</v>
      </c>
      <c r="C67" s="23" t="s">
        <v>364</v>
      </c>
      <c r="D67" s="23" t="s">
        <v>1004</v>
      </c>
      <c r="E67" s="20" t="s">
        <v>1244</v>
      </c>
      <c r="F67" s="20" t="s">
        <v>360</v>
      </c>
      <c r="G67" s="20" t="s">
        <v>1020</v>
      </c>
      <c r="H67" s="20">
        <v>28</v>
      </c>
      <c r="I67" s="20">
        <v>10</v>
      </c>
      <c r="J67" s="20" t="s">
        <v>1023</v>
      </c>
      <c r="K67" t="s">
        <v>29</v>
      </c>
      <c r="L67" s="20" t="s">
        <v>1021</v>
      </c>
      <c r="M67" s="20" t="s">
        <v>364</v>
      </c>
      <c r="N67" s="20" t="s">
        <v>432</v>
      </c>
      <c r="O67"/>
      <c r="P67" s="20">
        <v>3</v>
      </c>
      <c r="Q67" s="20" t="s">
        <v>180</v>
      </c>
      <c r="R67" s="20" t="s">
        <v>176</v>
      </c>
      <c r="T67" s="20">
        <v>1</v>
      </c>
      <c r="U67" s="20" t="s">
        <v>1006</v>
      </c>
      <c r="W67" s="20">
        <v>2240</v>
      </c>
      <c r="X67" s="20" t="s">
        <v>184</v>
      </c>
      <c r="AA67" s="24">
        <f>Tableau8[[#This Row],[density (kg/m2) or specific weight (kg/m2)]]*Tableau8[[#This Row],[nb of item used ]]*Tableau8[[#This Row],[volume or area]]</f>
        <v>6720</v>
      </c>
      <c r="AB67" s="20">
        <v>8.0999999999999996E-3</v>
      </c>
      <c r="AC67" s="20">
        <v>5.1000000000000004E-3</v>
      </c>
      <c r="AD67" s="33">
        <f t="shared" si="20"/>
        <v>1.9439999999999997</v>
      </c>
      <c r="AE67" s="33">
        <f>_xlfn.RANK.AVG(Tableau8[[#This Row],[EE ( MJ/m²)]],AD67:AD1222)</f>
        <v>823</v>
      </c>
      <c r="AF67" s="33">
        <f t="shared" si="18"/>
        <v>0.19439999999999996</v>
      </c>
      <c r="AG67" s="11">
        <f t="shared" si="21"/>
        <v>1.2240000000000002</v>
      </c>
      <c r="AH67" s="33">
        <f t="shared" si="22"/>
        <v>1.2240000000000002</v>
      </c>
      <c r="AI67" s="33">
        <f t="shared" si="23"/>
        <v>0.12240000000000002</v>
      </c>
      <c r="AJ67" s="33">
        <f t="shared" si="19"/>
        <v>0.12240000000000002</v>
      </c>
    </row>
    <row r="68" spans="1:36" s="20" customFormat="1" x14ac:dyDescent="0.25">
      <c r="A68" s="23" t="s">
        <v>944</v>
      </c>
      <c r="B68" s="23" t="s">
        <v>1242</v>
      </c>
      <c r="C68" s="23" t="s">
        <v>14</v>
      </c>
      <c r="D68" s="23" t="s">
        <v>1004</v>
      </c>
      <c r="E68" s="20" t="s">
        <v>1244</v>
      </c>
      <c r="F68" s="20" t="s">
        <v>360</v>
      </c>
      <c r="G68" s="20" t="s">
        <v>1020</v>
      </c>
      <c r="H68" s="20">
        <v>28</v>
      </c>
      <c r="I68" s="20">
        <v>10</v>
      </c>
      <c r="J68" s="20" t="s">
        <v>57</v>
      </c>
      <c r="K68" t="s">
        <v>14</v>
      </c>
      <c r="L68" s="20" t="s">
        <v>208</v>
      </c>
      <c r="M68" s="20" t="s">
        <v>14</v>
      </c>
      <c r="N68" s="20" t="s">
        <v>111</v>
      </c>
      <c r="O68" t="s">
        <v>346</v>
      </c>
      <c r="P68" s="20">
        <f>28*0.002</f>
        <v>5.6000000000000001E-2</v>
      </c>
      <c r="Q68" s="20" t="s">
        <v>180</v>
      </c>
      <c r="R68" s="20" t="s">
        <v>176</v>
      </c>
      <c r="S68" s="20" t="s">
        <v>1029</v>
      </c>
      <c r="T68" s="20">
        <v>1</v>
      </c>
      <c r="U68" s="20" t="s">
        <v>1006</v>
      </c>
      <c r="W68" s="25">
        <v>1380</v>
      </c>
      <c r="X68" s="20" t="s">
        <v>184</v>
      </c>
      <c r="AA68" s="24">
        <f>W68*T68*P68</f>
        <v>77.28</v>
      </c>
      <c r="AB68" s="20">
        <v>35.6</v>
      </c>
      <c r="AC68" s="20">
        <v>3.31</v>
      </c>
      <c r="AD68" s="33">
        <f t="shared" si="20"/>
        <v>98.256</v>
      </c>
      <c r="AE68" s="33">
        <f>_xlfn.RANK.AVG(Tableau8[[#This Row],[EE ( MJ/m²)]],AD68:AD1223)</f>
        <v>178</v>
      </c>
      <c r="AF68" s="33">
        <f t="shared" si="18"/>
        <v>9.8255999999999997</v>
      </c>
      <c r="AG68" s="11">
        <f t="shared" si="21"/>
        <v>9.1356000000000002</v>
      </c>
      <c r="AH68" s="33">
        <f t="shared" si="22"/>
        <v>9.1356000000000002</v>
      </c>
      <c r="AI68" s="33">
        <f t="shared" si="23"/>
        <v>0.91356000000000004</v>
      </c>
      <c r="AJ68" s="33">
        <f t="shared" si="19"/>
        <v>0.91356000000000004</v>
      </c>
    </row>
    <row r="69" spans="1:36" s="20" customFormat="1" x14ac:dyDescent="0.25">
      <c r="A69" s="23" t="s">
        <v>944</v>
      </c>
      <c r="B69" s="23" t="s">
        <v>1242</v>
      </c>
      <c r="C69" s="23" t="s">
        <v>12</v>
      </c>
      <c r="D69" s="23" t="s">
        <v>1004</v>
      </c>
      <c r="E69" s="20" t="s">
        <v>1244</v>
      </c>
      <c r="F69" s="20" t="s">
        <v>360</v>
      </c>
      <c r="G69" s="20" t="s">
        <v>1020</v>
      </c>
      <c r="H69" s="20">
        <v>28</v>
      </c>
      <c r="I69" s="20">
        <v>10</v>
      </c>
      <c r="J69" s="20" t="s">
        <v>56</v>
      </c>
      <c r="K69" t="s">
        <v>17</v>
      </c>
      <c r="L69" s="20" t="s">
        <v>628</v>
      </c>
      <c r="M69" s="20" t="s">
        <v>63</v>
      </c>
      <c r="N69" s="20" t="s">
        <v>12</v>
      </c>
      <c r="O69"/>
      <c r="P69" s="20">
        <f>40*0.003</f>
        <v>0.12</v>
      </c>
      <c r="Q69" s="20" t="s">
        <v>180</v>
      </c>
      <c r="R69" s="20" t="s">
        <v>176</v>
      </c>
      <c r="S69" s="20" t="s">
        <v>1027</v>
      </c>
      <c r="T69" s="20">
        <v>1</v>
      </c>
      <c r="U69" s="20" t="s">
        <v>1006</v>
      </c>
      <c r="W69" s="22">
        <v>7800</v>
      </c>
      <c r="X69" s="20" t="s">
        <v>184</v>
      </c>
      <c r="AA69" s="24">
        <f>Tableau8[[#This Row],[density (kg/m2) or specific weight (kg/m2)]]*Tableau8[[#This Row],[volume or area]]</f>
        <v>936</v>
      </c>
      <c r="AB69" s="20">
        <v>25.3</v>
      </c>
      <c r="AC69" s="20">
        <v>1.95</v>
      </c>
      <c r="AD69" s="33">
        <f t="shared" si="20"/>
        <v>845.74285714285713</v>
      </c>
      <c r="AE69" s="33">
        <f>_xlfn.RANK.AVG(Tableau8[[#This Row],[EE ( MJ/m²)]],AD69:AD1224)</f>
        <v>18</v>
      </c>
      <c r="AF69" s="33">
        <f t="shared" si="18"/>
        <v>84.574285714285708</v>
      </c>
      <c r="AG69" s="11">
        <f t="shared" si="21"/>
        <v>65.185714285714283</v>
      </c>
      <c r="AH69" s="33">
        <f t="shared" si="22"/>
        <v>65.185714285714283</v>
      </c>
      <c r="AI69" s="33">
        <f t="shared" si="23"/>
        <v>6.5185714285714287</v>
      </c>
      <c r="AJ69" s="33">
        <f t="shared" si="19"/>
        <v>6.5185714285714287</v>
      </c>
    </row>
    <row r="70" spans="1:36" s="20" customFormat="1" x14ac:dyDescent="0.25">
      <c r="A70" s="23" t="s">
        <v>944</v>
      </c>
      <c r="B70" s="23" t="s">
        <v>1242</v>
      </c>
      <c r="C70" s="23" t="s">
        <v>1026</v>
      </c>
      <c r="D70" s="23" t="s">
        <v>1004</v>
      </c>
      <c r="E70" s="20" t="s">
        <v>1244</v>
      </c>
      <c r="F70" s="20" t="s">
        <v>360</v>
      </c>
      <c r="G70" s="20" t="s">
        <v>1020</v>
      </c>
      <c r="H70" s="20">
        <v>28</v>
      </c>
      <c r="I70" s="20">
        <v>10</v>
      </c>
      <c r="J70" s="20" t="s">
        <v>1023</v>
      </c>
      <c r="K70" t="s">
        <v>18</v>
      </c>
      <c r="L70" s="20" t="s">
        <v>1024</v>
      </c>
      <c r="M70" s="20" t="s">
        <v>18</v>
      </c>
      <c r="N70" s="20" t="s">
        <v>414</v>
      </c>
      <c r="O70" t="s">
        <v>1025</v>
      </c>
      <c r="P70" s="20">
        <v>3</v>
      </c>
      <c r="Q70" s="20" t="s">
        <v>180</v>
      </c>
      <c r="R70" s="20" t="s">
        <v>346</v>
      </c>
      <c r="T70" s="20">
        <v>1</v>
      </c>
      <c r="U70" s="20" t="s">
        <v>1006</v>
      </c>
      <c r="W70" s="20">
        <v>2400</v>
      </c>
      <c r="X70" s="20" t="s">
        <v>184</v>
      </c>
      <c r="AA70" s="24">
        <f>Tableau8[[#This Row],[density (kg/m2) or specific weight (kg/m2)]]*Tableau8[[#This Row],[nb of item used ]]*Tableau8[[#This Row],[volume or area]]</f>
        <v>7200</v>
      </c>
      <c r="AB70" s="20">
        <v>0.72</v>
      </c>
      <c r="AC70" s="20">
        <v>0.88</v>
      </c>
      <c r="AD70" s="33">
        <f t="shared" si="20"/>
        <v>185.14285714285714</v>
      </c>
      <c r="AE70" s="33">
        <f>_xlfn.RANK.AVG(Tableau8[[#This Row],[EE ( MJ/m²)]],AD70:AD1225)</f>
        <v>105</v>
      </c>
      <c r="AF70" s="33">
        <f t="shared" si="18"/>
        <v>18.514285714285712</v>
      </c>
      <c r="AG70" s="11">
        <f t="shared" si="21"/>
        <v>226.28571428571428</v>
      </c>
      <c r="AH70" s="33">
        <f t="shared" si="22"/>
        <v>226.28571428571428</v>
      </c>
      <c r="AI70" s="33">
        <f t="shared" si="23"/>
        <v>22.628571428571426</v>
      </c>
      <c r="AJ70" s="33">
        <f t="shared" si="19"/>
        <v>22.628571428571426</v>
      </c>
    </row>
    <row r="71" spans="1:36" s="20" customFormat="1" x14ac:dyDescent="0.25">
      <c r="A71" s="23" t="s">
        <v>944</v>
      </c>
      <c r="B71" s="23" t="s">
        <v>1242</v>
      </c>
      <c r="C71" s="23" t="s">
        <v>367</v>
      </c>
      <c r="D71" s="23" t="s">
        <v>1004</v>
      </c>
      <c r="E71" s="20" t="s">
        <v>1244</v>
      </c>
      <c r="F71" s="20" t="s">
        <v>360</v>
      </c>
      <c r="G71" s="20" t="s">
        <v>1020</v>
      </c>
      <c r="H71" s="20">
        <v>28</v>
      </c>
      <c r="I71" s="20">
        <v>10</v>
      </c>
      <c r="J71" s="20" t="s">
        <v>1023</v>
      </c>
      <c r="K71" t="s">
        <v>18</v>
      </c>
      <c r="L71" s="20" t="s">
        <v>13</v>
      </c>
      <c r="M71" s="20" t="s">
        <v>363</v>
      </c>
      <c r="N71" s="20" t="s">
        <v>431</v>
      </c>
      <c r="O71"/>
      <c r="P71" s="20">
        <v>600</v>
      </c>
      <c r="Q71" s="20" t="s">
        <v>1017</v>
      </c>
      <c r="R71" s="20" t="s">
        <v>176</v>
      </c>
      <c r="T71" s="20">
        <v>1</v>
      </c>
      <c r="U71" s="20" t="s">
        <v>1006</v>
      </c>
      <c r="W71" s="20">
        <v>1860</v>
      </c>
      <c r="X71" s="20" t="s">
        <v>184</v>
      </c>
      <c r="AA71" s="24">
        <v>600</v>
      </c>
      <c r="AB71" s="20">
        <v>4.51</v>
      </c>
      <c r="AC71" s="20">
        <v>0.74</v>
      </c>
      <c r="AD71" s="33">
        <f t="shared" si="20"/>
        <v>96.642857142857139</v>
      </c>
      <c r="AE71" s="33">
        <f>_xlfn.RANK.AVG(Tableau8[[#This Row],[EE ( MJ/m²)]],AD71:AD1226)</f>
        <v>176</v>
      </c>
      <c r="AF71" s="33">
        <f t="shared" si="18"/>
        <v>9.6642857142857146</v>
      </c>
      <c r="AG71" s="11">
        <f t="shared" si="21"/>
        <v>15.857142857142858</v>
      </c>
      <c r="AH71" s="33">
        <f t="shared" si="22"/>
        <v>15.857142857142858</v>
      </c>
      <c r="AI71" s="33">
        <f t="shared" si="23"/>
        <v>1.5857142857142859</v>
      </c>
      <c r="AJ71" s="33">
        <f t="shared" si="19"/>
        <v>1.5857142857142859</v>
      </c>
    </row>
    <row r="72" spans="1:36" x14ac:dyDescent="0.25">
      <c r="A72" s="4" t="s">
        <v>944</v>
      </c>
      <c r="B72" s="4" t="s">
        <v>1022</v>
      </c>
      <c r="C72" s="4" t="s">
        <v>15</v>
      </c>
      <c r="D72" s="4" t="s">
        <v>1004</v>
      </c>
      <c r="E72" t="s">
        <v>1019</v>
      </c>
      <c r="F72" t="s">
        <v>360</v>
      </c>
      <c r="G72" t="s">
        <v>1032</v>
      </c>
      <c r="H72">
        <v>36</v>
      </c>
      <c r="I72">
        <v>10</v>
      </c>
      <c r="J72" t="s">
        <v>56</v>
      </c>
      <c r="K72" t="s">
        <v>15</v>
      </c>
      <c r="L72" t="s">
        <v>1028</v>
      </c>
      <c r="M72" t="s">
        <v>15</v>
      </c>
      <c r="N72" t="s">
        <v>15</v>
      </c>
      <c r="P72">
        <v>0.16500000000000001</v>
      </c>
      <c r="Q72" t="s">
        <v>180</v>
      </c>
      <c r="R72" t="s">
        <v>176</v>
      </c>
      <c r="T72">
        <v>1</v>
      </c>
      <c r="U72" t="s">
        <v>1006</v>
      </c>
      <c r="W72">
        <v>510</v>
      </c>
      <c r="X72" t="s">
        <v>184</v>
      </c>
      <c r="AA72" s="13">
        <f>Tableau8[[#This Row],[nb of item used ]]*Tableau8[[#This Row],[density (kg/m2) or specific weight (kg/m2)]]*Tableau8[[#This Row],[volume or area]]</f>
        <v>84.15</v>
      </c>
      <c r="AB72">
        <f>10-4.4</f>
        <v>5.6</v>
      </c>
      <c r="AC72">
        <f>0.31+0.41</f>
        <v>0.72</v>
      </c>
      <c r="AD72" s="11">
        <f t="shared" si="20"/>
        <v>13.09</v>
      </c>
      <c r="AE72" s="11">
        <f>_xlfn.RANK.AVG(Tableau8[[#This Row],[EE ( MJ/m²)]],AD72:AD1227)</f>
        <v>513.5</v>
      </c>
      <c r="AF72" s="11">
        <f t="shared" si="18"/>
        <v>1.3089999999999999</v>
      </c>
      <c r="AG72" s="11">
        <f>(AC72-0.41)*AA72/H72</f>
        <v>0.72462500000000007</v>
      </c>
      <c r="AH72" s="11">
        <f t="shared" si="22"/>
        <v>1.6830000000000001</v>
      </c>
      <c r="AI72" s="11">
        <f>(AC72-0.41)*AA72/H72/I72</f>
        <v>7.2462500000000013E-2</v>
      </c>
      <c r="AJ72" s="11">
        <f t="shared" si="19"/>
        <v>0.16830000000000001</v>
      </c>
    </row>
    <row r="73" spans="1:36" x14ac:dyDescent="0.25">
      <c r="A73" s="4" t="s">
        <v>944</v>
      </c>
      <c r="B73" s="4" t="s">
        <v>1022</v>
      </c>
      <c r="C73" s="4" t="s">
        <v>12</v>
      </c>
      <c r="D73" s="4" t="s">
        <v>1004</v>
      </c>
      <c r="E73" t="s">
        <v>1019</v>
      </c>
      <c r="F73" t="s">
        <v>360</v>
      </c>
      <c r="G73" t="s">
        <v>1032</v>
      </c>
      <c r="H73">
        <v>36</v>
      </c>
      <c r="I73">
        <v>10</v>
      </c>
      <c r="J73" t="s">
        <v>40</v>
      </c>
      <c r="K73" t="s">
        <v>17</v>
      </c>
      <c r="L73" t="s">
        <v>628</v>
      </c>
      <c r="M73" t="s">
        <v>12</v>
      </c>
      <c r="N73" t="s">
        <v>12</v>
      </c>
      <c r="O73" t="s">
        <v>1035</v>
      </c>
      <c r="P73">
        <f>0.0063+0.0014</f>
        <v>7.7000000000000002E-3</v>
      </c>
      <c r="Q73" t="s">
        <v>180</v>
      </c>
      <c r="R73" t="s">
        <v>176</v>
      </c>
      <c r="T73">
        <v>1</v>
      </c>
      <c r="U73" t="s">
        <v>1006</v>
      </c>
      <c r="W73">
        <v>7800</v>
      </c>
      <c r="X73" t="s">
        <v>184</v>
      </c>
      <c r="AA73" s="13">
        <f>Tableau8[[#This Row],[density (kg/m2) or specific weight (kg/m2)]]*Tableau8[[#This Row],[volume or area]]</f>
        <v>60.06</v>
      </c>
      <c r="AB73">
        <v>25.3</v>
      </c>
      <c r="AC73">
        <v>1.95</v>
      </c>
      <c r="AD73" s="11">
        <f t="shared" si="20"/>
        <v>42.208833333333331</v>
      </c>
      <c r="AE73" s="11">
        <f>_xlfn.RANK.AVG(Tableau8[[#This Row],[EE ( MJ/m²)]],AD73:AD1228)</f>
        <v>289</v>
      </c>
      <c r="AF73" s="11">
        <f t="shared" si="18"/>
        <v>4.2208833333333331</v>
      </c>
      <c r="AG73" s="11">
        <f>(AC73)*AA73/H73</f>
        <v>3.25325</v>
      </c>
      <c r="AH73" s="11">
        <f t="shared" si="22"/>
        <v>3.25325</v>
      </c>
      <c r="AI73" s="33">
        <f>(AC73)*AA73/H73/I73</f>
        <v>0.32532499999999998</v>
      </c>
      <c r="AJ73" s="11">
        <f t="shared" si="19"/>
        <v>0.32532499999999998</v>
      </c>
    </row>
    <row r="74" spans="1:36" x14ac:dyDescent="0.25">
      <c r="A74" s="4" t="s">
        <v>944</v>
      </c>
      <c r="B74" s="4" t="s">
        <v>1022</v>
      </c>
      <c r="C74" s="4" t="s">
        <v>12</v>
      </c>
      <c r="D74" s="4" t="s">
        <v>1004</v>
      </c>
      <c r="E74" t="s">
        <v>1019</v>
      </c>
      <c r="F74" t="s">
        <v>360</v>
      </c>
      <c r="G74" t="s">
        <v>1032</v>
      </c>
      <c r="H74">
        <v>36</v>
      </c>
      <c r="I74">
        <v>10</v>
      </c>
      <c r="J74" t="s">
        <v>44</v>
      </c>
      <c r="K74" t="s">
        <v>17</v>
      </c>
      <c r="L74" t="s">
        <v>340</v>
      </c>
      <c r="M74" t="s">
        <v>12</v>
      </c>
      <c r="N74" t="s">
        <v>12</v>
      </c>
      <c r="R74" t="s">
        <v>187</v>
      </c>
      <c r="T74">
        <v>1</v>
      </c>
      <c r="U74" t="s">
        <v>346</v>
      </c>
      <c r="W74">
        <v>7800</v>
      </c>
      <c r="X74" t="s">
        <v>184</v>
      </c>
      <c r="AA74" s="13">
        <v>10</v>
      </c>
      <c r="AB74">
        <v>25.3</v>
      </c>
      <c r="AC74">
        <v>1.95</v>
      </c>
      <c r="AD74" s="11">
        <f t="shared" si="20"/>
        <v>7.0277777777777777</v>
      </c>
      <c r="AE74" s="11">
        <f>_xlfn.RANK.AVG(Tableau8[[#This Row],[EE ( MJ/m²)]],AD74:AD1229)</f>
        <v>623</v>
      </c>
      <c r="AF74" s="11">
        <f t="shared" si="18"/>
        <v>0.70277777777777772</v>
      </c>
      <c r="AG74" s="11">
        <f>(AC74)*AA74/H74</f>
        <v>0.54166666666666663</v>
      </c>
      <c r="AH74" s="11">
        <f t="shared" si="22"/>
        <v>0.54166666666666663</v>
      </c>
      <c r="AI74" s="33">
        <f>(AC74)*AA74/H74/I74</f>
        <v>5.4166666666666662E-2</v>
      </c>
      <c r="AJ74" s="11">
        <f t="shared" si="19"/>
        <v>5.4166666666666662E-2</v>
      </c>
    </row>
    <row r="75" spans="1:36" x14ac:dyDescent="0.25">
      <c r="A75" s="4" t="s">
        <v>944</v>
      </c>
      <c r="B75" s="4" t="s">
        <v>1022</v>
      </c>
      <c r="C75" s="4" t="s">
        <v>12</v>
      </c>
      <c r="D75" s="4" t="s">
        <v>1004</v>
      </c>
      <c r="E75" t="s">
        <v>1019</v>
      </c>
      <c r="F75" t="s">
        <v>360</v>
      </c>
      <c r="G75" t="s">
        <v>1032</v>
      </c>
      <c r="H75">
        <v>36</v>
      </c>
      <c r="I75">
        <v>10</v>
      </c>
      <c r="J75" t="s">
        <v>56</v>
      </c>
      <c r="K75" t="s">
        <v>17</v>
      </c>
      <c r="L75" t="s">
        <v>628</v>
      </c>
      <c r="M75" t="s">
        <v>325</v>
      </c>
      <c r="N75" t="s">
        <v>12</v>
      </c>
      <c r="O75" t="s">
        <v>1034</v>
      </c>
      <c r="P75">
        <f>36*0.003</f>
        <v>0.108</v>
      </c>
      <c r="Q75" t="s">
        <v>180</v>
      </c>
      <c r="R75" t="s">
        <v>176</v>
      </c>
      <c r="T75">
        <v>1</v>
      </c>
      <c r="U75" t="s">
        <v>1006</v>
      </c>
      <c r="W75">
        <v>7800</v>
      </c>
      <c r="X75" t="s">
        <v>184</v>
      </c>
      <c r="AA75" s="13">
        <f>Tableau8[[#This Row],[density (kg/m2) or specific weight (kg/m2)]]*Tableau8[[#This Row],[volume or area]]</f>
        <v>842.4</v>
      </c>
      <c r="AB75">
        <v>25.3</v>
      </c>
      <c r="AC75">
        <v>1.95</v>
      </c>
      <c r="AD75" s="11">
        <f t="shared" si="20"/>
        <v>592.02</v>
      </c>
      <c r="AE75" s="11">
        <f>_xlfn.RANK.AVG(Tableau8[[#This Row],[EE ( MJ/m²)]],AD75:AD1230)</f>
        <v>38</v>
      </c>
      <c r="AF75" s="11">
        <f t="shared" si="18"/>
        <v>59.201999999999998</v>
      </c>
      <c r="AG75" s="11">
        <f>(AC75)*AA75/H75</f>
        <v>45.629999999999995</v>
      </c>
      <c r="AH75" s="11">
        <f t="shared" si="22"/>
        <v>45.629999999999995</v>
      </c>
      <c r="AI75" s="33">
        <f>(AC75)*AA75/H75/I75</f>
        <v>4.5629999999999997</v>
      </c>
      <c r="AJ75" s="11">
        <f t="shared" si="19"/>
        <v>4.5629999999999997</v>
      </c>
    </row>
    <row r="76" spans="1:36" x14ac:dyDescent="0.25">
      <c r="A76" s="4" t="s">
        <v>944</v>
      </c>
      <c r="B76" s="4" t="s">
        <v>1022</v>
      </c>
      <c r="C76" s="4" t="s">
        <v>998</v>
      </c>
      <c r="D76" s="4" t="s">
        <v>1004</v>
      </c>
      <c r="E76" t="s">
        <v>1019</v>
      </c>
      <c r="F76" t="s">
        <v>360</v>
      </c>
      <c r="G76" t="s">
        <v>1032</v>
      </c>
      <c r="H76">
        <v>36</v>
      </c>
      <c r="I76">
        <v>10</v>
      </c>
      <c r="J76" t="s">
        <v>1023</v>
      </c>
      <c r="K76" t="s">
        <v>386</v>
      </c>
      <c r="L76" t="s">
        <v>1033</v>
      </c>
      <c r="M76" t="s">
        <v>435</v>
      </c>
      <c r="N76" t="s">
        <v>435</v>
      </c>
      <c r="P76">
        <v>7.5</v>
      </c>
      <c r="Q76" t="s">
        <v>180</v>
      </c>
      <c r="R76" t="s">
        <v>176</v>
      </c>
      <c r="T76">
        <v>1</v>
      </c>
      <c r="U76" t="s">
        <v>1006</v>
      </c>
      <c r="W76">
        <v>1920</v>
      </c>
      <c r="X76" t="s">
        <v>184</v>
      </c>
      <c r="AA76" s="13">
        <f>Tableau8[[#This Row],[density (kg/m2) or specific weight (kg/m2)]]*Tableau8[[#This Row],[nb of item used ]]*Tableau8[[#This Row],[volume or area]]</f>
        <v>14400</v>
      </c>
      <c r="AB76">
        <v>3</v>
      </c>
      <c r="AC76">
        <v>0.24</v>
      </c>
      <c r="AD76" s="11">
        <f t="shared" si="20"/>
        <v>1200</v>
      </c>
      <c r="AE76" s="11">
        <f>_xlfn.RANK.AVG(Tableau8[[#This Row],[EE ( MJ/m²)]],AD76:AD1231)</f>
        <v>7</v>
      </c>
      <c r="AF76" s="11">
        <f t="shared" si="18"/>
        <v>120</v>
      </c>
      <c r="AG76" s="11">
        <f>(AC76)*AA76/H76</f>
        <v>96</v>
      </c>
      <c r="AH76" s="11">
        <f t="shared" si="22"/>
        <v>96</v>
      </c>
      <c r="AI76" s="33">
        <f>(AC76)*AA76/H76/I76</f>
        <v>9.6</v>
      </c>
      <c r="AJ76" s="11">
        <f t="shared" si="19"/>
        <v>9.6</v>
      </c>
    </row>
    <row r="77" spans="1:36" x14ac:dyDescent="0.25">
      <c r="A77" s="4" t="s">
        <v>944</v>
      </c>
      <c r="B77" s="4" t="s">
        <v>1051</v>
      </c>
      <c r="C77" t="s">
        <v>15</v>
      </c>
      <c r="D77" s="4" t="s">
        <v>1004</v>
      </c>
      <c r="E77" t="s">
        <v>1050</v>
      </c>
      <c r="F77" t="s">
        <v>360</v>
      </c>
      <c r="G77" t="s">
        <v>1052</v>
      </c>
      <c r="H77">
        <v>22</v>
      </c>
      <c r="I77">
        <v>15</v>
      </c>
      <c r="J77" t="s">
        <v>56</v>
      </c>
      <c r="K77" t="s">
        <v>15</v>
      </c>
      <c r="L77" t="s">
        <v>15</v>
      </c>
      <c r="M77" t="s">
        <v>15</v>
      </c>
      <c r="N77" t="s">
        <v>15</v>
      </c>
      <c r="P77">
        <v>0.06</v>
      </c>
      <c r="Q77" t="s">
        <v>180</v>
      </c>
      <c r="R77" t="s">
        <v>176</v>
      </c>
      <c r="T77">
        <v>1</v>
      </c>
      <c r="U77" t="s">
        <v>1006</v>
      </c>
      <c r="W77">
        <v>510</v>
      </c>
      <c r="X77" t="s">
        <v>184</v>
      </c>
      <c r="AA77" s="13">
        <f>Tableau8[[#This Row],[nb of item used ]]*Tableau8[[#This Row],[density (kg/m2) or specific weight (kg/m2)]]*Tableau8[[#This Row],[volume or area]]</f>
        <v>30.599999999999998</v>
      </c>
      <c r="AB77">
        <f>10-4.4</f>
        <v>5.6</v>
      </c>
      <c r="AC77">
        <f>0.31+0.41</f>
        <v>0.72</v>
      </c>
      <c r="AD77" s="11">
        <f t="shared" si="20"/>
        <v>7.7890909090909082</v>
      </c>
      <c r="AE77" s="11">
        <f>_xlfn.RANK.AVG(Tableau8[[#This Row],[EE ( MJ/m²)]],AD77:AD1232)</f>
        <v>599.5</v>
      </c>
      <c r="AF77" s="11">
        <f t="shared" si="18"/>
        <v>0.51927272727272722</v>
      </c>
      <c r="AG77" s="11">
        <f>(AC77-0.41)*AA77/H77</f>
        <v>0.43118181818181811</v>
      </c>
      <c r="AH77" s="11">
        <f t="shared" si="22"/>
        <v>1.0014545454545454</v>
      </c>
      <c r="AI77" s="11">
        <f>(AC77-0.41)*AA77/H77/I77</f>
        <v>2.8745454545454539E-2</v>
      </c>
      <c r="AJ77" s="11">
        <f t="shared" si="19"/>
        <v>6.6763636363636358E-2</v>
      </c>
    </row>
    <row r="78" spans="1:36" x14ac:dyDescent="0.25">
      <c r="A78" s="4" t="s">
        <v>944</v>
      </c>
      <c r="B78" s="4" t="s">
        <v>1051</v>
      </c>
      <c r="C78" t="s">
        <v>15</v>
      </c>
      <c r="D78" s="4" t="s">
        <v>1004</v>
      </c>
      <c r="E78" t="s">
        <v>1050</v>
      </c>
      <c r="F78" t="s">
        <v>360</v>
      </c>
      <c r="G78" t="s">
        <v>1052</v>
      </c>
      <c r="H78">
        <v>22</v>
      </c>
      <c r="I78">
        <v>15</v>
      </c>
      <c r="J78" t="s">
        <v>56</v>
      </c>
      <c r="K78" t="s">
        <v>15</v>
      </c>
      <c r="L78" t="s">
        <v>1056</v>
      </c>
      <c r="M78" t="s">
        <v>15</v>
      </c>
      <c r="N78" t="s">
        <v>15</v>
      </c>
      <c r="P78">
        <v>0.6</v>
      </c>
      <c r="Q78" t="s">
        <v>180</v>
      </c>
      <c r="R78" t="s">
        <v>187</v>
      </c>
      <c r="T78">
        <v>1</v>
      </c>
      <c r="U78" t="s">
        <v>346</v>
      </c>
      <c r="W78">
        <v>510</v>
      </c>
      <c r="X78" t="s">
        <v>184</v>
      </c>
      <c r="AA78" s="13">
        <f>Tableau8[[#This Row],[nb of item used ]]*Tableau8[[#This Row],[density (kg/m2) or specific weight (kg/m2)]]*Tableau8[[#This Row],[volume or area]]</f>
        <v>306</v>
      </c>
      <c r="AB78">
        <f>10-4.4</f>
        <v>5.6</v>
      </c>
      <c r="AC78">
        <f>0.31+0.41</f>
        <v>0.72</v>
      </c>
      <c r="AD78" s="11">
        <f t="shared" si="20"/>
        <v>77.890909090909091</v>
      </c>
      <c r="AE78" s="11">
        <f>_xlfn.RANK.AVG(Tableau8[[#This Row],[EE ( MJ/m²)]],AD78:AD1233)</f>
        <v>205</v>
      </c>
      <c r="AF78" s="11">
        <f t="shared" si="18"/>
        <v>5.1927272727272724</v>
      </c>
      <c r="AG78" s="11">
        <f>(AC78-0.41)*AA78/H78</f>
        <v>4.3118181818181816</v>
      </c>
      <c r="AH78" s="11">
        <f t="shared" si="22"/>
        <v>10.014545454545454</v>
      </c>
      <c r="AI78" s="11">
        <f>(AC78-0.41)*AA78/H78/I78</f>
        <v>0.28745454545454546</v>
      </c>
      <c r="AJ78" s="11">
        <f t="shared" si="19"/>
        <v>0.66763636363636358</v>
      </c>
    </row>
    <row r="79" spans="1:36" x14ac:dyDescent="0.25">
      <c r="A79" s="4" t="s">
        <v>944</v>
      </c>
      <c r="B79" s="4" t="s">
        <v>1051</v>
      </c>
      <c r="C79" t="s">
        <v>15</v>
      </c>
      <c r="D79" s="4" t="s">
        <v>1004</v>
      </c>
      <c r="E79" t="s">
        <v>1050</v>
      </c>
      <c r="F79" t="s">
        <v>360</v>
      </c>
      <c r="G79" t="s">
        <v>1052</v>
      </c>
      <c r="H79">
        <v>22</v>
      </c>
      <c r="I79">
        <v>15</v>
      </c>
      <c r="J79" t="s">
        <v>40</v>
      </c>
      <c r="K79" t="s">
        <v>15</v>
      </c>
      <c r="L79" t="s">
        <v>1048</v>
      </c>
      <c r="M79" t="s">
        <v>15</v>
      </c>
      <c r="N79" t="s">
        <v>15</v>
      </c>
      <c r="O79" t="s">
        <v>1039</v>
      </c>
      <c r="P79">
        <v>0.17699999999999999</v>
      </c>
      <c r="Q79" t="s">
        <v>180</v>
      </c>
      <c r="R79" t="s">
        <v>187</v>
      </c>
      <c r="T79">
        <v>1</v>
      </c>
      <c r="U79" t="s">
        <v>346</v>
      </c>
      <c r="W79">
        <v>90</v>
      </c>
      <c r="X79" t="s">
        <v>184</v>
      </c>
      <c r="AA79" s="13">
        <f>Tableau8[[#This Row],[nb of item used ]]*Tableau8[[#This Row],[density (kg/m2) or specific weight (kg/m2)]]*Tableau8[[#This Row],[volume or area]]</f>
        <v>15.93</v>
      </c>
      <c r="AB79">
        <f>10-4.4</f>
        <v>5.6</v>
      </c>
      <c r="AC79">
        <f>0.31+0.41</f>
        <v>0.72</v>
      </c>
      <c r="AD79" s="11">
        <f t="shared" si="20"/>
        <v>4.0549090909090912</v>
      </c>
      <c r="AE79" s="11">
        <f>_xlfn.RANK.AVG(Tableau8[[#This Row],[EE ( MJ/m²)]],AD79:AD1234)</f>
        <v>712</v>
      </c>
      <c r="AF79" s="11">
        <f t="shared" si="18"/>
        <v>0.27032727272727275</v>
      </c>
      <c r="AG79" s="11">
        <f>(AC79-0.41)*AA79/H79</f>
        <v>0.22446818181818182</v>
      </c>
      <c r="AH79" s="11">
        <f t="shared" si="22"/>
        <v>0.52134545454545456</v>
      </c>
      <c r="AI79" s="11">
        <f>(AC79-0.41)*AA79/H79/I79</f>
        <v>1.4964545454545454E-2</v>
      </c>
      <c r="AJ79" s="11">
        <f t="shared" si="19"/>
        <v>3.4756363636363634E-2</v>
      </c>
    </row>
    <row r="80" spans="1:36" x14ac:dyDescent="0.25">
      <c r="A80" s="4" t="s">
        <v>944</v>
      </c>
      <c r="B80" s="4" t="s">
        <v>1051</v>
      </c>
      <c r="C80" t="s">
        <v>15</v>
      </c>
      <c r="D80" s="4" t="s">
        <v>1004</v>
      </c>
      <c r="E80" t="s">
        <v>1050</v>
      </c>
      <c r="F80" t="s">
        <v>360</v>
      </c>
      <c r="G80" t="s">
        <v>1052</v>
      </c>
      <c r="H80">
        <v>22</v>
      </c>
      <c r="I80">
        <v>15</v>
      </c>
      <c r="J80" t="s">
        <v>40</v>
      </c>
      <c r="K80" t="s">
        <v>15</v>
      </c>
      <c r="L80" t="s">
        <v>384</v>
      </c>
      <c r="M80" t="s">
        <v>15</v>
      </c>
      <c r="N80" t="s">
        <v>15</v>
      </c>
      <c r="P80">
        <v>0.05</v>
      </c>
      <c r="Q80" t="s">
        <v>180</v>
      </c>
      <c r="R80" t="s">
        <v>176</v>
      </c>
      <c r="T80">
        <v>1</v>
      </c>
      <c r="U80" t="s">
        <v>1006</v>
      </c>
      <c r="W80">
        <v>480</v>
      </c>
      <c r="X80" t="s">
        <v>184</v>
      </c>
      <c r="AA80" s="13">
        <f>Tableau8[[#This Row],[nb of item used ]]*Tableau8[[#This Row],[density (kg/m2) or specific weight (kg/m2)]]*Tableau8[[#This Row],[volume or area]]</f>
        <v>24</v>
      </c>
      <c r="AB80">
        <f>10-4.4</f>
        <v>5.6</v>
      </c>
      <c r="AC80">
        <f>0.31+0.41</f>
        <v>0.72</v>
      </c>
      <c r="AD80" s="11">
        <f t="shared" si="20"/>
        <v>6.1090909090909085</v>
      </c>
      <c r="AE80" s="11">
        <f>_xlfn.RANK.AVG(Tableau8[[#This Row],[EE ( MJ/m²)]],AD80:AD1235)</f>
        <v>655</v>
      </c>
      <c r="AF80" s="11">
        <f t="shared" si="18"/>
        <v>0.40727272727272723</v>
      </c>
      <c r="AG80" s="11">
        <f>(AC80-0.41)*AA80/H80</f>
        <v>0.33818181818181814</v>
      </c>
      <c r="AH80" s="11">
        <f t="shared" si="22"/>
        <v>0.78545454545454552</v>
      </c>
      <c r="AI80" s="11">
        <f>(AC80-0.41)*AA80/H80/I80</f>
        <v>2.2545454545454542E-2</v>
      </c>
      <c r="AJ80" s="11">
        <f t="shared" si="19"/>
        <v>5.2363636363636369E-2</v>
      </c>
    </row>
    <row r="81" spans="1:36" x14ac:dyDescent="0.25">
      <c r="A81" s="4" t="s">
        <v>944</v>
      </c>
      <c r="B81" s="4" t="s">
        <v>1051</v>
      </c>
      <c r="C81" t="s">
        <v>362</v>
      </c>
      <c r="D81" s="4" t="s">
        <v>1004</v>
      </c>
      <c r="E81" t="s">
        <v>1050</v>
      </c>
      <c r="F81" t="s">
        <v>360</v>
      </c>
      <c r="G81" t="s">
        <v>1052</v>
      </c>
      <c r="H81">
        <v>22</v>
      </c>
      <c r="I81">
        <v>15</v>
      </c>
      <c r="J81" t="s">
        <v>13</v>
      </c>
      <c r="K81" t="s">
        <v>362</v>
      </c>
      <c r="L81" t="s">
        <v>1053</v>
      </c>
      <c r="M81" t="s">
        <v>362</v>
      </c>
      <c r="N81" t="s">
        <v>430</v>
      </c>
      <c r="O81" t="s">
        <v>1054</v>
      </c>
      <c r="P81">
        <v>3.5</v>
      </c>
      <c r="Q81" t="s">
        <v>180</v>
      </c>
      <c r="R81" t="s">
        <v>176</v>
      </c>
      <c r="T81">
        <v>1</v>
      </c>
      <c r="U81" t="s">
        <v>1006</v>
      </c>
      <c r="W81">
        <v>2880</v>
      </c>
      <c r="X81" t="s">
        <v>184</v>
      </c>
      <c r="AA81" s="13">
        <f>Tableau8[[#This Row],[density (kg/m2) or specific weight (kg/m2)]]*Tableau8[[#This Row],[nb of item used ]]*Tableau8[[#This Row],[volume or area]]</f>
        <v>10080</v>
      </c>
      <c r="AB81">
        <v>1.26</v>
      </c>
      <c r="AC81">
        <v>7.9000000000000001E-2</v>
      </c>
      <c r="AD81" s="11">
        <f t="shared" si="20"/>
        <v>577.30909090909086</v>
      </c>
      <c r="AE81" s="11">
        <f>_xlfn.RANK.AVG(Tableau8[[#This Row],[EE ( MJ/m²)]],AD81:AD1236)</f>
        <v>37</v>
      </c>
      <c r="AF81" s="11">
        <f t="shared" si="18"/>
        <v>38.487272727272725</v>
      </c>
      <c r="AG81" s="11">
        <f>(AC81)*AA81/H81</f>
        <v>36.196363636363635</v>
      </c>
      <c r="AH81" s="11">
        <f t="shared" si="22"/>
        <v>36.196363636363635</v>
      </c>
      <c r="AI81" s="33">
        <f>(AC81)*AA81/H81/I81</f>
        <v>2.4130909090909092</v>
      </c>
      <c r="AJ81" s="11">
        <f t="shared" si="19"/>
        <v>2.4130909090909092</v>
      </c>
    </row>
    <row r="82" spans="1:36" x14ac:dyDescent="0.25">
      <c r="A82" s="4" t="s">
        <v>944</v>
      </c>
      <c r="B82" s="4" t="s">
        <v>1051</v>
      </c>
      <c r="C82" t="s">
        <v>362</v>
      </c>
      <c r="D82" s="4" t="s">
        <v>1004</v>
      </c>
      <c r="E82" t="s">
        <v>1050</v>
      </c>
      <c r="F82" t="s">
        <v>360</v>
      </c>
      <c r="G82" t="s">
        <v>1052</v>
      </c>
      <c r="H82">
        <v>22</v>
      </c>
      <c r="I82">
        <v>15</v>
      </c>
      <c r="J82" t="s">
        <v>40</v>
      </c>
      <c r="K82" t="s">
        <v>362</v>
      </c>
      <c r="L82" t="s">
        <v>1055</v>
      </c>
      <c r="M82" t="s">
        <v>362</v>
      </c>
      <c r="N82" t="s">
        <v>430</v>
      </c>
      <c r="O82" t="s">
        <v>1054</v>
      </c>
      <c r="P82">
        <v>6</v>
      </c>
      <c r="Q82" t="s">
        <v>180</v>
      </c>
      <c r="R82" t="s">
        <v>176</v>
      </c>
      <c r="T82">
        <v>1</v>
      </c>
      <c r="U82" t="s">
        <v>1006</v>
      </c>
      <c r="W82">
        <v>2880</v>
      </c>
      <c r="X82" t="s">
        <v>184</v>
      </c>
      <c r="AA82" s="13">
        <f>Tableau8[[#This Row],[density (kg/m2) or specific weight (kg/m2)]]*Tableau8[[#This Row],[nb of item used ]]*Tableau8[[#This Row],[volume or area]]</f>
        <v>17280</v>
      </c>
      <c r="AB82">
        <v>1.26</v>
      </c>
      <c r="AC82">
        <v>7.9000000000000001E-2</v>
      </c>
      <c r="AD82" s="11">
        <f t="shared" si="20"/>
        <v>989.67272727272723</v>
      </c>
      <c r="AE82" s="11">
        <f>_xlfn.RANK.AVG(Tableau8[[#This Row],[EE ( MJ/m²)]],AD82:AD1237)</f>
        <v>13</v>
      </c>
      <c r="AF82" s="11">
        <f t="shared" si="18"/>
        <v>65.97818181818181</v>
      </c>
      <c r="AG82" s="11">
        <f>(AC82)*AA82/H82</f>
        <v>62.050909090909094</v>
      </c>
      <c r="AH82" s="11">
        <f t="shared" si="22"/>
        <v>62.050909090909094</v>
      </c>
      <c r="AI82" s="33">
        <f>(AC82)*AA82/H82/I82</f>
        <v>4.1367272727272733</v>
      </c>
      <c r="AJ82" s="11">
        <f t="shared" si="19"/>
        <v>4.1367272727272733</v>
      </c>
    </row>
    <row r="83" spans="1:36" x14ac:dyDescent="0.25">
      <c r="A83" s="4" t="s">
        <v>944</v>
      </c>
      <c r="B83" s="4" t="s">
        <v>1051</v>
      </c>
      <c r="C83" t="s">
        <v>12</v>
      </c>
      <c r="D83" s="4" t="s">
        <v>1004</v>
      </c>
      <c r="E83" t="s">
        <v>1050</v>
      </c>
      <c r="F83" t="s">
        <v>360</v>
      </c>
      <c r="G83" t="s">
        <v>1052</v>
      </c>
      <c r="H83">
        <v>22</v>
      </c>
      <c r="I83">
        <v>15</v>
      </c>
      <c r="J83" t="s">
        <v>56</v>
      </c>
      <c r="K83" t="s">
        <v>17</v>
      </c>
      <c r="L83" t="s">
        <v>274</v>
      </c>
      <c r="M83" t="s">
        <v>12</v>
      </c>
      <c r="N83" t="s">
        <v>12</v>
      </c>
      <c r="O83" t="s">
        <v>1034</v>
      </c>
      <c r="P83">
        <f>22*0.003</f>
        <v>6.6000000000000003E-2</v>
      </c>
      <c r="Q83" t="s">
        <v>180</v>
      </c>
      <c r="R83" t="s">
        <v>176</v>
      </c>
      <c r="T83">
        <v>1</v>
      </c>
      <c r="U83" t="s">
        <v>1006</v>
      </c>
      <c r="W83">
        <v>7800</v>
      </c>
      <c r="X83" t="s">
        <v>184</v>
      </c>
      <c r="AA83" s="13">
        <f>Tableau8[[#This Row],[density (kg/m2) or specific weight (kg/m2)]]*Tableau8[[#This Row],[nb of item used ]]*Tableau8[[#This Row],[volume or area]]</f>
        <v>514.80000000000007</v>
      </c>
      <c r="AB83">
        <v>25.3</v>
      </c>
      <c r="AC83">
        <v>1.95</v>
      </c>
      <c r="AD83" s="11">
        <f t="shared" si="20"/>
        <v>592.0200000000001</v>
      </c>
      <c r="AE83" s="11">
        <f>_xlfn.RANK.AVG(Tableau8[[#This Row],[EE ( MJ/m²)]],AD83:AD1238)</f>
        <v>35</v>
      </c>
      <c r="AF83" s="11">
        <f t="shared" si="18"/>
        <v>39.468000000000004</v>
      </c>
      <c r="AG83" s="11">
        <f>(AC83)*AA83/H83</f>
        <v>45.63</v>
      </c>
      <c r="AH83" s="11">
        <f t="shared" si="22"/>
        <v>45.63</v>
      </c>
      <c r="AI83" s="33">
        <f>(AC83)*AA83/H83/I83</f>
        <v>3.0420000000000003</v>
      </c>
      <c r="AJ83" s="11">
        <f t="shared" si="19"/>
        <v>3.0420000000000003</v>
      </c>
    </row>
    <row r="84" spans="1:36" x14ac:dyDescent="0.25">
      <c r="A84" s="4" t="s">
        <v>944</v>
      </c>
      <c r="B84" s="4" t="s">
        <v>1051</v>
      </c>
      <c r="C84" t="s">
        <v>12</v>
      </c>
      <c r="D84" s="4" t="s">
        <v>1004</v>
      </c>
      <c r="E84" t="s">
        <v>1050</v>
      </c>
      <c r="F84" t="s">
        <v>360</v>
      </c>
      <c r="G84" t="s">
        <v>1052</v>
      </c>
      <c r="H84">
        <v>22</v>
      </c>
      <c r="I84">
        <v>15</v>
      </c>
      <c r="J84" t="s">
        <v>44</v>
      </c>
      <c r="K84" t="s">
        <v>17</v>
      </c>
      <c r="L84" t="s">
        <v>712</v>
      </c>
      <c r="M84" t="s">
        <v>12</v>
      </c>
      <c r="N84" t="s">
        <v>12</v>
      </c>
      <c r="R84" t="s">
        <v>187</v>
      </c>
      <c r="T84">
        <v>1</v>
      </c>
      <c r="U84" t="s">
        <v>346</v>
      </c>
      <c r="W84">
        <v>7800</v>
      </c>
      <c r="X84" t="s">
        <v>184</v>
      </c>
      <c r="AA84" s="13">
        <v>1</v>
      </c>
      <c r="AB84">
        <v>25.3</v>
      </c>
      <c r="AC84">
        <v>1.95</v>
      </c>
      <c r="AD84" s="11">
        <f t="shared" si="20"/>
        <v>1.1500000000000001</v>
      </c>
      <c r="AE84" s="11">
        <f>_xlfn.RANK.AVG(Tableau8[[#This Row],[EE ( MJ/m²)]],AD84:AD1239)</f>
        <v>856</v>
      </c>
      <c r="AF84" s="11">
        <f t="shared" si="18"/>
        <v>7.6666666666666675E-2</v>
      </c>
      <c r="AG84" s="11">
        <f>(AC84)*AA84/H84</f>
        <v>8.8636363636363638E-2</v>
      </c>
      <c r="AH84" s="11">
        <f t="shared" si="22"/>
        <v>8.8636363636363638E-2</v>
      </c>
      <c r="AI84" s="33">
        <f>(AC84)*AA84/H84/I84</f>
        <v>5.909090909090909E-3</v>
      </c>
      <c r="AJ84" s="11">
        <f t="shared" si="19"/>
        <v>5.909090909090909E-3</v>
      </c>
    </row>
    <row r="85" spans="1:36" x14ac:dyDescent="0.25">
      <c r="A85" s="4" t="s">
        <v>944</v>
      </c>
      <c r="B85" s="4" t="s">
        <v>1065</v>
      </c>
      <c r="C85" s="4" t="s">
        <v>15</v>
      </c>
      <c r="D85" s="4" t="s">
        <v>1004</v>
      </c>
      <c r="E85" t="s">
        <v>1063</v>
      </c>
      <c r="F85" t="s">
        <v>360</v>
      </c>
      <c r="G85" t="s">
        <v>1064</v>
      </c>
      <c r="H85">
        <v>30</v>
      </c>
      <c r="I85">
        <v>15</v>
      </c>
      <c r="J85" t="s">
        <v>219</v>
      </c>
      <c r="K85" t="s">
        <v>15</v>
      </c>
      <c r="L85" t="s">
        <v>886</v>
      </c>
      <c r="M85" t="s">
        <v>15</v>
      </c>
      <c r="N85" t="s">
        <v>15</v>
      </c>
      <c r="O85" t="s">
        <v>1066</v>
      </c>
      <c r="P85">
        <v>4</v>
      </c>
      <c r="Q85" t="s">
        <v>180</v>
      </c>
      <c r="R85" t="s">
        <v>187</v>
      </c>
      <c r="T85">
        <v>1</v>
      </c>
      <c r="U85" t="s">
        <v>346</v>
      </c>
      <c r="W85">
        <v>510</v>
      </c>
      <c r="X85" t="s">
        <v>184</v>
      </c>
      <c r="AA85" s="13">
        <f>Tableau8[[#This Row],[nb of item used ]]*Tableau8[[#This Row],[density (kg/m2) or specific weight (kg/m2)]]*Tableau8[[#This Row],[volume or area]]</f>
        <v>2040</v>
      </c>
      <c r="AB85">
        <f>10-4.4</f>
        <v>5.6</v>
      </c>
      <c r="AC85">
        <f>0.31+0.41</f>
        <v>0.72</v>
      </c>
      <c r="AD85" s="11">
        <f t="shared" si="20"/>
        <v>380.8</v>
      </c>
      <c r="AE85" s="11">
        <f>_xlfn.RANK.AVG(Tableau8[[#This Row],[EE ( MJ/m²)]],AD85:AD1240)</f>
        <v>50</v>
      </c>
      <c r="AF85" s="11">
        <f t="shared" si="18"/>
        <v>25.386666666666667</v>
      </c>
      <c r="AG85" s="11">
        <f>(AC85-0.41)*AA85/H85</f>
        <v>21.08</v>
      </c>
      <c r="AH85" s="11">
        <f t="shared" si="22"/>
        <v>48.96</v>
      </c>
      <c r="AI85" s="11">
        <f>(AC85-0.41)*AA85/H85/I85</f>
        <v>1.4053333333333333</v>
      </c>
      <c r="AJ85" s="11">
        <f t="shared" si="19"/>
        <v>3.2640000000000002</v>
      </c>
    </row>
    <row r="86" spans="1:36" x14ac:dyDescent="0.25">
      <c r="A86" s="4" t="s">
        <v>944</v>
      </c>
      <c r="B86" s="4" t="s">
        <v>1065</v>
      </c>
      <c r="C86" s="4" t="s">
        <v>15</v>
      </c>
      <c r="D86" s="4" t="s">
        <v>1004</v>
      </c>
      <c r="E86" t="s">
        <v>1063</v>
      </c>
      <c r="F86" t="s">
        <v>360</v>
      </c>
      <c r="G86" t="s">
        <v>1064</v>
      </c>
      <c r="H86">
        <v>30</v>
      </c>
      <c r="I86">
        <v>15</v>
      </c>
      <c r="J86" t="s">
        <v>56</v>
      </c>
      <c r="K86" t="s">
        <v>17</v>
      </c>
      <c r="L86" t="s">
        <v>274</v>
      </c>
      <c r="M86" t="s">
        <v>12</v>
      </c>
      <c r="N86" t="s">
        <v>12</v>
      </c>
      <c r="P86">
        <v>0.126</v>
      </c>
      <c r="Q86" t="s">
        <v>180</v>
      </c>
      <c r="R86" t="s">
        <v>176</v>
      </c>
      <c r="T86">
        <v>1</v>
      </c>
      <c r="U86" t="s">
        <v>1006</v>
      </c>
      <c r="W86">
        <v>7800</v>
      </c>
      <c r="X86" t="s">
        <v>184</v>
      </c>
      <c r="AA86" s="13">
        <f>Tableau8[[#This Row],[density (kg/m2) or specific weight (kg/m2)]]*Tableau8[[#This Row],[volume or area]]</f>
        <v>982.8</v>
      </c>
      <c r="AB86">
        <v>25.3</v>
      </c>
      <c r="AC86">
        <v>1.95</v>
      </c>
      <c r="AD86" s="11">
        <f t="shared" si="20"/>
        <v>828.82799999999997</v>
      </c>
      <c r="AE86" s="11">
        <f>_xlfn.RANK.AVG(Tableau8[[#This Row],[EE ( MJ/m²)]],AD86:AD1241)</f>
        <v>16</v>
      </c>
      <c r="AF86" s="11">
        <f t="shared" ref="AF86:AF117" si="24">AB86*AA86/H86/I86</f>
        <v>55.255199999999995</v>
      </c>
      <c r="AG86" s="11">
        <f>(AC86)*AA86/H86</f>
        <v>63.881999999999991</v>
      </c>
      <c r="AH86" s="11">
        <f t="shared" si="22"/>
        <v>63.881999999999991</v>
      </c>
      <c r="AI86" s="11">
        <f>(AC86)*AA86/H86/I86</f>
        <v>4.258799999999999</v>
      </c>
      <c r="AJ86" s="11">
        <f t="shared" ref="AJ86:AJ117" si="25">AC86*AA86/H86/I86</f>
        <v>4.258799999999999</v>
      </c>
    </row>
    <row r="87" spans="1:36" x14ac:dyDescent="0.25">
      <c r="A87" s="4" t="s">
        <v>944</v>
      </c>
      <c r="B87" s="4" t="s">
        <v>1065</v>
      </c>
      <c r="C87" s="4" t="s">
        <v>15</v>
      </c>
      <c r="D87" s="4" t="s">
        <v>1004</v>
      </c>
      <c r="E87" t="s">
        <v>1063</v>
      </c>
      <c r="F87" t="s">
        <v>360</v>
      </c>
      <c r="G87" t="s">
        <v>1064</v>
      </c>
      <c r="H87">
        <v>30</v>
      </c>
      <c r="I87">
        <v>15</v>
      </c>
      <c r="J87" t="s">
        <v>44</v>
      </c>
      <c r="K87" t="s">
        <v>17</v>
      </c>
      <c r="L87" t="s">
        <v>712</v>
      </c>
      <c r="M87" t="s">
        <v>12</v>
      </c>
      <c r="N87" t="s">
        <v>12</v>
      </c>
      <c r="R87" t="s">
        <v>187</v>
      </c>
      <c r="T87">
        <v>1</v>
      </c>
      <c r="U87" t="s">
        <v>346</v>
      </c>
      <c r="W87" s="16">
        <v>7800</v>
      </c>
      <c r="X87" t="s">
        <v>184</v>
      </c>
      <c r="AA87" s="13">
        <v>20</v>
      </c>
      <c r="AB87">
        <v>25.3</v>
      </c>
      <c r="AC87">
        <v>1.95</v>
      </c>
      <c r="AD87" s="11">
        <f t="shared" si="20"/>
        <v>16.866666666666667</v>
      </c>
      <c r="AE87" s="11">
        <f>_xlfn.RANK.AVG(Tableau8[[#This Row],[EE ( MJ/m²)]],AD87:AD1242)</f>
        <v>451</v>
      </c>
      <c r="AF87" s="11">
        <f t="shared" si="24"/>
        <v>1.1244444444444446</v>
      </c>
      <c r="AG87" s="11">
        <f>(AC87)*AA87/H87</f>
        <v>1.3</v>
      </c>
      <c r="AH87" s="11">
        <f t="shared" si="22"/>
        <v>1.3</v>
      </c>
      <c r="AI87" s="11">
        <f>(AC87)*AA87/H87/I87</f>
        <v>8.666666666666667E-2</v>
      </c>
      <c r="AJ87" s="11">
        <f t="shared" si="25"/>
        <v>8.666666666666667E-2</v>
      </c>
    </row>
    <row r="88" spans="1:36" x14ac:dyDescent="0.25">
      <c r="A88" s="4" t="s">
        <v>945</v>
      </c>
      <c r="B88" s="4" t="s">
        <v>1068</v>
      </c>
      <c r="C88" t="s">
        <v>15</v>
      </c>
      <c r="D88" s="4" t="s">
        <v>1004</v>
      </c>
      <c r="E88" t="s">
        <v>1067</v>
      </c>
      <c r="F88" t="s">
        <v>360</v>
      </c>
      <c r="G88" t="s">
        <v>361</v>
      </c>
      <c r="H88">
        <v>20</v>
      </c>
      <c r="I88">
        <v>15</v>
      </c>
      <c r="J88" t="s">
        <v>40</v>
      </c>
      <c r="K88" t="s">
        <v>15</v>
      </c>
      <c r="L88" t="s">
        <v>1076</v>
      </c>
      <c r="M88" t="s">
        <v>15</v>
      </c>
      <c r="N88" t="s">
        <v>15</v>
      </c>
      <c r="P88">
        <v>0.05</v>
      </c>
      <c r="Q88" t="s">
        <v>180</v>
      </c>
      <c r="R88" t="s">
        <v>176</v>
      </c>
      <c r="T88">
        <v>1</v>
      </c>
      <c r="U88" t="s">
        <v>1006</v>
      </c>
      <c r="W88">
        <v>510</v>
      </c>
      <c r="X88" t="s">
        <v>184</v>
      </c>
      <c r="AA88" s="13">
        <f>Tableau8[[#This Row],[nb of item used ]]*Tableau8[[#This Row],[density (kg/m2) or specific weight (kg/m2)]]*Tableau8[[#This Row],[volume or area]]</f>
        <v>25.5</v>
      </c>
      <c r="AB88">
        <f>10-4.4</f>
        <v>5.6</v>
      </c>
      <c r="AC88">
        <f>0.31+0.41</f>
        <v>0.72</v>
      </c>
      <c r="AD88" s="11">
        <f t="shared" si="20"/>
        <v>7.1399999999999988</v>
      </c>
      <c r="AE88" s="11">
        <f>_xlfn.RANK.AVG(Tableau8[[#This Row],[EE ( MJ/m²)]],AD88:AD1243)</f>
        <v>610</v>
      </c>
      <c r="AF88" s="11">
        <f t="shared" si="24"/>
        <v>0.47599999999999992</v>
      </c>
      <c r="AG88" s="11">
        <f>(AC88-0.41)*AA88/H88</f>
        <v>0.39524999999999999</v>
      </c>
      <c r="AH88" s="11">
        <f t="shared" si="22"/>
        <v>0.91799999999999993</v>
      </c>
      <c r="AI88" s="11">
        <f>(AC88-0.41)*AA88/H88/I88</f>
        <v>2.6349999999999998E-2</v>
      </c>
      <c r="AJ88" s="11">
        <f t="shared" si="25"/>
        <v>6.1199999999999997E-2</v>
      </c>
    </row>
    <row r="89" spans="1:36" x14ac:dyDescent="0.25">
      <c r="A89" s="4" t="s">
        <v>945</v>
      </c>
      <c r="B89" s="4" t="s">
        <v>1068</v>
      </c>
      <c r="C89" t="s">
        <v>307</v>
      </c>
      <c r="D89" s="4" t="s">
        <v>1004</v>
      </c>
      <c r="E89" t="s">
        <v>1067</v>
      </c>
      <c r="F89" t="s">
        <v>360</v>
      </c>
      <c r="G89" t="s">
        <v>361</v>
      </c>
      <c r="H89">
        <v>20</v>
      </c>
      <c r="I89">
        <v>15</v>
      </c>
      <c r="J89" t="s">
        <v>219</v>
      </c>
      <c r="K89" t="s">
        <v>307</v>
      </c>
      <c r="L89" t="s">
        <v>1073</v>
      </c>
      <c r="M89" t="s">
        <v>223</v>
      </c>
      <c r="N89" t="s">
        <v>223</v>
      </c>
      <c r="R89" t="s">
        <v>176</v>
      </c>
      <c r="T89">
        <v>1</v>
      </c>
      <c r="U89" t="s">
        <v>175</v>
      </c>
      <c r="AA89" s="13">
        <v>80</v>
      </c>
      <c r="AB89">
        <v>0.24</v>
      </c>
      <c r="AC89">
        <v>0.1</v>
      </c>
      <c r="AD89" s="11">
        <f t="shared" si="20"/>
        <v>0.96</v>
      </c>
      <c r="AE89" s="11">
        <f>_xlfn.RANK.AVG(Tableau8[[#This Row],[EE ( MJ/m²)]],AD89:AD1244)</f>
        <v>871</v>
      </c>
      <c r="AF89" s="11">
        <f t="shared" si="24"/>
        <v>6.4000000000000001E-2</v>
      </c>
      <c r="AG89" s="11">
        <f>(AC89)*AA89/H89</f>
        <v>0.4</v>
      </c>
      <c r="AH89" s="11">
        <f t="shared" si="22"/>
        <v>0.4</v>
      </c>
      <c r="AI89" s="33">
        <f>(AC89)*AA89/H89/I89</f>
        <v>2.6666666666666668E-2</v>
      </c>
      <c r="AJ89" s="11">
        <f t="shared" si="25"/>
        <v>2.6666666666666668E-2</v>
      </c>
    </row>
    <row r="90" spans="1:36" x14ac:dyDescent="0.25">
      <c r="A90" s="4" t="s">
        <v>945</v>
      </c>
      <c r="B90" s="4" t="s">
        <v>1068</v>
      </c>
      <c r="C90" t="s">
        <v>15</v>
      </c>
      <c r="D90" s="4" t="s">
        <v>1004</v>
      </c>
      <c r="E90" t="s">
        <v>1067</v>
      </c>
      <c r="F90" t="s">
        <v>360</v>
      </c>
      <c r="G90" t="s">
        <v>361</v>
      </c>
      <c r="H90">
        <v>20</v>
      </c>
      <c r="I90">
        <v>15</v>
      </c>
      <c r="J90" t="s">
        <v>42</v>
      </c>
      <c r="K90" t="s">
        <v>15</v>
      </c>
      <c r="L90" t="s">
        <v>223</v>
      </c>
      <c r="M90" t="s">
        <v>223</v>
      </c>
      <c r="N90" t="s">
        <v>223</v>
      </c>
      <c r="P90">
        <v>305</v>
      </c>
      <c r="Q90" t="s">
        <v>180</v>
      </c>
      <c r="R90" t="s">
        <v>176</v>
      </c>
      <c r="T90">
        <v>1</v>
      </c>
      <c r="U90" t="s">
        <v>175</v>
      </c>
      <c r="W90">
        <v>15</v>
      </c>
      <c r="X90" t="s">
        <v>184</v>
      </c>
      <c r="AA90" s="13">
        <f>W90*T90*P90</f>
        <v>4575</v>
      </c>
      <c r="AB90">
        <v>0.24</v>
      </c>
      <c r="AC90">
        <v>0.1</v>
      </c>
      <c r="AD90" s="11">
        <f t="shared" si="20"/>
        <v>54.9</v>
      </c>
      <c r="AE90" s="11">
        <f>_xlfn.RANK.AVG(Tableau8[[#This Row],[EE ( MJ/m²)]],AD90:AD1245)</f>
        <v>242</v>
      </c>
      <c r="AF90" s="11">
        <f t="shared" si="24"/>
        <v>3.6599999999999997</v>
      </c>
      <c r="AG90" s="11">
        <f>(AC90-0.41)*AA90/H90</f>
        <v>-70.912499999999994</v>
      </c>
      <c r="AH90" s="11">
        <f t="shared" si="22"/>
        <v>22.875</v>
      </c>
      <c r="AI90" s="11">
        <f>(AC90-0.41)*AA90/H90/I90</f>
        <v>-4.7275</v>
      </c>
      <c r="AJ90" s="11">
        <f t="shared" si="25"/>
        <v>1.5249999999999999</v>
      </c>
    </row>
    <row r="91" spans="1:36" x14ac:dyDescent="0.25">
      <c r="A91" s="4" t="s">
        <v>945</v>
      </c>
      <c r="B91" s="4" t="s">
        <v>1068</v>
      </c>
      <c r="C91" t="s">
        <v>362</v>
      </c>
      <c r="D91" s="4" t="s">
        <v>1004</v>
      </c>
      <c r="E91" t="s">
        <v>1067</v>
      </c>
      <c r="F91" t="s">
        <v>360</v>
      </c>
      <c r="G91" t="s">
        <v>361</v>
      </c>
      <c r="H91">
        <v>20</v>
      </c>
      <c r="I91">
        <v>15</v>
      </c>
      <c r="J91" t="s">
        <v>40</v>
      </c>
      <c r="K91" t="s">
        <v>362</v>
      </c>
      <c r="L91" t="s">
        <v>1071</v>
      </c>
      <c r="M91" t="s">
        <v>362</v>
      </c>
      <c r="N91" t="s">
        <v>430</v>
      </c>
      <c r="P91">
        <v>0.28000000000000003</v>
      </c>
      <c r="Q91" t="s">
        <v>180</v>
      </c>
      <c r="R91" t="s">
        <v>176</v>
      </c>
      <c r="T91">
        <v>1</v>
      </c>
      <c r="U91" t="s">
        <v>175</v>
      </c>
      <c r="W91">
        <v>2880</v>
      </c>
      <c r="X91" t="s">
        <v>184</v>
      </c>
      <c r="AA91" s="13">
        <f>Tableau8[[#This Row],[density (kg/m2) or specific weight (kg/m2)]]*Tableau8[[#This Row],[nb of item used ]]*Tableau8[[#This Row],[volume or area]]</f>
        <v>806.40000000000009</v>
      </c>
      <c r="AB91">
        <v>1.26</v>
      </c>
      <c r="AC91">
        <v>7.9000000000000001E-2</v>
      </c>
      <c r="AD91" s="11">
        <f t="shared" si="20"/>
        <v>50.803200000000004</v>
      </c>
      <c r="AE91" s="11">
        <f>_xlfn.RANK.AVG(Tableau8[[#This Row],[EE ( MJ/m²)]],AD91:AD1246)</f>
        <v>254</v>
      </c>
      <c r="AF91" s="11">
        <f t="shared" si="24"/>
        <v>3.3868800000000001</v>
      </c>
      <c r="AG91" s="11">
        <f t="shared" ref="AG91:AG112" si="26">(AC91)*AA91/H91</f>
        <v>3.1852800000000006</v>
      </c>
      <c r="AH91" s="11">
        <f t="shared" si="22"/>
        <v>3.1852800000000006</v>
      </c>
      <c r="AI91" s="33">
        <f t="shared" ref="AI91:AI112" si="27">(AC91)*AA91/H91/I91</f>
        <v>0.21235200000000004</v>
      </c>
      <c r="AJ91" s="11">
        <f t="shared" si="25"/>
        <v>0.21235200000000004</v>
      </c>
    </row>
    <row r="92" spans="1:36" x14ac:dyDescent="0.25">
      <c r="A92" s="4" t="s">
        <v>945</v>
      </c>
      <c r="B92" s="4" t="s">
        <v>1068</v>
      </c>
      <c r="C92" t="s">
        <v>12</v>
      </c>
      <c r="D92" s="4" t="s">
        <v>1004</v>
      </c>
      <c r="E92" t="s">
        <v>1067</v>
      </c>
      <c r="F92" t="s">
        <v>360</v>
      </c>
      <c r="G92" t="s">
        <v>361</v>
      </c>
      <c r="H92">
        <v>20</v>
      </c>
      <c r="I92">
        <v>15</v>
      </c>
      <c r="J92" t="s">
        <v>56</v>
      </c>
      <c r="K92" t="s">
        <v>17</v>
      </c>
      <c r="L92" t="s">
        <v>696</v>
      </c>
      <c r="M92" t="s">
        <v>12</v>
      </c>
      <c r="N92" t="s">
        <v>12</v>
      </c>
      <c r="R92" t="s">
        <v>176</v>
      </c>
      <c r="T92">
        <v>1</v>
      </c>
      <c r="U92" t="s">
        <v>175</v>
      </c>
      <c r="W92">
        <v>7800</v>
      </c>
      <c r="X92" t="s">
        <v>184</v>
      </c>
      <c r="AA92" s="13">
        <v>25</v>
      </c>
      <c r="AB92">
        <v>25.3</v>
      </c>
      <c r="AC92">
        <v>1.95</v>
      </c>
      <c r="AD92" s="11">
        <f t="shared" si="20"/>
        <v>31.625</v>
      </c>
      <c r="AE92" s="11">
        <f>_xlfn.RANK.AVG(Tableau8[[#This Row],[EE ( MJ/m²)]],AD92:AD1247)</f>
        <v>335</v>
      </c>
      <c r="AF92" s="11">
        <f t="shared" si="24"/>
        <v>2.1083333333333334</v>
      </c>
      <c r="AG92" s="11">
        <f t="shared" si="26"/>
        <v>2.4375</v>
      </c>
      <c r="AH92" s="11">
        <f t="shared" si="22"/>
        <v>2.4375</v>
      </c>
      <c r="AI92" s="33">
        <f t="shared" si="27"/>
        <v>0.16250000000000001</v>
      </c>
      <c r="AJ92" s="11">
        <f t="shared" si="25"/>
        <v>0.16250000000000001</v>
      </c>
    </row>
    <row r="93" spans="1:36" x14ac:dyDescent="0.25">
      <c r="A93" s="4" t="s">
        <v>945</v>
      </c>
      <c r="B93" s="4" t="s">
        <v>1068</v>
      </c>
      <c r="C93" t="s">
        <v>12</v>
      </c>
      <c r="D93" s="4" t="s">
        <v>1004</v>
      </c>
      <c r="E93" t="s">
        <v>1067</v>
      </c>
      <c r="F93" t="s">
        <v>360</v>
      </c>
      <c r="G93" t="s">
        <v>361</v>
      </c>
      <c r="H93">
        <v>20</v>
      </c>
      <c r="I93">
        <v>15</v>
      </c>
      <c r="J93" t="s">
        <v>44</v>
      </c>
      <c r="K93" t="s">
        <v>17</v>
      </c>
      <c r="L93" s="1" t="s">
        <v>712</v>
      </c>
      <c r="M93" t="s">
        <v>12</v>
      </c>
      <c r="N93" t="s">
        <v>12</v>
      </c>
      <c r="R93" t="s">
        <v>187</v>
      </c>
      <c r="T93">
        <v>1</v>
      </c>
      <c r="U93" t="s">
        <v>346</v>
      </c>
      <c r="W93">
        <v>7800</v>
      </c>
      <c r="X93" t="s">
        <v>184</v>
      </c>
      <c r="AA93" s="13">
        <v>2</v>
      </c>
      <c r="AB93">
        <v>25.3</v>
      </c>
      <c r="AC93">
        <v>1.95</v>
      </c>
      <c r="AD93" s="11">
        <f t="shared" si="20"/>
        <v>2.5300000000000002</v>
      </c>
      <c r="AE93" s="11">
        <f>_xlfn.RANK.AVG(Tableau8[[#This Row],[EE ( MJ/m²)]],AD93:AD1248)</f>
        <v>756</v>
      </c>
      <c r="AF93" s="11">
        <f t="shared" si="24"/>
        <v>0.16866666666666669</v>
      </c>
      <c r="AG93" s="11">
        <f t="shared" si="26"/>
        <v>0.19500000000000001</v>
      </c>
      <c r="AH93" s="11">
        <f t="shared" si="22"/>
        <v>0.19500000000000001</v>
      </c>
      <c r="AI93" s="33">
        <f t="shared" si="27"/>
        <v>1.3000000000000001E-2</v>
      </c>
      <c r="AJ93" s="11">
        <f t="shared" si="25"/>
        <v>1.3000000000000001E-2</v>
      </c>
    </row>
    <row r="94" spans="1:36" x14ac:dyDescent="0.25">
      <c r="A94" s="4" t="s">
        <v>945</v>
      </c>
      <c r="B94" s="4" t="s">
        <v>1068</v>
      </c>
      <c r="C94" t="s">
        <v>364</v>
      </c>
      <c r="D94" s="4" t="s">
        <v>1004</v>
      </c>
      <c r="E94" t="s">
        <v>1067</v>
      </c>
      <c r="F94" t="s">
        <v>360</v>
      </c>
      <c r="G94" t="s">
        <v>361</v>
      </c>
      <c r="H94">
        <v>20</v>
      </c>
      <c r="I94">
        <v>15</v>
      </c>
      <c r="J94" t="s">
        <v>40</v>
      </c>
      <c r="K94" t="s">
        <v>29</v>
      </c>
      <c r="L94" t="s">
        <v>364</v>
      </c>
      <c r="M94" t="s">
        <v>364</v>
      </c>
      <c r="N94" t="s">
        <v>432</v>
      </c>
      <c r="P94">
        <v>2.4</v>
      </c>
      <c r="Q94" t="s">
        <v>180</v>
      </c>
      <c r="R94" t="s">
        <v>176</v>
      </c>
      <c r="T94">
        <v>1</v>
      </c>
      <c r="U94" t="s">
        <v>175</v>
      </c>
      <c r="W94">
        <v>2240</v>
      </c>
      <c r="X94" t="s">
        <v>184</v>
      </c>
      <c r="AA94" s="13">
        <f>Tableau8[[#This Row],[density (kg/m2) or specific weight (kg/m2)]]*Tableau8[[#This Row],[nb of item used ]]*Tableau8[[#This Row],[volume or area]]</f>
        <v>5376</v>
      </c>
      <c r="AB94">
        <v>8.0999999999999996E-3</v>
      </c>
      <c r="AC94">
        <v>5.1000000000000004E-3</v>
      </c>
      <c r="AD94" s="11">
        <f t="shared" si="20"/>
        <v>2.1772800000000001</v>
      </c>
      <c r="AE94" s="11">
        <f>_xlfn.RANK.AVG(Tableau8[[#This Row],[EE ( MJ/m²)]],AD94:AD1249)</f>
        <v>779</v>
      </c>
      <c r="AF94" s="11">
        <f t="shared" si="24"/>
        <v>0.145152</v>
      </c>
      <c r="AG94" s="11">
        <f t="shared" si="26"/>
        <v>1.3708800000000001</v>
      </c>
      <c r="AH94" s="11">
        <f t="shared" si="22"/>
        <v>1.3708800000000001</v>
      </c>
      <c r="AI94" s="33">
        <f t="shared" si="27"/>
        <v>9.1392000000000001E-2</v>
      </c>
      <c r="AJ94" s="11">
        <f t="shared" si="25"/>
        <v>9.1392000000000001E-2</v>
      </c>
    </row>
    <row r="95" spans="1:36" x14ac:dyDescent="0.25">
      <c r="A95" s="23" t="s">
        <v>945</v>
      </c>
      <c r="B95" s="23" t="s">
        <v>1068</v>
      </c>
      <c r="C95" s="20" t="s">
        <v>14</v>
      </c>
      <c r="D95" s="23" t="s">
        <v>1004</v>
      </c>
      <c r="E95" s="20" t="s">
        <v>1067</v>
      </c>
      <c r="F95" s="20" t="s">
        <v>360</v>
      </c>
      <c r="G95" s="20" t="s">
        <v>361</v>
      </c>
      <c r="H95" s="20">
        <v>20</v>
      </c>
      <c r="I95" s="20">
        <v>15</v>
      </c>
      <c r="J95" s="20" t="s">
        <v>56</v>
      </c>
      <c r="K95" t="s">
        <v>14</v>
      </c>
      <c r="L95" s="20" t="s">
        <v>208</v>
      </c>
      <c r="M95" s="20" t="s">
        <v>14</v>
      </c>
      <c r="N95" s="20" t="s">
        <v>111</v>
      </c>
      <c r="P95" s="20">
        <v>0.18</v>
      </c>
      <c r="Q95" s="20" t="s">
        <v>180</v>
      </c>
      <c r="R95" s="20" t="s">
        <v>176</v>
      </c>
      <c r="S95" s="20"/>
      <c r="T95" s="20">
        <v>1</v>
      </c>
      <c r="U95" s="20" t="s">
        <v>1006</v>
      </c>
      <c r="V95" s="20"/>
      <c r="W95" s="25">
        <v>1380</v>
      </c>
      <c r="X95" s="20" t="s">
        <v>184</v>
      </c>
      <c r="Y95" s="20"/>
      <c r="Z95" s="20"/>
      <c r="AA95" s="24">
        <f>W95*T95*P95</f>
        <v>248.39999999999998</v>
      </c>
      <c r="AB95" s="20">
        <v>35.6</v>
      </c>
      <c r="AC95">
        <v>3.31</v>
      </c>
      <c r="AD95" s="11">
        <f t="shared" si="20"/>
        <v>442.15199999999993</v>
      </c>
      <c r="AE95" s="11">
        <f>_xlfn.RANK.AVG(Tableau8[[#This Row],[EE ( MJ/m²)]],AD95:AD1250)</f>
        <v>41</v>
      </c>
      <c r="AF95" s="11">
        <f t="shared" si="24"/>
        <v>29.476799999999994</v>
      </c>
      <c r="AG95" s="11">
        <f t="shared" si="26"/>
        <v>41.110199999999999</v>
      </c>
      <c r="AH95" s="11">
        <f t="shared" si="22"/>
        <v>41.110199999999999</v>
      </c>
      <c r="AI95" s="33">
        <f t="shared" si="27"/>
        <v>2.7406799999999998</v>
      </c>
      <c r="AJ95" s="11">
        <f t="shared" si="25"/>
        <v>2.7406799999999998</v>
      </c>
    </row>
    <row r="96" spans="1:36" x14ac:dyDescent="0.25">
      <c r="A96" s="4" t="s">
        <v>945</v>
      </c>
      <c r="B96" s="4" t="s">
        <v>1068</v>
      </c>
      <c r="C96" t="s">
        <v>386</v>
      </c>
      <c r="D96" s="4" t="s">
        <v>1004</v>
      </c>
      <c r="E96" t="s">
        <v>1067</v>
      </c>
      <c r="F96" t="s">
        <v>360</v>
      </c>
      <c r="G96" t="s">
        <v>361</v>
      </c>
      <c r="H96">
        <v>20</v>
      </c>
      <c r="I96">
        <v>15</v>
      </c>
      <c r="J96" t="s">
        <v>13</v>
      </c>
      <c r="K96" t="s">
        <v>386</v>
      </c>
      <c r="L96" t="s">
        <v>1033</v>
      </c>
      <c r="M96" t="s">
        <v>435</v>
      </c>
      <c r="N96" t="s">
        <v>435</v>
      </c>
      <c r="P96">
        <v>1.96</v>
      </c>
      <c r="Q96" t="s">
        <v>180</v>
      </c>
      <c r="T96">
        <v>1</v>
      </c>
      <c r="U96" t="s">
        <v>1006</v>
      </c>
      <c r="W96">
        <v>1920</v>
      </c>
      <c r="X96" t="s">
        <v>184</v>
      </c>
      <c r="AA96" s="13">
        <f>Tableau8[[#This Row],[density (kg/m2) or specific weight (kg/m2)]]*Tableau8[[#This Row],[nb of item used ]]*Tableau8[[#This Row],[volume or area]]</f>
        <v>3763.2</v>
      </c>
      <c r="AB96">
        <v>3</v>
      </c>
      <c r="AC96">
        <v>0.24</v>
      </c>
      <c r="AD96" s="11">
        <f t="shared" si="20"/>
        <v>564.4799999999999</v>
      </c>
      <c r="AE96" s="11">
        <f>_xlfn.RANK.AVG(Tableau8[[#This Row],[EE ( MJ/m²)]],AD96:AD1251)</f>
        <v>35</v>
      </c>
      <c r="AF96" s="11">
        <f t="shared" si="24"/>
        <v>37.631999999999991</v>
      </c>
      <c r="AG96" s="11">
        <f t="shared" si="26"/>
        <v>45.158399999999993</v>
      </c>
      <c r="AH96" s="11">
        <f t="shared" si="22"/>
        <v>45.158399999999993</v>
      </c>
      <c r="AI96" s="33">
        <f t="shared" si="27"/>
        <v>3.0105599999999995</v>
      </c>
      <c r="AJ96" s="11">
        <f t="shared" si="25"/>
        <v>3.0105599999999995</v>
      </c>
    </row>
    <row r="97" spans="1:36" x14ac:dyDescent="0.25">
      <c r="A97" s="4" t="s">
        <v>945</v>
      </c>
      <c r="B97" s="4" t="s">
        <v>1068</v>
      </c>
      <c r="C97" t="s">
        <v>386</v>
      </c>
      <c r="D97" s="4" t="s">
        <v>1004</v>
      </c>
      <c r="E97" t="s">
        <v>1067</v>
      </c>
      <c r="F97" t="s">
        <v>360</v>
      </c>
      <c r="G97" t="s">
        <v>361</v>
      </c>
      <c r="H97">
        <v>20</v>
      </c>
      <c r="I97">
        <v>15</v>
      </c>
      <c r="J97" t="s">
        <v>40</v>
      </c>
      <c r="K97" t="s">
        <v>386</v>
      </c>
      <c r="L97" t="s">
        <v>369</v>
      </c>
      <c r="M97" t="s">
        <v>435</v>
      </c>
      <c r="N97" t="s">
        <v>435</v>
      </c>
      <c r="P97">
        <v>4</v>
      </c>
      <c r="Q97" t="s">
        <v>180</v>
      </c>
      <c r="R97" t="s">
        <v>176</v>
      </c>
      <c r="S97" t="s">
        <v>1069</v>
      </c>
      <c r="T97">
        <v>1</v>
      </c>
      <c r="U97" t="s">
        <v>1006</v>
      </c>
      <c r="W97">
        <v>1920</v>
      </c>
      <c r="X97" t="s">
        <v>184</v>
      </c>
      <c r="AA97" s="13">
        <f>Tableau8[[#This Row],[density (kg/m2) or specific weight (kg/m2)]]*Tableau8[[#This Row],[nb of item used ]]*Tableau8[[#This Row],[volume or area]]</f>
        <v>7680</v>
      </c>
      <c r="AB97">
        <v>3</v>
      </c>
      <c r="AC97">
        <v>0.24</v>
      </c>
      <c r="AD97" s="11">
        <f t="shared" si="20"/>
        <v>1152</v>
      </c>
      <c r="AE97" s="11">
        <f>_xlfn.RANK.AVG(Tableau8[[#This Row],[EE ( MJ/m²)]],AD97:AD1252)</f>
        <v>8</v>
      </c>
      <c r="AF97" s="11">
        <f t="shared" si="24"/>
        <v>76.8</v>
      </c>
      <c r="AG97" s="11">
        <f t="shared" si="26"/>
        <v>92.16</v>
      </c>
      <c r="AH97" s="11">
        <f t="shared" si="22"/>
        <v>92.16</v>
      </c>
      <c r="AI97" s="33">
        <f t="shared" si="27"/>
        <v>6.1440000000000001</v>
      </c>
      <c r="AJ97" s="11">
        <f t="shared" si="25"/>
        <v>6.1440000000000001</v>
      </c>
    </row>
    <row r="98" spans="1:36" x14ac:dyDescent="0.25">
      <c r="A98" s="4" t="s">
        <v>945</v>
      </c>
      <c r="B98" s="4" t="s">
        <v>1068</v>
      </c>
      <c r="C98" t="s">
        <v>386</v>
      </c>
      <c r="D98" s="4" t="s">
        <v>1004</v>
      </c>
      <c r="E98" t="s">
        <v>1067</v>
      </c>
      <c r="F98" t="s">
        <v>360</v>
      </c>
      <c r="G98" t="s">
        <v>361</v>
      </c>
      <c r="H98">
        <v>20</v>
      </c>
      <c r="I98">
        <v>15</v>
      </c>
      <c r="J98" t="s">
        <v>40</v>
      </c>
      <c r="K98" t="s">
        <v>386</v>
      </c>
      <c r="L98" t="s">
        <v>369</v>
      </c>
      <c r="M98" t="s">
        <v>435</v>
      </c>
      <c r="N98" t="s">
        <v>435</v>
      </c>
      <c r="O98" t="s">
        <v>1070</v>
      </c>
      <c r="P98">
        <v>2</v>
      </c>
      <c r="Q98" t="s">
        <v>180</v>
      </c>
      <c r="R98" t="s">
        <v>176</v>
      </c>
      <c r="S98" t="s">
        <v>1074</v>
      </c>
      <c r="T98">
        <v>1</v>
      </c>
      <c r="U98" t="s">
        <v>1006</v>
      </c>
      <c r="W98">
        <v>1920</v>
      </c>
      <c r="X98" t="s">
        <v>184</v>
      </c>
      <c r="AA98" s="13">
        <f>Tableau8[[#This Row],[density (kg/m2) or specific weight (kg/m2)]]*Tableau8[[#This Row],[nb of item used ]]*Tableau8[[#This Row],[volume or area]]</f>
        <v>3840</v>
      </c>
      <c r="AB98">
        <v>3</v>
      </c>
      <c r="AC98">
        <v>0.24</v>
      </c>
      <c r="AD98" s="11">
        <f t="shared" ref="AD98:AD129" si="28">AB98*AA98/H98</f>
        <v>576</v>
      </c>
      <c r="AE98" s="11">
        <f>_xlfn.RANK.AVG(Tableau8[[#This Row],[EE ( MJ/m²)]],AD98:AD1253)</f>
        <v>33</v>
      </c>
      <c r="AF98" s="11">
        <f t="shared" si="24"/>
        <v>38.4</v>
      </c>
      <c r="AG98" s="11">
        <f t="shared" si="26"/>
        <v>46.08</v>
      </c>
      <c r="AH98" s="11">
        <f t="shared" ref="AH98:AH129" si="29">AC98*AA98/H98</f>
        <v>46.08</v>
      </c>
      <c r="AI98" s="33">
        <f t="shared" si="27"/>
        <v>3.0720000000000001</v>
      </c>
      <c r="AJ98" s="11">
        <f t="shared" si="25"/>
        <v>3.0720000000000001</v>
      </c>
    </row>
    <row r="99" spans="1:36" x14ac:dyDescent="0.25">
      <c r="A99" s="4" t="s">
        <v>945</v>
      </c>
      <c r="B99" s="4" t="s">
        <v>1068</v>
      </c>
      <c r="C99" t="s">
        <v>386</v>
      </c>
      <c r="D99" s="4" t="s">
        <v>1004</v>
      </c>
      <c r="E99" t="s">
        <v>1067</v>
      </c>
      <c r="F99" t="s">
        <v>360</v>
      </c>
      <c r="G99" t="s">
        <v>361</v>
      </c>
      <c r="H99">
        <v>20</v>
      </c>
      <c r="I99">
        <v>15</v>
      </c>
      <c r="J99" t="s">
        <v>1023</v>
      </c>
      <c r="K99" t="s">
        <v>386</v>
      </c>
      <c r="L99" t="s">
        <v>1072</v>
      </c>
      <c r="M99" t="s">
        <v>435</v>
      </c>
      <c r="N99" t="s">
        <v>435</v>
      </c>
      <c r="P99" s="20">
        <v>1.3</v>
      </c>
      <c r="Q99" s="20" t="s">
        <v>180</v>
      </c>
      <c r="R99" t="s">
        <v>176</v>
      </c>
      <c r="T99">
        <v>1</v>
      </c>
      <c r="U99" t="s">
        <v>175</v>
      </c>
      <c r="W99" s="16">
        <v>1920</v>
      </c>
      <c r="X99" t="s">
        <v>184</v>
      </c>
      <c r="AA99" s="13">
        <f>Tableau8[[#This Row],[density (kg/m2) or specific weight (kg/m2)]]*Tableau8[[#This Row],[nb of item used ]]*Tableau8[[#This Row],[volume or area]]</f>
        <v>2496</v>
      </c>
      <c r="AB99">
        <v>3</v>
      </c>
      <c r="AC99">
        <v>0.24</v>
      </c>
      <c r="AD99" s="11">
        <f t="shared" si="28"/>
        <v>374.4</v>
      </c>
      <c r="AE99" s="11">
        <f>_xlfn.RANK.AVG(Tableau8[[#This Row],[EE ( MJ/m²)]],AD99:AD1254)</f>
        <v>45</v>
      </c>
      <c r="AF99" s="11">
        <f t="shared" si="24"/>
        <v>24.959999999999997</v>
      </c>
      <c r="AG99" s="11">
        <f t="shared" si="26"/>
        <v>29.951999999999998</v>
      </c>
      <c r="AH99" s="11">
        <f t="shared" si="29"/>
        <v>29.951999999999998</v>
      </c>
      <c r="AI99" s="33">
        <f t="shared" si="27"/>
        <v>1.9967999999999999</v>
      </c>
      <c r="AJ99" s="11">
        <f t="shared" si="25"/>
        <v>1.9967999999999999</v>
      </c>
    </row>
    <row r="100" spans="1:36" x14ac:dyDescent="0.25">
      <c r="A100" s="4" t="s">
        <v>945</v>
      </c>
      <c r="B100" s="4" t="s">
        <v>1068</v>
      </c>
      <c r="C100" t="s">
        <v>386</v>
      </c>
      <c r="D100" s="4" t="s">
        <v>1004</v>
      </c>
      <c r="E100" t="s">
        <v>1067</v>
      </c>
      <c r="F100" t="s">
        <v>360</v>
      </c>
      <c r="G100" t="s">
        <v>361</v>
      </c>
      <c r="H100">
        <v>20</v>
      </c>
      <c r="I100">
        <v>15</v>
      </c>
      <c r="J100" t="s">
        <v>219</v>
      </c>
      <c r="K100" t="s">
        <v>386</v>
      </c>
      <c r="L100" t="s">
        <v>68</v>
      </c>
      <c r="M100" t="s">
        <v>435</v>
      </c>
      <c r="N100" t="s">
        <v>435</v>
      </c>
      <c r="P100" s="20">
        <v>6</v>
      </c>
      <c r="Q100" s="20" t="s">
        <v>180</v>
      </c>
      <c r="R100" t="s">
        <v>176</v>
      </c>
      <c r="T100">
        <v>1</v>
      </c>
      <c r="U100" t="s">
        <v>175</v>
      </c>
      <c r="W100">
        <v>1920</v>
      </c>
      <c r="X100" t="s">
        <v>184</v>
      </c>
      <c r="AA100" s="13">
        <f>Tableau8[[#This Row],[density (kg/m2) or specific weight (kg/m2)]]*Tableau8[[#This Row],[nb of item used ]]*Tableau8[[#This Row],[volume or area]]</f>
        <v>11520</v>
      </c>
      <c r="AB100">
        <v>3</v>
      </c>
      <c r="AC100">
        <v>0.24</v>
      </c>
      <c r="AD100" s="11">
        <f t="shared" si="28"/>
        <v>1728</v>
      </c>
      <c r="AE100" s="11">
        <f>_xlfn.RANK.AVG(Tableau8[[#This Row],[EE ( MJ/m²)]],AD100:AD1255)</f>
        <v>4</v>
      </c>
      <c r="AF100" s="11">
        <f t="shared" si="24"/>
        <v>115.2</v>
      </c>
      <c r="AG100" s="11">
        <f t="shared" si="26"/>
        <v>138.23999999999998</v>
      </c>
      <c r="AH100" s="11">
        <f t="shared" si="29"/>
        <v>138.23999999999998</v>
      </c>
      <c r="AI100" s="33">
        <f t="shared" si="27"/>
        <v>9.2159999999999993</v>
      </c>
      <c r="AJ100" s="11">
        <f t="shared" si="25"/>
        <v>9.2159999999999993</v>
      </c>
    </row>
    <row r="101" spans="1:36" x14ac:dyDescent="0.25">
      <c r="A101" s="4" t="s">
        <v>945</v>
      </c>
      <c r="B101" s="4" t="s">
        <v>1068</v>
      </c>
      <c r="C101" s="4" t="s">
        <v>1077</v>
      </c>
      <c r="D101" s="4" t="s">
        <v>1004</v>
      </c>
      <c r="E101" t="s">
        <v>1067</v>
      </c>
      <c r="F101" t="s">
        <v>360</v>
      </c>
      <c r="G101" t="s">
        <v>361</v>
      </c>
      <c r="H101">
        <v>20</v>
      </c>
      <c r="I101">
        <v>15</v>
      </c>
      <c r="J101" t="s">
        <v>44</v>
      </c>
      <c r="K101" t="s">
        <v>307</v>
      </c>
      <c r="L101" t="s">
        <v>1077</v>
      </c>
      <c r="M101" t="s">
        <v>1077</v>
      </c>
      <c r="N101" t="s">
        <v>307</v>
      </c>
      <c r="R101" t="s">
        <v>175</v>
      </c>
      <c r="T101">
        <v>1</v>
      </c>
      <c r="U101" t="s">
        <v>175</v>
      </c>
      <c r="W101" s="16">
        <v>1020</v>
      </c>
      <c r="X101" t="s">
        <v>184</v>
      </c>
      <c r="Z101" t="s">
        <v>1237</v>
      </c>
      <c r="AA101" s="13">
        <v>2</v>
      </c>
      <c r="AB101">
        <v>30</v>
      </c>
      <c r="AC101">
        <v>20</v>
      </c>
      <c r="AD101" s="11">
        <f t="shared" si="28"/>
        <v>3</v>
      </c>
      <c r="AE101" s="11">
        <f>_xlfn.RANK.AVG(Tableau8[[#This Row],[EE ( MJ/m²)]],AD101:AD1256)</f>
        <v>733</v>
      </c>
      <c r="AF101" s="11">
        <f t="shared" si="24"/>
        <v>0.2</v>
      </c>
      <c r="AG101" s="11">
        <f t="shared" si="26"/>
        <v>2</v>
      </c>
      <c r="AH101" s="11">
        <f t="shared" si="29"/>
        <v>2</v>
      </c>
      <c r="AI101" s="33">
        <f t="shared" si="27"/>
        <v>0.13333333333333333</v>
      </c>
      <c r="AJ101" s="11">
        <f t="shared" si="25"/>
        <v>0.13333333333333333</v>
      </c>
    </row>
    <row r="102" spans="1:36" x14ac:dyDescent="0.25">
      <c r="A102" s="4" t="s">
        <v>945</v>
      </c>
      <c r="B102" s="4" t="s">
        <v>1068</v>
      </c>
      <c r="C102" s="4" t="s">
        <v>998</v>
      </c>
      <c r="D102" s="4" t="s">
        <v>1004</v>
      </c>
      <c r="E102" t="s">
        <v>1067</v>
      </c>
      <c r="F102" t="s">
        <v>360</v>
      </c>
      <c r="G102" t="s">
        <v>361</v>
      </c>
      <c r="H102">
        <v>20</v>
      </c>
      <c r="I102">
        <v>15</v>
      </c>
      <c r="J102" t="s">
        <v>56</v>
      </c>
      <c r="K102" t="s">
        <v>15</v>
      </c>
      <c r="L102" t="s">
        <v>235</v>
      </c>
      <c r="M102" t="s">
        <v>235</v>
      </c>
      <c r="N102" t="s">
        <v>235</v>
      </c>
      <c r="P102">
        <v>1.69</v>
      </c>
      <c r="Q102" t="s">
        <v>180</v>
      </c>
      <c r="R102" t="s">
        <v>176</v>
      </c>
      <c r="T102">
        <v>1</v>
      </c>
      <c r="U102" t="s">
        <v>175</v>
      </c>
      <c r="W102">
        <v>100</v>
      </c>
      <c r="X102" t="s">
        <v>184</v>
      </c>
      <c r="AA102" s="13">
        <f>Tableau8[[#This Row],[density (kg/m2) or specific weight (kg/m2)]]*Tableau8[[#This Row],[nb of item used ]]*Tableau8[[#This Row],[volume or area]]</f>
        <v>169</v>
      </c>
      <c r="AB102">
        <v>13.13</v>
      </c>
      <c r="AC102">
        <v>12.37</v>
      </c>
      <c r="AD102" s="11">
        <f t="shared" si="28"/>
        <v>110.94850000000001</v>
      </c>
      <c r="AE102" s="11">
        <f>_xlfn.RANK.AVG(Tableau8[[#This Row],[EE ( MJ/m²)]],AD102:AD1257)</f>
        <v>144</v>
      </c>
      <c r="AF102" s="11">
        <f t="shared" si="24"/>
        <v>7.3965666666666676</v>
      </c>
      <c r="AG102" s="11">
        <f t="shared" si="26"/>
        <v>104.52649999999998</v>
      </c>
      <c r="AH102" s="11">
        <f t="shared" si="29"/>
        <v>104.52649999999998</v>
      </c>
      <c r="AI102" s="33">
        <f t="shared" si="27"/>
        <v>6.9684333333333326</v>
      </c>
      <c r="AJ102" s="11">
        <f t="shared" si="25"/>
        <v>6.9684333333333326</v>
      </c>
    </row>
    <row r="103" spans="1:36" x14ac:dyDescent="0.25">
      <c r="A103" s="4" t="s">
        <v>945</v>
      </c>
      <c r="B103" s="4" t="s">
        <v>1068</v>
      </c>
      <c r="C103" s="4" t="s">
        <v>998</v>
      </c>
      <c r="D103" s="4" t="s">
        <v>1004</v>
      </c>
      <c r="E103" t="s">
        <v>1067</v>
      </c>
      <c r="F103" t="s">
        <v>360</v>
      </c>
      <c r="G103" t="s">
        <v>361</v>
      </c>
      <c r="H103">
        <v>20</v>
      </c>
      <c r="I103">
        <v>15</v>
      </c>
      <c r="J103" t="s">
        <v>56</v>
      </c>
      <c r="K103" t="s">
        <v>15</v>
      </c>
      <c r="L103" t="s">
        <v>1075</v>
      </c>
      <c r="M103" t="s">
        <v>235</v>
      </c>
      <c r="N103" t="s">
        <v>235</v>
      </c>
      <c r="P103">
        <v>0.28000000000000003</v>
      </c>
      <c r="Q103" t="s">
        <v>180</v>
      </c>
      <c r="R103" t="s">
        <v>176</v>
      </c>
      <c r="T103">
        <v>1</v>
      </c>
      <c r="U103" t="s">
        <v>175</v>
      </c>
      <c r="W103">
        <v>100</v>
      </c>
      <c r="X103" t="s">
        <v>184</v>
      </c>
      <c r="AA103" s="13">
        <f>Tableau8[[#This Row],[density (kg/m2) or specific weight (kg/m2)]]*Tableau8[[#This Row],[nb of item used ]]*Tableau8[[#This Row],[volume or area]]</f>
        <v>28.000000000000004</v>
      </c>
      <c r="AB103">
        <v>13.13</v>
      </c>
      <c r="AC103">
        <v>12.37</v>
      </c>
      <c r="AD103" s="11">
        <f t="shared" si="28"/>
        <v>18.382000000000001</v>
      </c>
      <c r="AE103" s="11">
        <f>_xlfn.RANK.AVG(Tableau8[[#This Row],[EE ( MJ/m²)]],AD103:AD1258)</f>
        <v>424</v>
      </c>
      <c r="AF103" s="11">
        <f t="shared" si="24"/>
        <v>1.2254666666666667</v>
      </c>
      <c r="AG103" s="11">
        <f t="shared" si="26"/>
        <v>17.318000000000001</v>
      </c>
      <c r="AH103" s="11">
        <f t="shared" si="29"/>
        <v>17.318000000000001</v>
      </c>
      <c r="AI103" s="33">
        <f t="shared" si="27"/>
        <v>1.1545333333333334</v>
      </c>
      <c r="AJ103" s="11">
        <f t="shared" si="25"/>
        <v>1.1545333333333334</v>
      </c>
    </row>
    <row r="104" spans="1:36" x14ac:dyDescent="0.25">
      <c r="A104" s="4" t="s">
        <v>945</v>
      </c>
      <c r="B104" s="4" t="s">
        <v>1089</v>
      </c>
      <c r="C104" s="4" t="s">
        <v>12</v>
      </c>
      <c r="D104" s="4" t="s">
        <v>1004</v>
      </c>
      <c r="E104" t="s">
        <v>1083</v>
      </c>
      <c r="F104" t="s">
        <v>360</v>
      </c>
      <c r="G104" t="s">
        <v>1079</v>
      </c>
      <c r="H104">
        <v>36</v>
      </c>
      <c r="I104">
        <v>20</v>
      </c>
      <c r="J104" t="s">
        <v>56</v>
      </c>
      <c r="K104" t="s">
        <v>17</v>
      </c>
      <c r="L104" t="s">
        <v>1085</v>
      </c>
      <c r="M104" t="s">
        <v>12</v>
      </c>
      <c r="N104" t="s">
        <v>12</v>
      </c>
      <c r="R104" t="s">
        <v>187</v>
      </c>
      <c r="T104">
        <v>1</v>
      </c>
      <c r="U104" t="s">
        <v>346</v>
      </c>
      <c r="W104">
        <v>7800</v>
      </c>
      <c r="X104" t="s">
        <v>184</v>
      </c>
      <c r="AA104" s="13">
        <v>600</v>
      </c>
      <c r="AB104">
        <v>25.3</v>
      </c>
      <c r="AC104">
        <v>1.95</v>
      </c>
      <c r="AD104" s="11">
        <f t="shared" si="28"/>
        <v>421.66666666666669</v>
      </c>
      <c r="AE104" s="11">
        <f>_xlfn.RANK.AVG(Tableau8[[#This Row],[EE ( MJ/m²)]],AD104:AD1259)</f>
        <v>38</v>
      </c>
      <c r="AF104" s="11">
        <f t="shared" si="24"/>
        <v>21.083333333333336</v>
      </c>
      <c r="AG104" s="11">
        <f t="shared" si="26"/>
        <v>32.5</v>
      </c>
      <c r="AH104" s="11">
        <f t="shared" si="29"/>
        <v>32.5</v>
      </c>
      <c r="AI104" s="33">
        <f t="shared" si="27"/>
        <v>1.625</v>
      </c>
      <c r="AJ104" s="11">
        <f t="shared" si="25"/>
        <v>1.625</v>
      </c>
    </row>
    <row r="105" spans="1:36" x14ac:dyDescent="0.25">
      <c r="A105" s="4" t="s">
        <v>945</v>
      </c>
      <c r="B105" s="4" t="s">
        <v>1089</v>
      </c>
      <c r="C105" s="4" t="s">
        <v>12</v>
      </c>
      <c r="D105" s="4" t="s">
        <v>1004</v>
      </c>
      <c r="E105" t="s">
        <v>1083</v>
      </c>
      <c r="F105" t="s">
        <v>360</v>
      </c>
      <c r="G105" t="s">
        <v>1079</v>
      </c>
      <c r="H105">
        <v>36</v>
      </c>
      <c r="I105">
        <v>20</v>
      </c>
      <c r="J105" t="s">
        <v>56</v>
      </c>
      <c r="K105" t="s">
        <v>17</v>
      </c>
      <c r="L105" t="s">
        <v>274</v>
      </c>
      <c r="M105" t="s">
        <v>12</v>
      </c>
      <c r="N105" t="s">
        <v>12</v>
      </c>
      <c r="P105">
        <v>0.14449999999999999</v>
      </c>
      <c r="Q105" t="s">
        <v>180</v>
      </c>
      <c r="R105" t="s">
        <v>176</v>
      </c>
      <c r="T105">
        <v>1</v>
      </c>
      <c r="U105" t="s">
        <v>1006</v>
      </c>
      <c r="W105">
        <v>7800</v>
      </c>
      <c r="X105" t="s">
        <v>184</v>
      </c>
      <c r="AA105" s="13">
        <f>Tableau8[[#This Row],[density (kg/m2) or specific weight (kg/m2)]]*Tableau8[[#This Row],[volume or area]]</f>
        <v>1127.0999999999999</v>
      </c>
      <c r="AB105">
        <v>25.3</v>
      </c>
      <c r="AC105">
        <v>1.95</v>
      </c>
      <c r="AD105" s="11">
        <f t="shared" si="28"/>
        <v>792.1008333333333</v>
      </c>
      <c r="AE105" s="11">
        <f>_xlfn.RANK.AVG(Tableau8[[#This Row],[EE ( MJ/m²)]],AD105:AD1260)</f>
        <v>15</v>
      </c>
      <c r="AF105" s="11">
        <f t="shared" si="24"/>
        <v>39.605041666666665</v>
      </c>
      <c r="AG105" s="11">
        <f t="shared" si="26"/>
        <v>61.051249999999996</v>
      </c>
      <c r="AH105" s="11">
        <f t="shared" si="29"/>
        <v>61.051249999999996</v>
      </c>
      <c r="AI105" s="33">
        <f t="shared" si="27"/>
        <v>3.0525624999999996</v>
      </c>
      <c r="AJ105" s="11">
        <f t="shared" si="25"/>
        <v>3.0525624999999996</v>
      </c>
    </row>
    <row r="106" spans="1:36" x14ac:dyDescent="0.25">
      <c r="A106" s="4" t="s">
        <v>945</v>
      </c>
      <c r="B106" s="4" t="s">
        <v>1089</v>
      </c>
      <c r="C106" s="4" t="s">
        <v>12</v>
      </c>
      <c r="D106" s="4" t="s">
        <v>1004</v>
      </c>
      <c r="E106" t="s">
        <v>1083</v>
      </c>
      <c r="F106" t="s">
        <v>360</v>
      </c>
      <c r="G106" t="s">
        <v>1079</v>
      </c>
      <c r="H106">
        <v>36</v>
      </c>
      <c r="I106">
        <v>20</v>
      </c>
      <c r="J106" t="s">
        <v>56</v>
      </c>
      <c r="K106" t="s">
        <v>17</v>
      </c>
      <c r="L106" t="s">
        <v>628</v>
      </c>
      <c r="M106" t="s">
        <v>12</v>
      </c>
      <c r="N106" t="s">
        <v>12</v>
      </c>
      <c r="O106" t="s">
        <v>1086</v>
      </c>
      <c r="P106">
        <v>0.01</v>
      </c>
      <c r="Q106" t="s">
        <v>180</v>
      </c>
      <c r="R106" t="s">
        <v>187</v>
      </c>
      <c r="T106">
        <v>1</v>
      </c>
      <c r="U106" t="s">
        <v>346</v>
      </c>
      <c r="W106">
        <v>7800</v>
      </c>
      <c r="X106" t="s">
        <v>184</v>
      </c>
      <c r="AA106" s="13">
        <f>Tableau8[[#This Row],[density (kg/m2) or specific weight (kg/m2)]]*Tableau8[[#This Row],[volume or area]]</f>
        <v>78</v>
      </c>
      <c r="AB106">
        <v>25.3</v>
      </c>
      <c r="AC106">
        <v>1.95</v>
      </c>
      <c r="AD106" s="11">
        <f t="shared" si="28"/>
        <v>54.81666666666667</v>
      </c>
      <c r="AE106" s="11">
        <f>_xlfn.RANK.AVG(Tableau8[[#This Row],[EE ( MJ/m²)]],AD106:AD1261)</f>
        <v>233</v>
      </c>
      <c r="AF106" s="11">
        <f t="shared" si="24"/>
        <v>2.7408333333333337</v>
      </c>
      <c r="AG106" s="11">
        <f t="shared" si="26"/>
        <v>4.2249999999999996</v>
      </c>
      <c r="AH106" s="11">
        <f t="shared" si="29"/>
        <v>4.2249999999999996</v>
      </c>
      <c r="AI106" s="33">
        <f t="shared" si="27"/>
        <v>0.21124999999999999</v>
      </c>
      <c r="AJ106" s="11">
        <f t="shared" si="25"/>
        <v>0.21124999999999999</v>
      </c>
    </row>
    <row r="107" spans="1:36" x14ac:dyDescent="0.25">
      <c r="A107" s="4" t="s">
        <v>945</v>
      </c>
      <c r="B107" s="4" t="s">
        <v>1089</v>
      </c>
      <c r="C107" s="4" t="s">
        <v>12</v>
      </c>
      <c r="D107" s="4" t="s">
        <v>1004</v>
      </c>
      <c r="E107" t="s">
        <v>1083</v>
      </c>
      <c r="F107" t="s">
        <v>360</v>
      </c>
      <c r="G107" t="s">
        <v>1079</v>
      </c>
      <c r="H107">
        <v>36</v>
      </c>
      <c r="I107">
        <v>20</v>
      </c>
      <c r="J107" t="s">
        <v>40</v>
      </c>
      <c r="K107" t="s">
        <v>17</v>
      </c>
      <c r="L107" t="s">
        <v>551</v>
      </c>
      <c r="M107" t="s">
        <v>12</v>
      </c>
      <c r="N107" t="s">
        <v>12</v>
      </c>
      <c r="R107" t="s">
        <v>187</v>
      </c>
      <c r="T107">
        <v>1</v>
      </c>
      <c r="U107" t="s">
        <v>346</v>
      </c>
      <c r="W107">
        <v>7800</v>
      </c>
      <c r="X107" t="s">
        <v>184</v>
      </c>
      <c r="AA107" s="13">
        <v>50</v>
      </c>
      <c r="AB107">
        <v>25.3</v>
      </c>
      <c r="AC107">
        <v>1.95</v>
      </c>
      <c r="AD107" s="11">
        <f t="shared" si="28"/>
        <v>35.138888888888886</v>
      </c>
      <c r="AE107" s="11">
        <f>_xlfn.RANK.AVG(Tableau8[[#This Row],[EE ( MJ/m²)]],AD107:AD1262)</f>
        <v>311</v>
      </c>
      <c r="AF107" s="11">
        <f t="shared" si="24"/>
        <v>1.7569444444444442</v>
      </c>
      <c r="AG107" s="11">
        <f t="shared" si="26"/>
        <v>2.7083333333333335</v>
      </c>
      <c r="AH107" s="11">
        <f t="shared" si="29"/>
        <v>2.7083333333333335</v>
      </c>
      <c r="AI107" s="33">
        <f t="shared" si="27"/>
        <v>0.13541666666666669</v>
      </c>
      <c r="AJ107" s="11">
        <f t="shared" si="25"/>
        <v>0.13541666666666669</v>
      </c>
    </row>
    <row r="108" spans="1:36" x14ac:dyDescent="0.25">
      <c r="A108" s="4" t="s">
        <v>945</v>
      </c>
      <c r="B108" s="4" t="s">
        <v>1089</v>
      </c>
      <c r="C108" s="4" t="s">
        <v>12</v>
      </c>
      <c r="D108" s="4" t="s">
        <v>1004</v>
      </c>
      <c r="E108" t="s">
        <v>1083</v>
      </c>
      <c r="F108" t="s">
        <v>360</v>
      </c>
      <c r="G108" t="s">
        <v>1079</v>
      </c>
      <c r="H108">
        <v>36</v>
      </c>
      <c r="I108">
        <v>20</v>
      </c>
      <c r="J108" t="s">
        <v>44</v>
      </c>
      <c r="K108" t="s">
        <v>17</v>
      </c>
      <c r="L108" t="s">
        <v>9</v>
      </c>
      <c r="M108" t="s">
        <v>12</v>
      </c>
      <c r="N108" t="s">
        <v>12</v>
      </c>
      <c r="R108" t="s">
        <v>187</v>
      </c>
      <c r="T108">
        <v>1</v>
      </c>
      <c r="U108" t="s">
        <v>346</v>
      </c>
      <c r="W108">
        <v>7800</v>
      </c>
      <c r="X108" t="s">
        <v>184</v>
      </c>
      <c r="AA108" s="13">
        <v>7</v>
      </c>
      <c r="AB108">
        <v>25.3</v>
      </c>
      <c r="AC108">
        <v>1.95</v>
      </c>
      <c r="AD108" s="11">
        <f t="shared" si="28"/>
        <v>4.9194444444444443</v>
      </c>
      <c r="AE108" s="11">
        <f>_xlfn.RANK.AVG(Tableau8[[#This Row],[EE ( MJ/m²)]],AD108:AD1263)</f>
        <v>665</v>
      </c>
      <c r="AF108" s="11">
        <f t="shared" si="24"/>
        <v>0.2459722222222222</v>
      </c>
      <c r="AG108" s="11">
        <f t="shared" si="26"/>
        <v>0.37916666666666665</v>
      </c>
      <c r="AH108" s="11">
        <f t="shared" si="29"/>
        <v>0.37916666666666665</v>
      </c>
      <c r="AI108" s="33">
        <f t="shared" si="27"/>
        <v>1.8958333333333334E-2</v>
      </c>
      <c r="AJ108" s="11">
        <f t="shared" si="25"/>
        <v>1.8958333333333334E-2</v>
      </c>
    </row>
    <row r="109" spans="1:36" x14ac:dyDescent="0.25">
      <c r="A109" s="4" t="s">
        <v>945</v>
      </c>
      <c r="B109" s="4" t="s">
        <v>1089</v>
      </c>
      <c r="C109" s="4" t="s">
        <v>12</v>
      </c>
      <c r="D109" s="4" t="s">
        <v>1004</v>
      </c>
      <c r="E109" t="s">
        <v>1083</v>
      </c>
      <c r="F109" t="s">
        <v>360</v>
      </c>
      <c r="G109" t="s">
        <v>1079</v>
      </c>
      <c r="H109">
        <v>36</v>
      </c>
      <c r="I109">
        <v>20</v>
      </c>
      <c r="J109" t="s">
        <v>40</v>
      </c>
      <c r="K109" t="s">
        <v>17</v>
      </c>
      <c r="L109" t="s">
        <v>715</v>
      </c>
      <c r="M109" t="s">
        <v>236</v>
      </c>
      <c r="N109" t="s">
        <v>12</v>
      </c>
      <c r="R109" t="s">
        <v>175</v>
      </c>
      <c r="T109">
        <v>1</v>
      </c>
      <c r="U109" t="s">
        <v>175</v>
      </c>
      <c r="W109">
        <v>7800</v>
      </c>
      <c r="X109" t="s">
        <v>184</v>
      </c>
      <c r="AA109" s="13">
        <v>100</v>
      </c>
      <c r="AB109">
        <v>25.3</v>
      </c>
      <c r="AC109">
        <v>1.95</v>
      </c>
      <c r="AD109" s="11">
        <f t="shared" si="28"/>
        <v>70.277777777777771</v>
      </c>
      <c r="AE109" s="11">
        <f>_xlfn.RANK.AVG(Tableau8[[#This Row],[EE ( MJ/m²)]],AD109:AD1264)</f>
        <v>203</v>
      </c>
      <c r="AF109" s="11">
        <f t="shared" si="24"/>
        <v>3.5138888888888884</v>
      </c>
      <c r="AG109" s="11">
        <f t="shared" si="26"/>
        <v>5.416666666666667</v>
      </c>
      <c r="AH109" s="11">
        <f t="shared" si="29"/>
        <v>5.416666666666667</v>
      </c>
      <c r="AI109" s="33">
        <f t="shared" si="27"/>
        <v>0.27083333333333337</v>
      </c>
      <c r="AJ109" s="11">
        <f t="shared" si="25"/>
        <v>0.27083333333333337</v>
      </c>
    </row>
    <row r="110" spans="1:36" x14ac:dyDescent="0.25">
      <c r="A110" s="23" t="s">
        <v>945</v>
      </c>
      <c r="B110" s="23" t="s">
        <v>1089</v>
      </c>
      <c r="C110" s="23" t="s">
        <v>1087</v>
      </c>
      <c r="D110" s="23" t="s">
        <v>1004</v>
      </c>
      <c r="E110" s="20" t="s">
        <v>1083</v>
      </c>
      <c r="F110" s="20" t="s">
        <v>360</v>
      </c>
      <c r="G110" s="20" t="s">
        <v>1079</v>
      </c>
      <c r="H110" s="20">
        <v>36</v>
      </c>
      <c r="I110" s="20">
        <v>20</v>
      </c>
      <c r="J110" s="20" t="s">
        <v>40</v>
      </c>
      <c r="K110" t="s">
        <v>41</v>
      </c>
      <c r="L110" s="20" t="s">
        <v>1088</v>
      </c>
      <c r="M110" s="20" t="s">
        <v>1087</v>
      </c>
      <c r="N110" s="20" t="s">
        <v>1087</v>
      </c>
      <c r="O110" s="20"/>
      <c r="P110" s="20">
        <v>0.02</v>
      </c>
      <c r="Q110" s="20" t="s">
        <v>180</v>
      </c>
      <c r="R110" s="20" t="s">
        <v>176</v>
      </c>
      <c r="S110" s="20"/>
      <c r="T110" s="20">
        <v>1</v>
      </c>
      <c r="U110" s="20" t="s">
        <v>1006</v>
      </c>
      <c r="V110" s="20"/>
      <c r="W110" s="20">
        <v>2530</v>
      </c>
      <c r="X110" s="20" t="s">
        <v>184</v>
      </c>
      <c r="Y110" s="20"/>
      <c r="Z110" s="20" t="s">
        <v>1236</v>
      </c>
      <c r="AA110" s="24">
        <f>W110*T110*P110</f>
        <v>50.6</v>
      </c>
      <c r="AB110" s="20">
        <v>18</v>
      </c>
      <c r="AC110" s="20">
        <v>10</v>
      </c>
      <c r="AD110" s="33">
        <f t="shared" si="28"/>
        <v>25.3</v>
      </c>
      <c r="AE110" s="33">
        <f>_xlfn.RANK.AVG(Tableau8[[#This Row],[EE ( MJ/m²)]],AD110:AD1265)</f>
        <v>359</v>
      </c>
      <c r="AF110" s="33">
        <f t="shared" si="24"/>
        <v>1.2650000000000001</v>
      </c>
      <c r="AG110" s="11">
        <f t="shared" si="26"/>
        <v>14.055555555555555</v>
      </c>
      <c r="AH110" s="33">
        <f t="shared" si="29"/>
        <v>14.055555555555555</v>
      </c>
      <c r="AI110" s="33">
        <f t="shared" si="27"/>
        <v>0.70277777777777772</v>
      </c>
      <c r="AJ110" s="33">
        <f t="shared" si="25"/>
        <v>0.70277777777777772</v>
      </c>
    </row>
    <row r="111" spans="1:36" x14ac:dyDescent="0.25">
      <c r="A111" s="4" t="s">
        <v>945</v>
      </c>
      <c r="B111" s="4" t="s">
        <v>1089</v>
      </c>
      <c r="C111" s="4" t="s">
        <v>1026</v>
      </c>
      <c r="D111" s="4" t="s">
        <v>1004</v>
      </c>
      <c r="E111" t="s">
        <v>1083</v>
      </c>
      <c r="F111" t="s">
        <v>360</v>
      </c>
      <c r="G111" t="s">
        <v>1079</v>
      </c>
      <c r="H111">
        <v>36</v>
      </c>
      <c r="I111">
        <v>20</v>
      </c>
      <c r="J111" t="s">
        <v>1084</v>
      </c>
      <c r="K111" t="s">
        <v>18</v>
      </c>
      <c r="L111" t="s">
        <v>638</v>
      </c>
      <c r="M111" t="s">
        <v>18</v>
      </c>
      <c r="N111" t="s">
        <v>39</v>
      </c>
      <c r="P111">
        <v>8</v>
      </c>
      <c r="Q111" t="s">
        <v>180</v>
      </c>
      <c r="R111" t="s">
        <v>176</v>
      </c>
      <c r="S111" t="s">
        <v>1243</v>
      </c>
      <c r="T111">
        <v>1</v>
      </c>
      <c r="U111" t="s">
        <v>1006</v>
      </c>
      <c r="W111">
        <v>2400</v>
      </c>
      <c r="X111" t="s">
        <v>184</v>
      </c>
      <c r="AA111" s="13">
        <f>Tableau8[[#This Row],[density (kg/m2) or specific weight (kg/m2)]]*Tableau8[[#This Row],[nb of item used ]]*Tableau8[[#This Row],[volume or area]]</f>
        <v>19200</v>
      </c>
      <c r="AB111">
        <v>0.75</v>
      </c>
      <c r="AC111">
        <v>0.105</v>
      </c>
      <c r="AD111" s="11">
        <f t="shared" si="28"/>
        <v>400</v>
      </c>
      <c r="AE111" s="11">
        <f>_xlfn.RANK.AVG(Tableau8[[#This Row],[EE ( MJ/m²)]],AD111:AD1266)</f>
        <v>40</v>
      </c>
      <c r="AF111" s="11">
        <f t="shared" si="24"/>
        <v>20</v>
      </c>
      <c r="AG111" s="11">
        <f t="shared" si="26"/>
        <v>56</v>
      </c>
      <c r="AH111" s="11">
        <f t="shared" si="29"/>
        <v>56</v>
      </c>
      <c r="AI111" s="33">
        <f t="shared" si="27"/>
        <v>2.8</v>
      </c>
      <c r="AJ111" s="11">
        <f t="shared" si="25"/>
        <v>2.8</v>
      </c>
    </row>
    <row r="112" spans="1:36" x14ac:dyDescent="0.25">
      <c r="A112" s="4" t="s">
        <v>945</v>
      </c>
      <c r="B112" s="4" t="s">
        <v>1089</v>
      </c>
      <c r="C112" s="4" t="s">
        <v>18</v>
      </c>
      <c r="D112" s="4" t="s">
        <v>1004</v>
      </c>
      <c r="E112" t="s">
        <v>1083</v>
      </c>
      <c r="F112" t="s">
        <v>360</v>
      </c>
      <c r="G112" t="s">
        <v>1079</v>
      </c>
      <c r="H112">
        <v>36</v>
      </c>
      <c r="I112">
        <v>20</v>
      </c>
      <c r="J112" t="s">
        <v>57</v>
      </c>
      <c r="K112" t="s">
        <v>18</v>
      </c>
      <c r="L112" t="s">
        <v>408</v>
      </c>
      <c r="M112" t="s">
        <v>18</v>
      </c>
      <c r="N112" t="s">
        <v>39</v>
      </c>
      <c r="P112">
        <v>1.8</v>
      </c>
      <c r="Q112" t="s">
        <v>180</v>
      </c>
      <c r="R112" t="s">
        <v>176</v>
      </c>
      <c r="T112">
        <v>1</v>
      </c>
      <c r="U112" t="s">
        <v>1006</v>
      </c>
      <c r="W112" s="16">
        <v>2400</v>
      </c>
      <c r="X112" t="s">
        <v>184</v>
      </c>
      <c r="AA112" s="13">
        <f>Tableau8[[#This Row],[density (kg/m2) or specific weight (kg/m2)]]*Tableau8[[#This Row],[nb of item used ]]*Tableau8[[#This Row],[volume or area]]</f>
        <v>4320</v>
      </c>
      <c r="AB112">
        <v>0.75</v>
      </c>
      <c r="AC112">
        <v>0.105</v>
      </c>
      <c r="AD112" s="11">
        <f t="shared" si="28"/>
        <v>90</v>
      </c>
      <c r="AE112" s="11">
        <f>_xlfn.RANK.AVG(Tableau8[[#This Row],[EE ( MJ/m²)]],AD112:AD1267)</f>
        <v>169</v>
      </c>
      <c r="AF112" s="11">
        <f t="shared" si="24"/>
        <v>4.5</v>
      </c>
      <c r="AG112" s="11">
        <f t="shared" si="26"/>
        <v>12.6</v>
      </c>
      <c r="AH112" s="11">
        <f t="shared" si="29"/>
        <v>12.6</v>
      </c>
      <c r="AI112" s="33">
        <f t="shared" si="27"/>
        <v>0.63</v>
      </c>
      <c r="AJ112" s="11">
        <f t="shared" si="25"/>
        <v>0.63</v>
      </c>
    </row>
    <row r="113" spans="1:36" x14ac:dyDescent="0.25">
      <c r="A113" s="4" t="s">
        <v>944</v>
      </c>
      <c r="B113" s="4" t="s">
        <v>1098</v>
      </c>
      <c r="C113" s="4" t="s">
        <v>15</v>
      </c>
      <c r="D113" s="4" t="s">
        <v>1004</v>
      </c>
      <c r="E113" t="s">
        <v>1107</v>
      </c>
      <c r="F113" t="s">
        <v>360</v>
      </c>
      <c r="G113" t="s">
        <v>172</v>
      </c>
      <c r="H113">
        <v>24</v>
      </c>
      <c r="I113">
        <v>15</v>
      </c>
      <c r="J113" t="s">
        <v>56</v>
      </c>
      <c r="K113" t="s">
        <v>15</v>
      </c>
      <c r="L113" t="s">
        <v>1056</v>
      </c>
      <c r="M113" t="s">
        <v>15</v>
      </c>
      <c r="N113" t="s">
        <v>15</v>
      </c>
      <c r="P113">
        <v>0.33750000000000002</v>
      </c>
      <c r="Q113" t="s">
        <v>180</v>
      </c>
      <c r="R113" t="s">
        <v>176</v>
      </c>
      <c r="T113">
        <v>1</v>
      </c>
      <c r="U113" t="s">
        <v>1006</v>
      </c>
      <c r="W113" s="16">
        <v>510</v>
      </c>
      <c r="X113" t="s">
        <v>184</v>
      </c>
      <c r="AA113" s="13">
        <f>Tableau8[[#This Row],[nb of item used ]]*Tableau8[[#This Row],[density (kg/m2) or specific weight (kg/m2)]]*Tableau8[[#This Row],[volume or area]]</f>
        <v>172.125</v>
      </c>
      <c r="AB113">
        <f>10-4.4</f>
        <v>5.6</v>
      </c>
      <c r="AC113">
        <f>0.31+0.41</f>
        <v>0.72</v>
      </c>
      <c r="AD113" s="11">
        <f t="shared" si="28"/>
        <v>40.162500000000001</v>
      </c>
      <c r="AE113" s="11">
        <f>_xlfn.RANK.AVG(Tableau8[[#This Row],[EE ( MJ/m²)]],AD113:AD1268)</f>
        <v>271</v>
      </c>
      <c r="AF113" s="11">
        <f t="shared" si="24"/>
        <v>2.6775000000000002</v>
      </c>
      <c r="AG113" s="11">
        <f>(AC113-0.41)*AA113/H113</f>
        <v>2.2232812499999999</v>
      </c>
      <c r="AH113" s="11">
        <f t="shared" si="29"/>
        <v>5.1637499999999994</v>
      </c>
      <c r="AI113" s="11">
        <f>(AC113-0.41)*AA113/H113/I113</f>
        <v>0.14821874999999998</v>
      </c>
      <c r="AJ113" s="11">
        <f t="shared" si="25"/>
        <v>0.34424999999999994</v>
      </c>
    </row>
    <row r="114" spans="1:36" x14ac:dyDescent="0.25">
      <c r="A114" s="4" t="s">
        <v>944</v>
      </c>
      <c r="B114" s="4" t="s">
        <v>1098</v>
      </c>
      <c r="C114" s="4" t="s">
        <v>12</v>
      </c>
      <c r="D114" s="4" t="s">
        <v>1004</v>
      </c>
      <c r="E114" t="s">
        <v>1107</v>
      </c>
      <c r="F114" t="s">
        <v>360</v>
      </c>
      <c r="G114" t="s">
        <v>172</v>
      </c>
      <c r="H114">
        <v>24</v>
      </c>
      <c r="I114">
        <v>15</v>
      </c>
      <c r="J114" t="s">
        <v>56</v>
      </c>
      <c r="K114" t="s">
        <v>17</v>
      </c>
      <c r="L114" t="s">
        <v>274</v>
      </c>
      <c r="M114" t="s">
        <v>12</v>
      </c>
      <c r="N114" t="s">
        <v>12</v>
      </c>
      <c r="P114">
        <f>24*0.0035</f>
        <v>8.4000000000000005E-2</v>
      </c>
      <c r="Q114" t="s">
        <v>180</v>
      </c>
      <c r="R114" t="s">
        <v>176</v>
      </c>
      <c r="T114">
        <v>1</v>
      </c>
      <c r="U114" t="s">
        <v>1006</v>
      </c>
      <c r="W114" s="16">
        <v>7800</v>
      </c>
      <c r="X114" t="s">
        <v>184</v>
      </c>
      <c r="AA114" s="13">
        <f>Tableau8[[#This Row],[density (kg/m2) or specific weight (kg/m2)]]*Tableau8[[#This Row],[volume or area]]</f>
        <v>655.20000000000005</v>
      </c>
      <c r="AB114">
        <v>25.3</v>
      </c>
      <c r="AC114">
        <v>1.95</v>
      </c>
      <c r="AD114" s="11">
        <f t="shared" si="28"/>
        <v>690.69</v>
      </c>
      <c r="AE114" s="11">
        <f>_xlfn.RANK.AVG(Tableau8[[#This Row],[EE ( MJ/m²)]],AD114:AD1269)</f>
        <v>21</v>
      </c>
      <c r="AF114" s="11">
        <f t="shared" si="24"/>
        <v>46.046000000000006</v>
      </c>
      <c r="AG114" s="11">
        <f t="shared" ref="AG114:AG121" si="30">(AC114)*AA114/H114</f>
        <v>53.235000000000007</v>
      </c>
      <c r="AH114" s="11">
        <f t="shared" si="29"/>
        <v>53.235000000000007</v>
      </c>
      <c r="AI114" s="33">
        <f t="shared" ref="AI114:AI121" si="31">(AC114)*AA114/H114/I114</f>
        <v>3.5490000000000004</v>
      </c>
      <c r="AJ114" s="11">
        <f t="shared" si="25"/>
        <v>3.5490000000000004</v>
      </c>
    </row>
    <row r="115" spans="1:36" x14ac:dyDescent="0.25">
      <c r="A115" s="4" t="s">
        <v>944</v>
      </c>
      <c r="B115" s="4" t="s">
        <v>1098</v>
      </c>
      <c r="C115" s="4" t="s">
        <v>12</v>
      </c>
      <c r="D115" s="4" t="s">
        <v>1004</v>
      </c>
      <c r="E115" t="s">
        <v>1107</v>
      </c>
      <c r="F115" t="s">
        <v>360</v>
      </c>
      <c r="G115" t="s">
        <v>172</v>
      </c>
      <c r="H115">
        <v>24</v>
      </c>
      <c r="I115">
        <v>15</v>
      </c>
      <c r="J115" t="s">
        <v>40</v>
      </c>
      <c r="K115" t="s">
        <v>17</v>
      </c>
      <c r="L115" t="s">
        <v>274</v>
      </c>
      <c r="M115" t="s">
        <v>12</v>
      </c>
      <c r="N115" t="s">
        <v>12</v>
      </c>
      <c r="O115" t="s">
        <v>1097</v>
      </c>
      <c r="P115">
        <v>7.0000000000000001E-3</v>
      </c>
      <c r="Q115" t="s">
        <v>180</v>
      </c>
      <c r="R115" t="s">
        <v>176</v>
      </c>
      <c r="T115">
        <v>1</v>
      </c>
      <c r="U115" t="s">
        <v>1006</v>
      </c>
      <c r="W115">
        <v>7800</v>
      </c>
      <c r="X115" t="s">
        <v>184</v>
      </c>
      <c r="AA115" s="13">
        <f>Tableau8[[#This Row],[density (kg/m2) or specific weight (kg/m2)]]*Tableau8[[#This Row],[volume or area]]</f>
        <v>54.6</v>
      </c>
      <c r="AB115">
        <v>25.3</v>
      </c>
      <c r="AC115">
        <v>1.95</v>
      </c>
      <c r="AD115" s="11">
        <f t="shared" si="28"/>
        <v>57.557500000000005</v>
      </c>
      <c r="AE115" s="11">
        <f>_xlfn.RANK.AVG(Tableau8[[#This Row],[EE ( MJ/m²)]],AD115:AD1270)</f>
        <v>223</v>
      </c>
      <c r="AF115" s="11">
        <f t="shared" si="24"/>
        <v>3.8371666666666671</v>
      </c>
      <c r="AG115" s="11">
        <f t="shared" si="30"/>
        <v>4.4362500000000002</v>
      </c>
      <c r="AH115" s="11">
        <f t="shared" si="29"/>
        <v>4.4362500000000002</v>
      </c>
      <c r="AI115" s="33">
        <f t="shared" si="31"/>
        <v>0.29575000000000001</v>
      </c>
      <c r="AJ115" s="11">
        <f t="shared" si="25"/>
        <v>0.29575000000000001</v>
      </c>
    </row>
    <row r="116" spans="1:36" x14ac:dyDescent="0.25">
      <c r="A116" s="4" t="s">
        <v>944</v>
      </c>
      <c r="B116" s="4" t="s">
        <v>1098</v>
      </c>
      <c r="C116" s="4" t="s">
        <v>12</v>
      </c>
      <c r="D116" s="4" t="s">
        <v>1004</v>
      </c>
      <c r="E116" t="s">
        <v>1107</v>
      </c>
      <c r="F116" t="s">
        <v>360</v>
      </c>
      <c r="G116" t="s">
        <v>172</v>
      </c>
      <c r="H116">
        <v>24</v>
      </c>
      <c r="I116">
        <v>15</v>
      </c>
      <c r="J116" t="s">
        <v>44</v>
      </c>
      <c r="K116" t="s">
        <v>17</v>
      </c>
      <c r="L116" t="s">
        <v>712</v>
      </c>
      <c r="M116" t="s">
        <v>12</v>
      </c>
      <c r="N116" t="s">
        <v>12</v>
      </c>
      <c r="O116" t="s">
        <v>9</v>
      </c>
      <c r="R116" t="s">
        <v>187</v>
      </c>
      <c r="T116">
        <v>1</v>
      </c>
      <c r="U116" t="s">
        <v>1006</v>
      </c>
      <c r="W116">
        <v>7800</v>
      </c>
      <c r="X116" t="s">
        <v>184</v>
      </c>
      <c r="AA116" s="13">
        <v>7</v>
      </c>
      <c r="AB116">
        <v>25.3</v>
      </c>
      <c r="AC116">
        <v>1.95</v>
      </c>
      <c r="AD116" s="11">
        <f t="shared" si="28"/>
        <v>7.3791666666666664</v>
      </c>
      <c r="AE116" s="11">
        <f>_xlfn.RANK.AVG(Tableau8[[#This Row],[EE ( MJ/m²)]],AD116:AD1271)</f>
        <v>581</v>
      </c>
      <c r="AF116" s="11">
        <f t="shared" si="24"/>
        <v>0.49194444444444441</v>
      </c>
      <c r="AG116" s="11">
        <f t="shared" si="30"/>
        <v>0.56874999999999998</v>
      </c>
      <c r="AH116" s="11">
        <f t="shared" si="29"/>
        <v>0.56874999999999998</v>
      </c>
      <c r="AI116" s="33">
        <f t="shared" si="31"/>
        <v>3.7916666666666668E-2</v>
      </c>
      <c r="AJ116" s="11">
        <f t="shared" si="25"/>
        <v>3.7916666666666668E-2</v>
      </c>
    </row>
    <row r="117" spans="1:36" x14ac:dyDescent="0.25">
      <c r="A117" s="23" t="s">
        <v>944</v>
      </c>
      <c r="B117" s="23" t="s">
        <v>1098</v>
      </c>
      <c r="C117" s="23" t="s">
        <v>14</v>
      </c>
      <c r="D117" s="23" t="s">
        <v>1004</v>
      </c>
      <c r="E117" s="20" t="s">
        <v>1107</v>
      </c>
      <c r="F117" s="20" t="s">
        <v>360</v>
      </c>
      <c r="G117" s="20" t="s">
        <v>172</v>
      </c>
      <c r="H117" s="20">
        <v>24</v>
      </c>
      <c r="I117" s="20">
        <v>15</v>
      </c>
      <c r="J117" s="20" t="s">
        <v>57</v>
      </c>
      <c r="K117" t="s">
        <v>14</v>
      </c>
      <c r="L117" s="20" t="s">
        <v>208</v>
      </c>
      <c r="M117" s="20" t="s">
        <v>14</v>
      </c>
      <c r="N117" s="20" t="s">
        <v>111</v>
      </c>
      <c r="P117" s="20"/>
      <c r="Q117" s="20"/>
      <c r="R117" s="20" t="s">
        <v>175</v>
      </c>
      <c r="S117" s="20"/>
      <c r="T117" s="20">
        <v>1</v>
      </c>
      <c r="U117" s="20" t="s">
        <v>1006</v>
      </c>
      <c r="V117" s="20"/>
      <c r="W117" s="25">
        <v>1380</v>
      </c>
      <c r="X117" s="20" t="s">
        <v>184</v>
      </c>
      <c r="Y117" s="20"/>
      <c r="Z117" s="20"/>
      <c r="AA117" s="20">
        <v>35</v>
      </c>
      <c r="AB117" s="20">
        <v>35.6</v>
      </c>
      <c r="AC117">
        <v>3.31</v>
      </c>
      <c r="AD117" s="11">
        <f t="shared" si="28"/>
        <v>51.916666666666664</v>
      </c>
      <c r="AE117" s="11">
        <f>_xlfn.RANK.AVG(Tableau8[[#This Row],[EE ( MJ/m²)]],AD117:AD1272)</f>
        <v>236</v>
      </c>
      <c r="AF117" s="11">
        <f t="shared" si="24"/>
        <v>3.4611111111111108</v>
      </c>
      <c r="AG117" s="11">
        <f t="shared" si="30"/>
        <v>4.8270833333333334</v>
      </c>
      <c r="AH117" s="11">
        <f t="shared" si="29"/>
        <v>4.8270833333333334</v>
      </c>
      <c r="AI117" s="33">
        <f t="shared" si="31"/>
        <v>0.32180555555555557</v>
      </c>
      <c r="AJ117" s="11">
        <f t="shared" si="25"/>
        <v>0.32180555555555557</v>
      </c>
    </row>
    <row r="118" spans="1:36" x14ac:dyDescent="0.25">
      <c r="A118" s="4" t="s">
        <v>945</v>
      </c>
      <c r="B118" s="4" t="s">
        <v>1098</v>
      </c>
      <c r="C118" s="4" t="s">
        <v>386</v>
      </c>
      <c r="D118" s="4" t="s">
        <v>1004</v>
      </c>
      <c r="E118" s="20" t="s">
        <v>1107</v>
      </c>
      <c r="F118" t="s">
        <v>360</v>
      </c>
      <c r="G118" t="s">
        <v>172</v>
      </c>
      <c r="H118">
        <v>24</v>
      </c>
      <c r="I118">
        <v>15</v>
      </c>
      <c r="J118" t="s">
        <v>1095</v>
      </c>
      <c r="K118" t="s">
        <v>386</v>
      </c>
      <c r="L118" t="s">
        <v>1041</v>
      </c>
      <c r="M118" t="s">
        <v>68</v>
      </c>
      <c r="N118" t="s">
        <v>69</v>
      </c>
      <c r="P118">
        <v>0.72</v>
      </c>
      <c r="Q118" t="s">
        <v>180</v>
      </c>
      <c r="R118" t="s">
        <v>176</v>
      </c>
      <c r="T118">
        <v>1</v>
      </c>
      <c r="U118" t="s">
        <v>1006</v>
      </c>
      <c r="W118">
        <v>1460</v>
      </c>
      <c r="X118" t="s">
        <v>184</v>
      </c>
      <c r="AA118" s="13">
        <f>W118*T118*P118</f>
        <v>1051.2</v>
      </c>
      <c r="AB118">
        <v>0.45</v>
      </c>
      <c r="AC118">
        <v>2.4E-2</v>
      </c>
      <c r="AD118" s="11">
        <f t="shared" si="28"/>
        <v>19.71</v>
      </c>
      <c r="AE118" s="11">
        <f>_xlfn.RANK.AVG(Tableau8[[#This Row],[EE ( MJ/m²)]],AD118:AD1273)</f>
        <v>396</v>
      </c>
      <c r="AF118" s="11">
        <f t="shared" ref="AF118:AF149" si="32">AB118*AA118/H118/I118</f>
        <v>1.3140000000000001</v>
      </c>
      <c r="AG118" s="11">
        <f t="shared" si="30"/>
        <v>1.0512000000000001</v>
      </c>
      <c r="AH118" s="11">
        <f t="shared" si="29"/>
        <v>1.0512000000000001</v>
      </c>
      <c r="AI118" s="33">
        <f t="shared" si="31"/>
        <v>7.0080000000000003E-2</v>
      </c>
      <c r="AJ118" s="11">
        <f t="shared" ref="AJ118:AJ149" si="33">AC118*AA118/H118/I118</f>
        <v>7.0080000000000003E-2</v>
      </c>
    </row>
    <row r="119" spans="1:36" x14ac:dyDescent="0.25">
      <c r="A119" s="4" t="s">
        <v>944</v>
      </c>
      <c r="B119" s="4" t="s">
        <v>1098</v>
      </c>
      <c r="C119" s="4" t="s">
        <v>324</v>
      </c>
      <c r="D119" s="4" t="s">
        <v>1004</v>
      </c>
      <c r="E119" s="20" t="s">
        <v>1107</v>
      </c>
      <c r="F119" t="s">
        <v>360</v>
      </c>
      <c r="G119" t="s">
        <v>172</v>
      </c>
      <c r="H119">
        <v>24</v>
      </c>
      <c r="I119">
        <v>15</v>
      </c>
      <c r="J119" t="s">
        <v>56</v>
      </c>
      <c r="K119" t="s">
        <v>307</v>
      </c>
      <c r="L119" t="s">
        <v>1096</v>
      </c>
      <c r="M119" t="s">
        <v>307</v>
      </c>
      <c r="N119" t="s">
        <v>307</v>
      </c>
      <c r="P119">
        <v>2</v>
      </c>
      <c r="Q119" t="s">
        <v>1038</v>
      </c>
      <c r="R119" t="s">
        <v>176</v>
      </c>
      <c r="T119">
        <v>1</v>
      </c>
      <c r="U119" t="s">
        <v>1006</v>
      </c>
      <c r="AA119" s="13"/>
      <c r="AD119" s="11">
        <f t="shared" si="28"/>
        <v>0</v>
      </c>
      <c r="AE119" s="11">
        <f>_xlfn.RANK.AVG(Tableau8[[#This Row],[EE ( MJ/m²)]],AD119:AD1274)</f>
        <v>1038</v>
      </c>
      <c r="AF119" s="11">
        <f t="shared" si="32"/>
        <v>0</v>
      </c>
      <c r="AG119" s="11">
        <f t="shared" si="30"/>
        <v>0</v>
      </c>
      <c r="AH119" s="11">
        <f t="shared" si="29"/>
        <v>0</v>
      </c>
      <c r="AI119" s="33">
        <f t="shared" si="31"/>
        <v>0</v>
      </c>
      <c r="AJ119" s="11">
        <f t="shared" si="33"/>
        <v>0</v>
      </c>
    </row>
    <row r="120" spans="1:36" x14ac:dyDescent="0.25">
      <c r="A120" s="4" t="s">
        <v>945</v>
      </c>
      <c r="B120" s="4" t="s">
        <v>1098</v>
      </c>
      <c r="C120" s="4" t="s">
        <v>386</v>
      </c>
      <c r="D120" s="4" t="s">
        <v>1004</v>
      </c>
      <c r="E120" s="20" t="s">
        <v>1107</v>
      </c>
      <c r="F120" t="s">
        <v>360</v>
      </c>
      <c r="G120" t="s">
        <v>172</v>
      </c>
      <c r="H120">
        <v>24</v>
      </c>
      <c r="I120">
        <v>15</v>
      </c>
      <c r="J120" t="s">
        <v>1023</v>
      </c>
      <c r="K120" t="s">
        <v>386</v>
      </c>
      <c r="L120" t="s">
        <v>1033</v>
      </c>
      <c r="M120" t="s">
        <v>435</v>
      </c>
      <c r="N120" t="s">
        <v>435</v>
      </c>
      <c r="O120" t="s">
        <v>1094</v>
      </c>
      <c r="P120">
        <v>6.48</v>
      </c>
      <c r="Q120" t="s">
        <v>180</v>
      </c>
      <c r="R120" t="s">
        <v>176</v>
      </c>
      <c r="T120">
        <v>1</v>
      </c>
      <c r="U120" t="s">
        <v>1006</v>
      </c>
      <c r="W120">
        <v>1920</v>
      </c>
      <c r="X120" t="s">
        <v>184</v>
      </c>
      <c r="AA120" s="13">
        <f>Tableau8[[#This Row],[density (kg/m2) or specific weight (kg/m2)]]*Tableau8[[#This Row],[nb of item used ]]*Tableau8[[#This Row],[volume or area]]</f>
        <v>12441.6</v>
      </c>
      <c r="AB120">
        <v>3</v>
      </c>
      <c r="AC120">
        <v>0.24</v>
      </c>
      <c r="AD120" s="11">
        <f t="shared" si="28"/>
        <v>1555.2</v>
      </c>
      <c r="AE120" s="11">
        <f>_xlfn.RANK.AVG(Tableau8[[#This Row],[EE ( MJ/m²)]],AD120:AD1275)</f>
        <v>4</v>
      </c>
      <c r="AF120" s="11">
        <f t="shared" si="32"/>
        <v>103.68</v>
      </c>
      <c r="AG120" s="11">
        <f t="shared" si="30"/>
        <v>124.416</v>
      </c>
      <c r="AH120" s="11">
        <f t="shared" si="29"/>
        <v>124.416</v>
      </c>
      <c r="AI120" s="33">
        <f t="shared" si="31"/>
        <v>8.2943999999999996</v>
      </c>
      <c r="AJ120" s="11">
        <f t="shared" si="33"/>
        <v>8.2943999999999996</v>
      </c>
    </row>
    <row r="121" spans="1:36" x14ac:dyDescent="0.25">
      <c r="A121" s="4" t="s">
        <v>945</v>
      </c>
      <c r="B121" s="4" t="s">
        <v>1098</v>
      </c>
      <c r="C121" s="4" t="s">
        <v>367</v>
      </c>
      <c r="D121" s="4" t="s">
        <v>1004</v>
      </c>
      <c r="E121" s="20" t="s">
        <v>1107</v>
      </c>
      <c r="F121" t="s">
        <v>360</v>
      </c>
      <c r="G121" t="s">
        <v>172</v>
      </c>
      <c r="H121">
        <v>24</v>
      </c>
      <c r="I121">
        <v>15</v>
      </c>
      <c r="J121" t="s">
        <v>1023</v>
      </c>
      <c r="K121" t="s">
        <v>18</v>
      </c>
      <c r="L121" t="s">
        <v>363</v>
      </c>
      <c r="M121" t="s">
        <v>363</v>
      </c>
      <c r="N121" t="s">
        <v>431</v>
      </c>
      <c r="P121">
        <v>100</v>
      </c>
      <c r="Q121" t="s">
        <v>1017</v>
      </c>
      <c r="R121" t="s">
        <v>176</v>
      </c>
      <c r="T121">
        <v>1</v>
      </c>
      <c r="U121" t="s">
        <v>1006</v>
      </c>
      <c r="W121">
        <v>1860</v>
      </c>
      <c r="X121" t="s">
        <v>184</v>
      </c>
      <c r="AA121" s="13">
        <v>100</v>
      </c>
      <c r="AB121">
        <v>4.51</v>
      </c>
      <c r="AC121">
        <v>0.74</v>
      </c>
      <c r="AD121" s="11">
        <f t="shared" si="28"/>
        <v>18.791666666666668</v>
      </c>
      <c r="AE121" s="11">
        <f>_xlfn.RANK.AVG(Tableau8[[#This Row],[EE ( MJ/m²)]],AD121:AD1276)</f>
        <v>405</v>
      </c>
      <c r="AF121" s="11">
        <f t="shared" si="32"/>
        <v>1.2527777777777778</v>
      </c>
      <c r="AG121" s="11">
        <f t="shared" si="30"/>
        <v>3.0833333333333335</v>
      </c>
      <c r="AH121" s="11">
        <f t="shared" si="29"/>
        <v>3.0833333333333335</v>
      </c>
      <c r="AI121" s="33">
        <f t="shared" si="31"/>
        <v>0.20555555555555557</v>
      </c>
      <c r="AJ121" s="11">
        <f t="shared" si="33"/>
        <v>0.20555555555555557</v>
      </c>
    </row>
    <row r="122" spans="1:36" x14ac:dyDescent="0.25">
      <c r="A122" s="4" t="s">
        <v>944</v>
      </c>
      <c r="B122" s="4" t="s">
        <v>1110</v>
      </c>
      <c r="C122" t="s">
        <v>15</v>
      </c>
      <c r="D122" s="4" t="s">
        <v>1106</v>
      </c>
      <c r="E122" t="s">
        <v>1111</v>
      </c>
      <c r="F122" t="s">
        <v>360</v>
      </c>
      <c r="G122" t="s">
        <v>1112</v>
      </c>
      <c r="H122">
        <v>70</v>
      </c>
      <c r="I122">
        <v>15</v>
      </c>
      <c r="J122" t="s">
        <v>40</v>
      </c>
      <c r="K122" t="s">
        <v>15</v>
      </c>
      <c r="L122" t="s">
        <v>886</v>
      </c>
      <c r="M122" t="s">
        <v>15</v>
      </c>
      <c r="N122" t="s">
        <v>15</v>
      </c>
      <c r="P122">
        <v>2</v>
      </c>
      <c r="Q122" t="s">
        <v>180</v>
      </c>
      <c r="R122" t="s">
        <v>187</v>
      </c>
      <c r="T122">
        <v>1</v>
      </c>
      <c r="U122" t="s">
        <v>346</v>
      </c>
      <c r="W122">
        <v>510</v>
      </c>
      <c r="X122" t="s">
        <v>184</v>
      </c>
      <c r="AA122" s="13">
        <f>Tableau8[[#This Row],[nb of item used ]]*Tableau8[[#This Row],[density (kg/m2) or specific weight (kg/m2)]]*Tableau8[[#This Row],[volume or area]]</f>
        <v>1020</v>
      </c>
      <c r="AB122">
        <f>10-4.4</f>
        <v>5.6</v>
      </c>
      <c r="AC122">
        <f>0.31+0.41</f>
        <v>0.72</v>
      </c>
      <c r="AD122" s="11">
        <f t="shared" si="28"/>
        <v>81.599999999999994</v>
      </c>
      <c r="AE122" s="11">
        <f>_xlfn.RANK.AVG(Tableau8[[#This Row],[EE ( MJ/m²)]],AD122:AD1277)</f>
        <v>176</v>
      </c>
      <c r="AF122" s="11">
        <f t="shared" si="32"/>
        <v>5.4399999999999995</v>
      </c>
      <c r="AG122" s="11">
        <f>(AC122-0.41)*AA122/H122</f>
        <v>4.5171428571428569</v>
      </c>
      <c r="AH122" s="11">
        <f t="shared" si="29"/>
        <v>10.491428571428571</v>
      </c>
      <c r="AI122" s="11">
        <f>(AC122-0.41)*AA122/H122/I122</f>
        <v>0.3011428571428571</v>
      </c>
      <c r="AJ122" s="11">
        <f t="shared" si="33"/>
        <v>0.6994285714285714</v>
      </c>
    </row>
    <row r="123" spans="1:36" x14ac:dyDescent="0.25">
      <c r="A123" s="4" t="s">
        <v>944</v>
      </c>
      <c r="B123" s="4" t="s">
        <v>1110</v>
      </c>
      <c r="C123" t="s">
        <v>15</v>
      </c>
      <c r="D123" s="4" t="s">
        <v>1106</v>
      </c>
      <c r="E123" t="s">
        <v>1111</v>
      </c>
      <c r="F123" t="s">
        <v>360</v>
      </c>
      <c r="G123" t="s">
        <v>1112</v>
      </c>
      <c r="H123">
        <v>70</v>
      </c>
      <c r="I123">
        <v>15</v>
      </c>
      <c r="J123" t="s">
        <v>56</v>
      </c>
      <c r="K123" t="s">
        <v>15</v>
      </c>
      <c r="L123" t="s">
        <v>573</v>
      </c>
      <c r="M123" t="s">
        <v>15</v>
      </c>
      <c r="N123" t="s">
        <v>15</v>
      </c>
      <c r="P123">
        <v>0.35</v>
      </c>
      <c r="Q123" t="s">
        <v>180</v>
      </c>
      <c r="R123" t="s">
        <v>176</v>
      </c>
      <c r="T123">
        <v>1</v>
      </c>
      <c r="U123" t="s">
        <v>1006</v>
      </c>
      <c r="W123">
        <v>510</v>
      </c>
      <c r="X123" t="s">
        <v>184</v>
      </c>
      <c r="AA123" s="13">
        <f>Tableau8[[#This Row],[nb of item used ]]*Tableau8[[#This Row],[density (kg/m2) or specific weight (kg/m2)]]*Tableau8[[#This Row],[volume or area]]</f>
        <v>178.5</v>
      </c>
      <c r="AB123">
        <f>10-4.4</f>
        <v>5.6</v>
      </c>
      <c r="AC123">
        <f>0.31+0.41</f>
        <v>0.72</v>
      </c>
      <c r="AD123" s="11">
        <f t="shared" si="28"/>
        <v>14.28</v>
      </c>
      <c r="AE123" s="11">
        <f>_xlfn.RANK.AVG(Tableau8[[#This Row],[EE ( MJ/m²)]],AD123:AD1278)</f>
        <v>452.5</v>
      </c>
      <c r="AF123" s="11">
        <f t="shared" si="32"/>
        <v>0.95199999999999996</v>
      </c>
      <c r="AG123" s="11">
        <f>(AC123-0.41)*AA123/H123</f>
        <v>0.79049999999999998</v>
      </c>
      <c r="AH123" s="11">
        <f t="shared" si="29"/>
        <v>1.8359999999999996</v>
      </c>
      <c r="AI123" s="11">
        <f>(AC123-0.41)*AA123/H123/I123</f>
        <v>5.2699999999999997E-2</v>
      </c>
      <c r="AJ123" s="11">
        <f t="shared" si="33"/>
        <v>0.12239999999999998</v>
      </c>
    </row>
    <row r="124" spans="1:36" x14ac:dyDescent="0.25">
      <c r="A124" s="4" t="s">
        <v>944</v>
      </c>
      <c r="B124" s="4" t="s">
        <v>1110</v>
      </c>
      <c r="C124" t="s">
        <v>15</v>
      </c>
      <c r="D124" s="4" t="s">
        <v>1106</v>
      </c>
      <c r="E124" t="s">
        <v>1111</v>
      </c>
      <c r="F124" t="s">
        <v>360</v>
      </c>
      <c r="G124" t="s">
        <v>1112</v>
      </c>
      <c r="H124">
        <v>70</v>
      </c>
      <c r="I124">
        <v>15</v>
      </c>
      <c r="J124" t="s">
        <v>57</v>
      </c>
      <c r="K124" t="s">
        <v>15</v>
      </c>
      <c r="L124" t="s">
        <v>888</v>
      </c>
      <c r="M124" t="s">
        <v>15</v>
      </c>
      <c r="N124" t="s">
        <v>15</v>
      </c>
      <c r="O124" t="s">
        <v>1115</v>
      </c>
      <c r="P124">
        <v>0.35</v>
      </c>
      <c r="Q124" t="s">
        <v>180</v>
      </c>
      <c r="R124" t="s">
        <v>187</v>
      </c>
      <c r="T124">
        <v>1</v>
      </c>
      <c r="U124" t="s">
        <v>346</v>
      </c>
      <c r="W124">
        <v>510</v>
      </c>
      <c r="X124" t="s">
        <v>184</v>
      </c>
      <c r="AA124" s="13">
        <f>Tableau8[[#This Row],[nb of item used ]]*Tableau8[[#This Row],[density (kg/m2) or specific weight (kg/m2)]]*Tableau8[[#This Row],[volume or area]]</f>
        <v>178.5</v>
      </c>
      <c r="AB124">
        <f>10-4.4</f>
        <v>5.6</v>
      </c>
      <c r="AC124">
        <f>0.31+0.41</f>
        <v>0.72</v>
      </c>
      <c r="AD124" s="11">
        <f t="shared" si="28"/>
        <v>14.28</v>
      </c>
      <c r="AE124" s="11">
        <f>_xlfn.RANK.AVG(Tableau8[[#This Row],[EE ( MJ/m²)]],AD124:AD1279)</f>
        <v>452</v>
      </c>
      <c r="AF124" s="11">
        <f t="shared" si="32"/>
        <v>0.95199999999999996</v>
      </c>
      <c r="AG124" s="11">
        <f>(AC124-0.41)*AA124/H124</f>
        <v>0.79049999999999998</v>
      </c>
      <c r="AH124" s="11">
        <f t="shared" si="29"/>
        <v>1.8359999999999996</v>
      </c>
      <c r="AI124" s="11">
        <f>(AC124-0.41)*AA124/H124/I124</f>
        <v>5.2699999999999997E-2</v>
      </c>
      <c r="AJ124" s="11">
        <f t="shared" si="33"/>
        <v>0.12239999999999998</v>
      </c>
    </row>
    <row r="125" spans="1:36" x14ac:dyDescent="0.25">
      <c r="A125" s="4" t="s">
        <v>944</v>
      </c>
      <c r="B125" s="4" t="s">
        <v>1110</v>
      </c>
      <c r="C125" t="s">
        <v>12</v>
      </c>
      <c r="D125" s="4" t="s">
        <v>1106</v>
      </c>
      <c r="E125" t="s">
        <v>1111</v>
      </c>
      <c r="F125" t="s">
        <v>360</v>
      </c>
      <c r="G125" t="s">
        <v>1112</v>
      </c>
      <c r="H125">
        <v>70</v>
      </c>
      <c r="I125">
        <v>15</v>
      </c>
      <c r="J125" t="s">
        <v>56</v>
      </c>
      <c r="K125" t="s">
        <v>17</v>
      </c>
      <c r="L125" t="s">
        <v>274</v>
      </c>
      <c r="M125" t="s">
        <v>12</v>
      </c>
      <c r="N125" t="s">
        <v>12</v>
      </c>
      <c r="P125">
        <f>80*0.003</f>
        <v>0.24</v>
      </c>
      <c r="Q125" t="s">
        <v>180</v>
      </c>
      <c r="R125" t="s">
        <v>176</v>
      </c>
      <c r="T125">
        <v>1</v>
      </c>
      <c r="U125" t="s">
        <v>1006</v>
      </c>
      <c r="W125">
        <v>7800</v>
      </c>
      <c r="X125" t="s">
        <v>184</v>
      </c>
      <c r="AA125" s="13">
        <f>Tableau8[[#This Row],[density (kg/m2) or specific weight (kg/m2)]]*Tableau8[[#This Row],[volume or area]]</f>
        <v>1872</v>
      </c>
      <c r="AB125">
        <v>25.3</v>
      </c>
      <c r="AC125">
        <v>1.95</v>
      </c>
      <c r="AD125" s="11">
        <f t="shared" si="28"/>
        <v>676.59428571428566</v>
      </c>
      <c r="AE125" s="11">
        <f>_xlfn.RANK.AVG(Tableau8[[#This Row],[EE ( MJ/m²)]],AD125:AD1280)</f>
        <v>23</v>
      </c>
      <c r="AF125" s="11">
        <f t="shared" si="32"/>
        <v>45.106285714285711</v>
      </c>
      <c r="AG125" s="11">
        <f>(AC125)*AA125/H125</f>
        <v>52.148571428571429</v>
      </c>
      <c r="AH125" s="11">
        <f t="shared" si="29"/>
        <v>52.148571428571429</v>
      </c>
      <c r="AI125" s="33">
        <f>(AC125)*AA125/H125/I125</f>
        <v>3.4765714285714284</v>
      </c>
      <c r="AJ125" s="11">
        <f t="shared" si="33"/>
        <v>3.4765714285714284</v>
      </c>
    </row>
    <row r="126" spans="1:36" x14ac:dyDescent="0.25">
      <c r="A126" s="4" t="s">
        <v>944</v>
      </c>
      <c r="B126" s="4" t="s">
        <v>1110</v>
      </c>
      <c r="C126" t="s">
        <v>12</v>
      </c>
      <c r="D126" s="4" t="s">
        <v>1106</v>
      </c>
      <c r="E126" t="s">
        <v>1111</v>
      </c>
      <c r="F126" t="s">
        <v>360</v>
      </c>
      <c r="G126" t="s">
        <v>1112</v>
      </c>
      <c r="H126">
        <v>70</v>
      </c>
      <c r="I126">
        <v>15</v>
      </c>
      <c r="J126" t="s">
        <v>56</v>
      </c>
      <c r="K126" t="s">
        <v>17</v>
      </c>
      <c r="L126" t="s">
        <v>1114</v>
      </c>
      <c r="M126" t="s">
        <v>325</v>
      </c>
      <c r="N126" t="s">
        <v>12</v>
      </c>
      <c r="P126">
        <v>0.1</v>
      </c>
      <c r="Q126" t="s">
        <v>180</v>
      </c>
      <c r="R126" t="s">
        <v>176</v>
      </c>
      <c r="T126">
        <v>1</v>
      </c>
      <c r="U126" t="s">
        <v>1006</v>
      </c>
      <c r="W126">
        <v>7800</v>
      </c>
      <c r="X126" t="s">
        <v>184</v>
      </c>
      <c r="AA126" s="13">
        <f>Tableau8[[#This Row],[density (kg/m2) or specific weight (kg/m2)]]*Tableau8[[#This Row],[volume or area]]</f>
        <v>780</v>
      </c>
      <c r="AB126">
        <v>25.3</v>
      </c>
      <c r="AC126">
        <v>1.95</v>
      </c>
      <c r="AD126" s="11">
        <f t="shared" si="28"/>
        <v>281.91428571428571</v>
      </c>
      <c r="AE126" s="11">
        <f>_xlfn.RANK.AVG(Tableau8[[#This Row],[EE ( MJ/m²)]],AD126:AD1281)</f>
        <v>54</v>
      </c>
      <c r="AF126" s="11">
        <f t="shared" si="32"/>
        <v>18.794285714285714</v>
      </c>
      <c r="AG126" s="11">
        <f>(AC126)*AA126/H126</f>
        <v>21.728571428571428</v>
      </c>
      <c r="AH126" s="11">
        <f t="shared" si="29"/>
        <v>21.728571428571428</v>
      </c>
      <c r="AI126" s="33">
        <f>(AC126)*AA126/H126/I126</f>
        <v>1.4485714285714286</v>
      </c>
      <c r="AJ126" s="11">
        <f t="shared" si="33"/>
        <v>1.4485714285714286</v>
      </c>
    </row>
    <row r="127" spans="1:36" x14ac:dyDescent="0.25">
      <c r="A127" s="4" t="s">
        <v>944</v>
      </c>
      <c r="B127" s="4" t="s">
        <v>1110</v>
      </c>
      <c r="C127" t="s">
        <v>12</v>
      </c>
      <c r="D127" s="4" t="s">
        <v>1106</v>
      </c>
      <c r="E127" t="s">
        <v>1111</v>
      </c>
      <c r="F127" t="s">
        <v>360</v>
      </c>
      <c r="G127" t="s">
        <v>1112</v>
      </c>
      <c r="H127">
        <v>70</v>
      </c>
      <c r="I127">
        <v>15</v>
      </c>
      <c r="J127" t="s">
        <v>56</v>
      </c>
      <c r="K127" t="s">
        <v>17</v>
      </c>
      <c r="L127" t="s">
        <v>1116</v>
      </c>
      <c r="M127" t="s">
        <v>12</v>
      </c>
      <c r="N127" t="s">
        <v>12</v>
      </c>
      <c r="P127">
        <v>7.0000000000000007E-2</v>
      </c>
      <c r="Q127" t="s">
        <v>180</v>
      </c>
      <c r="R127" t="s">
        <v>175</v>
      </c>
      <c r="T127">
        <v>1</v>
      </c>
      <c r="U127" t="s">
        <v>175</v>
      </c>
      <c r="W127">
        <v>7800</v>
      </c>
      <c r="X127" t="s">
        <v>184</v>
      </c>
      <c r="AA127" s="13">
        <f>Tableau8[[#This Row],[density (kg/m2) or specific weight (kg/m2)]]*Tableau8[[#This Row],[volume or area]]</f>
        <v>546</v>
      </c>
      <c r="AB127">
        <v>25.3</v>
      </c>
      <c r="AC127">
        <v>1.95</v>
      </c>
      <c r="AD127" s="11">
        <f t="shared" si="28"/>
        <v>197.34</v>
      </c>
      <c r="AE127" s="11">
        <f>_xlfn.RANK.AVG(Tableau8[[#This Row],[EE ( MJ/m²)]],AD127:AD1282)</f>
        <v>78</v>
      </c>
      <c r="AF127" s="11">
        <f t="shared" si="32"/>
        <v>13.156000000000001</v>
      </c>
      <c r="AG127" s="11">
        <f>(AC127)*AA127/H127</f>
        <v>15.21</v>
      </c>
      <c r="AH127" s="11">
        <f t="shared" si="29"/>
        <v>15.21</v>
      </c>
      <c r="AI127" s="33">
        <f>(AC127)*AA127/H127/I127</f>
        <v>1.014</v>
      </c>
      <c r="AJ127" s="11">
        <f t="shared" si="33"/>
        <v>1.014</v>
      </c>
    </row>
    <row r="128" spans="1:36" s="18" customFormat="1" x14ac:dyDescent="0.25">
      <c r="A128" s="4" t="s">
        <v>944</v>
      </c>
      <c r="B128" s="4" t="s">
        <v>1110</v>
      </c>
      <c r="C128" t="s">
        <v>12</v>
      </c>
      <c r="D128" s="4" t="s">
        <v>1106</v>
      </c>
      <c r="E128" t="s">
        <v>1111</v>
      </c>
      <c r="F128" t="s">
        <v>360</v>
      </c>
      <c r="G128" t="s">
        <v>1112</v>
      </c>
      <c r="H128">
        <v>70</v>
      </c>
      <c r="I128">
        <v>15</v>
      </c>
      <c r="J128" t="s">
        <v>44</v>
      </c>
      <c r="K128" t="s">
        <v>17</v>
      </c>
      <c r="L128" t="s">
        <v>712</v>
      </c>
      <c r="M128" t="s">
        <v>12</v>
      </c>
      <c r="N128" t="s">
        <v>12</v>
      </c>
      <c r="O128"/>
      <c r="P128"/>
      <c r="Q128"/>
      <c r="R128" t="s">
        <v>187</v>
      </c>
      <c r="S128"/>
      <c r="T128">
        <v>1</v>
      </c>
      <c r="U128" t="s">
        <v>346</v>
      </c>
      <c r="V128"/>
      <c r="W128">
        <v>7800</v>
      </c>
      <c r="X128" t="s">
        <v>184</v>
      </c>
      <c r="Y128"/>
      <c r="Z128"/>
      <c r="AA128" s="13">
        <v>16</v>
      </c>
      <c r="AB128">
        <v>25.3</v>
      </c>
      <c r="AC128">
        <v>1.95</v>
      </c>
      <c r="AD128" s="11">
        <f t="shared" si="28"/>
        <v>5.7828571428571429</v>
      </c>
      <c r="AE128" s="11">
        <f>_xlfn.RANK.AVG(Tableau8[[#This Row],[EE ( MJ/m²)]],AD128:AD1283)</f>
        <v>623</v>
      </c>
      <c r="AF128" s="11">
        <f t="shared" si="32"/>
        <v>0.38552380952380955</v>
      </c>
      <c r="AG128" s="11">
        <f>(AC128)*AA128/H128</f>
        <v>0.44571428571428573</v>
      </c>
      <c r="AH128" s="11">
        <f t="shared" si="29"/>
        <v>0.44571428571428573</v>
      </c>
      <c r="AI128" s="33">
        <f>(AC128)*AA128/H128/I128</f>
        <v>2.9714285714285714E-2</v>
      </c>
      <c r="AJ128" s="11">
        <f t="shared" si="33"/>
        <v>2.9714285714285714E-2</v>
      </c>
    </row>
    <row r="129" spans="1:36" s="18" customFormat="1" x14ac:dyDescent="0.25">
      <c r="A129" s="4" t="s">
        <v>944</v>
      </c>
      <c r="B129" s="4" t="s">
        <v>1110</v>
      </c>
      <c r="C129" t="s">
        <v>18</v>
      </c>
      <c r="D129" s="4" t="s">
        <v>1106</v>
      </c>
      <c r="E129" t="s">
        <v>1111</v>
      </c>
      <c r="F129" t="s">
        <v>360</v>
      </c>
      <c r="G129" t="s">
        <v>1112</v>
      </c>
      <c r="H129">
        <v>70</v>
      </c>
      <c r="I129">
        <v>15</v>
      </c>
      <c r="J129" t="s">
        <v>13</v>
      </c>
      <c r="K129" t="s">
        <v>18</v>
      </c>
      <c r="L129" t="s">
        <v>1113</v>
      </c>
      <c r="M129" t="s">
        <v>18</v>
      </c>
      <c r="N129" t="s">
        <v>39</v>
      </c>
      <c r="O129"/>
      <c r="P129">
        <v>2.16</v>
      </c>
      <c r="Q129" t="s">
        <v>180</v>
      </c>
      <c r="R129" t="s">
        <v>176</v>
      </c>
      <c r="S129"/>
      <c r="T129">
        <v>1</v>
      </c>
      <c r="U129" t="s">
        <v>1006</v>
      </c>
      <c r="V129"/>
      <c r="W129">
        <v>2400</v>
      </c>
      <c r="X129" t="s">
        <v>184</v>
      </c>
      <c r="Y129"/>
      <c r="Z129"/>
      <c r="AA129" s="13">
        <f>Tableau8[[#This Row],[density (kg/m2) or specific weight (kg/m2)]]*Tableau8[[#This Row],[nb of item used ]]*Tableau8[[#This Row],[volume or area]]</f>
        <v>5184</v>
      </c>
      <c r="AB129">
        <v>0.75</v>
      </c>
      <c r="AC129">
        <v>0.105</v>
      </c>
      <c r="AD129" s="11">
        <f t="shared" si="28"/>
        <v>55.542857142857144</v>
      </c>
      <c r="AE129" s="11">
        <f>_xlfn.RANK.AVG(Tableau8[[#This Row],[EE ( MJ/m²)]],AD129:AD1284)</f>
        <v>221</v>
      </c>
      <c r="AF129" s="11">
        <f t="shared" si="32"/>
        <v>3.7028571428571428</v>
      </c>
      <c r="AG129" s="11">
        <f>(AC129)*AA129/H129</f>
        <v>7.7759999999999989</v>
      </c>
      <c r="AH129" s="11">
        <f t="shared" si="29"/>
        <v>7.7759999999999989</v>
      </c>
      <c r="AI129" s="33">
        <f>(AC129)*AA129/H129/I129</f>
        <v>0.51839999999999997</v>
      </c>
      <c r="AJ129" s="11">
        <f t="shared" si="33"/>
        <v>0.51839999999999997</v>
      </c>
    </row>
    <row r="130" spans="1:36" s="18" customFormat="1" x14ac:dyDescent="0.25">
      <c r="A130" s="4" t="s">
        <v>944</v>
      </c>
      <c r="B130" s="4" t="s">
        <v>1118</v>
      </c>
      <c r="C130" t="s">
        <v>15</v>
      </c>
      <c r="D130" s="4" t="s">
        <v>1106</v>
      </c>
      <c r="E130" t="s">
        <v>1083</v>
      </c>
      <c r="F130" t="s">
        <v>360</v>
      </c>
      <c r="G130" t="s">
        <v>1117</v>
      </c>
      <c r="H130">
        <v>26.5</v>
      </c>
      <c r="I130">
        <v>15</v>
      </c>
      <c r="J130" t="s">
        <v>40</v>
      </c>
      <c r="K130" t="s">
        <v>15</v>
      </c>
      <c r="L130" t="s">
        <v>886</v>
      </c>
      <c r="M130" t="s">
        <v>15</v>
      </c>
      <c r="N130" t="s">
        <v>15</v>
      </c>
      <c r="O130"/>
      <c r="P130">
        <v>1.1000000000000001</v>
      </c>
      <c r="Q130" t="s">
        <v>180</v>
      </c>
      <c r="R130" t="s">
        <v>176</v>
      </c>
      <c r="S130"/>
      <c r="T130">
        <v>1</v>
      </c>
      <c r="U130" t="s">
        <v>1006</v>
      </c>
      <c r="V130"/>
      <c r="W130">
        <v>510</v>
      </c>
      <c r="X130" t="s">
        <v>184</v>
      </c>
      <c r="Y130"/>
      <c r="Z130"/>
      <c r="AA130" s="13">
        <f>Tableau8[[#This Row],[nb of item used ]]*Tableau8[[#This Row],[density (kg/m2) or specific weight (kg/m2)]]*Tableau8[[#This Row],[volume or area]]</f>
        <v>561</v>
      </c>
      <c r="AB130">
        <f>10-4.4</f>
        <v>5.6</v>
      </c>
      <c r="AC130">
        <f>0.31+0.41</f>
        <v>0.72</v>
      </c>
      <c r="AD130" s="11">
        <f t="shared" ref="AD130:AD165" si="34">AB130*AA130/H130</f>
        <v>118.55094339622642</v>
      </c>
      <c r="AE130" s="11">
        <f>_xlfn.RANK.AVG(Tableau8[[#This Row],[EE ( MJ/m²)]],AD130:AD1285)</f>
        <v>130</v>
      </c>
      <c r="AF130" s="11">
        <f t="shared" si="32"/>
        <v>7.9033962264150945</v>
      </c>
      <c r="AG130" s="11">
        <f>(AC130-0.41)*AA130/H130</f>
        <v>6.5626415094339619</v>
      </c>
      <c r="AH130" s="11">
        <f t="shared" ref="AH130:AH165" si="35">AC130*AA130/H130</f>
        <v>15.242264150943395</v>
      </c>
      <c r="AI130" s="11">
        <f>(AC130-0.41)*AA130/H130/I130</f>
        <v>0.4375094339622641</v>
      </c>
      <c r="AJ130" s="11">
        <f t="shared" si="33"/>
        <v>1.0161509433962264</v>
      </c>
    </row>
    <row r="131" spans="1:36" x14ac:dyDescent="0.25">
      <c r="A131" s="4" t="s">
        <v>944</v>
      </c>
      <c r="B131" s="4" t="s">
        <v>1118</v>
      </c>
      <c r="C131" t="s">
        <v>15</v>
      </c>
      <c r="D131" s="4" t="s">
        <v>1106</v>
      </c>
      <c r="E131" t="s">
        <v>1083</v>
      </c>
      <c r="F131" t="s">
        <v>360</v>
      </c>
      <c r="G131" t="s">
        <v>1117</v>
      </c>
      <c r="H131">
        <v>26.5</v>
      </c>
      <c r="I131">
        <v>15</v>
      </c>
      <c r="J131" t="s">
        <v>40</v>
      </c>
      <c r="K131" t="s">
        <v>15</v>
      </c>
      <c r="L131" t="s">
        <v>551</v>
      </c>
      <c r="M131" t="s">
        <v>15</v>
      </c>
      <c r="N131" t="s">
        <v>15</v>
      </c>
      <c r="P131">
        <v>0.01</v>
      </c>
      <c r="Q131" t="s">
        <v>180</v>
      </c>
      <c r="R131" t="s">
        <v>187</v>
      </c>
      <c r="T131">
        <v>1</v>
      </c>
      <c r="U131" t="s">
        <v>346</v>
      </c>
      <c r="W131">
        <v>510</v>
      </c>
      <c r="X131" t="s">
        <v>184</v>
      </c>
      <c r="AA131" s="13">
        <f>Tableau8[[#This Row],[nb of item used ]]*Tableau8[[#This Row],[density (kg/m2) or specific weight (kg/m2)]]*Tableau8[[#This Row],[volume or area]]</f>
        <v>5.1000000000000005</v>
      </c>
      <c r="AB131">
        <f>10-4.4</f>
        <v>5.6</v>
      </c>
      <c r="AC131">
        <f>0.31+0.41</f>
        <v>0.72</v>
      </c>
      <c r="AD131" s="11">
        <f t="shared" si="34"/>
        <v>1.0777358490566038</v>
      </c>
      <c r="AE131" s="11">
        <f>_xlfn.RANK.AVG(Tableau8[[#This Row],[EE ( MJ/m²)]],AD131:AD1286)</f>
        <v>817</v>
      </c>
      <c r="AF131" s="11">
        <f t="shared" si="32"/>
        <v>7.1849056603773581E-2</v>
      </c>
      <c r="AG131" s="11">
        <f>(AC131-0.41)*AA131/H131</f>
        <v>5.9660377358490571E-2</v>
      </c>
      <c r="AH131" s="11">
        <f t="shared" si="35"/>
        <v>0.13856603773584905</v>
      </c>
      <c r="AI131" s="11">
        <f>(AC131-0.41)*AA131/H131/I131</f>
        <v>3.9773584905660377E-3</v>
      </c>
      <c r="AJ131" s="11">
        <f t="shared" si="33"/>
        <v>9.2377358490566032E-3</v>
      </c>
    </row>
    <row r="132" spans="1:36" x14ac:dyDescent="0.25">
      <c r="A132" s="4" t="s">
        <v>944</v>
      </c>
      <c r="B132" s="4" t="s">
        <v>1118</v>
      </c>
      <c r="C132" t="s">
        <v>12</v>
      </c>
      <c r="D132" s="4" t="s">
        <v>1106</v>
      </c>
      <c r="E132" t="s">
        <v>1083</v>
      </c>
      <c r="F132" t="s">
        <v>360</v>
      </c>
      <c r="G132" t="s">
        <v>1117</v>
      </c>
      <c r="H132">
        <v>26.5</v>
      </c>
      <c r="I132">
        <v>15</v>
      </c>
      <c r="J132" t="s">
        <v>56</v>
      </c>
      <c r="K132" t="s">
        <v>17</v>
      </c>
      <c r="L132" t="s">
        <v>274</v>
      </c>
      <c r="M132" t="s">
        <v>12</v>
      </c>
      <c r="N132" t="s">
        <v>12</v>
      </c>
      <c r="P132">
        <v>0.09</v>
      </c>
      <c r="Q132" t="s">
        <v>180</v>
      </c>
      <c r="R132" t="s">
        <v>176</v>
      </c>
      <c r="T132">
        <v>1</v>
      </c>
      <c r="U132" t="s">
        <v>1006</v>
      </c>
      <c r="W132">
        <v>7800</v>
      </c>
      <c r="X132" t="s">
        <v>184</v>
      </c>
      <c r="AA132" s="13">
        <f>Tableau8[[#This Row],[density (kg/m2) or specific weight (kg/m2)]]*Tableau8[[#This Row],[volume or area]]</f>
        <v>702</v>
      </c>
      <c r="AB132">
        <v>25.3</v>
      </c>
      <c r="AC132">
        <v>1.95</v>
      </c>
      <c r="AD132" s="11">
        <f t="shared" si="34"/>
        <v>670.21132075471701</v>
      </c>
      <c r="AE132" s="11">
        <f>_xlfn.RANK.AVG(Tableau8[[#This Row],[EE ( MJ/m²)]],AD132:AD1287)</f>
        <v>23</v>
      </c>
      <c r="AF132" s="11">
        <f t="shared" si="32"/>
        <v>44.680754716981134</v>
      </c>
      <c r="AG132" s="11">
        <f t="shared" ref="AG132:AG137" si="36">(AC132)*AA132/H132</f>
        <v>51.656603773584898</v>
      </c>
      <c r="AH132" s="11">
        <f t="shared" si="35"/>
        <v>51.656603773584898</v>
      </c>
      <c r="AI132" s="33">
        <f t="shared" ref="AI132:AI137" si="37">(AC132)*AA132/H132/I132</f>
        <v>3.4437735849056597</v>
      </c>
      <c r="AJ132" s="11">
        <f t="shared" si="33"/>
        <v>3.4437735849056597</v>
      </c>
    </row>
    <row r="133" spans="1:36" x14ac:dyDescent="0.25">
      <c r="A133" s="4" t="s">
        <v>944</v>
      </c>
      <c r="B133" s="4" t="s">
        <v>1118</v>
      </c>
      <c r="C133" t="s">
        <v>12</v>
      </c>
      <c r="D133" s="4" t="s">
        <v>1106</v>
      </c>
      <c r="E133" t="s">
        <v>1083</v>
      </c>
      <c r="F133" t="s">
        <v>360</v>
      </c>
      <c r="G133" t="s">
        <v>1117</v>
      </c>
      <c r="H133">
        <v>26.5</v>
      </c>
      <c r="I133">
        <v>15</v>
      </c>
      <c r="J133" t="s">
        <v>40</v>
      </c>
      <c r="K133" t="s">
        <v>17</v>
      </c>
      <c r="L133" t="s">
        <v>565</v>
      </c>
      <c r="M133" t="s">
        <v>12</v>
      </c>
      <c r="N133" t="s">
        <v>12</v>
      </c>
      <c r="P133">
        <f>2*0.003</f>
        <v>6.0000000000000001E-3</v>
      </c>
      <c r="Q133" t="s">
        <v>180</v>
      </c>
      <c r="R133" t="s">
        <v>176</v>
      </c>
      <c r="T133">
        <v>1</v>
      </c>
      <c r="U133" t="s">
        <v>1006</v>
      </c>
      <c r="W133">
        <v>7800</v>
      </c>
      <c r="X133" t="s">
        <v>184</v>
      </c>
      <c r="AA133" s="13">
        <f>Tableau8[[#This Row],[density (kg/m2) or specific weight (kg/m2)]]*Tableau8[[#This Row],[volume or area]]</f>
        <v>46.800000000000004</v>
      </c>
      <c r="AB133">
        <v>25.3</v>
      </c>
      <c r="AC133">
        <v>1.95</v>
      </c>
      <c r="AD133" s="11">
        <f t="shared" si="34"/>
        <v>44.680754716981141</v>
      </c>
      <c r="AE133" s="11">
        <f>_xlfn.RANK.AVG(Tableau8[[#This Row],[EE ( MJ/m²)]],AD133:AD1288)</f>
        <v>245</v>
      </c>
      <c r="AF133" s="11">
        <f t="shared" si="32"/>
        <v>2.9787169811320759</v>
      </c>
      <c r="AG133" s="11">
        <f t="shared" si="36"/>
        <v>3.4437735849056605</v>
      </c>
      <c r="AH133" s="11">
        <f t="shared" si="35"/>
        <v>3.4437735849056605</v>
      </c>
      <c r="AI133" s="33">
        <f t="shared" si="37"/>
        <v>0.22958490566037737</v>
      </c>
      <c r="AJ133" s="11">
        <f t="shared" si="33"/>
        <v>0.22958490566037737</v>
      </c>
    </row>
    <row r="134" spans="1:36" x14ac:dyDescent="0.25">
      <c r="A134" s="4" t="s">
        <v>944</v>
      </c>
      <c r="B134" s="4" t="s">
        <v>1118</v>
      </c>
      <c r="C134" t="s">
        <v>12</v>
      </c>
      <c r="D134" s="4" t="s">
        <v>1106</v>
      </c>
      <c r="E134" t="s">
        <v>1083</v>
      </c>
      <c r="F134" t="s">
        <v>360</v>
      </c>
      <c r="G134" t="s">
        <v>1117</v>
      </c>
      <c r="H134">
        <v>26.5</v>
      </c>
      <c r="I134">
        <v>15</v>
      </c>
      <c r="J134" t="s">
        <v>44</v>
      </c>
      <c r="K134" t="s">
        <v>17</v>
      </c>
      <c r="L134" t="s">
        <v>712</v>
      </c>
      <c r="M134" t="s">
        <v>12</v>
      </c>
      <c r="N134" t="s">
        <v>12</v>
      </c>
      <c r="R134" t="s">
        <v>187</v>
      </c>
      <c r="T134">
        <v>1</v>
      </c>
      <c r="U134" t="s">
        <v>346</v>
      </c>
      <c r="W134">
        <v>7800</v>
      </c>
      <c r="X134" t="s">
        <v>184</v>
      </c>
      <c r="AA134" s="13">
        <v>15</v>
      </c>
      <c r="AB134">
        <v>25.3</v>
      </c>
      <c r="AC134">
        <v>1.95</v>
      </c>
      <c r="AD134" s="11">
        <f t="shared" si="34"/>
        <v>14.320754716981131</v>
      </c>
      <c r="AE134" s="11">
        <f>_xlfn.RANK.AVG(Tableau8[[#This Row],[EE ( MJ/m²)]],AD134:AD1289)</f>
        <v>438</v>
      </c>
      <c r="AF134" s="11">
        <f t="shared" si="32"/>
        <v>0.95471698113207537</v>
      </c>
      <c r="AG134" s="11">
        <f t="shared" si="36"/>
        <v>1.1037735849056605</v>
      </c>
      <c r="AH134" s="11">
        <f t="shared" si="35"/>
        <v>1.1037735849056605</v>
      </c>
      <c r="AI134" s="33">
        <f t="shared" si="37"/>
        <v>7.358490566037737E-2</v>
      </c>
      <c r="AJ134" s="11">
        <f t="shared" si="33"/>
        <v>7.358490566037737E-2</v>
      </c>
    </row>
    <row r="135" spans="1:36" x14ac:dyDescent="0.25">
      <c r="A135" s="23" t="s">
        <v>944</v>
      </c>
      <c r="B135" s="23" t="s">
        <v>1118</v>
      </c>
      <c r="C135" s="20" t="s">
        <v>1087</v>
      </c>
      <c r="D135" s="23" t="s">
        <v>1106</v>
      </c>
      <c r="E135" s="20" t="s">
        <v>1083</v>
      </c>
      <c r="F135" s="20" t="s">
        <v>360</v>
      </c>
      <c r="G135" s="20" t="s">
        <v>1117</v>
      </c>
      <c r="H135" s="20">
        <v>26.5</v>
      </c>
      <c r="I135" s="20">
        <v>15</v>
      </c>
      <c r="J135" s="20" t="s">
        <v>44</v>
      </c>
      <c r="K135" t="s">
        <v>41</v>
      </c>
      <c r="L135" s="20" t="s">
        <v>1121</v>
      </c>
      <c r="M135" s="20" t="s">
        <v>1087</v>
      </c>
      <c r="N135" s="20" t="s">
        <v>1087</v>
      </c>
      <c r="O135" s="20"/>
      <c r="P135" s="20">
        <v>5.0000000000000001E-3</v>
      </c>
      <c r="Q135" s="20" t="s">
        <v>180</v>
      </c>
      <c r="R135" s="20" t="s">
        <v>176</v>
      </c>
      <c r="S135" s="20"/>
      <c r="T135" s="20">
        <v>1</v>
      </c>
      <c r="U135" s="20" t="s">
        <v>1006</v>
      </c>
      <c r="V135" s="20"/>
      <c r="W135" s="20">
        <v>2530</v>
      </c>
      <c r="X135" s="20" t="s">
        <v>184</v>
      </c>
      <c r="Y135" s="20"/>
      <c r="Z135" s="20" t="s">
        <v>1236</v>
      </c>
      <c r="AA135" s="24">
        <f>W135*T135*P135</f>
        <v>12.65</v>
      </c>
      <c r="AB135" s="20">
        <v>18</v>
      </c>
      <c r="AC135" s="20">
        <v>10</v>
      </c>
      <c r="AD135" s="33">
        <f t="shared" si="34"/>
        <v>8.5924528301886802</v>
      </c>
      <c r="AE135" s="33">
        <f>_xlfn.RANK.AVG(Tableau8[[#This Row],[EE ( MJ/m²)]],AD135:AD1290)</f>
        <v>537</v>
      </c>
      <c r="AF135" s="33">
        <f t="shared" si="32"/>
        <v>0.5728301886792454</v>
      </c>
      <c r="AG135" s="11">
        <f t="shared" si="36"/>
        <v>4.7735849056603774</v>
      </c>
      <c r="AH135" s="33">
        <f t="shared" si="35"/>
        <v>4.7735849056603774</v>
      </c>
      <c r="AI135" s="33">
        <f t="shared" si="37"/>
        <v>0.31823899371069181</v>
      </c>
      <c r="AJ135" s="33">
        <f t="shared" si="33"/>
        <v>0.31823899371069181</v>
      </c>
    </row>
    <row r="136" spans="1:36" x14ac:dyDescent="0.25">
      <c r="A136" s="4" t="s">
        <v>944</v>
      </c>
      <c r="B136" s="4" t="s">
        <v>1118</v>
      </c>
      <c r="C136" t="s">
        <v>18</v>
      </c>
      <c r="D136" s="4" t="s">
        <v>1106</v>
      </c>
      <c r="E136" t="s">
        <v>1083</v>
      </c>
      <c r="F136" t="s">
        <v>360</v>
      </c>
      <c r="G136" t="s">
        <v>1117</v>
      </c>
      <c r="H136">
        <v>26.5</v>
      </c>
      <c r="I136">
        <v>15</v>
      </c>
      <c r="J136" t="s">
        <v>13</v>
      </c>
      <c r="K136" t="s">
        <v>18</v>
      </c>
      <c r="L136" t="s">
        <v>492</v>
      </c>
      <c r="M136" t="s">
        <v>414</v>
      </c>
      <c r="N136" t="s">
        <v>39</v>
      </c>
      <c r="P136">
        <v>2</v>
      </c>
      <c r="Q136" t="s">
        <v>180</v>
      </c>
      <c r="R136" t="s">
        <v>176</v>
      </c>
      <c r="T136">
        <v>1</v>
      </c>
      <c r="U136" t="s">
        <v>1006</v>
      </c>
      <c r="W136" s="1">
        <v>2400</v>
      </c>
      <c r="X136" t="s">
        <v>184</v>
      </c>
      <c r="AA136" s="13">
        <f>W136*T136*P136</f>
        <v>4800</v>
      </c>
      <c r="AB136">
        <v>0.75</v>
      </c>
      <c r="AC136">
        <v>0.107</v>
      </c>
      <c r="AD136" s="11">
        <f t="shared" si="34"/>
        <v>135.84905660377359</v>
      </c>
      <c r="AE136" s="11">
        <f>_xlfn.RANK.AVG(Tableau8[[#This Row],[EE ( MJ/m²)]],AD136:AD1291)</f>
        <v>114</v>
      </c>
      <c r="AF136" s="11">
        <f t="shared" si="32"/>
        <v>9.0566037735849054</v>
      </c>
      <c r="AG136" s="11">
        <f t="shared" si="36"/>
        <v>19.381132075471697</v>
      </c>
      <c r="AH136" s="11">
        <f t="shared" si="35"/>
        <v>19.381132075471697</v>
      </c>
      <c r="AI136" s="33">
        <f t="shared" si="37"/>
        <v>1.2920754716981131</v>
      </c>
      <c r="AJ136" s="11">
        <f t="shared" si="33"/>
        <v>1.2920754716981131</v>
      </c>
    </row>
    <row r="137" spans="1:36" x14ac:dyDescent="0.25">
      <c r="A137" s="4" t="s">
        <v>944</v>
      </c>
      <c r="B137" s="4" t="s">
        <v>1118</v>
      </c>
      <c r="C137" t="s">
        <v>18</v>
      </c>
      <c r="D137" s="4" t="s">
        <v>1106</v>
      </c>
      <c r="E137" t="s">
        <v>1083</v>
      </c>
      <c r="F137" t="s">
        <v>360</v>
      </c>
      <c r="G137" t="s">
        <v>1117</v>
      </c>
      <c r="H137">
        <v>26.5</v>
      </c>
      <c r="I137">
        <v>15</v>
      </c>
      <c r="J137" t="s">
        <v>57</v>
      </c>
      <c r="K137" t="s">
        <v>18</v>
      </c>
      <c r="L137" t="s">
        <v>1119</v>
      </c>
      <c r="M137" t="s">
        <v>18</v>
      </c>
      <c r="N137" t="s">
        <v>39</v>
      </c>
      <c r="O137" t="s">
        <v>1120</v>
      </c>
      <c r="P137">
        <f>26.5*0.05</f>
        <v>1.3250000000000002</v>
      </c>
      <c r="Q137" t="s">
        <v>180</v>
      </c>
      <c r="R137" t="s">
        <v>176</v>
      </c>
      <c r="T137">
        <v>1</v>
      </c>
      <c r="U137" t="s">
        <v>1006</v>
      </c>
      <c r="W137">
        <v>2400</v>
      </c>
      <c r="X137" t="s">
        <v>184</v>
      </c>
      <c r="AA137" s="13">
        <f>Tableau8[[#This Row],[density (kg/m2) or specific weight (kg/m2)]]*Tableau8[[#This Row],[nb of item used ]]*Tableau8[[#This Row],[volume or area]]</f>
        <v>3180.0000000000005</v>
      </c>
      <c r="AB137">
        <v>0.75</v>
      </c>
      <c r="AC137">
        <v>0.105</v>
      </c>
      <c r="AD137" s="11">
        <f t="shared" si="34"/>
        <v>90.000000000000014</v>
      </c>
      <c r="AE137" s="11">
        <f>_xlfn.RANK.AVG(Tableau8[[#This Row],[EE ( MJ/m²)]],AD137:AD1292)</f>
        <v>158.5</v>
      </c>
      <c r="AF137" s="11">
        <f t="shared" si="32"/>
        <v>6.0000000000000009</v>
      </c>
      <c r="AG137" s="11">
        <f t="shared" si="36"/>
        <v>12.600000000000001</v>
      </c>
      <c r="AH137" s="11">
        <f t="shared" si="35"/>
        <v>12.600000000000001</v>
      </c>
      <c r="AI137" s="33">
        <f t="shared" si="37"/>
        <v>0.84000000000000008</v>
      </c>
      <c r="AJ137" s="11">
        <f t="shared" si="33"/>
        <v>0.84000000000000008</v>
      </c>
    </row>
    <row r="138" spans="1:36" x14ac:dyDescent="0.25">
      <c r="A138" s="4" t="s">
        <v>944</v>
      </c>
      <c r="B138" s="4" t="s">
        <v>1125</v>
      </c>
      <c r="C138" t="s">
        <v>15</v>
      </c>
      <c r="D138" s="4" t="s">
        <v>1106</v>
      </c>
      <c r="E138" t="s">
        <v>1123</v>
      </c>
      <c r="F138" t="s">
        <v>360</v>
      </c>
      <c r="G138" t="s">
        <v>616</v>
      </c>
      <c r="H138">
        <v>28</v>
      </c>
      <c r="I138">
        <v>15</v>
      </c>
      <c r="J138" t="s">
        <v>56</v>
      </c>
      <c r="K138" t="s">
        <v>15</v>
      </c>
      <c r="L138" t="s">
        <v>1028</v>
      </c>
      <c r="M138" t="s">
        <v>15</v>
      </c>
      <c r="N138" t="s">
        <v>15</v>
      </c>
      <c r="P138">
        <v>0.255</v>
      </c>
      <c r="Q138" t="s">
        <v>180</v>
      </c>
      <c r="R138" t="s">
        <v>176</v>
      </c>
      <c r="T138">
        <v>1</v>
      </c>
      <c r="U138" t="s">
        <v>1006</v>
      </c>
      <c r="W138">
        <v>510</v>
      </c>
      <c r="X138" t="s">
        <v>184</v>
      </c>
      <c r="AA138" s="13">
        <f>Tableau8[[#This Row],[nb of item used ]]*Tableau8[[#This Row],[density (kg/m2) or specific weight (kg/m2)]]*Tableau8[[#This Row],[volume or area]]</f>
        <v>130.05000000000001</v>
      </c>
      <c r="AB138">
        <f>10-4.4</f>
        <v>5.6</v>
      </c>
      <c r="AC138">
        <f>0.31+0.41</f>
        <v>0.72</v>
      </c>
      <c r="AD138" s="11">
        <f t="shared" si="34"/>
        <v>26.009999999999998</v>
      </c>
      <c r="AE138" s="11">
        <f>_xlfn.RANK.AVG(Tableau8[[#This Row],[EE ( MJ/m²)]],AD138:AD1293)</f>
        <v>336</v>
      </c>
      <c r="AF138" s="11">
        <f t="shared" si="32"/>
        <v>1.7339999999999998</v>
      </c>
      <c r="AG138" s="11">
        <f>(AC138-0.41)*AA138/H138</f>
        <v>1.4398392857142857</v>
      </c>
      <c r="AH138" s="11">
        <f t="shared" si="35"/>
        <v>3.3441428571428573</v>
      </c>
      <c r="AI138" s="11">
        <f>(AC138-0.41)*AA138/H138/I138</f>
        <v>9.5989285714285708E-2</v>
      </c>
      <c r="AJ138" s="11">
        <f t="shared" si="33"/>
        <v>0.22294285714285716</v>
      </c>
    </row>
    <row r="139" spans="1:36" x14ac:dyDescent="0.25">
      <c r="A139" s="4" t="s">
        <v>944</v>
      </c>
      <c r="B139" s="4" t="s">
        <v>1125</v>
      </c>
      <c r="C139" s="4" t="s">
        <v>15</v>
      </c>
      <c r="D139" s="4" t="s">
        <v>1106</v>
      </c>
      <c r="E139" t="s">
        <v>1123</v>
      </c>
      <c r="F139" t="s">
        <v>360</v>
      </c>
      <c r="G139" t="s">
        <v>616</v>
      </c>
      <c r="H139">
        <v>28</v>
      </c>
      <c r="I139">
        <v>15</v>
      </c>
      <c r="J139" t="s">
        <v>40</v>
      </c>
      <c r="K139" t="s">
        <v>15</v>
      </c>
      <c r="L139" t="s">
        <v>881</v>
      </c>
      <c r="M139" t="s">
        <v>15</v>
      </c>
      <c r="N139" t="s">
        <v>15</v>
      </c>
      <c r="P139">
        <v>0.14399999999999999</v>
      </c>
      <c r="Q139" t="s">
        <v>180</v>
      </c>
      <c r="R139" t="s">
        <v>176</v>
      </c>
      <c r="T139">
        <v>1</v>
      </c>
      <c r="U139" t="s">
        <v>1006</v>
      </c>
      <c r="W139">
        <v>510</v>
      </c>
      <c r="X139" t="s">
        <v>184</v>
      </c>
      <c r="AA139" s="13">
        <f>Tableau8[[#This Row],[nb of item used ]]*Tableau8[[#This Row],[density (kg/m2) or specific weight (kg/m2)]]*Tableau8[[#This Row],[volume or area]]</f>
        <v>73.44</v>
      </c>
      <c r="AB139">
        <f>10-4.4</f>
        <v>5.6</v>
      </c>
      <c r="AC139">
        <f>0.31+0.41</f>
        <v>0.72</v>
      </c>
      <c r="AD139" s="11">
        <f t="shared" si="34"/>
        <v>14.687999999999999</v>
      </c>
      <c r="AE139" s="11">
        <f>_xlfn.RANK.AVG(Tableau8[[#This Row],[EE ( MJ/m²)]],AD139:AD1294)</f>
        <v>432</v>
      </c>
      <c r="AF139" s="11">
        <f t="shared" si="32"/>
        <v>0.97919999999999996</v>
      </c>
      <c r="AG139" s="11">
        <f>(AC139-0.41)*AA139/H139</f>
        <v>0.8130857142857143</v>
      </c>
      <c r="AH139" s="11">
        <f t="shared" si="35"/>
        <v>1.8884571428571426</v>
      </c>
      <c r="AI139" s="11">
        <f>(AC139-0.41)*AA139/H139/I139</f>
        <v>5.4205714285714288E-2</v>
      </c>
      <c r="AJ139" s="11">
        <f t="shared" si="33"/>
        <v>0.12589714285714285</v>
      </c>
    </row>
    <row r="140" spans="1:36" x14ac:dyDescent="0.25">
      <c r="A140" s="4" t="s">
        <v>944</v>
      </c>
      <c r="B140" s="4" t="s">
        <v>1125</v>
      </c>
      <c r="C140" s="4" t="s">
        <v>362</v>
      </c>
      <c r="D140" s="4" t="s">
        <v>1106</v>
      </c>
      <c r="E140" t="s">
        <v>1123</v>
      </c>
      <c r="F140" t="s">
        <v>360</v>
      </c>
      <c r="G140" t="s">
        <v>616</v>
      </c>
      <c r="H140">
        <v>28</v>
      </c>
      <c r="I140">
        <v>15</v>
      </c>
      <c r="J140" t="s">
        <v>1122</v>
      </c>
      <c r="K140" t="s">
        <v>362</v>
      </c>
      <c r="L140" t="s">
        <v>1124</v>
      </c>
      <c r="M140" t="s">
        <v>362</v>
      </c>
      <c r="N140" t="s">
        <v>430</v>
      </c>
      <c r="P140">
        <v>7.5</v>
      </c>
      <c r="Q140" t="s">
        <v>180</v>
      </c>
      <c r="R140" t="s">
        <v>176</v>
      </c>
      <c r="T140">
        <v>1</v>
      </c>
      <c r="U140" t="s">
        <v>1006</v>
      </c>
      <c r="W140">
        <v>2880</v>
      </c>
      <c r="X140" t="s">
        <v>184</v>
      </c>
      <c r="AA140" s="13">
        <f>Tableau8[[#This Row],[density (kg/m2) or specific weight (kg/m2)]]*Tableau8[[#This Row],[nb of item used ]]*Tableau8[[#This Row],[volume or area]]</f>
        <v>21600</v>
      </c>
      <c r="AB140">
        <v>1.26</v>
      </c>
      <c r="AC140">
        <v>7.9000000000000001E-2</v>
      </c>
      <c r="AD140" s="11">
        <f t="shared" si="34"/>
        <v>972</v>
      </c>
      <c r="AE140" s="11">
        <f>_xlfn.RANK.AVG(Tableau8[[#This Row],[EE ( MJ/m²)]],AD140:AD1295)</f>
        <v>10</v>
      </c>
      <c r="AF140" s="11">
        <f t="shared" si="32"/>
        <v>64.8</v>
      </c>
      <c r="AG140" s="11">
        <f>(AC140)*AA140/H140</f>
        <v>60.942857142857143</v>
      </c>
      <c r="AH140" s="11">
        <f t="shared" si="35"/>
        <v>60.942857142857143</v>
      </c>
      <c r="AI140" s="33">
        <f>(AC140)*AA140/H140/I140</f>
        <v>4.0628571428571432</v>
      </c>
      <c r="AJ140" s="11">
        <f t="shared" si="33"/>
        <v>4.0628571428571432</v>
      </c>
    </row>
    <row r="141" spans="1:36" x14ac:dyDescent="0.25">
      <c r="A141" s="4" t="s">
        <v>944</v>
      </c>
      <c r="B141" s="4" t="s">
        <v>1125</v>
      </c>
      <c r="C141" s="4" t="s">
        <v>12</v>
      </c>
      <c r="D141" s="4" t="s">
        <v>1106</v>
      </c>
      <c r="E141" t="s">
        <v>1123</v>
      </c>
      <c r="F141" t="s">
        <v>360</v>
      </c>
      <c r="G141" t="s">
        <v>616</v>
      </c>
      <c r="H141">
        <v>28</v>
      </c>
      <c r="I141">
        <v>15</v>
      </c>
      <c r="J141" t="s">
        <v>56</v>
      </c>
      <c r="K141" t="s">
        <v>17</v>
      </c>
      <c r="L141" t="s">
        <v>274</v>
      </c>
      <c r="M141" t="s">
        <v>12</v>
      </c>
      <c r="N141" t="s">
        <v>12</v>
      </c>
      <c r="P141">
        <f>32*0.0035</f>
        <v>0.112</v>
      </c>
      <c r="Q141" t="s">
        <v>180</v>
      </c>
      <c r="R141" t="s">
        <v>176</v>
      </c>
      <c r="T141">
        <v>1</v>
      </c>
      <c r="U141" t="s">
        <v>1006</v>
      </c>
      <c r="W141" s="16">
        <v>7800</v>
      </c>
      <c r="X141" t="s">
        <v>184</v>
      </c>
      <c r="AA141" s="13">
        <f>Tableau8[[#This Row],[density (kg/m2) or specific weight (kg/m2)]]*Tableau8[[#This Row],[volume or area]]</f>
        <v>873.6</v>
      </c>
      <c r="AB141">
        <v>25.3</v>
      </c>
      <c r="AC141">
        <v>1.95</v>
      </c>
      <c r="AD141" s="11">
        <f t="shared" si="34"/>
        <v>789.36</v>
      </c>
      <c r="AE141" s="11">
        <f>_xlfn.RANK.AVG(Tableau8[[#This Row],[EE ( MJ/m²)]],AD141:AD1296)</f>
        <v>13</v>
      </c>
      <c r="AF141" s="11">
        <f t="shared" si="32"/>
        <v>52.624000000000002</v>
      </c>
      <c r="AG141" s="11">
        <f>(AC141)*AA141/H141</f>
        <v>60.839999999999996</v>
      </c>
      <c r="AH141" s="11">
        <f t="shared" si="35"/>
        <v>60.839999999999996</v>
      </c>
      <c r="AI141" s="33">
        <f>(AC141)*AA141/H141/I141</f>
        <v>4.056</v>
      </c>
      <c r="AJ141" s="11">
        <f t="shared" si="33"/>
        <v>4.056</v>
      </c>
    </row>
    <row r="142" spans="1:36" x14ac:dyDescent="0.25">
      <c r="A142" s="35" t="s">
        <v>944</v>
      </c>
      <c r="B142" s="35" t="s">
        <v>1125</v>
      </c>
      <c r="C142" s="35" t="s">
        <v>18</v>
      </c>
      <c r="D142" s="35" t="s">
        <v>1106</v>
      </c>
      <c r="E142" s="36" t="s">
        <v>1123</v>
      </c>
      <c r="F142" s="36" t="s">
        <v>360</v>
      </c>
      <c r="G142" s="36" t="s">
        <v>616</v>
      </c>
      <c r="H142" s="36">
        <v>28</v>
      </c>
      <c r="I142" s="36">
        <v>15</v>
      </c>
      <c r="J142" s="36" t="s">
        <v>57</v>
      </c>
      <c r="K142" t="s">
        <v>18</v>
      </c>
      <c r="L142" s="36" t="s">
        <v>1119</v>
      </c>
      <c r="M142" s="36" t="s">
        <v>18</v>
      </c>
      <c r="N142" s="36" t="s">
        <v>39</v>
      </c>
      <c r="P142" s="36">
        <f>28*0.05</f>
        <v>1.4000000000000001</v>
      </c>
      <c r="Q142" s="36" t="s">
        <v>180</v>
      </c>
      <c r="R142" s="36" t="s">
        <v>176</v>
      </c>
      <c r="S142" s="36"/>
      <c r="T142" s="36">
        <v>1</v>
      </c>
      <c r="U142" s="36" t="s">
        <v>1006</v>
      </c>
      <c r="V142" s="36"/>
      <c r="W142" s="2">
        <v>2400</v>
      </c>
      <c r="X142" s="36" t="s">
        <v>184</v>
      </c>
      <c r="Y142" s="36"/>
      <c r="Z142" s="36"/>
      <c r="AA142" s="37">
        <f>Tableau8[[#This Row],[density (kg/m2) or specific weight (kg/m2)]]*Tableau8[[#This Row],[nb of item used ]]*Tableau8[[#This Row],[volume or area]]</f>
        <v>3360.0000000000005</v>
      </c>
      <c r="AB142" s="36">
        <v>0.75</v>
      </c>
      <c r="AC142" s="36">
        <v>0.105</v>
      </c>
      <c r="AD142" s="38">
        <f t="shared" si="34"/>
        <v>90.000000000000014</v>
      </c>
      <c r="AE142" s="38">
        <f>_xlfn.RANK.AVG(Tableau8[[#This Row],[EE ( MJ/m²)]],AD142:AD1297)</f>
        <v>156</v>
      </c>
      <c r="AF142" s="38">
        <f t="shared" si="32"/>
        <v>6.0000000000000009</v>
      </c>
      <c r="AG142" s="11">
        <f>(AC142)*AA142/H142</f>
        <v>12.6</v>
      </c>
      <c r="AH142" s="38">
        <f t="shared" si="35"/>
        <v>12.6</v>
      </c>
      <c r="AI142" s="33">
        <f>(AC142)*AA142/H142/I142</f>
        <v>0.84</v>
      </c>
      <c r="AJ142" s="38">
        <f t="shared" si="33"/>
        <v>0.84</v>
      </c>
    </row>
    <row r="143" spans="1:36" x14ac:dyDescent="0.25">
      <c r="A143" s="35" t="s">
        <v>944</v>
      </c>
      <c r="B143" s="35" t="s">
        <v>1125</v>
      </c>
      <c r="C143" s="35" t="s">
        <v>15</v>
      </c>
      <c r="D143" s="35" t="s">
        <v>1106</v>
      </c>
      <c r="E143" s="36" t="s">
        <v>1123</v>
      </c>
      <c r="F143" s="36" t="s">
        <v>360</v>
      </c>
      <c r="G143" s="36" t="s">
        <v>616</v>
      </c>
      <c r="H143" s="36">
        <v>28</v>
      </c>
      <c r="I143" s="36">
        <v>15</v>
      </c>
      <c r="J143" s="36" t="s">
        <v>40</v>
      </c>
      <c r="K143" t="s">
        <v>15</v>
      </c>
      <c r="L143" s="36" t="s">
        <v>488</v>
      </c>
      <c r="M143" s="36" t="s">
        <v>15</v>
      </c>
      <c r="N143" s="36" t="s">
        <v>15</v>
      </c>
      <c r="P143" s="36">
        <f>4*0.03</f>
        <v>0.12</v>
      </c>
      <c r="Q143" s="36" t="s">
        <v>180</v>
      </c>
      <c r="R143" s="36" t="s">
        <v>176</v>
      </c>
      <c r="S143" s="36"/>
      <c r="T143" s="36">
        <v>1</v>
      </c>
      <c r="U143" s="36" t="s">
        <v>1006</v>
      </c>
      <c r="V143" s="36"/>
      <c r="W143" s="2">
        <v>510</v>
      </c>
      <c r="X143" s="36" t="s">
        <v>184</v>
      </c>
      <c r="Y143" s="36"/>
      <c r="Z143" s="36"/>
      <c r="AA143" s="37">
        <f>Tableau8[[#This Row],[nb of item used ]]*Tableau8[[#This Row],[density (kg/m2) or specific weight (kg/m2)]]*Tableau8[[#This Row],[volume or area]]</f>
        <v>61.199999999999996</v>
      </c>
      <c r="AB143" s="36">
        <f>10-4.4</f>
        <v>5.6</v>
      </c>
      <c r="AC143" s="36">
        <f>0.31+0.41</f>
        <v>0.72</v>
      </c>
      <c r="AD143" s="38">
        <f t="shared" si="34"/>
        <v>12.239999999999998</v>
      </c>
      <c r="AE143" s="38">
        <f>_xlfn.RANK.AVG(Tableau8[[#This Row],[EE ( MJ/m²)]],AD143:AD1298)</f>
        <v>471.5</v>
      </c>
      <c r="AF143" s="38">
        <f t="shared" si="32"/>
        <v>0.81599999999999995</v>
      </c>
      <c r="AG143" s="38">
        <f>(AC143-0.41)*AA143/H143</f>
        <v>0.67757142857142849</v>
      </c>
      <c r="AH143" s="38">
        <f t="shared" si="35"/>
        <v>1.5737142857142854</v>
      </c>
      <c r="AI143" s="38">
        <f>(AC143-0.41)*AA143/H143/I143</f>
        <v>4.5171428571428564E-2</v>
      </c>
      <c r="AJ143" s="38">
        <f t="shared" si="33"/>
        <v>0.1049142857142857</v>
      </c>
    </row>
    <row r="144" spans="1:36" x14ac:dyDescent="0.25">
      <c r="A144" s="4" t="s">
        <v>944</v>
      </c>
      <c r="B144" s="4" t="s">
        <v>1125</v>
      </c>
      <c r="C144" s="4" t="s">
        <v>12</v>
      </c>
      <c r="D144" s="4" t="s">
        <v>1106</v>
      </c>
      <c r="E144" t="s">
        <v>1123</v>
      </c>
      <c r="F144" t="s">
        <v>360</v>
      </c>
      <c r="G144" t="s">
        <v>616</v>
      </c>
      <c r="H144">
        <v>28</v>
      </c>
      <c r="I144">
        <v>15</v>
      </c>
      <c r="J144" t="s">
        <v>44</v>
      </c>
      <c r="K144" t="s">
        <v>17</v>
      </c>
      <c r="L144" t="s">
        <v>712</v>
      </c>
      <c r="M144" t="s">
        <v>12</v>
      </c>
      <c r="N144" t="s">
        <v>12</v>
      </c>
      <c r="R144" t="s">
        <v>187</v>
      </c>
      <c r="T144">
        <v>1</v>
      </c>
      <c r="U144" t="s">
        <v>346</v>
      </c>
      <c r="W144" s="16">
        <v>7800</v>
      </c>
      <c r="X144" t="s">
        <v>184</v>
      </c>
      <c r="AA144" s="13">
        <v>12</v>
      </c>
      <c r="AB144">
        <v>25.3</v>
      </c>
      <c r="AC144">
        <v>1.95</v>
      </c>
      <c r="AD144" s="11">
        <f t="shared" si="34"/>
        <v>10.842857142857143</v>
      </c>
      <c r="AE144" s="11">
        <f>_xlfn.RANK.AVG(Tableau8[[#This Row],[EE ( MJ/m²)]],AD144:AD1299)</f>
        <v>489</v>
      </c>
      <c r="AF144" s="11">
        <f t="shared" si="32"/>
        <v>0.72285714285714286</v>
      </c>
      <c r="AG144" s="11">
        <f>(AC144)*AA144/H144</f>
        <v>0.83571428571428563</v>
      </c>
      <c r="AH144" s="11">
        <f t="shared" si="35"/>
        <v>0.83571428571428563</v>
      </c>
      <c r="AI144" s="33">
        <f>(AC144)*AA144/H144/I144</f>
        <v>5.5714285714285709E-2</v>
      </c>
      <c r="AJ144" s="11">
        <f t="shared" si="33"/>
        <v>5.5714285714285709E-2</v>
      </c>
    </row>
    <row r="145" spans="1:36" x14ac:dyDescent="0.25">
      <c r="A145" s="4" t="s">
        <v>945</v>
      </c>
      <c r="B145" s="4" t="s">
        <v>948</v>
      </c>
      <c r="C145" s="4" t="s">
        <v>15</v>
      </c>
      <c r="D145" s="4" t="s">
        <v>941</v>
      </c>
      <c r="E145" t="s">
        <v>685</v>
      </c>
      <c r="F145" t="s">
        <v>360</v>
      </c>
      <c r="G145" t="s">
        <v>695</v>
      </c>
      <c r="H145">
        <f t="shared" ref="H145:H169" si="38">4.5*3.2</f>
        <v>14.4</v>
      </c>
      <c r="I145">
        <v>3.5</v>
      </c>
      <c r="J145" t="s">
        <v>40</v>
      </c>
      <c r="K145" t="s">
        <v>15</v>
      </c>
      <c r="L145" t="s">
        <v>692</v>
      </c>
      <c r="M145" t="s">
        <v>15</v>
      </c>
      <c r="N145" t="s">
        <v>15</v>
      </c>
      <c r="P145">
        <f>0.1*0.63*2</f>
        <v>0.126</v>
      </c>
      <c r="T145">
        <v>8</v>
      </c>
      <c r="W145" s="16">
        <v>510</v>
      </c>
      <c r="X145" t="s">
        <v>184</v>
      </c>
      <c r="AA145" s="13">
        <f>Tableau8[[#This Row],[nb of item used ]]*Tableau8[[#This Row],[density (kg/m2) or specific weight (kg/m2)]]*Tableau8[[#This Row],[volume or area]]</f>
        <v>514.08000000000004</v>
      </c>
      <c r="AB145">
        <f>10-4.4</f>
        <v>5.6</v>
      </c>
      <c r="AC145">
        <f>0.31+0.41</f>
        <v>0.72</v>
      </c>
      <c r="AD145" s="11">
        <f t="shared" si="34"/>
        <v>199.92</v>
      </c>
      <c r="AE145" s="11">
        <f>_xlfn.RANK.AVG(Tableau8[[#This Row],[EE ( MJ/m²)]],AD145:AD1300)</f>
        <v>72.5</v>
      </c>
      <c r="AF145" s="11">
        <f t="shared" si="32"/>
        <v>57.12</v>
      </c>
      <c r="AG145" s="11">
        <f>(AC145-0.41)*AA145/H145</f>
        <v>11.067</v>
      </c>
      <c r="AH145" s="11">
        <f t="shared" si="35"/>
        <v>25.704000000000001</v>
      </c>
      <c r="AI145" s="11">
        <f>(AC145-0.41)*AA145/H145/I145</f>
        <v>3.1619999999999999</v>
      </c>
      <c r="AJ145" s="11">
        <f t="shared" si="33"/>
        <v>7.3440000000000003</v>
      </c>
    </row>
    <row r="146" spans="1:36" x14ac:dyDescent="0.25">
      <c r="A146" s="4" t="s">
        <v>945</v>
      </c>
      <c r="B146" s="4" t="s">
        <v>948</v>
      </c>
      <c r="C146" s="4" t="s">
        <v>15</v>
      </c>
      <c r="D146" s="4" t="s">
        <v>941</v>
      </c>
      <c r="E146" t="s">
        <v>685</v>
      </c>
      <c r="F146" t="s">
        <v>360</v>
      </c>
      <c r="G146" t="s">
        <v>695</v>
      </c>
      <c r="H146">
        <f t="shared" si="38"/>
        <v>14.4</v>
      </c>
      <c r="I146">
        <v>3.5</v>
      </c>
      <c r="J146" t="s">
        <v>40</v>
      </c>
      <c r="K146" t="s">
        <v>15</v>
      </c>
      <c r="L146" t="s">
        <v>692</v>
      </c>
      <c r="M146" t="s">
        <v>15</v>
      </c>
      <c r="N146" t="s">
        <v>15</v>
      </c>
      <c r="P146">
        <f>0.1*0.63*2</f>
        <v>0.126</v>
      </c>
      <c r="T146">
        <v>8</v>
      </c>
      <c r="W146" s="16">
        <v>510</v>
      </c>
      <c r="X146" t="s">
        <v>184</v>
      </c>
      <c r="AA146" s="13">
        <f>Tableau8[[#This Row],[nb of item used ]]*Tableau8[[#This Row],[density (kg/m2) or specific weight (kg/m2)]]*Tableau8[[#This Row],[volume or area]]</f>
        <v>514.08000000000004</v>
      </c>
      <c r="AB146">
        <f>10-4.4</f>
        <v>5.6</v>
      </c>
      <c r="AC146">
        <f>0.31+0.41</f>
        <v>0.72</v>
      </c>
      <c r="AD146" s="11">
        <f t="shared" si="34"/>
        <v>199.92</v>
      </c>
      <c r="AE146" s="11">
        <f>_xlfn.RANK.AVG(Tableau8[[#This Row],[EE ( MJ/m²)]],AD146:AD1301)</f>
        <v>72</v>
      </c>
      <c r="AF146" s="11">
        <f t="shared" si="32"/>
        <v>57.12</v>
      </c>
      <c r="AG146" s="11">
        <f>(AC146-0.41)*AA146/H146</f>
        <v>11.067</v>
      </c>
      <c r="AH146" s="11">
        <f t="shared" si="35"/>
        <v>25.704000000000001</v>
      </c>
      <c r="AI146" s="11">
        <f>(AC146-0.41)*AA146/H146/I146</f>
        <v>3.1619999999999999</v>
      </c>
      <c r="AJ146" s="11">
        <f t="shared" si="33"/>
        <v>7.3440000000000003</v>
      </c>
    </row>
    <row r="147" spans="1:36" x14ac:dyDescent="0.25">
      <c r="A147" s="4" t="s">
        <v>945</v>
      </c>
      <c r="B147" s="4" t="s">
        <v>948</v>
      </c>
      <c r="C147" s="4" t="s">
        <v>15</v>
      </c>
      <c r="D147" s="4" t="s">
        <v>941</v>
      </c>
      <c r="E147" t="s">
        <v>685</v>
      </c>
      <c r="F147" t="s">
        <v>360</v>
      </c>
      <c r="G147" t="s">
        <v>695</v>
      </c>
      <c r="H147">
        <f t="shared" si="38"/>
        <v>14.4</v>
      </c>
      <c r="I147">
        <v>3.5</v>
      </c>
      <c r="J147" t="s">
        <v>40</v>
      </c>
      <c r="K147" t="s">
        <v>15</v>
      </c>
      <c r="L147" t="s">
        <v>692</v>
      </c>
      <c r="M147" t="s">
        <v>15</v>
      </c>
      <c r="N147" t="s">
        <v>15</v>
      </c>
      <c r="P147">
        <f>0.1*0.63*2</f>
        <v>0.126</v>
      </c>
      <c r="T147">
        <v>6</v>
      </c>
      <c r="W147" s="16">
        <v>510</v>
      </c>
      <c r="X147" t="s">
        <v>184</v>
      </c>
      <c r="AA147" s="13">
        <f>Tableau8[[#This Row],[nb of item used ]]*Tableau8[[#This Row],[density (kg/m2) or specific weight (kg/m2)]]*Tableau8[[#This Row],[volume or area]]</f>
        <v>385.56</v>
      </c>
      <c r="AB147">
        <f>10-4.4</f>
        <v>5.6</v>
      </c>
      <c r="AC147">
        <f>0.31+0.41</f>
        <v>0.72</v>
      </c>
      <c r="AD147" s="11">
        <f t="shared" si="34"/>
        <v>149.94</v>
      </c>
      <c r="AE147" s="11">
        <f>_xlfn.RANK.AVG(Tableau8[[#This Row],[EE ( MJ/m²)]],AD147:AD1302)</f>
        <v>99</v>
      </c>
      <c r="AF147" s="11">
        <f t="shared" si="32"/>
        <v>42.839999999999996</v>
      </c>
      <c r="AG147" s="11">
        <f>(AC147-0.41)*AA147/H147</f>
        <v>8.3002500000000001</v>
      </c>
      <c r="AH147" s="11">
        <f t="shared" si="35"/>
        <v>19.278000000000002</v>
      </c>
      <c r="AI147" s="11">
        <f>(AC147-0.41)*AA147/H147/I147</f>
        <v>2.3715000000000002</v>
      </c>
      <c r="AJ147" s="11">
        <f t="shared" si="33"/>
        <v>5.5080000000000009</v>
      </c>
    </row>
    <row r="148" spans="1:36" x14ac:dyDescent="0.25">
      <c r="A148" s="4" t="s">
        <v>945</v>
      </c>
      <c r="B148" s="4" t="s">
        <v>948</v>
      </c>
      <c r="C148" s="4" t="s">
        <v>15</v>
      </c>
      <c r="D148" s="4" t="s">
        <v>941</v>
      </c>
      <c r="E148" t="s">
        <v>685</v>
      </c>
      <c r="F148" t="s">
        <v>360</v>
      </c>
      <c r="G148" t="s">
        <v>695</v>
      </c>
      <c r="H148">
        <f t="shared" si="38"/>
        <v>14.4</v>
      </c>
      <c r="I148">
        <v>3.5</v>
      </c>
      <c r="J148" t="s">
        <v>13</v>
      </c>
      <c r="K148" t="s">
        <v>17</v>
      </c>
      <c r="L148" t="s">
        <v>664</v>
      </c>
      <c r="M148" t="s">
        <v>95</v>
      </c>
      <c r="N148" t="s">
        <v>99</v>
      </c>
      <c r="P148">
        <f>PI()*(0.005^2)*6</f>
        <v>4.7123889803846896E-4</v>
      </c>
      <c r="T148">
        <v>32</v>
      </c>
      <c r="W148" s="16">
        <v>7800</v>
      </c>
      <c r="X148" t="s">
        <v>184</v>
      </c>
      <c r="AA148" s="13">
        <f>Tableau8[[#This Row],[density (kg/m2) or specific weight (kg/m2)]]*Tableau8[[#This Row],[nb of item used ]]*Tableau8[[#This Row],[volume or area]]</f>
        <v>117.62122895040186</v>
      </c>
      <c r="AB148">
        <v>21.6</v>
      </c>
      <c r="AC148">
        <v>1.86</v>
      </c>
      <c r="AD148" s="11">
        <f t="shared" si="34"/>
        <v>176.43184342560281</v>
      </c>
      <c r="AE148" s="11">
        <f>_xlfn.RANK.AVG(Tableau8[[#This Row],[EE ( MJ/m²)]],AD148:AD1303)</f>
        <v>80</v>
      </c>
      <c r="AF148" s="11">
        <f t="shared" si="32"/>
        <v>50.409098121600799</v>
      </c>
      <c r="AG148" s="11">
        <f t="shared" ref="AG148:AG165" si="39">(AC148)*AA148/H148</f>
        <v>15.19274207276024</v>
      </c>
      <c r="AH148" s="11">
        <f t="shared" si="35"/>
        <v>15.19274207276024</v>
      </c>
      <c r="AI148" s="11">
        <f t="shared" ref="AI148:AI165" si="40">(AC148)*AA148/H148/I148</f>
        <v>4.3407834493600683</v>
      </c>
      <c r="AJ148" s="11">
        <f t="shared" si="33"/>
        <v>4.3407834493600683</v>
      </c>
    </row>
    <row r="149" spans="1:36" x14ac:dyDescent="0.25">
      <c r="A149" s="4" t="s">
        <v>945</v>
      </c>
      <c r="B149" s="4" t="s">
        <v>948</v>
      </c>
      <c r="C149" s="4" t="s">
        <v>15</v>
      </c>
      <c r="D149" s="4" t="s">
        <v>941</v>
      </c>
      <c r="E149" t="s">
        <v>685</v>
      </c>
      <c r="F149" t="s">
        <v>360</v>
      </c>
      <c r="G149" t="s">
        <v>695</v>
      </c>
      <c r="H149">
        <f t="shared" si="38"/>
        <v>14.4</v>
      </c>
      <c r="I149">
        <v>3.5</v>
      </c>
      <c r="J149" t="s">
        <v>13</v>
      </c>
      <c r="K149" t="s">
        <v>17</v>
      </c>
      <c r="L149" t="s">
        <v>664</v>
      </c>
      <c r="M149" t="s">
        <v>95</v>
      </c>
      <c r="N149" t="s">
        <v>99</v>
      </c>
      <c r="P149">
        <f>PI()*(0.004^2)*6</f>
        <v>3.0159289474462013E-4</v>
      </c>
      <c r="T149">
        <v>28</v>
      </c>
      <c r="W149">
        <v>7800</v>
      </c>
      <c r="X149" t="s">
        <v>184</v>
      </c>
      <c r="AA149" s="13">
        <f>Tableau8[[#This Row],[density (kg/m2) or specific weight (kg/m2)]]*Tableau8[[#This Row],[nb of item used ]]*Tableau8[[#This Row],[volume or area]]</f>
        <v>65.86788821222504</v>
      </c>
      <c r="AB149">
        <v>21.6</v>
      </c>
      <c r="AC149">
        <v>1.86</v>
      </c>
      <c r="AD149" s="11">
        <f t="shared" si="34"/>
        <v>98.80183231833756</v>
      </c>
      <c r="AE149" s="11">
        <f>_xlfn.RANK.AVG(Tableau8[[#This Row],[EE ( MJ/m²)]],AD149:AD1304)</f>
        <v>143</v>
      </c>
      <c r="AF149" s="11">
        <f t="shared" si="32"/>
        <v>28.229094948096446</v>
      </c>
      <c r="AG149" s="11">
        <f t="shared" si="39"/>
        <v>8.5079355607457341</v>
      </c>
      <c r="AH149" s="11">
        <f t="shared" si="35"/>
        <v>8.5079355607457341</v>
      </c>
      <c r="AI149" s="11">
        <f t="shared" si="40"/>
        <v>2.4308387316416384</v>
      </c>
      <c r="AJ149" s="11">
        <f t="shared" si="33"/>
        <v>2.4308387316416384</v>
      </c>
    </row>
    <row r="150" spans="1:36" x14ac:dyDescent="0.25">
      <c r="A150" s="4" t="s">
        <v>945</v>
      </c>
      <c r="B150" s="4" t="s">
        <v>948</v>
      </c>
      <c r="C150" s="4" t="s">
        <v>15</v>
      </c>
      <c r="D150" s="4" t="s">
        <v>941</v>
      </c>
      <c r="E150" t="s">
        <v>685</v>
      </c>
      <c r="F150" t="s">
        <v>360</v>
      </c>
      <c r="G150" t="s">
        <v>695</v>
      </c>
      <c r="H150">
        <f t="shared" si="38"/>
        <v>14.4</v>
      </c>
      <c r="I150">
        <v>3.5</v>
      </c>
      <c r="J150" t="s">
        <v>42</v>
      </c>
      <c r="K150" t="s">
        <v>17</v>
      </c>
      <c r="L150" t="s">
        <v>664</v>
      </c>
      <c r="M150" t="s">
        <v>95</v>
      </c>
      <c r="N150" t="s">
        <v>99</v>
      </c>
      <c r="P150">
        <f>PI()*(0.004^2)*6</f>
        <v>3.0159289474462013E-4</v>
      </c>
      <c r="T150">
        <v>17</v>
      </c>
      <c r="W150" s="16">
        <v>7800</v>
      </c>
      <c r="X150" t="s">
        <v>184</v>
      </c>
      <c r="AA150" s="13">
        <f>Tableau8[[#This Row],[density (kg/m2) or specific weight (kg/m2)]]*Tableau8[[#This Row],[nb of item used ]]*Tableau8[[#This Row],[volume or area]]</f>
        <v>39.991217843136631</v>
      </c>
      <c r="AB150">
        <v>21.6</v>
      </c>
      <c r="AC150">
        <v>1.86</v>
      </c>
      <c r="AD150" s="11">
        <f t="shared" si="34"/>
        <v>59.986826764704951</v>
      </c>
      <c r="AE150" s="11">
        <f>_xlfn.RANK.AVG(Tableau8[[#This Row],[EE ( MJ/m²)]],AD150:AD1305)</f>
        <v>199</v>
      </c>
      <c r="AF150" s="11">
        <f t="shared" ref="AF150:AF165" si="41">AB150*AA150/H150/I150</f>
        <v>17.139093361344273</v>
      </c>
      <c r="AG150" s="11">
        <f t="shared" si="39"/>
        <v>5.1655323047384814</v>
      </c>
      <c r="AH150" s="11">
        <f t="shared" si="35"/>
        <v>5.1655323047384814</v>
      </c>
      <c r="AI150" s="11">
        <f t="shared" si="40"/>
        <v>1.4758663727824233</v>
      </c>
      <c r="AJ150" s="11">
        <f t="shared" ref="AJ150:AJ165" si="42">AC150*AA150/H150/I150</f>
        <v>1.4758663727824233</v>
      </c>
    </row>
    <row r="151" spans="1:36" x14ac:dyDescent="0.25">
      <c r="A151" s="4" t="s">
        <v>945</v>
      </c>
      <c r="B151" s="4" t="s">
        <v>948</v>
      </c>
      <c r="C151" s="4" t="s">
        <v>15</v>
      </c>
      <c r="D151" s="4" t="s">
        <v>941</v>
      </c>
      <c r="E151" t="s">
        <v>685</v>
      </c>
      <c r="F151" t="s">
        <v>360</v>
      </c>
      <c r="G151" t="s">
        <v>695</v>
      </c>
      <c r="H151">
        <f t="shared" si="38"/>
        <v>14.4</v>
      </c>
      <c r="I151">
        <v>3.5</v>
      </c>
      <c r="J151" t="s">
        <v>42</v>
      </c>
      <c r="K151" t="s">
        <v>17</v>
      </c>
      <c r="L151" t="s">
        <v>664</v>
      </c>
      <c r="M151" t="s">
        <v>12</v>
      </c>
      <c r="N151" t="s">
        <v>99</v>
      </c>
      <c r="P151">
        <f>PI()*(0.005^2)*6</f>
        <v>4.7123889803846896E-4</v>
      </c>
      <c r="T151">
        <v>21</v>
      </c>
      <c r="W151" s="16">
        <v>7800</v>
      </c>
      <c r="X151" t="s">
        <v>184</v>
      </c>
      <c r="AA151" s="13">
        <f>Tableau8[[#This Row],[density (kg/m2) or specific weight (kg/m2)]]*Tableau8[[#This Row],[nb of item used ]]*Tableau8[[#This Row],[volume or area]]</f>
        <v>77.188931498701223</v>
      </c>
      <c r="AB151">
        <v>21.6</v>
      </c>
      <c r="AC151">
        <v>1.86</v>
      </c>
      <c r="AD151" s="11">
        <f t="shared" si="34"/>
        <v>115.78339724805183</v>
      </c>
      <c r="AE151" s="11">
        <f>_xlfn.RANK.AVG(Tableau8[[#This Row],[EE ( MJ/m²)]],AD151:AD1306)</f>
        <v>123</v>
      </c>
      <c r="AF151" s="11">
        <f t="shared" si="41"/>
        <v>33.080970642300521</v>
      </c>
      <c r="AG151" s="11">
        <f t="shared" si="39"/>
        <v>9.9702369852489081</v>
      </c>
      <c r="AH151" s="11">
        <f t="shared" si="35"/>
        <v>9.9702369852489081</v>
      </c>
      <c r="AI151" s="11">
        <f t="shared" si="40"/>
        <v>2.8486391386425454</v>
      </c>
      <c r="AJ151" s="11">
        <f t="shared" si="42"/>
        <v>2.8486391386425454</v>
      </c>
    </row>
    <row r="152" spans="1:36" x14ac:dyDescent="0.25">
      <c r="A152" s="4" t="s">
        <v>945</v>
      </c>
      <c r="B152" s="4" t="s">
        <v>948</v>
      </c>
      <c r="C152" s="4" t="s">
        <v>15</v>
      </c>
      <c r="D152" s="4" t="s">
        <v>941</v>
      </c>
      <c r="E152" t="s">
        <v>685</v>
      </c>
      <c r="F152" t="s">
        <v>360</v>
      </c>
      <c r="G152" t="s">
        <v>695</v>
      </c>
      <c r="H152">
        <f t="shared" si="38"/>
        <v>14.4</v>
      </c>
      <c r="I152">
        <v>3.5</v>
      </c>
      <c r="J152" t="s">
        <v>42</v>
      </c>
      <c r="K152" t="s">
        <v>17</v>
      </c>
      <c r="L152" t="s">
        <v>924</v>
      </c>
      <c r="M152" t="s">
        <v>12</v>
      </c>
      <c r="N152" t="s">
        <v>12</v>
      </c>
      <c r="P152">
        <f>((0.038+0.038)*0.003)*6</f>
        <v>1.3680000000000001E-3</v>
      </c>
      <c r="T152">
        <v>12</v>
      </c>
      <c r="W152" s="16">
        <v>7800</v>
      </c>
      <c r="X152" t="s">
        <v>184</v>
      </c>
      <c r="AA152" s="13">
        <f>Tableau8[[#This Row],[density (kg/m2) or specific weight (kg/m2)]]*Tableau8[[#This Row],[nb of item used ]]*Tableau8[[#This Row],[volume or area]]</f>
        <v>128.04480000000001</v>
      </c>
      <c r="AB152">
        <v>25.3</v>
      </c>
      <c r="AC152">
        <v>1.95</v>
      </c>
      <c r="AD152" s="11">
        <f t="shared" si="34"/>
        <v>224.9676</v>
      </c>
      <c r="AE152" s="11">
        <f>_xlfn.RANK.AVG(Tableau8[[#This Row],[EE ( MJ/m²)]],AD152:AD1307)</f>
        <v>62</v>
      </c>
      <c r="AF152" s="11">
        <f t="shared" si="41"/>
        <v>64.27645714285714</v>
      </c>
      <c r="AG152" s="11">
        <f t="shared" si="39"/>
        <v>17.339400000000001</v>
      </c>
      <c r="AH152" s="11">
        <f t="shared" si="35"/>
        <v>17.339400000000001</v>
      </c>
      <c r="AI152" s="11">
        <f t="shared" si="40"/>
        <v>4.9541142857142857</v>
      </c>
      <c r="AJ152" s="11">
        <f t="shared" si="42"/>
        <v>4.9541142857142857</v>
      </c>
    </row>
    <row r="153" spans="1:36" x14ac:dyDescent="0.25">
      <c r="A153" s="4" t="s">
        <v>945</v>
      </c>
      <c r="B153" s="4" t="s">
        <v>948</v>
      </c>
      <c r="C153" s="4" t="s">
        <v>15</v>
      </c>
      <c r="D153" s="4" t="s">
        <v>941</v>
      </c>
      <c r="E153" t="s">
        <v>685</v>
      </c>
      <c r="F153" t="s">
        <v>360</v>
      </c>
      <c r="G153" t="s">
        <v>695</v>
      </c>
      <c r="H153">
        <f t="shared" si="38"/>
        <v>14.4</v>
      </c>
      <c r="I153">
        <v>3.5</v>
      </c>
      <c r="J153" t="s">
        <v>42</v>
      </c>
      <c r="K153" t="s">
        <v>17</v>
      </c>
      <c r="L153" t="s">
        <v>925</v>
      </c>
      <c r="M153" t="s">
        <v>12</v>
      </c>
      <c r="N153" t="s">
        <v>12</v>
      </c>
      <c r="P153">
        <f>(0.2*0.2*0.005)</f>
        <v>2.0000000000000004E-4</v>
      </c>
      <c r="T153">
        <v>39</v>
      </c>
      <c r="W153">
        <v>7800</v>
      </c>
      <c r="X153" t="s">
        <v>184</v>
      </c>
      <c r="AA153" s="13">
        <f>Tableau8[[#This Row],[density (kg/m2) or specific weight (kg/m2)]]*Tableau8[[#This Row],[nb of item used ]]*Tableau8[[#This Row],[volume or area]]</f>
        <v>60.840000000000011</v>
      </c>
      <c r="AB153">
        <v>25.3</v>
      </c>
      <c r="AC153">
        <v>1.95</v>
      </c>
      <c r="AD153" s="11">
        <f t="shared" si="34"/>
        <v>106.89250000000003</v>
      </c>
      <c r="AE153" s="11">
        <f>_xlfn.RANK.AVG(Tableau8[[#This Row],[EE ( MJ/m²)]],AD153:AD1308)</f>
        <v>129</v>
      </c>
      <c r="AF153" s="11">
        <f t="shared" si="41"/>
        <v>30.540714285714294</v>
      </c>
      <c r="AG153" s="11">
        <f t="shared" si="39"/>
        <v>8.2387500000000014</v>
      </c>
      <c r="AH153" s="11">
        <f t="shared" si="35"/>
        <v>8.2387500000000014</v>
      </c>
      <c r="AI153" s="11">
        <f t="shared" si="40"/>
        <v>2.3539285714285718</v>
      </c>
      <c r="AJ153" s="11">
        <f t="shared" si="42"/>
        <v>2.3539285714285718</v>
      </c>
    </row>
    <row r="154" spans="1:36" x14ac:dyDescent="0.25">
      <c r="A154" s="4" t="s">
        <v>945</v>
      </c>
      <c r="B154" s="4" t="s">
        <v>948</v>
      </c>
      <c r="C154" s="4" t="s">
        <v>15</v>
      </c>
      <c r="D154" s="4" t="s">
        <v>941</v>
      </c>
      <c r="E154" t="s">
        <v>685</v>
      </c>
      <c r="F154" t="s">
        <v>360</v>
      </c>
      <c r="G154" t="s">
        <v>695</v>
      </c>
      <c r="H154">
        <f t="shared" si="38"/>
        <v>14.4</v>
      </c>
      <c r="I154">
        <v>3.5</v>
      </c>
      <c r="J154" t="s">
        <v>42</v>
      </c>
      <c r="K154" t="s">
        <v>17</v>
      </c>
      <c r="L154" t="s">
        <v>924</v>
      </c>
      <c r="M154" t="s">
        <v>12</v>
      </c>
      <c r="N154" t="s">
        <v>12</v>
      </c>
      <c r="P154">
        <f>((0.038+0.038)*0.003*6)</f>
        <v>1.3680000000000001E-3</v>
      </c>
      <c r="T154">
        <v>11</v>
      </c>
      <c r="W154">
        <v>7800</v>
      </c>
      <c r="X154" t="s">
        <v>184</v>
      </c>
      <c r="AA154" s="13">
        <f>Tableau8[[#This Row],[density (kg/m2) or specific weight (kg/m2)]]*Tableau8[[#This Row],[nb of item used ]]*Tableau8[[#This Row],[volume or area]]</f>
        <v>117.37440000000001</v>
      </c>
      <c r="AB154">
        <v>25.3</v>
      </c>
      <c r="AC154">
        <v>1.95</v>
      </c>
      <c r="AD154" s="11">
        <f t="shared" si="34"/>
        <v>206.22030000000001</v>
      </c>
      <c r="AE154" s="11">
        <f>_xlfn.RANK.AVG(Tableau8[[#This Row],[EE ( MJ/m²)]],AD154:AD1309)</f>
        <v>66</v>
      </c>
      <c r="AF154" s="11">
        <f t="shared" si="41"/>
        <v>58.920085714285719</v>
      </c>
      <c r="AG154" s="11">
        <f t="shared" si="39"/>
        <v>15.894450000000001</v>
      </c>
      <c r="AH154" s="11">
        <f t="shared" si="35"/>
        <v>15.894450000000001</v>
      </c>
      <c r="AI154" s="11">
        <f t="shared" si="40"/>
        <v>4.5412714285714291</v>
      </c>
      <c r="AJ154" s="11">
        <f t="shared" si="42"/>
        <v>4.5412714285714291</v>
      </c>
    </row>
    <row r="155" spans="1:36" x14ac:dyDescent="0.25">
      <c r="A155" s="4" t="s">
        <v>945</v>
      </c>
      <c r="B155" s="4" t="s">
        <v>948</v>
      </c>
      <c r="C155" s="4" t="s">
        <v>15</v>
      </c>
      <c r="D155" s="4" t="s">
        <v>941</v>
      </c>
      <c r="E155" t="s">
        <v>685</v>
      </c>
      <c r="F155" t="s">
        <v>360</v>
      </c>
      <c r="G155" t="s">
        <v>695</v>
      </c>
      <c r="H155">
        <f t="shared" si="38"/>
        <v>14.4</v>
      </c>
      <c r="I155">
        <v>3.5</v>
      </c>
      <c r="J155" t="s">
        <v>56</v>
      </c>
      <c r="K155" t="s">
        <v>17</v>
      </c>
      <c r="L155" t="s">
        <v>629</v>
      </c>
      <c r="M155" t="s">
        <v>12</v>
      </c>
      <c r="N155" t="s">
        <v>12</v>
      </c>
      <c r="P155">
        <f>0.225*0.225*0.0004</f>
        <v>2.0250000000000001E-5</v>
      </c>
      <c r="T155">
        <v>55.5</v>
      </c>
      <c r="W155">
        <v>7800</v>
      </c>
      <c r="X155" t="s">
        <v>184</v>
      </c>
      <c r="AA155" s="13">
        <f>Tableau8[[#This Row],[density (kg/m2) or specific weight (kg/m2)]]*Tableau8[[#This Row],[nb of item used ]]*Tableau8[[#This Row],[volume or area]]</f>
        <v>8.7662250000000004</v>
      </c>
      <c r="AB155">
        <v>25.3</v>
      </c>
      <c r="AC155">
        <v>1.95</v>
      </c>
      <c r="AD155" s="11">
        <f t="shared" si="34"/>
        <v>15.4017703125</v>
      </c>
      <c r="AE155" s="11">
        <f>_xlfn.RANK.AVG(Tableau8[[#This Row],[EE ( MJ/m²)]],AD155:AD1310)</f>
        <v>413</v>
      </c>
      <c r="AF155" s="11">
        <f t="shared" si="41"/>
        <v>4.4005058035714288</v>
      </c>
      <c r="AG155" s="11">
        <f t="shared" si="39"/>
        <v>1.1870929687499998</v>
      </c>
      <c r="AH155" s="11">
        <f t="shared" si="35"/>
        <v>1.1870929687499998</v>
      </c>
      <c r="AI155" s="11">
        <f t="shared" si="40"/>
        <v>0.33916941964285707</v>
      </c>
      <c r="AJ155" s="11">
        <f t="shared" si="42"/>
        <v>0.33916941964285707</v>
      </c>
    </row>
    <row r="156" spans="1:36" x14ac:dyDescent="0.25">
      <c r="A156" s="4" t="s">
        <v>945</v>
      </c>
      <c r="B156" s="4" t="s">
        <v>948</v>
      </c>
      <c r="C156" s="4" t="s">
        <v>15</v>
      </c>
      <c r="D156" s="4" t="s">
        <v>941</v>
      </c>
      <c r="E156" t="s">
        <v>685</v>
      </c>
      <c r="F156" t="s">
        <v>360</v>
      </c>
      <c r="G156" t="s">
        <v>695</v>
      </c>
      <c r="H156">
        <f t="shared" si="38"/>
        <v>14.4</v>
      </c>
      <c r="I156">
        <v>3.5</v>
      </c>
      <c r="J156" t="s">
        <v>44</v>
      </c>
      <c r="K156" t="s">
        <v>17</v>
      </c>
      <c r="L156" t="s">
        <v>462</v>
      </c>
      <c r="M156" t="s">
        <v>12</v>
      </c>
      <c r="N156" t="s">
        <v>12</v>
      </c>
      <c r="T156">
        <v>1</v>
      </c>
      <c r="W156">
        <v>7800</v>
      </c>
      <c r="X156" t="s">
        <v>184</v>
      </c>
      <c r="AA156" s="13">
        <v>25</v>
      </c>
      <c r="AB156">
        <v>25.3</v>
      </c>
      <c r="AC156">
        <v>1.95</v>
      </c>
      <c r="AD156" s="11">
        <f t="shared" si="34"/>
        <v>43.923611111111107</v>
      </c>
      <c r="AE156" s="11">
        <f>_xlfn.RANK.AVG(Tableau8[[#This Row],[EE ( MJ/m²)]],AD156:AD1311)</f>
        <v>234</v>
      </c>
      <c r="AF156" s="11">
        <f t="shared" si="41"/>
        <v>12.549603174603174</v>
      </c>
      <c r="AG156" s="11">
        <f t="shared" si="39"/>
        <v>3.3854166666666665</v>
      </c>
      <c r="AH156" s="11">
        <f t="shared" si="35"/>
        <v>3.3854166666666665</v>
      </c>
      <c r="AI156" s="11">
        <f t="shared" si="40"/>
        <v>0.96726190476190477</v>
      </c>
      <c r="AJ156" s="11">
        <f t="shared" si="42"/>
        <v>0.96726190476190477</v>
      </c>
    </row>
    <row r="157" spans="1:36" x14ac:dyDescent="0.25">
      <c r="A157" s="4" t="s">
        <v>945</v>
      </c>
      <c r="B157" s="4" t="s">
        <v>948</v>
      </c>
      <c r="C157" s="4" t="s">
        <v>15</v>
      </c>
      <c r="D157" s="4" t="s">
        <v>941</v>
      </c>
      <c r="E157" t="s">
        <v>685</v>
      </c>
      <c r="F157" t="s">
        <v>360</v>
      </c>
      <c r="G157" t="s">
        <v>695</v>
      </c>
      <c r="H157">
        <f t="shared" si="38"/>
        <v>14.4</v>
      </c>
      <c r="I157">
        <v>3.5</v>
      </c>
      <c r="J157" t="s">
        <v>13</v>
      </c>
      <c r="K157" t="s">
        <v>29</v>
      </c>
      <c r="L157" t="s">
        <v>687</v>
      </c>
      <c r="M157" t="s">
        <v>368</v>
      </c>
      <c r="N157" t="s">
        <v>432</v>
      </c>
      <c r="P157">
        <v>0.16</v>
      </c>
      <c r="Q157" t="s">
        <v>180</v>
      </c>
      <c r="T157">
        <v>1</v>
      </c>
      <c r="W157">
        <v>2240</v>
      </c>
      <c r="X157" t="s">
        <v>184</v>
      </c>
      <c r="AA157" s="13">
        <f>Tableau8[[#This Row],[density (kg/m2) or specific weight (kg/m2)]]*Tableau8[[#This Row],[nb of item used ]]*Tableau8[[#This Row],[volume or area]]</f>
        <v>358.40000000000003</v>
      </c>
      <c r="AB157">
        <v>8.0999999999999996E-3</v>
      </c>
      <c r="AC157">
        <v>5.1000000000000004E-3</v>
      </c>
      <c r="AD157" s="11">
        <f t="shared" si="34"/>
        <v>0.2016</v>
      </c>
      <c r="AE157" s="11">
        <f>_xlfn.RANK.AVG(Tableau8[[#This Row],[EE ( MJ/m²)]],AD157:AD1312)</f>
        <v>905</v>
      </c>
      <c r="AF157" s="11">
        <f t="shared" si="41"/>
        <v>5.7599999999999998E-2</v>
      </c>
      <c r="AG157" s="11">
        <f t="shared" si="39"/>
        <v>0.12693333333333334</v>
      </c>
      <c r="AH157" s="11">
        <f t="shared" si="35"/>
        <v>0.12693333333333334</v>
      </c>
      <c r="AI157" s="11">
        <f t="shared" si="40"/>
        <v>3.6266666666666669E-2</v>
      </c>
      <c r="AJ157" s="11">
        <f t="shared" si="42"/>
        <v>3.6266666666666669E-2</v>
      </c>
    </row>
    <row r="158" spans="1:36" x14ac:dyDescent="0.25">
      <c r="A158" s="4" t="s">
        <v>945</v>
      </c>
      <c r="B158" s="4" t="s">
        <v>948</v>
      </c>
      <c r="C158" s="4" t="s">
        <v>15</v>
      </c>
      <c r="D158" s="4" t="s">
        <v>941</v>
      </c>
      <c r="E158" t="s">
        <v>685</v>
      </c>
      <c r="F158" t="s">
        <v>360</v>
      </c>
      <c r="G158" t="s">
        <v>695</v>
      </c>
      <c r="H158">
        <f t="shared" si="38"/>
        <v>14.4</v>
      </c>
      <c r="I158">
        <v>3.5</v>
      </c>
      <c r="J158" t="s">
        <v>42</v>
      </c>
      <c r="K158" t="s">
        <v>29</v>
      </c>
      <c r="L158" t="s">
        <v>690</v>
      </c>
      <c r="M158" t="s">
        <v>364</v>
      </c>
      <c r="N158" t="s">
        <v>432</v>
      </c>
      <c r="P158">
        <v>0.13</v>
      </c>
      <c r="Q158" t="s">
        <v>180</v>
      </c>
      <c r="T158">
        <v>1</v>
      </c>
      <c r="W158">
        <v>2240</v>
      </c>
      <c r="X158" t="s">
        <v>184</v>
      </c>
      <c r="AA158" s="13">
        <f>Tableau8[[#This Row],[density (kg/m2) or specific weight (kg/m2)]]*Tableau8[[#This Row],[nb of item used ]]*Tableau8[[#This Row],[volume or area]]</f>
        <v>291.2</v>
      </c>
      <c r="AB158">
        <v>8.0999999999999996E-3</v>
      </c>
      <c r="AC158">
        <v>5.1000000000000004E-3</v>
      </c>
      <c r="AD158" s="11">
        <f t="shared" si="34"/>
        <v>0.1638</v>
      </c>
      <c r="AE158" s="11">
        <f>_xlfn.RANK.AVG(Tableau8[[#This Row],[EE ( MJ/m²)]],AD158:AD1313)</f>
        <v>909</v>
      </c>
      <c r="AF158" s="11">
        <f t="shared" si="41"/>
        <v>4.6800000000000001E-2</v>
      </c>
      <c r="AG158" s="11">
        <f t="shared" si="39"/>
        <v>0.10313333333333333</v>
      </c>
      <c r="AH158" s="11">
        <f t="shared" si="35"/>
        <v>0.10313333333333333</v>
      </c>
      <c r="AI158" s="11">
        <f t="shared" si="40"/>
        <v>2.9466666666666665E-2</v>
      </c>
      <c r="AJ158" s="11">
        <f t="shared" si="42"/>
        <v>2.9466666666666665E-2</v>
      </c>
    </row>
    <row r="159" spans="1:36" x14ac:dyDescent="0.25">
      <c r="A159" s="4" t="s">
        <v>945</v>
      </c>
      <c r="B159" s="4" t="s">
        <v>948</v>
      </c>
      <c r="C159" s="4" t="s">
        <v>15</v>
      </c>
      <c r="D159" s="4" t="s">
        <v>941</v>
      </c>
      <c r="E159" t="s">
        <v>685</v>
      </c>
      <c r="F159" t="s">
        <v>360</v>
      </c>
      <c r="G159" t="s">
        <v>695</v>
      </c>
      <c r="H159">
        <f t="shared" si="38"/>
        <v>14.4</v>
      </c>
      <c r="I159">
        <v>3.5</v>
      </c>
      <c r="J159" t="s">
        <v>56</v>
      </c>
      <c r="K159" t="s">
        <v>17</v>
      </c>
      <c r="L159" t="s">
        <v>628</v>
      </c>
      <c r="M159" t="s">
        <v>236</v>
      </c>
      <c r="N159" t="s">
        <v>59</v>
      </c>
      <c r="P159">
        <f>1*2.5*0.0004</f>
        <v>1E-3</v>
      </c>
      <c r="T159">
        <v>20</v>
      </c>
      <c r="W159">
        <v>7870</v>
      </c>
      <c r="X159" t="s">
        <v>184</v>
      </c>
      <c r="AA159" s="13">
        <f>Tableau8[[#This Row],[density (kg/m2) or specific weight (kg/m2)]]*Tableau8[[#This Row],[nb of item used ]]*Tableau8[[#This Row],[volume or area]]</f>
        <v>157.4</v>
      </c>
      <c r="AB159">
        <v>25</v>
      </c>
      <c r="AC159">
        <v>2.0299999999999998</v>
      </c>
      <c r="AD159" s="11">
        <f t="shared" si="34"/>
        <v>273.26388888888886</v>
      </c>
      <c r="AE159" s="11">
        <f>_xlfn.RANK.AVG(Tableau8[[#This Row],[EE ( MJ/m²)]],AD159:AD1314)</f>
        <v>52</v>
      </c>
      <c r="AF159" s="11">
        <f t="shared" si="41"/>
        <v>78.075396825396822</v>
      </c>
      <c r="AG159" s="11">
        <f t="shared" si="39"/>
        <v>22.189027777777778</v>
      </c>
      <c r="AH159" s="11">
        <f t="shared" si="35"/>
        <v>22.189027777777778</v>
      </c>
      <c r="AI159" s="11">
        <f t="shared" si="40"/>
        <v>6.339722222222222</v>
      </c>
      <c r="AJ159" s="11">
        <f t="shared" si="42"/>
        <v>6.339722222222222</v>
      </c>
    </row>
    <row r="160" spans="1:36" x14ac:dyDescent="0.25">
      <c r="A160" s="4" t="s">
        <v>945</v>
      </c>
      <c r="B160" s="4" t="s">
        <v>948</v>
      </c>
      <c r="C160" s="4" t="s">
        <v>15</v>
      </c>
      <c r="D160" s="4" t="s">
        <v>941</v>
      </c>
      <c r="E160" t="s">
        <v>685</v>
      </c>
      <c r="F160" t="s">
        <v>360</v>
      </c>
      <c r="G160" t="s">
        <v>695</v>
      </c>
      <c r="H160">
        <f t="shared" si="38"/>
        <v>14.4</v>
      </c>
      <c r="I160">
        <v>3.5</v>
      </c>
      <c r="J160" t="s">
        <v>13</v>
      </c>
      <c r="K160" t="s">
        <v>29</v>
      </c>
      <c r="L160" t="s">
        <v>686</v>
      </c>
      <c r="M160" t="s">
        <v>535</v>
      </c>
      <c r="N160" t="s">
        <v>69</v>
      </c>
      <c r="P160">
        <v>4.5</v>
      </c>
      <c r="Q160" t="s">
        <v>180</v>
      </c>
      <c r="T160">
        <v>1</v>
      </c>
      <c r="U160" t="s">
        <v>1006</v>
      </c>
      <c r="W160">
        <v>1460</v>
      </c>
      <c r="X160" t="s">
        <v>184</v>
      </c>
      <c r="AA160" s="13">
        <f>Tableau8[[#This Row],[density (kg/m2) or specific weight (kg/m2)]]*Tableau8[[#This Row],[volume or area]]</f>
        <v>6570</v>
      </c>
      <c r="AB160">
        <v>0.45</v>
      </c>
      <c r="AC160">
        <v>2.4E-2</v>
      </c>
      <c r="AD160" s="11">
        <f t="shared" si="34"/>
        <v>205.3125</v>
      </c>
      <c r="AE160" s="11">
        <f>_xlfn.RANK.AVG(Tableau8[[#This Row],[EE ( MJ/m²)]],AD160:AD1315)</f>
        <v>66</v>
      </c>
      <c r="AF160" s="11">
        <f t="shared" si="41"/>
        <v>58.660714285714285</v>
      </c>
      <c r="AG160" s="11">
        <f t="shared" si="39"/>
        <v>10.950000000000001</v>
      </c>
      <c r="AH160" s="11">
        <f t="shared" si="35"/>
        <v>10.950000000000001</v>
      </c>
      <c r="AI160" s="11">
        <f t="shared" si="40"/>
        <v>3.128571428571429</v>
      </c>
      <c r="AJ160" s="11">
        <f t="shared" si="42"/>
        <v>3.128571428571429</v>
      </c>
    </row>
    <row r="161" spans="1:36" x14ac:dyDescent="0.25">
      <c r="A161" s="4" t="s">
        <v>945</v>
      </c>
      <c r="B161" s="4" t="s">
        <v>948</v>
      </c>
      <c r="C161" s="4" t="s">
        <v>15</v>
      </c>
      <c r="D161" s="4" t="s">
        <v>941</v>
      </c>
      <c r="E161" t="s">
        <v>685</v>
      </c>
      <c r="F161" t="s">
        <v>360</v>
      </c>
      <c r="G161" t="s">
        <v>695</v>
      </c>
      <c r="H161">
        <f t="shared" si="38"/>
        <v>14.4</v>
      </c>
      <c r="I161">
        <v>3.5</v>
      </c>
      <c r="J161" t="s">
        <v>13</v>
      </c>
      <c r="K161" t="s">
        <v>18</v>
      </c>
      <c r="L161" t="s">
        <v>606</v>
      </c>
      <c r="M161" t="s">
        <v>363</v>
      </c>
      <c r="N161" t="s">
        <v>431</v>
      </c>
      <c r="T161">
        <v>1</v>
      </c>
      <c r="W161">
        <v>1860</v>
      </c>
      <c r="X161" t="s">
        <v>184</v>
      </c>
      <c r="AA161" s="13">
        <f>42.5*3</f>
        <v>127.5</v>
      </c>
      <c r="AB161">
        <v>4.51</v>
      </c>
      <c r="AC161">
        <v>0.74</v>
      </c>
      <c r="AD161" s="11">
        <f t="shared" si="34"/>
        <v>39.932291666666664</v>
      </c>
      <c r="AE161" s="11">
        <f>_xlfn.RANK.AVG(Tableau8[[#This Row],[EE ( MJ/m²)]],AD161:AD1316)</f>
        <v>242.5</v>
      </c>
      <c r="AF161" s="11">
        <f t="shared" si="41"/>
        <v>11.40922619047619</v>
      </c>
      <c r="AG161" s="11">
        <f t="shared" si="39"/>
        <v>6.552083333333333</v>
      </c>
      <c r="AH161" s="11">
        <f t="shared" si="35"/>
        <v>6.552083333333333</v>
      </c>
      <c r="AI161" s="11">
        <f t="shared" si="40"/>
        <v>1.8720238095238095</v>
      </c>
      <c r="AJ161" s="11">
        <f t="shared" si="42"/>
        <v>1.8720238095238095</v>
      </c>
    </row>
    <row r="162" spans="1:36" x14ac:dyDescent="0.25">
      <c r="A162" s="4" t="s">
        <v>945</v>
      </c>
      <c r="B162" s="4" t="s">
        <v>948</v>
      </c>
      <c r="C162" s="4" t="s">
        <v>15</v>
      </c>
      <c r="D162" s="4" t="s">
        <v>941</v>
      </c>
      <c r="E162" t="s">
        <v>685</v>
      </c>
      <c r="F162" t="s">
        <v>360</v>
      </c>
      <c r="G162" t="s">
        <v>695</v>
      </c>
      <c r="H162">
        <f t="shared" si="38"/>
        <v>14.4</v>
      </c>
      <c r="I162">
        <v>3.5</v>
      </c>
      <c r="J162" t="s">
        <v>42</v>
      </c>
      <c r="K162" t="s">
        <v>18</v>
      </c>
      <c r="L162" t="s">
        <v>689</v>
      </c>
      <c r="M162" t="s">
        <v>363</v>
      </c>
      <c r="N162" t="s">
        <v>431</v>
      </c>
      <c r="T162">
        <v>1</v>
      </c>
      <c r="W162">
        <v>1860</v>
      </c>
      <c r="X162" t="s">
        <v>184</v>
      </c>
      <c r="AA162" s="13">
        <f>42.5*3</f>
        <v>127.5</v>
      </c>
      <c r="AB162">
        <v>4.51</v>
      </c>
      <c r="AC162">
        <v>0.74</v>
      </c>
      <c r="AD162" s="11">
        <f t="shared" si="34"/>
        <v>39.932291666666664</v>
      </c>
      <c r="AE162" s="11">
        <f>_xlfn.RANK.AVG(Tableau8[[#This Row],[EE ( MJ/m²)]],AD162:AD1317)</f>
        <v>242</v>
      </c>
      <c r="AF162" s="11">
        <f t="shared" si="41"/>
        <v>11.40922619047619</v>
      </c>
      <c r="AG162" s="11">
        <f t="shared" si="39"/>
        <v>6.552083333333333</v>
      </c>
      <c r="AH162" s="11">
        <f t="shared" si="35"/>
        <v>6.552083333333333</v>
      </c>
      <c r="AI162" s="11">
        <f t="shared" si="40"/>
        <v>1.8720238095238095</v>
      </c>
      <c r="AJ162" s="11">
        <f t="shared" si="42"/>
        <v>1.8720238095238095</v>
      </c>
    </row>
    <row r="163" spans="1:36" x14ac:dyDescent="0.25">
      <c r="A163" s="4" t="s">
        <v>945</v>
      </c>
      <c r="B163" s="4" t="s">
        <v>948</v>
      </c>
      <c r="C163" s="4" t="s">
        <v>15</v>
      </c>
      <c r="D163" s="4" t="s">
        <v>941</v>
      </c>
      <c r="E163" t="s">
        <v>685</v>
      </c>
      <c r="F163" t="s">
        <v>360</v>
      </c>
      <c r="G163" t="s">
        <v>695</v>
      </c>
      <c r="H163">
        <f t="shared" si="38"/>
        <v>14.4</v>
      </c>
      <c r="I163">
        <v>3.5</v>
      </c>
      <c r="J163" t="s">
        <v>13</v>
      </c>
      <c r="K163" t="s">
        <v>386</v>
      </c>
      <c r="L163" t="s">
        <v>688</v>
      </c>
      <c r="M163" t="s">
        <v>434</v>
      </c>
      <c r="N163" t="s">
        <v>435</v>
      </c>
      <c r="P163">
        <v>0.32</v>
      </c>
      <c r="Q163" t="s">
        <v>180</v>
      </c>
      <c r="T163">
        <v>1</v>
      </c>
      <c r="W163" s="1">
        <v>1920</v>
      </c>
      <c r="X163" t="s">
        <v>184</v>
      </c>
      <c r="AA163" s="13">
        <f>Tableau8[[#This Row],[density (kg/m2) or specific weight (kg/m2)]]*Tableau8[[#This Row],[nb of item used ]]*Tableau8[[#This Row],[volume or area]]</f>
        <v>614.4</v>
      </c>
      <c r="AB163">
        <v>3</v>
      </c>
      <c r="AC163">
        <v>0.24</v>
      </c>
      <c r="AD163" s="11">
        <f t="shared" si="34"/>
        <v>127.99999999999999</v>
      </c>
      <c r="AE163" s="11">
        <f>_xlfn.RANK.AVG(Tableau8[[#This Row],[EE ( MJ/m²)]],AD163:AD1318)</f>
        <v>110</v>
      </c>
      <c r="AF163" s="11">
        <f t="shared" si="41"/>
        <v>36.571428571428569</v>
      </c>
      <c r="AG163" s="11">
        <f t="shared" si="39"/>
        <v>10.239999999999998</v>
      </c>
      <c r="AH163" s="11">
        <f t="shared" si="35"/>
        <v>10.239999999999998</v>
      </c>
      <c r="AI163" s="11">
        <f t="shared" si="40"/>
        <v>2.9257142857142853</v>
      </c>
      <c r="AJ163" s="11">
        <f t="shared" si="42"/>
        <v>2.9257142857142853</v>
      </c>
    </row>
    <row r="164" spans="1:36" x14ac:dyDescent="0.25">
      <c r="A164" s="4" t="s">
        <v>945</v>
      </c>
      <c r="B164" s="4" t="s">
        <v>948</v>
      </c>
      <c r="C164" s="4" t="s">
        <v>15</v>
      </c>
      <c r="D164" s="4" t="s">
        <v>941</v>
      </c>
      <c r="E164" t="s">
        <v>685</v>
      </c>
      <c r="F164" t="s">
        <v>360</v>
      </c>
      <c r="G164" t="s">
        <v>695</v>
      </c>
      <c r="H164">
        <f t="shared" si="38"/>
        <v>14.4</v>
      </c>
      <c r="I164">
        <v>3.5</v>
      </c>
      <c r="J164" t="s">
        <v>42</v>
      </c>
      <c r="K164" t="s">
        <v>386</v>
      </c>
      <c r="L164" t="s">
        <v>691</v>
      </c>
      <c r="M164" t="s">
        <v>434</v>
      </c>
      <c r="N164" t="s">
        <v>435</v>
      </c>
      <c r="P164">
        <v>0.26</v>
      </c>
      <c r="Q164" t="s">
        <v>180</v>
      </c>
      <c r="T164">
        <v>1</v>
      </c>
      <c r="W164">
        <v>1920</v>
      </c>
      <c r="X164" t="s">
        <v>184</v>
      </c>
      <c r="AA164" s="13">
        <f>Tableau8[[#This Row],[density (kg/m2) or specific weight (kg/m2)]]*Tableau8[[#This Row],[nb of item used ]]*Tableau8[[#This Row],[volume or area]]</f>
        <v>499.20000000000005</v>
      </c>
      <c r="AB164">
        <v>3</v>
      </c>
      <c r="AC164">
        <v>0.24</v>
      </c>
      <c r="AD164" s="11">
        <f t="shared" si="34"/>
        <v>104</v>
      </c>
      <c r="AE164" s="11">
        <f>_xlfn.RANK.AVG(Tableau8[[#This Row],[EE ( MJ/m²)]],AD164:AD1319)</f>
        <v>128</v>
      </c>
      <c r="AF164" s="11">
        <f t="shared" si="41"/>
        <v>29.714285714285715</v>
      </c>
      <c r="AG164" s="11">
        <f t="shared" si="39"/>
        <v>8.32</v>
      </c>
      <c r="AH164" s="11">
        <f t="shared" si="35"/>
        <v>8.32</v>
      </c>
      <c r="AI164" s="11">
        <f t="shared" si="40"/>
        <v>2.3771428571428572</v>
      </c>
      <c r="AJ164" s="11">
        <f t="shared" si="42"/>
        <v>2.3771428571428572</v>
      </c>
    </row>
    <row r="165" spans="1:36" x14ac:dyDescent="0.25">
      <c r="A165" s="4" t="s">
        <v>945</v>
      </c>
      <c r="B165" s="4" t="s">
        <v>948</v>
      </c>
      <c r="C165" s="4" t="s">
        <v>15</v>
      </c>
      <c r="D165" s="4" t="s">
        <v>941</v>
      </c>
      <c r="E165" t="s">
        <v>685</v>
      </c>
      <c r="F165" t="s">
        <v>360</v>
      </c>
      <c r="G165" t="s">
        <v>695</v>
      </c>
      <c r="H165">
        <f t="shared" si="38"/>
        <v>14.4</v>
      </c>
      <c r="I165">
        <v>3.5</v>
      </c>
      <c r="J165" t="s">
        <v>40</v>
      </c>
      <c r="K165" t="s">
        <v>386</v>
      </c>
      <c r="L165" t="s">
        <v>434</v>
      </c>
      <c r="M165" t="s">
        <v>434</v>
      </c>
      <c r="N165" t="s">
        <v>435</v>
      </c>
      <c r="P165">
        <f>0.125*4.6</f>
        <v>0.57499999999999996</v>
      </c>
      <c r="Q165" t="s">
        <v>180</v>
      </c>
      <c r="T165">
        <v>1</v>
      </c>
      <c r="W165">
        <v>1920</v>
      </c>
      <c r="X165" t="s">
        <v>184</v>
      </c>
      <c r="AA165" s="13">
        <f>Tableau8[[#This Row],[density (kg/m2) or specific weight (kg/m2)]]*Tableau8[[#This Row],[nb of item used ]]*Tableau8[[#This Row],[volume or area]]</f>
        <v>1104</v>
      </c>
      <c r="AB165">
        <v>3</v>
      </c>
      <c r="AC165">
        <v>0.24</v>
      </c>
      <c r="AD165" s="11">
        <f t="shared" si="34"/>
        <v>230</v>
      </c>
      <c r="AE165" s="11">
        <f>_xlfn.RANK.AVG(Tableau8[[#This Row],[EE ( MJ/m²)]],AD165:AD1320)</f>
        <v>60</v>
      </c>
      <c r="AF165" s="11">
        <f t="shared" si="41"/>
        <v>65.714285714285708</v>
      </c>
      <c r="AG165" s="11">
        <f t="shared" si="39"/>
        <v>18.399999999999999</v>
      </c>
      <c r="AH165" s="11">
        <f t="shared" si="35"/>
        <v>18.399999999999999</v>
      </c>
      <c r="AI165" s="11">
        <f t="shared" si="40"/>
        <v>5.2571428571428571</v>
      </c>
      <c r="AJ165" s="11">
        <f t="shared" si="42"/>
        <v>5.2571428571428571</v>
      </c>
    </row>
    <row r="166" spans="1:36" x14ac:dyDescent="0.25">
      <c r="A166" s="4" t="s">
        <v>945</v>
      </c>
      <c r="B166" s="4" t="s">
        <v>948</v>
      </c>
      <c r="C166" s="4" t="s">
        <v>15</v>
      </c>
      <c r="D166" s="4" t="s">
        <v>941</v>
      </c>
      <c r="E166" t="s">
        <v>685</v>
      </c>
      <c r="F166" t="s">
        <v>360</v>
      </c>
      <c r="G166" t="s">
        <v>695</v>
      </c>
      <c r="H166">
        <f t="shared" si="38"/>
        <v>14.4</v>
      </c>
      <c r="I166">
        <v>3.5</v>
      </c>
      <c r="J166" t="s">
        <v>40</v>
      </c>
      <c r="K166" t="s">
        <v>15</v>
      </c>
      <c r="L166" t="s">
        <v>335</v>
      </c>
      <c r="M166" t="s">
        <v>507</v>
      </c>
      <c r="N166" t="s">
        <v>335</v>
      </c>
      <c r="P166">
        <f>44.2*0.004</f>
        <v>0.17680000000000001</v>
      </c>
      <c r="Q166" t="s">
        <v>180</v>
      </c>
      <c r="T166">
        <v>1</v>
      </c>
      <c r="W166">
        <v>178.2</v>
      </c>
      <c r="X166" t="s">
        <v>184</v>
      </c>
      <c r="AA166" s="13">
        <f>Tableau8[[#This Row],[density (kg/m2) or specific weight (kg/m2)]]*Tableau8[[#This Row],[nb of item used ]]*Tableau8[[#This Row],[volume or area]]</f>
        <v>31.505759999999999</v>
      </c>
      <c r="AB166">
        <v>28.58</v>
      </c>
      <c r="AC166">
        <v>26.91</v>
      </c>
      <c r="AD166" s="11">
        <f>AB166*(AA166/Tableau8[[#This Row],[density (kg/m2) or specific weight (kg/m2)]])/H166</f>
        <v>0.35089888888888887</v>
      </c>
      <c r="AE166" s="11">
        <f>_xlfn.RANK.AVG(Tableau8[[#This Row],[EE ( MJ/m²)]],AD166:AD1321)</f>
        <v>873</v>
      </c>
      <c r="AF166" s="11">
        <f>AB166*(AA166/Tableau8[[#This Row],[density (kg/m2) or specific weight (kg/m2)]])/H166/I166</f>
        <v>0.10025682539682539</v>
      </c>
      <c r="AG166" s="11">
        <f>(AC166)*(AA166/Tableau8[[#This Row],[density (kg/m2) or specific weight (kg/m2)]])/H166</f>
        <v>0.33039500000000005</v>
      </c>
      <c r="AH166" s="11">
        <f>AC166*(AA166/Tableau8[[#This Row],[density (kg/m2) or specific weight (kg/m2)]])/H166</f>
        <v>0.33039500000000005</v>
      </c>
      <c r="AI166" s="11">
        <f>(AC166)*(AA166/Tableau8[[#This Row],[density (kg/m2) or specific weight (kg/m2)]])/H166/I166</f>
        <v>9.4398571428571443E-2</v>
      </c>
      <c r="AJ166" s="11">
        <f>AC166*(AA166/Tableau8[[#This Row],[density (kg/m2) or specific weight (kg/m2)]])/H166/I166</f>
        <v>9.4398571428571443E-2</v>
      </c>
    </row>
    <row r="167" spans="1:36" x14ac:dyDescent="0.25">
      <c r="A167" s="4" t="s">
        <v>945</v>
      </c>
      <c r="B167" s="4" t="s">
        <v>948</v>
      </c>
      <c r="C167" s="4" t="s">
        <v>15</v>
      </c>
      <c r="D167" s="4" t="s">
        <v>941</v>
      </c>
      <c r="E167" t="s">
        <v>685</v>
      </c>
      <c r="F167" t="s">
        <v>360</v>
      </c>
      <c r="G167" t="s">
        <v>695</v>
      </c>
      <c r="H167">
        <f t="shared" si="38"/>
        <v>14.4</v>
      </c>
      <c r="I167">
        <v>3.5</v>
      </c>
      <c r="J167" t="s">
        <v>40</v>
      </c>
      <c r="K167" t="s">
        <v>15</v>
      </c>
      <c r="L167" t="s">
        <v>693</v>
      </c>
      <c r="M167" t="s">
        <v>507</v>
      </c>
      <c r="N167" t="s">
        <v>335</v>
      </c>
      <c r="P167">
        <f>0.89*1*0.003</f>
        <v>2.6700000000000001E-3</v>
      </c>
      <c r="Q167" t="s">
        <v>180</v>
      </c>
      <c r="T167">
        <v>3</v>
      </c>
      <c r="W167">
        <v>178.2</v>
      </c>
      <c r="X167" t="s">
        <v>184</v>
      </c>
      <c r="AA167" s="13">
        <f>Tableau8[[#This Row],[density (kg/m2) or specific weight (kg/m2)]]*Tableau8[[#This Row],[nb of item used ]]*Tableau8[[#This Row],[volume or area]]</f>
        <v>1.4273819999999997</v>
      </c>
      <c r="AB167">
        <v>28.58</v>
      </c>
      <c r="AC167">
        <v>26.91</v>
      </c>
      <c r="AD167" s="11">
        <f>AB167*(AA167/Tableau8[[#This Row],[density (kg/m2) or specific weight (kg/m2)]])/H167</f>
        <v>1.5897624999999995E-2</v>
      </c>
      <c r="AE167" s="11">
        <f>_xlfn.RANK.AVG(Tableau8[[#This Row],[EE ( MJ/m²)]],AD167:AD1322)</f>
        <v>947</v>
      </c>
      <c r="AF167" s="11">
        <f>AB167*(AA167/Tableau8[[#This Row],[density (kg/m2) or specific weight (kg/m2)]])/H167/I167</f>
        <v>4.5421785714285703E-3</v>
      </c>
      <c r="AG167" s="11">
        <f>(AC167)*(AA167/Tableau8[[#This Row],[density (kg/m2) or specific weight (kg/m2)]])/H167</f>
        <v>1.4968687499999996E-2</v>
      </c>
      <c r="AH167" s="11">
        <f>AC167*(AA167/Tableau8[[#This Row],[density (kg/m2) or specific weight (kg/m2)]])/H167</f>
        <v>1.4968687499999996E-2</v>
      </c>
      <c r="AI167" s="11">
        <f>(AC167)*(AA167/Tableau8[[#This Row],[density (kg/m2) or specific weight (kg/m2)]])/H167/I167</f>
        <v>4.2767678571428557E-3</v>
      </c>
      <c r="AJ167" s="11">
        <f>AC167*(AA167/Tableau8[[#This Row],[density (kg/m2) or specific weight (kg/m2)]])/H167/I167</f>
        <v>4.2767678571428557E-3</v>
      </c>
    </row>
    <row r="168" spans="1:36" x14ac:dyDescent="0.25">
      <c r="A168" s="4" t="s">
        <v>945</v>
      </c>
      <c r="B168" s="4" t="s">
        <v>948</v>
      </c>
      <c r="C168" s="4" t="s">
        <v>15</v>
      </c>
      <c r="D168" s="4" t="s">
        <v>941</v>
      </c>
      <c r="E168" t="s">
        <v>685</v>
      </c>
      <c r="F168" t="s">
        <v>360</v>
      </c>
      <c r="G168" t="s">
        <v>695</v>
      </c>
      <c r="H168">
        <f t="shared" si="38"/>
        <v>14.4</v>
      </c>
      <c r="I168">
        <v>3.5</v>
      </c>
      <c r="J168" t="s">
        <v>40</v>
      </c>
      <c r="K168" t="s">
        <v>15</v>
      </c>
      <c r="L168" t="s">
        <v>694</v>
      </c>
      <c r="M168" t="s">
        <v>507</v>
      </c>
      <c r="N168" t="s">
        <v>335</v>
      </c>
      <c r="P168">
        <f>2.1*1*0.003</f>
        <v>6.3E-3</v>
      </c>
      <c r="Q168" t="s">
        <v>180</v>
      </c>
      <c r="T168">
        <v>1</v>
      </c>
      <c r="W168">
        <v>178.2</v>
      </c>
      <c r="X168" t="s">
        <v>184</v>
      </c>
      <c r="AA168" s="13">
        <f>Tableau8[[#This Row],[density (kg/m2) or specific weight (kg/m2)]]*Tableau8[[#This Row],[nb of item used ]]*Tableau8[[#This Row],[volume or area]]</f>
        <v>1.12266</v>
      </c>
      <c r="AB168">
        <v>28.58</v>
      </c>
      <c r="AC168">
        <v>26.91</v>
      </c>
      <c r="AD168" s="11">
        <f>AB168*(AA168/Tableau8[[#This Row],[density (kg/m2) or specific weight (kg/m2)]])/H168</f>
        <v>1.2503749999999999E-2</v>
      </c>
      <c r="AE168" s="11">
        <f>_xlfn.RANK.AVG(Tableau8[[#This Row],[EE ( MJ/m²)]],AD168:AD1323)</f>
        <v>954</v>
      </c>
      <c r="AF168" s="11">
        <f>AB168*(AA168/Tableau8[[#This Row],[density (kg/m2) or specific weight (kg/m2)]])/H168/I168</f>
        <v>3.5724999999999997E-3</v>
      </c>
      <c r="AG168" s="11">
        <f>(AC168)*(AA168/Tableau8[[#This Row],[density (kg/m2) or specific weight (kg/m2)]])/H168</f>
        <v>1.1773124999999999E-2</v>
      </c>
      <c r="AH168" s="11">
        <f>AC168*(AA168/Tableau8[[#This Row],[density (kg/m2) or specific weight (kg/m2)]])/H168</f>
        <v>1.1773124999999999E-2</v>
      </c>
      <c r="AI168" s="11">
        <f>(AC168)*(AA168/Tableau8[[#This Row],[density (kg/m2) or specific weight (kg/m2)]])/H168/I168</f>
        <v>3.3637499999999996E-3</v>
      </c>
      <c r="AJ168" s="11">
        <f>AC168*(AA168/Tableau8[[#This Row],[density (kg/m2) or specific weight (kg/m2)]])/H168/I168</f>
        <v>3.3637499999999996E-3</v>
      </c>
    </row>
    <row r="169" spans="1:36" x14ac:dyDescent="0.25">
      <c r="A169" s="4" t="s">
        <v>945</v>
      </c>
      <c r="B169" s="4" t="s">
        <v>948</v>
      </c>
      <c r="C169" s="4" t="s">
        <v>15</v>
      </c>
      <c r="D169" s="4" t="s">
        <v>941</v>
      </c>
      <c r="E169" t="s">
        <v>685</v>
      </c>
      <c r="F169" t="s">
        <v>360</v>
      </c>
      <c r="G169" t="s">
        <v>695</v>
      </c>
      <c r="H169">
        <f t="shared" si="38"/>
        <v>14.4</v>
      </c>
      <c r="I169">
        <v>3.5</v>
      </c>
      <c r="J169" t="s">
        <v>40</v>
      </c>
      <c r="K169" t="s">
        <v>15</v>
      </c>
      <c r="L169" t="s">
        <v>229</v>
      </c>
      <c r="M169" t="s">
        <v>235</v>
      </c>
      <c r="N169" t="s">
        <v>235</v>
      </c>
      <c r="P169">
        <f>62*((PI()*(0.05^2))-(PI()*(0.04^2)))</f>
        <v>0.1753008700703105</v>
      </c>
      <c r="Q169" t="s">
        <v>180</v>
      </c>
      <c r="T169">
        <v>1</v>
      </c>
      <c r="W169">
        <v>100</v>
      </c>
      <c r="X169" t="s">
        <v>184</v>
      </c>
      <c r="AA169" s="13">
        <f>Tableau8[[#This Row],[density (kg/m2) or specific weight (kg/m2)]]*Tableau8[[#This Row],[nb of item used ]]*Tableau8[[#This Row],[volume or area]]</f>
        <v>17.530087007031049</v>
      </c>
      <c r="AB169">
        <v>13.13</v>
      </c>
      <c r="AC169">
        <v>12.37</v>
      </c>
      <c r="AD169" s="11">
        <f>AB169*(AA169/Tableau8[[#This Row],[density (kg/m2) or specific weight (kg/m2)]])/H169</f>
        <v>0.15984030722383172</v>
      </c>
      <c r="AE169" s="11">
        <f>_xlfn.RANK.AVG(Tableau8[[#This Row],[EE ( MJ/m²)]],AD169:AD1324)</f>
        <v>901</v>
      </c>
      <c r="AF169" s="11">
        <f>AB169*(AA169/Tableau8[[#This Row],[density (kg/m2) or specific weight (kg/m2)]])/H169/I169</f>
        <v>4.5668659206809063E-2</v>
      </c>
      <c r="AG169" s="11">
        <f>(AC169)*(AA169/Tableau8[[#This Row],[density (kg/m2) or specific weight (kg/m2)]])/H169</f>
        <v>0.15058831685900978</v>
      </c>
      <c r="AH169" s="11">
        <f>AC169*(AA169/Tableau8[[#This Row],[density (kg/m2) or specific weight (kg/m2)]])/H169</f>
        <v>0.15058831685900978</v>
      </c>
      <c r="AI169" s="11">
        <f>(AC169)*(AA169/Tableau8[[#This Row],[density (kg/m2) or specific weight (kg/m2)]])/H169/I169</f>
        <v>4.3025233388288509E-2</v>
      </c>
      <c r="AJ169" s="11">
        <f>AC169*(AA169/Tableau8[[#This Row],[density (kg/m2) or specific weight (kg/m2)]])/H169/I169</f>
        <v>4.3025233388288509E-2</v>
      </c>
    </row>
    <row r="170" spans="1:36" x14ac:dyDescent="0.25">
      <c r="A170" s="4" t="s">
        <v>944</v>
      </c>
      <c r="B170" s="4" t="s">
        <v>1126</v>
      </c>
      <c r="C170" s="4" t="s">
        <v>15</v>
      </c>
      <c r="D170" s="4" t="s">
        <v>1106</v>
      </c>
      <c r="E170" t="s">
        <v>1137</v>
      </c>
      <c r="F170" t="s">
        <v>360</v>
      </c>
      <c r="G170" t="s">
        <v>1131</v>
      </c>
      <c r="H170">
        <v>25</v>
      </c>
      <c r="I170">
        <v>20</v>
      </c>
      <c r="J170" t="s">
        <v>40</v>
      </c>
      <c r="K170" t="s">
        <v>15</v>
      </c>
      <c r="L170" t="s">
        <v>1139</v>
      </c>
      <c r="M170" t="s">
        <v>15</v>
      </c>
      <c r="N170" t="s">
        <v>15</v>
      </c>
      <c r="P170">
        <v>0.2</v>
      </c>
      <c r="Q170" t="s">
        <v>180</v>
      </c>
      <c r="R170" t="s">
        <v>187</v>
      </c>
      <c r="T170">
        <v>1</v>
      </c>
      <c r="U170" t="s">
        <v>346</v>
      </c>
      <c r="W170">
        <v>510</v>
      </c>
      <c r="X170" t="s">
        <v>184</v>
      </c>
      <c r="AA170" s="13">
        <f>Tableau8[[#This Row],[nb of item used ]]*Tableau8[[#This Row],[density (kg/m2) or specific weight (kg/m2)]]*Tableau8[[#This Row],[volume or area]]</f>
        <v>102</v>
      </c>
      <c r="AB170">
        <f>10-4.4</f>
        <v>5.6</v>
      </c>
      <c r="AC170">
        <f>0.31+0.41</f>
        <v>0.72</v>
      </c>
      <c r="AD170" s="11">
        <f t="shared" ref="AD170:AD233" si="43">AB170*AA170/H170</f>
        <v>22.847999999999999</v>
      </c>
      <c r="AE170" s="11">
        <f>_xlfn.RANK.AVG(Tableau8[[#This Row],[EE ( MJ/m²)]],AD170:AD1325)</f>
        <v>338</v>
      </c>
      <c r="AF170" s="11">
        <f t="shared" ref="AF170:AF201" si="44">AB170*AA170/H170/I170</f>
        <v>1.1423999999999999</v>
      </c>
      <c r="AG170" s="11">
        <f>(AC170-0.41)*AA170/H170</f>
        <v>1.2648000000000001</v>
      </c>
      <c r="AH170" s="11">
        <f t="shared" ref="AH170:AH233" si="45">AC170*AA170/H170</f>
        <v>2.9375999999999998</v>
      </c>
      <c r="AI170" s="11">
        <f>(AC170-0.41)*AA170/H170/I170</f>
        <v>6.3240000000000005E-2</v>
      </c>
      <c r="AJ170" s="11">
        <f t="shared" ref="AJ170:AJ201" si="46">AC170*AA170/H170/I170</f>
        <v>0.14687999999999998</v>
      </c>
    </row>
    <row r="171" spans="1:36" x14ac:dyDescent="0.25">
      <c r="A171" s="4" t="s">
        <v>944</v>
      </c>
      <c r="B171" s="4" t="s">
        <v>1126</v>
      </c>
      <c r="C171" s="4" t="s">
        <v>15</v>
      </c>
      <c r="D171" s="4" t="s">
        <v>1106</v>
      </c>
      <c r="E171" t="s">
        <v>1137</v>
      </c>
      <c r="F171" t="s">
        <v>360</v>
      </c>
      <c r="G171" t="s">
        <v>1131</v>
      </c>
      <c r="H171">
        <v>25</v>
      </c>
      <c r="I171">
        <v>20</v>
      </c>
      <c r="J171" t="s">
        <v>40</v>
      </c>
      <c r="K171" t="s">
        <v>15</v>
      </c>
      <c r="L171" t="s">
        <v>488</v>
      </c>
      <c r="M171" t="s">
        <v>15</v>
      </c>
      <c r="N171" t="s">
        <v>15</v>
      </c>
      <c r="P171">
        <f>2*0.04</f>
        <v>0.08</v>
      </c>
      <c r="Q171" t="s">
        <v>180</v>
      </c>
      <c r="R171" t="s">
        <v>176</v>
      </c>
      <c r="T171">
        <v>1</v>
      </c>
      <c r="U171" t="s">
        <v>1006</v>
      </c>
      <c r="W171">
        <v>510</v>
      </c>
      <c r="X171" t="s">
        <v>184</v>
      </c>
      <c r="AA171" s="13">
        <f>Tableau8[[#This Row],[nb of item used ]]*Tableau8[[#This Row],[density (kg/m2) or specific weight (kg/m2)]]*Tableau8[[#This Row],[volume or area]]</f>
        <v>40.800000000000004</v>
      </c>
      <c r="AB171">
        <f>10-4.4</f>
        <v>5.6</v>
      </c>
      <c r="AC171">
        <f>0.31+0.41</f>
        <v>0.72</v>
      </c>
      <c r="AD171" s="11">
        <f t="shared" si="43"/>
        <v>9.1392000000000007</v>
      </c>
      <c r="AE171" s="11">
        <f>_xlfn.RANK.AVG(Tableau8[[#This Row],[EE ( MJ/m²)]],AD171:AD1326)</f>
        <v>494</v>
      </c>
      <c r="AF171" s="11">
        <f t="shared" si="44"/>
        <v>0.45696000000000003</v>
      </c>
      <c r="AG171" s="11">
        <f>(AC171-0.41)*AA171/H171</f>
        <v>0.50592000000000004</v>
      </c>
      <c r="AH171" s="11">
        <f t="shared" si="45"/>
        <v>1.1750400000000001</v>
      </c>
      <c r="AI171" s="11">
        <f>(AC171-0.41)*AA171/H171/I171</f>
        <v>2.5296000000000003E-2</v>
      </c>
      <c r="AJ171" s="11">
        <f t="shared" si="46"/>
        <v>5.8752000000000006E-2</v>
      </c>
    </row>
    <row r="172" spans="1:36" x14ac:dyDescent="0.25">
      <c r="A172" s="4" t="s">
        <v>944</v>
      </c>
      <c r="B172" s="4" t="s">
        <v>1126</v>
      </c>
      <c r="C172" s="4" t="s">
        <v>12</v>
      </c>
      <c r="D172" s="4" t="s">
        <v>1106</v>
      </c>
      <c r="E172" t="s">
        <v>1137</v>
      </c>
      <c r="F172" t="s">
        <v>360</v>
      </c>
      <c r="G172" t="s">
        <v>1131</v>
      </c>
      <c r="H172">
        <v>25</v>
      </c>
      <c r="I172">
        <v>20</v>
      </c>
      <c r="J172" t="s">
        <v>44</v>
      </c>
      <c r="K172" t="s">
        <v>17</v>
      </c>
      <c r="L172" t="s">
        <v>712</v>
      </c>
      <c r="M172" t="s">
        <v>12</v>
      </c>
      <c r="N172" t="s">
        <v>12</v>
      </c>
      <c r="P172">
        <v>3</v>
      </c>
      <c r="Q172" t="s">
        <v>1017</v>
      </c>
      <c r="R172" t="s">
        <v>187</v>
      </c>
      <c r="T172">
        <v>1</v>
      </c>
      <c r="U172" t="s">
        <v>346</v>
      </c>
      <c r="W172">
        <v>7800</v>
      </c>
      <c r="X172" t="s">
        <v>184</v>
      </c>
      <c r="AA172" s="13">
        <v>3</v>
      </c>
      <c r="AB172">
        <v>25.3</v>
      </c>
      <c r="AC172">
        <v>1.95</v>
      </c>
      <c r="AD172" s="11">
        <f t="shared" si="43"/>
        <v>3.036</v>
      </c>
      <c r="AE172" s="11">
        <f>_xlfn.RANK.AVG(Tableau8[[#This Row],[EE ( MJ/m²)]],AD172:AD1327)</f>
        <v>666.5</v>
      </c>
      <c r="AF172" s="11">
        <f t="shared" si="44"/>
        <v>0.15179999999999999</v>
      </c>
      <c r="AG172" s="11">
        <f t="shared" ref="AG172:AG178" si="47">(AC172)*AA172/H172</f>
        <v>0.23399999999999999</v>
      </c>
      <c r="AH172" s="11">
        <f t="shared" si="45"/>
        <v>0.23399999999999999</v>
      </c>
      <c r="AI172" s="33">
        <f t="shared" ref="AI172:AI178" si="48">(AC172)*AA172/H172/I172</f>
        <v>1.1699999999999999E-2</v>
      </c>
      <c r="AJ172" s="11">
        <f t="shared" si="46"/>
        <v>1.1699999999999999E-2</v>
      </c>
    </row>
    <row r="173" spans="1:36" x14ac:dyDescent="0.25">
      <c r="A173" s="4" t="s">
        <v>944</v>
      </c>
      <c r="B173" s="4" t="s">
        <v>1126</v>
      </c>
      <c r="C173" s="4" t="s">
        <v>18</v>
      </c>
      <c r="D173" s="4" t="s">
        <v>1106</v>
      </c>
      <c r="E173" t="s">
        <v>1137</v>
      </c>
      <c r="F173" t="s">
        <v>360</v>
      </c>
      <c r="G173" t="s">
        <v>1131</v>
      </c>
      <c r="H173">
        <v>25</v>
      </c>
      <c r="I173">
        <v>20</v>
      </c>
      <c r="J173" t="s">
        <v>13</v>
      </c>
      <c r="K173" t="s">
        <v>18</v>
      </c>
      <c r="L173" t="s">
        <v>1133</v>
      </c>
      <c r="M173" t="s">
        <v>1132</v>
      </c>
      <c r="N173" t="s">
        <v>1132</v>
      </c>
      <c r="P173">
        <f>0.6*0.6*0.35*4</f>
        <v>0.504</v>
      </c>
      <c r="Q173" t="s">
        <v>180</v>
      </c>
      <c r="R173" t="s">
        <v>176</v>
      </c>
      <c r="T173">
        <v>1</v>
      </c>
      <c r="U173" t="s">
        <v>1006</v>
      </c>
      <c r="W173">
        <v>2500</v>
      </c>
      <c r="X173" t="s">
        <v>184</v>
      </c>
      <c r="Z173" t="s">
        <v>1238</v>
      </c>
      <c r="AA173" s="13">
        <f>W173*T173*P173</f>
        <v>1260</v>
      </c>
      <c r="AB173">
        <v>1</v>
      </c>
      <c r="AC173">
        <v>0.1</v>
      </c>
      <c r="AD173" s="11">
        <f t="shared" si="43"/>
        <v>50.4</v>
      </c>
      <c r="AE173" s="11">
        <f>_xlfn.RANK.AVG(Tableau8[[#This Row],[EE ( MJ/m²)]],AD173:AD1328)</f>
        <v>210</v>
      </c>
      <c r="AF173" s="11">
        <f t="shared" si="44"/>
        <v>2.52</v>
      </c>
      <c r="AG173" s="11">
        <f t="shared" si="47"/>
        <v>5.04</v>
      </c>
      <c r="AH173" s="11">
        <f t="shared" si="45"/>
        <v>5.04</v>
      </c>
      <c r="AI173" s="33">
        <f t="shared" si="48"/>
        <v>0.252</v>
      </c>
      <c r="AJ173" s="11">
        <f t="shared" si="46"/>
        <v>0.252</v>
      </c>
    </row>
    <row r="174" spans="1:36" x14ac:dyDescent="0.25">
      <c r="A174" s="4" t="s">
        <v>944</v>
      </c>
      <c r="B174" s="4" t="s">
        <v>1126</v>
      </c>
      <c r="C174" s="4" t="s">
        <v>18</v>
      </c>
      <c r="D174" s="4" t="s">
        <v>1106</v>
      </c>
      <c r="E174" t="s">
        <v>1137</v>
      </c>
      <c r="F174" t="s">
        <v>360</v>
      </c>
      <c r="G174" t="s">
        <v>1131</v>
      </c>
      <c r="H174">
        <v>25</v>
      </c>
      <c r="I174">
        <v>20</v>
      </c>
      <c r="J174" t="s">
        <v>56</v>
      </c>
      <c r="K174" t="s">
        <v>18</v>
      </c>
      <c r="L174" t="s">
        <v>1133</v>
      </c>
      <c r="M174" t="s">
        <v>1132</v>
      </c>
      <c r="N174" t="s">
        <v>1132</v>
      </c>
      <c r="P174">
        <f>25*0.1</f>
        <v>2.5</v>
      </c>
      <c r="Q174" t="s">
        <v>180</v>
      </c>
      <c r="R174" t="s">
        <v>176</v>
      </c>
      <c r="T174">
        <v>1</v>
      </c>
      <c r="U174" t="s">
        <v>1006</v>
      </c>
      <c r="W174">
        <v>2500</v>
      </c>
      <c r="X174" t="s">
        <v>184</v>
      </c>
      <c r="Z174" t="s">
        <v>1238</v>
      </c>
      <c r="AA174" s="13">
        <f>W174*T174*P174</f>
        <v>6250</v>
      </c>
      <c r="AB174">
        <v>1</v>
      </c>
      <c r="AC174">
        <v>0.1</v>
      </c>
      <c r="AD174" s="11">
        <f t="shared" si="43"/>
        <v>250</v>
      </c>
      <c r="AE174" s="11">
        <f>_xlfn.RANK.AVG(Tableau8[[#This Row],[EE ( MJ/m²)]],AD174:AD1329)</f>
        <v>57</v>
      </c>
      <c r="AF174" s="11">
        <f t="shared" si="44"/>
        <v>12.5</v>
      </c>
      <c r="AG174" s="11">
        <f t="shared" si="47"/>
        <v>25</v>
      </c>
      <c r="AH174" s="11">
        <f t="shared" si="45"/>
        <v>25</v>
      </c>
      <c r="AI174" s="33">
        <f t="shared" si="48"/>
        <v>1.25</v>
      </c>
      <c r="AJ174" s="11">
        <f t="shared" si="46"/>
        <v>1.25</v>
      </c>
    </row>
    <row r="175" spans="1:36" x14ac:dyDescent="0.25">
      <c r="A175" s="4" t="s">
        <v>944</v>
      </c>
      <c r="B175" s="4" t="s">
        <v>1126</v>
      </c>
      <c r="C175" s="4" t="s">
        <v>18</v>
      </c>
      <c r="D175" s="4" t="s">
        <v>1106</v>
      </c>
      <c r="E175" t="s">
        <v>1137</v>
      </c>
      <c r="F175" t="s">
        <v>360</v>
      </c>
      <c r="G175" t="s">
        <v>1131</v>
      </c>
      <c r="H175">
        <v>25</v>
      </c>
      <c r="I175">
        <v>20</v>
      </c>
      <c r="J175" t="s">
        <v>1136</v>
      </c>
      <c r="K175" t="s">
        <v>18</v>
      </c>
      <c r="L175" t="s">
        <v>1135</v>
      </c>
      <c r="M175" t="s">
        <v>1132</v>
      </c>
      <c r="N175" t="s">
        <v>1132</v>
      </c>
      <c r="O175" t="s">
        <v>1134</v>
      </c>
      <c r="P175">
        <f>4*0.2*0.2*4</f>
        <v>0.64000000000000012</v>
      </c>
      <c r="Q175" t="s">
        <v>180</v>
      </c>
      <c r="R175" t="s">
        <v>176</v>
      </c>
      <c r="T175">
        <v>1</v>
      </c>
      <c r="U175" t="s">
        <v>1006</v>
      </c>
      <c r="W175">
        <v>2500</v>
      </c>
      <c r="X175" t="s">
        <v>184</v>
      </c>
      <c r="Z175" t="s">
        <v>1238</v>
      </c>
      <c r="AA175" s="13">
        <f>W175*T175*P175</f>
        <v>1600.0000000000002</v>
      </c>
      <c r="AB175">
        <v>1</v>
      </c>
      <c r="AC175">
        <v>0.1</v>
      </c>
      <c r="AD175" s="11">
        <f t="shared" si="43"/>
        <v>64.000000000000014</v>
      </c>
      <c r="AE175" s="11">
        <f>_xlfn.RANK.AVG(Tableau8[[#This Row],[EE ( MJ/m²)]],AD175:AD1330)</f>
        <v>179</v>
      </c>
      <c r="AF175" s="11">
        <f t="shared" si="44"/>
        <v>3.2000000000000006</v>
      </c>
      <c r="AG175" s="11">
        <f t="shared" si="47"/>
        <v>6.4000000000000012</v>
      </c>
      <c r="AH175" s="11">
        <f t="shared" si="45"/>
        <v>6.4000000000000012</v>
      </c>
      <c r="AI175" s="33">
        <f t="shared" si="48"/>
        <v>0.32000000000000006</v>
      </c>
      <c r="AJ175" s="11">
        <f t="shared" si="46"/>
        <v>0.32000000000000006</v>
      </c>
    </row>
    <row r="176" spans="1:36" x14ac:dyDescent="0.25">
      <c r="A176" s="23" t="s">
        <v>944</v>
      </c>
      <c r="B176" s="23" t="s">
        <v>1126</v>
      </c>
      <c r="C176" s="23" t="s">
        <v>1087</v>
      </c>
      <c r="D176" s="23" t="s">
        <v>1106</v>
      </c>
      <c r="E176" s="20" t="s">
        <v>1137</v>
      </c>
      <c r="F176" s="20" t="s">
        <v>360</v>
      </c>
      <c r="G176" s="20" t="s">
        <v>1131</v>
      </c>
      <c r="H176" s="20">
        <v>25</v>
      </c>
      <c r="I176" s="20">
        <v>20</v>
      </c>
      <c r="J176" s="20" t="s">
        <v>40</v>
      </c>
      <c r="K176" t="s">
        <v>41</v>
      </c>
      <c r="L176" s="20" t="s">
        <v>1138</v>
      </c>
      <c r="M176" s="20" t="s">
        <v>1087</v>
      </c>
      <c r="N176" s="20" t="s">
        <v>1087</v>
      </c>
      <c r="O176" s="20"/>
      <c r="P176" s="20">
        <v>1.6000000000000001E-3</v>
      </c>
      <c r="Q176" s="20" t="s">
        <v>180</v>
      </c>
      <c r="R176" s="20" t="s">
        <v>176</v>
      </c>
      <c r="S176" s="20"/>
      <c r="T176" s="20">
        <v>1</v>
      </c>
      <c r="U176" s="20" t="s">
        <v>1006</v>
      </c>
      <c r="V176" s="20"/>
      <c r="W176" s="20">
        <v>2530</v>
      </c>
      <c r="X176" s="20" t="s">
        <v>184</v>
      </c>
      <c r="Y176" s="20"/>
      <c r="Z176" s="20" t="s">
        <v>1236</v>
      </c>
      <c r="AA176" s="24">
        <f>W176*T176*P176</f>
        <v>4.048</v>
      </c>
      <c r="AB176" s="20">
        <v>18</v>
      </c>
      <c r="AC176" s="20">
        <v>10</v>
      </c>
      <c r="AD176" s="33">
        <f t="shared" si="43"/>
        <v>2.9145600000000003</v>
      </c>
      <c r="AE176" s="33">
        <f>_xlfn.RANK.AVG(Tableau8[[#This Row],[EE ( MJ/m²)]],AD176:AD1331)</f>
        <v>668</v>
      </c>
      <c r="AF176" s="33">
        <f t="shared" si="44"/>
        <v>0.14572800000000002</v>
      </c>
      <c r="AG176" s="11">
        <f t="shared" si="47"/>
        <v>1.6192000000000002</v>
      </c>
      <c r="AH176" s="33">
        <f t="shared" si="45"/>
        <v>1.6192000000000002</v>
      </c>
      <c r="AI176" s="33">
        <f t="shared" si="48"/>
        <v>8.0960000000000004E-2</v>
      </c>
      <c r="AJ176" s="33">
        <f t="shared" si="46"/>
        <v>8.0960000000000004E-2</v>
      </c>
    </row>
    <row r="177" spans="1:36" x14ac:dyDescent="0.25">
      <c r="A177" s="4" t="s">
        <v>944</v>
      </c>
      <c r="B177" s="4" t="s">
        <v>1126</v>
      </c>
      <c r="C177" s="4" t="s">
        <v>18</v>
      </c>
      <c r="D177" s="4" t="s">
        <v>1106</v>
      </c>
      <c r="E177" t="s">
        <v>1137</v>
      </c>
      <c r="F177" t="s">
        <v>360</v>
      </c>
      <c r="G177" t="s">
        <v>1131</v>
      </c>
      <c r="H177">
        <v>25</v>
      </c>
      <c r="I177">
        <v>20</v>
      </c>
      <c r="J177" t="s">
        <v>40</v>
      </c>
      <c r="K177" t="s">
        <v>18</v>
      </c>
      <c r="L177" t="s">
        <v>414</v>
      </c>
      <c r="M177" t="s">
        <v>18</v>
      </c>
      <c r="N177" t="s">
        <v>39</v>
      </c>
      <c r="P177">
        <v>2.8</v>
      </c>
      <c r="Q177" t="s">
        <v>180</v>
      </c>
      <c r="R177" t="s">
        <v>176</v>
      </c>
      <c r="T177">
        <v>1</v>
      </c>
      <c r="U177" t="s">
        <v>1006</v>
      </c>
      <c r="W177">
        <v>2400</v>
      </c>
      <c r="X177" t="s">
        <v>184</v>
      </c>
      <c r="AA177" s="13">
        <f>Tableau8[[#This Row],[density (kg/m2) or specific weight (kg/m2)]]*Tableau8[[#This Row],[nb of item used ]]*Tableau8[[#This Row],[volume or area]]</f>
        <v>6720</v>
      </c>
      <c r="AB177">
        <v>0.75</v>
      </c>
      <c r="AC177">
        <v>0.105</v>
      </c>
      <c r="AD177" s="11">
        <f t="shared" si="43"/>
        <v>201.6</v>
      </c>
      <c r="AE177" s="11">
        <f>_xlfn.RANK.AVG(Tableau8[[#This Row],[EE ( MJ/m²)]],AD177:AD1332)</f>
        <v>64</v>
      </c>
      <c r="AF177" s="11">
        <f t="shared" si="44"/>
        <v>10.08</v>
      </c>
      <c r="AG177" s="11">
        <f t="shared" si="47"/>
        <v>28.224</v>
      </c>
      <c r="AH177" s="11">
        <f t="shared" si="45"/>
        <v>28.224</v>
      </c>
      <c r="AI177" s="33">
        <f t="shared" si="48"/>
        <v>1.4112</v>
      </c>
      <c r="AJ177" s="11">
        <f t="shared" si="46"/>
        <v>1.4112</v>
      </c>
    </row>
    <row r="178" spans="1:36" x14ac:dyDescent="0.25">
      <c r="A178" s="4" t="s">
        <v>944</v>
      </c>
      <c r="B178" s="4" t="s">
        <v>1126</v>
      </c>
      <c r="C178" s="4" t="s">
        <v>18</v>
      </c>
      <c r="D178" s="4" t="s">
        <v>1106</v>
      </c>
      <c r="E178" t="s">
        <v>1137</v>
      </c>
      <c r="F178" t="s">
        <v>360</v>
      </c>
      <c r="G178" t="s">
        <v>1131</v>
      </c>
      <c r="H178">
        <v>25</v>
      </c>
      <c r="I178">
        <v>20</v>
      </c>
      <c r="J178" t="s">
        <v>57</v>
      </c>
      <c r="K178" t="s">
        <v>18</v>
      </c>
      <c r="L178" t="s">
        <v>1119</v>
      </c>
      <c r="M178" t="s">
        <v>18</v>
      </c>
      <c r="N178" t="s">
        <v>39</v>
      </c>
      <c r="P178">
        <f>25*0.05</f>
        <v>1.25</v>
      </c>
      <c r="Q178" t="s">
        <v>180</v>
      </c>
      <c r="R178" t="s">
        <v>176</v>
      </c>
      <c r="T178">
        <v>1</v>
      </c>
      <c r="U178" t="s">
        <v>1006</v>
      </c>
      <c r="W178">
        <v>2400</v>
      </c>
      <c r="X178" t="s">
        <v>184</v>
      </c>
      <c r="AA178" s="13">
        <f>Tableau8[[#This Row],[density (kg/m2) or specific weight (kg/m2)]]*Tableau8[[#This Row],[nb of item used ]]*Tableau8[[#This Row],[volume or area]]</f>
        <v>3000</v>
      </c>
      <c r="AB178">
        <v>0.75</v>
      </c>
      <c r="AC178">
        <v>0.105</v>
      </c>
      <c r="AD178" s="11">
        <f t="shared" si="43"/>
        <v>90</v>
      </c>
      <c r="AE178" s="11">
        <f>_xlfn.RANK.AVG(Tableau8[[#This Row],[EE ( MJ/m²)]],AD178:AD1333)</f>
        <v>140.5</v>
      </c>
      <c r="AF178" s="11">
        <f t="shared" si="44"/>
        <v>4.5</v>
      </c>
      <c r="AG178" s="11">
        <f t="shared" si="47"/>
        <v>12.6</v>
      </c>
      <c r="AH178" s="11">
        <f t="shared" si="45"/>
        <v>12.6</v>
      </c>
      <c r="AI178" s="33">
        <f t="shared" si="48"/>
        <v>0.63</v>
      </c>
      <c r="AJ178" s="11">
        <f t="shared" si="46"/>
        <v>0.63</v>
      </c>
    </row>
    <row r="179" spans="1:36" x14ac:dyDescent="0.25">
      <c r="A179" s="4" t="s">
        <v>944</v>
      </c>
      <c r="B179" s="4" t="s">
        <v>1167</v>
      </c>
      <c r="C179" s="4" t="s">
        <v>15</v>
      </c>
      <c r="D179" s="4" t="s">
        <v>1106</v>
      </c>
      <c r="E179" t="s">
        <v>1161</v>
      </c>
      <c r="F179" t="s">
        <v>360</v>
      </c>
      <c r="G179" t="s">
        <v>361</v>
      </c>
      <c r="H179">
        <v>20.399999999999999</v>
      </c>
      <c r="I179">
        <v>10</v>
      </c>
      <c r="J179" t="s">
        <v>40</v>
      </c>
      <c r="K179" t="s">
        <v>15</v>
      </c>
      <c r="L179" t="s">
        <v>806</v>
      </c>
      <c r="M179" t="s">
        <v>15</v>
      </c>
      <c r="N179" t="s">
        <v>15</v>
      </c>
      <c r="P179">
        <v>6.7000000000000004E-2</v>
      </c>
      <c r="Q179" t="s">
        <v>180</v>
      </c>
      <c r="R179" t="s">
        <v>176</v>
      </c>
      <c r="T179">
        <v>1</v>
      </c>
      <c r="U179" t="s">
        <v>1006</v>
      </c>
      <c r="W179">
        <v>510</v>
      </c>
      <c r="X179" t="s">
        <v>184</v>
      </c>
      <c r="AA179" s="13">
        <f>Tableau8[[#This Row],[nb of item used ]]*Tableau8[[#This Row],[density (kg/m2) or specific weight (kg/m2)]]*Tableau8[[#This Row],[volume or area]]</f>
        <v>34.17</v>
      </c>
      <c r="AB179">
        <f>10-4.4</f>
        <v>5.6</v>
      </c>
      <c r="AC179">
        <f>0.31+0.41</f>
        <v>0.72</v>
      </c>
      <c r="AD179" s="11">
        <f t="shared" si="43"/>
        <v>9.3800000000000008</v>
      </c>
      <c r="AE179" s="11">
        <f>_xlfn.RANK.AVG(Tableau8[[#This Row],[EE ( MJ/m²)]],AD179:AD1334)</f>
        <v>486</v>
      </c>
      <c r="AF179" s="11">
        <f t="shared" si="44"/>
        <v>0.93800000000000006</v>
      </c>
      <c r="AG179" s="11">
        <f>(AC179-0.41)*AA179/H179</f>
        <v>0.5192500000000001</v>
      </c>
      <c r="AH179" s="11">
        <f t="shared" si="45"/>
        <v>1.206</v>
      </c>
      <c r="AI179" s="11">
        <f>(AC179-0.41)*AA179/H179/I179</f>
        <v>5.1925000000000013E-2</v>
      </c>
      <c r="AJ179" s="11">
        <f t="shared" si="46"/>
        <v>0.1206</v>
      </c>
    </row>
    <row r="180" spans="1:36" x14ac:dyDescent="0.25">
      <c r="A180" s="4" t="s">
        <v>944</v>
      </c>
      <c r="B180" s="4" t="s">
        <v>1167</v>
      </c>
      <c r="C180" s="4" t="s">
        <v>362</v>
      </c>
      <c r="D180" s="4" t="s">
        <v>1106</v>
      </c>
      <c r="E180" t="s">
        <v>1161</v>
      </c>
      <c r="F180" t="s">
        <v>360</v>
      </c>
      <c r="G180" t="s">
        <v>361</v>
      </c>
      <c r="H180">
        <v>20.399999999999999</v>
      </c>
      <c r="I180">
        <v>10</v>
      </c>
      <c r="J180" t="s">
        <v>13</v>
      </c>
      <c r="K180" t="s">
        <v>362</v>
      </c>
      <c r="L180" t="s">
        <v>1162</v>
      </c>
      <c r="M180" t="s">
        <v>362</v>
      </c>
      <c r="N180" t="s">
        <v>430</v>
      </c>
      <c r="P180">
        <v>4.5</v>
      </c>
      <c r="Q180" t="s">
        <v>180</v>
      </c>
      <c r="R180" t="s">
        <v>176</v>
      </c>
      <c r="T180">
        <v>1</v>
      </c>
      <c r="U180" t="s">
        <v>1006</v>
      </c>
      <c r="W180">
        <v>2880</v>
      </c>
      <c r="X180" t="s">
        <v>184</v>
      </c>
      <c r="AA180" s="13">
        <f>Tableau8[[#This Row],[density (kg/m2) or specific weight (kg/m2)]]*Tableau8[[#This Row],[nb of item used ]]*Tableau8[[#This Row],[volume or area]]</f>
        <v>12960</v>
      </c>
      <c r="AB180">
        <v>1.26</v>
      </c>
      <c r="AC180">
        <v>7.9000000000000001E-2</v>
      </c>
      <c r="AD180" s="11">
        <f t="shared" si="43"/>
        <v>800.47058823529414</v>
      </c>
      <c r="AE180" s="11">
        <f>_xlfn.RANK.AVG(Tableau8[[#This Row],[EE ( MJ/m²)]],AD180:AD1335)</f>
        <v>12</v>
      </c>
      <c r="AF180" s="11">
        <f t="shared" si="44"/>
        <v>80.047058823529412</v>
      </c>
      <c r="AG180" s="11">
        <f t="shared" ref="AG180:AG205" si="49">(AC180)*AA180/H180</f>
        <v>50.188235294117653</v>
      </c>
      <c r="AH180" s="11">
        <f t="shared" si="45"/>
        <v>50.188235294117653</v>
      </c>
      <c r="AI180" s="33">
        <f t="shared" ref="AI180:AI205" si="50">(AC180)*AA180/H180/I180</f>
        <v>5.0188235294117653</v>
      </c>
      <c r="AJ180" s="11">
        <f t="shared" si="46"/>
        <v>5.0188235294117653</v>
      </c>
    </row>
    <row r="181" spans="1:36" x14ac:dyDescent="0.25">
      <c r="A181" s="4" t="s">
        <v>944</v>
      </c>
      <c r="B181" s="4" t="s">
        <v>1167</v>
      </c>
      <c r="C181" s="4" t="s">
        <v>12</v>
      </c>
      <c r="D181" s="4" t="s">
        <v>1106</v>
      </c>
      <c r="E181" t="s">
        <v>1161</v>
      </c>
      <c r="F181" t="s">
        <v>360</v>
      </c>
      <c r="G181" t="s">
        <v>361</v>
      </c>
      <c r="H181">
        <v>20.399999999999999</v>
      </c>
      <c r="I181">
        <v>10</v>
      </c>
      <c r="J181" t="s">
        <v>44</v>
      </c>
      <c r="K181" t="s">
        <v>17</v>
      </c>
      <c r="L181" t="s">
        <v>712</v>
      </c>
      <c r="M181" t="s">
        <v>12</v>
      </c>
      <c r="N181" t="s">
        <v>12</v>
      </c>
      <c r="R181" t="s">
        <v>175</v>
      </c>
      <c r="T181">
        <v>1</v>
      </c>
      <c r="U181" t="s">
        <v>175</v>
      </c>
      <c r="W181">
        <v>7800</v>
      </c>
      <c r="X181" t="s">
        <v>184</v>
      </c>
      <c r="AA181" s="13">
        <v>2.8</v>
      </c>
      <c r="AB181">
        <v>25.3</v>
      </c>
      <c r="AC181">
        <v>1.95</v>
      </c>
      <c r="AD181" s="11">
        <f t="shared" si="43"/>
        <v>3.4725490196078437</v>
      </c>
      <c r="AE181" s="11">
        <f>_xlfn.RANK.AVG(Tableau8[[#This Row],[EE ( MJ/m²)]],AD181:AD1336)</f>
        <v>647</v>
      </c>
      <c r="AF181" s="11">
        <f t="shared" si="44"/>
        <v>0.34725490196078435</v>
      </c>
      <c r="AG181" s="11">
        <f t="shared" si="49"/>
        <v>0.2676470588235294</v>
      </c>
      <c r="AH181" s="11">
        <f t="shared" si="45"/>
        <v>0.2676470588235294</v>
      </c>
      <c r="AI181" s="33">
        <f t="shared" si="50"/>
        <v>2.676470588235294E-2</v>
      </c>
      <c r="AJ181" s="11">
        <f t="shared" si="46"/>
        <v>2.676470588235294E-2</v>
      </c>
    </row>
    <row r="182" spans="1:36" x14ac:dyDescent="0.25">
      <c r="A182" s="23" t="s">
        <v>944</v>
      </c>
      <c r="B182" s="23" t="s">
        <v>1167</v>
      </c>
      <c r="C182" s="23" t="s">
        <v>14</v>
      </c>
      <c r="D182" s="23" t="s">
        <v>1106</v>
      </c>
      <c r="E182" s="20" t="s">
        <v>1161</v>
      </c>
      <c r="F182" s="20" t="s">
        <v>360</v>
      </c>
      <c r="G182" s="20" t="s">
        <v>361</v>
      </c>
      <c r="H182" s="20">
        <v>20.399999999999999</v>
      </c>
      <c r="I182" s="20">
        <v>10</v>
      </c>
      <c r="J182" s="20" t="s">
        <v>57</v>
      </c>
      <c r="K182" s="20" t="s">
        <v>110</v>
      </c>
      <c r="L182" s="20" t="s">
        <v>928</v>
      </c>
      <c r="M182" s="20" t="s">
        <v>14</v>
      </c>
      <c r="N182" s="20" t="s">
        <v>111</v>
      </c>
      <c r="P182" s="20"/>
      <c r="Q182" s="20"/>
      <c r="R182" s="20" t="s">
        <v>175</v>
      </c>
      <c r="S182" s="20"/>
      <c r="T182" s="20">
        <v>1</v>
      </c>
      <c r="U182" s="20" t="s">
        <v>175</v>
      </c>
      <c r="V182" s="20"/>
      <c r="W182" s="25">
        <v>1380</v>
      </c>
      <c r="X182" s="20" t="s">
        <v>184</v>
      </c>
      <c r="Y182" s="20"/>
      <c r="Z182" s="20"/>
      <c r="AA182" s="20">
        <v>35</v>
      </c>
      <c r="AB182" s="20">
        <v>35.6</v>
      </c>
      <c r="AC182">
        <v>3.31</v>
      </c>
      <c r="AD182" s="11">
        <f t="shared" si="43"/>
        <v>61.078431372549026</v>
      </c>
      <c r="AE182" s="11">
        <f>_xlfn.RANK.AVG(Tableau8[[#This Row],[EE ( MJ/m²)]],AD182:AD1337)</f>
        <v>182</v>
      </c>
      <c r="AF182" s="11">
        <f t="shared" si="44"/>
        <v>6.1078431372549025</v>
      </c>
      <c r="AG182" s="11">
        <f t="shared" si="49"/>
        <v>5.6789215686274517</v>
      </c>
      <c r="AH182" s="11">
        <f t="shared" si="45"/>
        <v>5.6789215686274517</v>
      </c>
      <c r="AI182" s="33">
        <f t="shared" si="50"/>
        <v>0.56789215686274519</v>
      </c>
      <c r="AJ182" s="11">
        <f t="shared" si="46"/>
        <v>0.56789215686274519</v>
      </c>
    </row>
    <row r="183" spans="1:36" x14ac:dyDescent="0.25">
      <c r="A183" s="23" t="s">
        <v>944</v>
      </c>
      <c r="B183" s="23" t="s">
        <v>1167</v>
      </c>
      <c r="C183" s="23" t="s">
        <v>386</v>
      </c>
      <c r="D183" s="23" t="s">
        <v>1106</v>
      </c>
      <c r="E183" s="20" t="s">
        <v>1161</v>
      </c>
      <c r="F183" s="20" t="s">
        <v>360</v>
      </c>
      <c r="G183" s="20" t="s">
        <v>361</v>
      </c>
      <c r="H183" s="20">
        <v>20.399999999999999</v>
      </c>
      <c r="I183" s="20">
        <v>10</v>
      </c>
      <c r="J183" s="20" t="s">
        <v>40</v>
      </c>
      <c r="K183" s="20" t="s">
        <v>386</v>
      </c>
      <c r="L183" s="20" t="s">
        <v>1165</v>
      </c>
      <c r="M183" s="20" t="s">
        <v>1165</v>
      </c>
      <c r="N183" s="20" t="s">
        <v>1165</v>
      </c>
      <c r="O183" s="20"/>
      <c r="P183" s="20"/>
      <c r="Q183" s="20"/>
      <c r="R183" s="20" t="s">
        <v>175</v>
      </c>
      <c r="S183" s="20"/>
      <c r="T183" s="20">
        <v>1</v>
      </c>
      <c r="U183" s="20" t="s">
        <v>175</v>
      </c>
      <c r="V183" s="20"/>
      <c r="W183" s="20">
        <v>561</v>
      </c>
      <c r="X183" s="20" t="s">
        <v>184</v>
      </c>
      <c r="Y183" s="20" t="s">
        <v>1235</v>
      </c>
      <c r="Z183" s="20"/>
      <c r="AA183" s="24">
        <v>40</v>
      </c>
      <c r="AB183" s="20">
        <v>4.51</v>
      </c>
      <c r="AC183" s="20">
        <v>0.75</v>
      </c>
      <c r="AD183" s="33">
        <f t="shared" si="43"/>
        <v>8.8431372549019596</v>
      </c>
      <c r="AE183" s="33">
        <f>_xlfn.RANK.AVG(Tableau8[[#This Row],[EE ( MJ/m²)]],AD183:AD1338)</f>
        <v>496</v>
      </c>
      <c r="AF183" s="33">
        <f t="shared" si="44"/>
        <v>0.88431372549019593</v>
      </c>
      <c r="AG183" s="11">
        <f t="shared" si="49"/>
        <v>1.4705882352941178</v>
      </c>
      <c r="AH183" s="33">
        <f t="shared" si="45"/>
        <v>1.4705882352941178</v>
      </c>
      <c r="AI183" s="33">
        <f t="shared" si="50"/>
        <v>0.14705882352941177</v>
      </c>
      <c r="AJ183" s="33">
        <f t="shared" si="46"/>
        <v>0.14705882352941177</v>
      </c>
    </row>
    <row r="184" spans="1:36" x14ac:dyDescent="0.25">
      <c r="A184" s="4" t="s">
        <v>944</v>
      </c>
      <c r="B184" s="4" t="s">
        <v>1167</v>
      </c>
      <c r="C184" s="4" t="s">
        <v>234</v>
      </c>
      <c r="D184" s="4" t="s">
        <v>1106</v>
      </c>
      <c r="E184" t="s">
        <v>1161</v>
      </c>
      <c r="F184" t="s">
        <v>360</v>
      </c>
      <c r="G184" t="s">
        <v>361</v>
      </c>
      <c r="H184">
        <v>20.399999999999999</v>
      </c>
      <c r="I184">
        <v>10</v>
      </c>
      <c r="J184" t="s">
        <v>44</v>
      </c>
      <c r="K184" t="s">
        <v>307</v>
      </c>
      <c r="L184" t="s">
        <v>1166</v>
      </c>
      <c r="M184" t="s">
        <v>233</v>
      </c>
      <c r="N184" t="s">
        <v>234</v>
      </c>
      <c r="R184" t="s">
        <v>187</v>
      </c>
      <c r="T184">
        <v>1</v>
      </c>
      <c r="U184" t="s">
        <v>346</v>
      </c>
      <c r="W184">
        <v>0.2</v>
      </c>
      <c r="X184" t="s">
        <v>183</v>
      </c>
      <c r="AA184">
        <v>5</v>
      </c>
      <c r="AB184">
        <v>143</v>
      </c>
      <c r="AC184">
        <v>6.78</v>
      </c>
      <c r="AD184" s="11">
        <f t="shared" si="43"/>
        <v>35.049019607843142</v>
      </c>
      <c r="AE184" s="11">
        <f>_xlfn.RANK.AVG(Tableau8[[#This Row],[EE ( MJ/m²)]],AD184:AD1339)</f>
        <v>265</v>
      </c>
      <c r="AF184" s="11">
        <f t="shared" si="44"/>
        <v>3.5049019607843142</v>
      </c>
      <c r="AG184" s="11">
        <f t="shared" si="49"/>
        <v>1.661764705882353</v>
      </c>
      <c r="AH184" s="11">
        <f t="shared" si="45"/>
        <v>1.661764705882353</v>
      </c>
      <c r="AI184" s="33">
        <f t="shared" si="50"/>
        <v>0.16617647058823531</v>
      </c>
      <c r="AJ184" s="11">
        <f t="shared" si="46"/>
        <v>0.16617647058823531</v>
      </c>
    </row>
    <row r="185" spans="1:36" x14ac:dyDescent="0.25">
      <c r="A185" s="4" t="s">
        <v>944</v>
      </c>
      <c r="B185" s="4" t="s">
        <v>1167</v>
      </c>
      <c r="C185" s="4" t="s">
        <v>386</v>
      </c>
      <c r="D185" s="4" t="s">
        <v>1106</v>
      </c>
      <c r="E185" t="s">
        <v>1161</v>
      </c>
      <c r="F185" t="s">
        <v>360</v>
      </c>
      <c r="G185" t="s">
        <v>361</v>
      </c>
      <c r="H185">
        <v>20.399999999999999</v>
      </c>
      <c r="I185">
        <v>10</v>
      </c>
      <c r="J185" t="s">
        <v>40</v>
      </c>
      <c r="K185" t="s">
        <v>386</v>
      </c>
      <c r="L185" t="s">
        <v>1163</v>
      </c>
      <c r="M185" t="s">
        <v>435</v>
      </c>
      <c r="N185" t="s">
        <v>435</v>
      </c>
      <c r="P185">
        <v>7</v>
      </c>
      <c r="Q185" t="s">
        <v>180</v>
      </c>
      <c r="R185" t="s">
        <v>176</v>
      </c>
      <c r="T185">
        <v>1</v>
      </c>
      <c r="U185" t="s">
        <v>1006</v>
      </c>
      <c r="W185">
        <v>1920</v>
      </c>
      <c r="X185" t="s">
        <v>184</v>
      </c>
      <c r="AA185" s="13">
        <f>Tableau8[[#This Row],[density (kg/m2) or specific weight (kg/m2)]]*Tableau8[[#This Row],[nb of item used ]]*Tableau8[[#This Row],[volume or area]]</f>
        <v>13440</v>
      </c>
      <c r="AB185">
        <v>3</v>
      </c>
      <c r="AC185">
        <v>0.24</v>
      </c>
      <c r="AD185" s="11">
        <f t="shared" si="43"/>
        <v>1976.4705882352941</v>
      </c>
      <c r="AE185" s="11">
        <f>_xlfn.RANK.AVG(Tableau8[[#This Row],[EE ( MJ/m²)]],AD185:AD1340)</f>
        <v>2</v>
      </c>
      <c r="AF185" s="11">
        <f t="shared" si="44"/>
        <v>197.64705882352942</v>
      </c>
      <c r="AG185" s="11">
        <f t="shared" si="49"/>
        <v>158.11764705882354</v>
      </c>
      <c r="AH185" s="11">
        <f t="shared" si="45"/>
        <v>158.11764705882354</v>
      </c>
      <c r="AI185" s="33">
        <f t="shared" si="50"/>
        <v>15.811764705882354</v>
      </c>
      <c r="AJ185" s="11">
        <f t="shared" si="46"/>
        <v>15.811764705882354</v>
      </c>
    </row>
    <row r="186" spans="1:36" x14ac:dyDescent="0.25">
      <c r="A186" s="4" t="s">
        <v>944</v>
      </c>
      <c r="B186" s="4" t="s">
        <v>1167</v>
      </c>
      <c r="C186" s="4" t="s">
        <v>998</v>
      </c>
      <c r="D186" s="4" t="s">
        <v>1106</v>
      </c>
      <c r="E186" t="s">
        <v>1161</v>
      </c>
      <c r="F186" t="s">
        <v>360</v>
      </c>
      <c r="G186" t="s">
        <v>361</v>
      </c>
      <c r="H186">
        <v>20.399999999999999</v>
      </c>
      <c r="I186">
        <v>10</v>
      </c>
      <c r="J186" t="s">
        <v>56</v>
      </c>
      <c r="K186" t="s">
        <v>15</v>
      </c>
      <c r="L186" t="s">
        <v>1164</v>
      </c>
      <c r="M186" t="s">
        <v>235</v>
      </c>
      <c r="N186" t="s">
        <v>235</v>
      </c>
      <c r="P186">
        <v>1</v>
      </c>
      <c r="Q186" t="s">
        <v>180</v>
      </c>
      <c r="R186" t="s">
        <v>187</v>
      </c>
      <c r="T186">
        <v>1</v>
      </c>
      <c r="U186" t="s">
        <v>346</v>
      </c>
      <c r="W186">
        <v>100</v>
      </c>
      <c r="X186" t="s">
        <v>184</v>
      </c>
      <c r="AA186" s="13">
        <f>Tableau8[[#This Row],[density (kg/m2) or specific weight (kg/m2)]]*Tableau8[[#This Row],[nb of item used ]]*Tableau8[[#This Row],[volume or area]]</f>
        <v>100</v>
      </c>
      <c r="AB186">
        <v>13.13</v>
      </c>
      <c r="AC186">
        <v>12.37</v>
      </c>
      <c r="AD186" s="11">
        <f t="shared" si="43"/>
        <v>64.362745098039227</v>
      </c>
      <c r="AE186" s="11">
        <f>_xlfn.RANK.AVG(Tableau8[[#This Row],[EE ( MJ/m²)]],AD186:AD1341)</f>
        <v>174</v>
      </c>
      <c r="AF186" s="11">
        <f t="shared" si="44"/>
        <v>6.4362745098039227</v>
      </c>
      <c r="AG186" s="11">
        <f t="shared" si="49"/>
        <v>60.637254901960787</v>
      </c>
      <c r="AH186" s="11">
        <f t="shared" si="45"/>
        <v>60.637254901960787</v>
      </c>
      <c r="AI186" s="33">
        <f t="shared" si="50"/>
        <v>6.0637254901960791</v>
      </c>
      <c r="AJ186" s="11">
        <f t="shared" si="46"/>
        <v>6.0637254901960791</v>
      </c>
    </row>
    <row r="187" spans="1:36" x14ac:dyDescent="0.25">
      <c r="A187" s="4" t="s">
        <v>944</v>
      </c>
      <c r="B187" s="4" t="s">
        <v>1167</v>
      </c>
      <c r="C187" s="4" t="s">
        <v>998</v>
      </c>
      <c r="D187" s="4" t="s">
        <v>1106</v>
      </c>
      <c r="E187" t="s">
        <v>1161</v>
      </c>
      <c r="F187" t="s">
        <v>360</v>
      </c>
      <c r="G187" t="s">
        <v>361</v>
      </c>
      <c r="H187">
        <v>20.399999999999999</v>
      </c>
      <c r="I187">
        <v>10</v>
      </c>
      <c r="J187" t="s">
        <v>56</v>
      </c>
      <c r="K187" t="s">
        <v>15</v>
      </c>
      <c r="L187" t="s">
        <v>507</v>
      </c>
      <c r="M187" t="s">
        <v>235</v>
      </c>
      <c r="N187" t="s">
        <v>235</v>
      </c>
      <c r="P187">
        <v>0.5</v>
      </c>
      <c r="Q187" t="s">
        <v>180</v>
      </c>
      <c r="R187" t="s">
        <v>187</v>
      </c>
      <c r="T187">
        <v>1</v>
      </c>
      <c r="U187" t="s">
        <v>346</v>
      </c>
      <c r="W187">
        <v>100</v>
      </c>
      <c r="X187" t="s">
        <v>184</v>
      </c>
      <c r="AA187" s="13">
        <f>Tableau8[[#This Row],[density (kg/m2) or specific weight (kg/m2)]]*Tableau8[[#This Row],[nb of item used ]]*Tableau8[[#This Row],[volume or area]]</f>
        <v>50</v>
      </c>
      <c r="AB187">
        <v>13.13</v>
      </c>
      <c r="AC187">
        <v>12.37</v>
      </c>
      <c r="AD187" s="11">
        <f t="shared" si="43"/>
        <v>32.181372549019613</v>
      </c>
      <c r="AE187" s="11">
        <f>_xlfn.RANK.AVG(Tableau8[[#This Row],[EE ( MJ/m²)]],AD187:AD1342)</f>
        <v>271</v>
      </c>
      <c r="AF187" s="11">
        <f t="shared" si="44"/>
        <v>3.2181372549019613</v>
      </c>
      <c r="AG187" s="11">
        <f t="shared" si="49"/>
        <v>30.318627450980394</v>
      </c>
      <c r="AH187" s="11">
        <f t="shared" si="45"/>
        <v>30.318627450980394</v>
      </c>
      <c r="AI187" s="33">
        <f t="shared" si="50"/>
        <v>3.0318627450980395</v>
      </c>
      <c r="AJ187" s="11">
        <f t="shared" si="46"/>
        <v>3.0318627450980395</v>
      </c>
    </row>
    <row r="188" spans="1:36" x14ac:dyDescent="0.25">
      <c r="A188" s="23" t="s">
        <v>945</v>
      </c>
      <c r="B188" s="23" t="s">
        <v>1196</v>
      </c>
      <c r="C188" s="23" t="s">
        <v>12</v>
      </c>
      <c r="D188" s="23" t="s">
        <v>938</v>
      </c>
      <c r="E188" s="20" t="s">
        <v>1197</v>
      </c>
      <c r="F188" s="20" t="s">
        <v>360</v>
      </c>
      <c r="G188" s="20" t="s">
        <v>251</v>
      </c>
      <c r="H188" s="20">
        <v>48</v>
      </c>
      <c r="I188" s="20">
        <v>20</v>
      </c>
      <c r="J188" s="20" t="s">
        <v>56</v>
      </c>
      <c r="K188" t="s">
        <v>17</v>
      </c>
      <c r="L188" s="20" t="s">
        <v>1198</v>
      </c>
      <c r="M188" s="20" t="s">
        <v>12</v>
      </c>
      <c r="N188" s="20" t="s">
        <v>12</v>
      </c>
      <c r="O188" t="s">
        <v>1211</v>
      </c>
      <c r="P188" s="20"/>
      <c r="Q188" s="20"/>
      <c r="R188" s="20" t="s">
        <v>175</v>
      </c>
      <c r="S188" s="20"/>
      <c r="T188" s="20">
        <v>1</v>
      </c>
      <c r="U188" s="20" t="s">
        <v>175</v>
      </c>
      <c r="V188" s="20"/>
      <c r="W188" s="20">
        <v>7800</v>
      </c>
      <c r="X188" s="20" t="s">
        <v>184</v>
      </c>
      <c r="Y188" s="20" t="s">
        <v>185</v>
      </c>
      <c r="Z188" s="20"/>
      <c r="AA188" s="20">
        <v>485</v>
      </c>
      <c r="AB188" s="20">
        <v>25.3</v>
      </c>
      <c r="AC188" s="20">
        <v>1.95</v>
      </c>
      <c r="AD188" s="33">
        <f t="shared" si="43"/>
        <v>255.63541666666666</v>
      </c>
      <c r="AE188" s="33">
        <f>_xlfn.RANK.AVG(Tableau8[[#This Row],[EE ( MJ/m²)]],AD188:AD1343)</f>
        <v>52.5</v>
      </c>
      <c r="AF188" s="33">
        <f t="shared" si="44"/>
        <v>12.781770833333333</v>
      </c>
      <c r="AG188" s="33">
        <f t="shared" si="49"/>
        <v>19.703125</v>
      </c>
      <c r="AH188" s="33">
        <f t="shared" si="45"/>
        <v>19.703125</v>
      </c>
      <c r="AI188" s="33">
        <f t="shared" si="50"/>
        <v>0.98515624999999996</v>
      </c>
      <c r="AJ188" s="33">
        <f t="shared" si="46"/>
        <v>0.98515624999999996</v>
      </c>
    </row>
    <row r="189" spans="1:36" x14ac:dyDescent="0.25">
      <c r="A189" s="23" t="s">
        <v>945</v>
      </c>
      <c r="B189" s="23" t="s">
        <v>1196</v>
      </c>
      <c r="C189" s="23" t="s">
        <v>12</v>
      </c>
      <c r="D189" s="23" t="s">
        <v>938</v>
      </c>
      <c r="E189" s="20" t="s">
        <v>1197</v>
      </c>
      <c r="F189" s="20" t="s">
        <v>360</v>
      </c>
      <c r="G189" s="20" t="s">
        <v>251</v>
      </c>
      <c r="H189" s="20">
        <v>48</v>
      </c>
      <c r="I189" s="20">
        <v>20</v>
      </c>
      <c r="J189" s="20" t="s">
        <v>56</v>
      </c>
      <c r="K189" t="s">
        <v>17</v>
      </c>
      <c r="L189" s="20" t="s">
        <v>1199</v>
      </c>
      <c r="M189" s="20" t="s">
        <v>12</v>
      </c>
      <c r="N189" s="20" t="s">
        <v>12</v>
      </c>
      <c r="O189" t="s">
        <v>1211</v>
      </c>
      <c r="P189" s="20"/>
      <c r="Q189" s="20"/>
      <c r="R189" s="20" t="s">
        <v>175</v>
      </c>
      <c r="S189" s="20"/>
      <c r="T189" s="20">
        <v>1</v>
      </c>
      <c r="U189" s="20" t="s">
        <v>175</v>
      </c>
      <c r="V189" s="20"/>
      <c r="W189" s="20">
        <v>7800</v>
      </c>
      <c r="X189" s="20" t="s">
        <v>184</v>
      </c>
      <c r="Y189" s="20" t="s">
        <v>185</v>
      </c>
      <c r="Z189" s="20"/>
      <c r="AA189" s="20">
        <v>150</v>
      </c>
      <c r="AB189" s="20">
        <v>25.3</v>
      </c>
      <c r="AC189" s="20">
        <v>1.95</v>
      </c>
      <c r="AD189" s="33">
        <f t="shared" si="43"/>
        <v>79.0625</v>
      </c>
      <c r="AE189" s="33">
        <f>_xlfn.RANK.AVG(Tableau8[[#This Row],[EE ( MJ/m²)]],AD189:AD1344)</f>
        <v>148.5</v>
      </c>
      <c r="AF189" s="33">
        <f t="shared" si="44"/>
        <v>3.953125</v>
      </c>
      <c r="AG189" s="33">
        <f t="shared" si="49"/>
        <v>6.09375</v>
      </c>
      <c r="AH189" s="33">
        <f t="shared" si="45"/>
        <v>6.09375</v>
      </c>
      <c r="AI189" s="33">
        <f t="shared" si="50"/>
        <v>0.3046875</v>
      </c>
      <c r="AJ189" s="33">
        <f t="shared" si="46"/>
        <v>0.3046875</v>
      </c>
    </row>
    <row r="190" spans="1:36" x14ac:dyDescent="0.25">
      <c r="A190" s="23" t="s">
        <v>945</v>
      </c>
      <c r="B190" s="23" t="s">
        <v>1196</v>
      </c>
      <c r="C190" s="23" t="s">
        <v>12</v>
      </c>
      <c r="D190" s="23" t="s">
        <v>938</v>
      </c>
      <c r="E190" s="20" t="s">
        <v>1197</v>
      </c>
      <c r="F190" s="20" t="s">
        <v>360</v>
      </c>
      <c r="G190" s="20" t="s">
        <v>251</v>
      </c>
      <c r="H190" s="20">
        <v>48</v>
      </c>
      <c r="I190" s="20">
        <v>20</v>
      </c>
      <c r="J190" s="20" t="s">
        <v>56</v>
      </c>
      <c r="K190" t="s">
        <v>17</v>
      </c>
      <c r="L190" s="20" t="s">
        <v>1200</v>
      </c>
      <c r="M190" s="20" t="s">
        <v>12</v>
      </c>
      <c r="N190" s="20" t="s">
        <v>12</v>
      </c>
      <c r="O190" t="s">
        <v>1211</v>
      </c>
      <c r="P190" s="20"/>
      <c r="Q190" s="20"/>
      <c r="R190" s="20" t="s">
        <v>175</v>
      </c>
      <c r="S190" s="20"/>
      <c r="T190" s="20">
        <v>1</v>
      </c>
      <c r="U190" s="20" t="s">
        <v>175</v>
      </c>
      <c r="V190" s="20"/>
      <c r="W190" s="20">
        <v>7800</v>
      </c>
      <c r="X190" s="20" t="s">
        <v>184</v>
      </c>
      <c r="Y190" s="20" t="s">
        <v>185</v>
      </c>
      <c r="Z190" s="20"/>
      <c r="AA190" s="20">
        <v>112</v>
      </c>
      <c r="AB190" s="20">
        <v>25.3</v>
      </c>
      <c r="AC190" s="20">
        <v>1.95</v>
      </c>
      <c r="AD190" s="33">
        <f t="shared" si="43"/>
        <v>59.033333333333331</v>
      </c>
      <c r="AE190" s="33">
        <f>_xlfn.RANK.AVG(Tableau8[[#This Row],[EE ( MJ/m²)]],AD190:AD1345)</f>
        <v>182.5</v>
      </c>
      <c r="AF190" s="33">
        <f t="shared" si="44"/>
        <v>2.9516666666666667</v>
      </c>
      <c r="AG190" s="33">
        <f t="shared" si="49"/>
        <v>4.55</v>
      </c>
      <c r="AH190" s="33">
        <f t="shared" si="45"/>
        <v>4.55</v>
      </c>
      <c r="AI190" s="33">
        <f t="shared" si="50"/>
        <v>0.22749999999999998</v>
      </c>
      <c r="AJ190" s="33">
        <f t="shared" si="46"/>
        <v>0.22749999999999998</v>
      </c>
    </row>
    <row r="191" spans="1:36" x14ac:dyDescent="0.25">
      <c r="A191" s="23" t="s">
        <v>945</v>
      </c>
      <c r="B191" s="23" t="s">
        <v>1196</v>
      </c>
      <c r="C191" s="23" t="s">
        <v>12</v>
      </c>
      <c r="D191" s="23" t="s">
        <v>938</v>
      </c>
      <c r="E191" s="20" t="s">
        <v>1197</v>
      </c>
      <c r="F191" s="20" t="s">
        <v>360</v>
      </c>
      <c r="G191" s="20" t="s">
        <v>251</v>
      </c>
      <c r="H191" s="20">
        <v>48</v>
      </c>
      <c r="I191" s="20">
        <v>20</v>
      </c>
      <c r="J191" s="20" t="s">
        <v>56</v>
      </c>
      <c r="K191" t="s">
        <v>17</v>
      </c>
      <c r="L191" s="20" t="s">
        <v>1201</v>
      </c>
      <c r="M191" s="20" t="s">
        <v>12</v>
      </c>
      <c r="N191" s="20" t="s">
        <v>12</v>
      </c>
      <c r="O191" t="s">
        <v>1211</v>
      </c>
      <c r="P191" s="20"/>
      <c r="Q191" s="20"/>
      <c r="R191" s="20" t="s">
        <v>175</v>
      </c>
      <c r="S191" s="20"/>
      <c r="T191" s="20">
        <v>1</v>
      </c>
      <c r="U191" s="20" t="s">
        <v>175</v>
      </c>
      <c r="V191" s="20"/>
      <c r="W191" s="20">
        <v>7800</v>
      </c>
      <c r="X191" s="20" t="s">
        <v>184</v>
      </c>
      <c r="Y191" s="20" t="s">
        <v>185</v>
      </c>
      <c r="Z191" s="20"/>
      <c r="AA191" s="20">
        <v>50</v>
      </c>
      <c r="AB191" s="20">
        <v>25.3</v>
      </c>
      <c r="AC191" s="20">
        <v>1.95</v>
      </c>
      <c r="AD191" s="33">
        <f t="shared" si="43"/>
        <v>26.354166666666668</v>
      </c>
      <c r="AE191" s="33">
        <f>_xlfn.RANK.AVG(Tableau8[[#This Row],[EE ( MJ/m²)]],AD191:AD1346)</f>
        <v>299.5</v>
      </c>
      <c r="AF191" s="33">
        <f t="shared" si="44"/>
        <v>1.3177083333333335</v>
      </c>
      <c r="AG191" s="33">
        <f t="shared" si="49"/>
        <v>2.03125</v>
      </c>
      <c r="AH191" s="33">
        <f t="shared" si="45"/>
        <v>2.03125</v>
      </c>
      <c r="AI191" s="33">
        <f t="shared" si="50"/>
        <v>0.1015625</v>
      </c>
      <c r="AJ191" s="33">
        <f t="shared" si="46"/>
        <v>0.1015625</v>
      </c>
    </row>
    <row r="192" spans="1:36" x14ac:dyDescent="0.25">
      <c r="A192" s="23" t="s">
        <v>945</v>
      </c>
      <c r="B192" s="23" t="s">
        <v>1196</v>
      </c>
      <c r="C192" s="23" t="s">
        <v>12</v>
      </c>
      <c r="D192" s="23" t="s">
        <v>938</v>
      </c>
      <c r="E192" s="20" t="s">
        <v>1197</v>
      </c>
      <c r="F192" s="20" t="s">
        <v>360</v>
      </c>
      <c r="G192" s="20" t="s">
        <v>251</v>
      </c>
      <c r="H192" s="20">
        <v>48</v>
      </c>
      <c r="I192" s="20">
        <v>20</v>
      </c>
      <c r="J192" s="20" t="s">
        <v>40</v>
      </c>
      <c r="K192" t="s">
        <v>17</v>
      </c>
      <c r="L192" s="20" t="s">
        <v>1202</v>
      </c>
      <c r="M192" s="20" t="s">
        <v>12</v>
      </c>
      <c r="N192" s="20" t="s">
        <v>12</v>
      </c>
      <c r="O192" t="s">
        <v>1211</v>
      </c>
      <c r="P192" s="20"/>
      <c r="Q192" s="20"/>
      <c r="R192" s="20" t="s">
        <v>175</v>
      </c>
      <c r="S192" s="20"/>
      <c r="T192" s="20">
        <v>1</v>
      </c>
      <c r="U192" s="20" t="s">
        <v>175</v>
      </c>
      <c r="V192" s="20"/>
      <c r="W192" s="20">
        <v>7800</v>
      </c>
      <c r="X192" s="20" t="s">
        <v>184</v>
      </c>
      <c r="Y192" s="20" t="s">
        <v>185</v>
      </c>
      <c r="Z192" s="20"/>
      <c r="AA192" s="20">
        <v>45</v>
      </c>
      <c r="AB192" s="20">
        <v>25.3</v>
      </c>
      <c r="AC192" s="20">
        <v>1.95</v>
      </c>
      <c r="AD192" s="33">
        <f t="shared" si="43"/>
        <v>23.71875</v>
      </c>
      <c r="AE192" s="33">
        <f>_xlfn.RANK.AVG(Tableau8[[#This Row],[EE ( MJ/m²)]],AD192:AD1347)</f>
        <v>313.5</v>
      </c>
      <c r="AF192" s="33">
        <f t="shared" si="44"/>
        <v>1.1859375000000001</v>
      </c>
      <c r="AG192" s="33">
        <f t="shared" si="49"/>
        <v>1.828125</v>
      </c>
      <c r="AH192" s="33">
        <f t="shared" si="45"/>
        <v>1.828125</v>
      </c>
      <c r="AI192" s="33">
        <f t="shared" si="50"/>
        <v>9.1406249999999994E-2</v>
      </c>
      <c r="AJ192" s="33">
        <f t="shared" si="46"/>
        <v>9.1406249999999994E-2</v>
      </c>
    </row>
    <row r="193" spans="1:36" x14ac:dyDescent="0.25">
      <c r="A193" s="23" t="s">
        <v>945</v>
      </c>
      <c r="B193" s="23" t="s">
        <v>1196</v>
      </c>
      <c r="C193" s="23" t="s">
        <v>12</v>
      </c>
      <c r="D193" s="23" t="s">
        <v>938</v>
      </c>
      <c r="E193" s="20" t="s">
        <v>1197</v>
      </c>
      <c r="F193" s="20" t="s">
        <v>360</v>
      </c>
      <c r="G193" s="20" t="s">
        <v>251</v>
      </c>
      <c r="H193" s="20">
        <v>48</v>
      </c>
      <c r="I193" s="20">
        <v>20</v>
      </c>
      <c r="J193" s="20" t="s">
        <v>40</v>
      </c>
      <c r="K193" t="s">
        <v>17</v>
      </c>
      <c r="L193" s="20" t="s">
        <v>1203</v>
      </c>
      <c r="M193" s="20" t="s">
        <v>17</v>
      </c>
      <c r="N193" s="20" t="s">
        <v>17</v>
      </c>
      <c r="P193" s="20"/>
      <c r="Q193" s="20"/>
      <c r="R193" s="20" t="s">
        <v>175</v>
      </c>
      <c r="S193" s="20"/>
      <c r="T193" s="20">
        <v>1</v>
      </c>
      <c r="U193" s="20" t="s">
        <v>175</v>
      </c>
      <c r="V193" s="20"/>
      <c r="W193" s="20">
        <v>7700</v>
      </c>
      <c r="X193" s="20" t="s">
        <v>184</v>
      </c>
      <c r="Y193" s="20"/>
      <c r="Z193" s="20"/>
      <c r="AA193" s="20">
        <v>17</v>
      </c>
      <c r="AB193" s="20">
        <v>25.3</v>
      </c>
      <c r="AC193" s="20">
        <v>1.95</v>
      </c>
      <c r="AD193" s="33">
        <f t="shared" si="43"/>
        <v>8.9604166666666671</v>
      </c>
      <c r="AE193" s="33">
        <f>_xlfn.RANK.AVG(Tableau8[[#This Row],[EE ( MJ/m²)]],AD193:AD1348)</f>
        <v>479.5</v>
      </c>
      <c r="AF193" s="33">
        <f t="shared" si="44"/>
        <v>0.44802083333333337</v>
      </c>
      <c r="AG193" s="33">
        <f t="shared" si="49"/>
        <v>0.69062499999999993</v>
      </c>
      <c r="AH193" s="33">
        <f t="shared" si="45"/>
        <v>0.69062499999999993</v>
      </c>
      <c r="AI193" s="33">
        <f t="shared" si="50"/>
        <v>3.4531249999999999E-2</v>
      </c>
      <c r="AJ193" s="33">
        <f t="shared" si="46"/>
        <v>3.4531249999999999E-2</v>
      </c>
    </row>
    <row r="194" spans="1:36" x14ac:dyDescent="0.25">
      <c r="A194" s="23" t="s">
        <v>945</v>
      </c>
      <c r="B194" s="23" t="s">
        <v>1196</v>
      </c>
      <c r="C194" s="23" t="s">
        <v>12</v>
      </c>
      <c r="D194" s="23" t="s">
        <v>938</v>
      </c>
      <c r="E194" s="20" t="s">
        <v>1197</v>
      </c>
      <c r="F194" s="20" t="s">
        <v>360</v>
      </c>
      <c r="G194" s="20" t="s">
        <v>251</v>
      </c>
      <c r="H194" s="20">
        <v>48</v>
      </c>
      <c r="I194" s="20">
        <v>20</v>
      </c>
      <c r="J194" s="20" t="s">
        <v>109</v>
      </c>
      <c r="K194" t="s">
        <v>17</v>
      </c>
      <c r="L194" s="20" t="s">
        <v>1204</v>
      </c>
      <c r="M194" s="20" t="s">
        <v>12</v>
      </c>
      <c r="N194" s="20" t="s">
        <v>12</v>
      </c>
      <c r="P194" s="20"/>
      <c r="Q194" s="20"/>
      <c r="R194" s="20" t="s">
        <v>175</v>
      </c>
      <c r="S194" s="20"/>
      <c r="T194" s="20">
        <v>1</v>
      </c>
      <c r="U194" s="20" t="s">
        <v>175</v>
      </c>
      <c r="V194" s="20"/>
      <c r="W194" s="20">
        <v>7800</v>
      </c>
      <c r="X194" s="20" t="s">
        <v>184</v>
      </c>
      <c r="Y194" s="20" t="s">
        <v>185</v>
      </c>
      <c r="Z194" s="20"/>
      <c r="AA194" s="20">
        <v>0.6</v>
      </c>
      <c r="AB194" s="20">
        <v>25.3</v>
      </c>
      <c r="AC194" s="20">
        <v>1.95</v>
      </c>
      <c r="AD194" s="33">
        <f t="shared" si="43"/>
        <v>0.31624999999999998</v>
      </c>
      <c r="AE194" s="33">
        <f>_xlfn.RANK.AVG(Tableau8[[#This Row],[EE ( MJ/m²)]],AD194:AD1349)</f>
        <v>856.5</v>
      </c>
      <c r="AF194" s="33">
        <f t="shared" si="44"/>
        <v>1.58125E-2</v>
      </c>
      <c r="AG194" s="33">
        <f t="shared" si="49"/>
        <v>2.4374999999999997E-2</v>
      </c>
      <c r="AH194" s="33">
        <f t="shared" si="45"/>
        <v>2.4374999999999997E-2</v>
      </c>
      <c r="AI194" s="33">
        <f t="shared" si="50"/>
        <v>1.2187499999999998E-3</v>
      </c>
      <c r="AJ194" s="33">
        <f t="shared" si="46"/>
        <v>1.2187499999999998E-3</v>
      </c>
    </row>
    <row r="195" spans="1:36" s="18" customFormat="1" x14ac:dyDescent="0.25">
      <c r="A195" s="23" t="s">
        <v>945</v>
      </c>
      <c r="B195" s="23" t="s">
        <v>1196</v>
      </c>
      <c r="C195" s="23" t="s">
        <v>12</v>
      </c>
      <c r="D195" s="23" t="s">
        <v>938</v>
      </c>
      <c r="E195" s="20" t="s">
        <v>1197</v>
      </c>
      <c r="F195" s="20" t="s">
        <v>360</v>
      </c>
      <c r="G195" s="20" t="s">
        <v>251</v>
      </c>
      <c r="H195" s="20">
        <v>48</v>
      </c>
      <c r="I195" s="20">
        <v>20</v>
      </c>
      <c r="J195" s="20" t="s">
        <v>109</v>
      </c>
      <c r="K195" t="s">
        <v>17</v>
      </c>
      <c r="L195" s="20" t="s">
        <v>1205</v>
      </c>
      <c r="M195" s="20" t="s">
        <v>12</v>
      </c>
      <c r="N195" s="20" t="s">
        <v>12</v>
      </c>
      <c r="O195"/>
      <c r="P195" s="20"/>
      <c r="Q195" s="20"/>
      <c r="R195" s="20" t="s">
        <v>175</v>
      </c>
      <c r="S195" s="20"/>
      <c r="T195" s="20">
        <v>1</v>
      </c>
      <c r="U195" s="20" t="s">
        <v>175</v>
      </c>
      <c r="V195" s="20"/>
      <c r="W195" s="20">
        <v>7800</v>
      </c>
      <c r="X195" s="20" t="s">
        <v>184</v>
      </c>
      <c r="Y195" s="20" t="s">
        <v>185</v>
      </c>
      <c r="Z195" s="20"/>
      <c r="AA195" s="20">
        <v>1</v>
      </c>
      <c r="AB195" s="20">
        <v>25.3</v>
      </c>
      <c r="AC195" s="20">
        <v>1.95</v>
      </c>
      <c r="AD195" s="33">
        <f t="shared" si="43"/>
        <v>0.52708333333333335</v>
      </c>
      <c r="AE195" s="33">
        <f>_xlfn.RANK.AVG(Tableau8[[#This Row],[EE ( MJ/m²)]],AD195:AD1350)</f>
        <v>816.5</v>
      </c>
      <c r="AF195" s="33">
        <f t="shared" si="44"/>
        <v>2.6354166666666668E-2</v>
      </c>
      <c r="AG195" s="33">
        <f t="shared" si="49"/>
        <v>4.0625000000000001E-2</v>
      </c>
      <c r="AH195" s="33">
        <f t="shared" si="45"/>
        <v>4.0625000000000001E-2</v>
      </c>
      <c r="AI195" s="33">
        <f t="shared" si="50"/>
        <v>2.0312500000000001E-3</v>
      </c>
      <c r="AJ195" s="33">
        <f t="shared" si="46"/>
        <v>2.0312500000000001E-3</v>
      </c>
    </row>
    <row r="196" spans="1:36" s="18" customFormat="1" x14ac:dyDescent="0.25">
      <c r="A196" s="23" t="s">
        <v>945</v>
      </c>
      <c r="B196" s="23" t="s">
        <v>1196</v>
      </c>
      <c r="C196" s="23" t="s">
        <v>12</v>
      </c>
      <c r="D196" s="23" t="s">
        <v>938</v>
      </c>
      <c r="E196" s="20" t="s">
        <v>1197</v>
      </c>
      <c r="F196" s="20" t="s">
        <v>360</v>
      </c>
      <c r="G196" s="20" t="s">
        <v>251</v>
      </c>
      <c r="H196" s="20">
        <v>48</v>
      </c>
      <c r="I196" s="20">
        <v>20</v>
      </c>
      <c r="J196" s="20" t="s">
        <v>109</v>
      </c>
      <c r="K196" t="s">
        <v>17</v>
      </c>
      <c r="L196" s="20" t="s">
        <v>1206</v>
      </c>
      <c r="M196" s="20" t="s">
        <v>12</v>
      </c>
      <c r="N196" s="20" t="s">
        <v>12</v>
      </c>
      <c r="O196"/>
      <c r="P196" s="20"/>
      <c r="Q196" s="20"/>
      <c r="R196" s="20" t="s">
        <v>175</v>
      </c>
      <c r="S196" s="20"/>
      <c r="T196" s="20">
        <v>1</v>
      </c>
      <c r="U196" s="20" t="s">
        <v>175</v>
      </c>
      <c r="V196" s="20"/>
      <c r="W196" s="20">
        <v>7800</v>
      </c>
      <c r="X196" s="20" t="s">
        <v>184</v>
      </c>
      <c r="Y196" s="20" t="s">
        <v>185</v>
      </c>
      <c r="Z196" s="20"/>
      <c r="AA196" s="20">
        <v>4</v>
      </c>
      <c r="AB196" s="20">
        <v>25.3</v>
      </c>
      <c r="AC196" s="20">
        <v>1.95</v>
      </c>
      <c r="AD196" s="33">
        <f t="shared" si="43"/>
        <v>2.1083333333333334</v>
      </c>
      <c r="AE196" s="33">
        <f>_xlfn.RANK.AVG(Tableau8[[#This Row],[EE ( MJ/m²)]],AD196:AD1351)</f>
        <v>693.5</v>
      </c>
      <c r="AF196" s="33">
        <f t="shared" si="44"/>
        <v>0.10541666666666667</v>
      </c>
      <c r="AG196" s="33">
        <f t="shared" si="49"/>
        <v>0.16250000000000001</v>
      </c>
      <c r="AH196" s="33">
        <f t="shared" si="45"/>
        <v>0.16250000000000001</v>
      </c>
      <c r="AI196" s="33">
        <f t="shared" si="50"/>
        <v>8.1250000000000003E-3</v>
      </c>
      <c r="AJ196" s="33">
        <f t="shared" si="46"/>
        <v>8.1250000000000003E-3</v>
      </c>
    </row>
    <row r="197" spans="1:36" s="18" customFormat="1" x14ac:dyDescent="0.25">
      <c r="A197" s="23" t="s">
        <v>945</v>
      </c>
      <c r="B197" s="23" t="s">
        <v>1196</v>
      </c>
      <c r="C197" s="23" t="s">
        <v>12</v>
      </c>
      <c r="D197" s="23" t="s">
        <v>938</v>
      </c>
      <c r="E197" s="20" t="s">
        <v>1197</v>
      </c>
      <c r="F197" s="20" t="s">
        <v>360</v>
      </c>
      <c r="G197" s="20" t="s">
        <v>251</v>
      </c>
      <c r="H197" s="20">
        <v>48</v>
      </c>
      <c r="I197" s="20">
        <v>20</v>
      </c>
      <c r="J197" s="20" t="s">
        <v>109</v>
      </c>
      <c r="K197" t="s">
        <v>17</v>
      </c>
      <c r="L197" s="20" t="s">
        <v>1207</v>
      </c>
      <c r="M197" s="20" t="s">
        <v>12</v>
      </c>
      <c r="N197" s="20" t="s">
        <v>12</v>
      </c>
      <c r="O197"/>
      <c r="P197" s="20"/>
      <c r="Q197" s="20"/>
      <c r="R197" s="20" t="s">
        <v>175</v>
      </c>
      <c r="S197" s="20"/>
      <c r="T197" s="20">
        <v>1</v>
      </c>
      <c r="U197" s="20" t="s">
        <v>175</v>
      </c>
      <c r="V197" s="20"/>
      <c r="W197" s="20">
        <v>7800</v>
      </c>
      <c r="X197" s="20" t="s">
        <v>184</v>
      </c>
      <c r="Y197" s="20" t="s">
        <v>185</v>
      </c>
      <c r="Z197" s="20"/>
      <c r="AA197" s="20">
        <v>0.3</v>
      </c>
      <c r="AB197" s="20">
        <v>25.3</v>
      </c>
      <c r="AC197" s="20">
        <v>1.95</v>
      </c>
      <c r="AD197" s="33">
        <f t="shared" si="43"/>
        <v>0.15812499999999999</v>
      </c>
      <c r="AE197" s="33">
        <f>_xlfn.RANK.AVG(Tableau8[[#This Row],[EE ( MJ/m²)]],AD197:AD1352)</f>
        <v>875.5</v>
      </c>
      <c r="AF197" s="33">
        <f t="shared" si="44"/>
        <v>7.9062500000000001E-3</v>
      </c>
      <c r="AG197" s="33">
        <f t="shared" si="49"/>
        <v>1.2187499999999999E-2</v>
      </c>
      <c r="AH197" s="33">
        <f t="shared" si="45"/>
        <v>1.2187499999999999E-2</v>
      </c>
      <c r="AI197" s="33">
        <f t="shared" si="50"/>
        <v>6.0937499999999989E-4</v>
      </c>
      <c r="AJ197" s="33">
        <f t="shared" si="46"/>
        <v>6.0937499999999989E-4</v>
      </c>
    </row>
    <row r="198" spans="1:36" s="18" customFormat="1" x14ac:dyDescent="0.25">
      <c r="A198" s="23" t="s">
        <v>945</v>
      </c>
      <c r="B198" s="23" t="s">
        <v>1196</v>
      </c>
      <c r="C198" s="23" t="s">
        <v>12</v>
      </c>
      <c r="D198" s="23" t="s">
        <v>938</v>
      </c>
      <c r="E198" s="20" t="s">
        <v>1197</v>
      </c>
      <c r="F198" s="20" t="s">
        <v>360</v>
      </c>
      <c r="G198" s="20" t="s">
        <v>251</v>
      </c>
      <c r="H198" s="20">
        <v>48</v>
      </c>
      <c r="I198" s="20">
        <v>20</v>
      </c>
      <c r="J198" s="20" t="s">
        <v>109</v>
      </c>
      <c r="K198" t="s">
        <v>17</v>
      </c>
      <c r="L198" s="20" t="s">
        <v>1208</v>
      </c>
      <c r="M198" s="20" t="s">
        <v>12</v>
      </c>
      <c r="N198" s="20" t="s">
        <v>12</v>
      </c>
      <c r="O198"/>
      <c r="P198" s="20"/>
      <c r="Q198" s="20"/>
      <c r="R198" s="20" t="s">
        <v>175</v>
      </c>
      <c r="S198" s="20"/>
      <c r="T198" s="20">
        <v>1</v>
      </c>
      <c r="U198" s="20" t="s">
        <v>175</v>
      </c>
      <c r="V198" s="20"/>
      <c r="W198" s="20">
        <v>7800</v>
      </c>
      <c r="X198" s="20" t="s">
        <v>184</v>
      </c>
      <c r="Y198" s="20" t="s">
        <v>185</v>
      </c>
      <c r="Z198" s="20"/>
      <c r="AA198" s="20">
        <v>0.1</v>
      </c>
      <c r="AB198" s="20">
        <v>25.3</v>
      </c>
      <c r="AC198" s="20">
        <v>1.95</v>
      </c>
      <c r="AD198" s="33">
        <f t="shared" si="43"/>
        <v>5.2708333333333336E-2</v>
      </c>
      <c r="AE198" s="33">
        <f>_xlfn.RANK.AVG(Tableau8[[#This Row],[EE ( MJ/m²)]],AD198:AD1353)</f>
        <v>896.5</v>
      </c>
      <c r="AF198" s="33">
        <f t="shared" si="44"/>
        <v>2.635416666666667E-3</v>
      </c>
      <c r="AG198" s="33">
        <f t="shared" si="49"/>
        <v>4.0625000000000001E-3</v>
      </c>
      <c r="AH198" s="33">
        <f t="shared" si="45"/>
        <v>4.0625000000000001E-3</v>
      </c>
      <c r="AI198" s="33">
        <f t="shared" si="50"/>
        <v>2.0312500000000002E-4</v>
      </c>
      <c r="AJ198" s="33">
        <f t="shared" si="46"/>
        <v>2.0312500000000002E-4</v>
      </c>
    </row>
    <row r="199" spans="1:36" s="18" customFormat="1" x14ac:dyDescent="0.25">
      <c r="A199" s="23" t="s">
        <v>945</v>
      </c>
      <c r="B199" s="23" t="s">
        <v>1196</v>
      </c>
      <c r="C199" s="23" t="s">
        <v>12</v>
      </c>
      <c r="D199" s="23" t="s">
        <v>938</v>
      </c>
      <c r="E199" s="20" t="s">
        <v>1197</v>
      </c>
      <c r="F199" s="20" t="s">
        <v>360</v>
      </c>
      <c r="G199" s="20" t="s">
        <v>251</v>
      </c>
      <c r="H199" s="20">
        <v>48</v>
      </c>
      <c r="I199" s="20">
        <v>20</v>
      </c>
      <c r="J199" s="20" t="s">
        <v>109</v>
      </c>
      <c r="K199" t="s">
        <v>17</v>
      </c>
      <c r="L199" s="20" t="s">
        <v>1209</v>
      </c>
      <c r="M199" s="20" t="s">
        <v>12</v>
      </c>
      <c r="N199" s="20" t="s">
        <v>12</v>
      </c>
      <c r="O199"/>
      <c r="P199" s="20"/>
      <c r="Q199" s="20"/>
      <c r="R199" s="20" t="s">
        <v>175</v>
      </c>
      <c r="S199" s="20"/>
      <c r="T199" s="20">
        <v>1</v>
      </c>
      <c r="U199" s="20" t="s">
        <v>175</v>
      </c>
      <c r="V199" s="20"/>
      <c r="W199" s="20">
        <v>7800</v>
      </c>
      <c r="X199" s="20" t="s">
        <v>184</v>
      </c>
      <c r="Y199" s="20" t="s">
        <v>185</v>
      </c>
      <c r="Z199" s="20"/>
      <c r="AA199" s="20">
        <v>1</v>
      </c>
      <c r="AB199" s="20">
        <v>25.3</v>
      </c>
      <c r="AC199" s="20">
        <v>1.95</v>
      </c>
      <c r="AD199" s="33">
        <f t="shared" si="43"/>
        <v>0.52708333333333335</v>
      </c>
      <c r="AE199" s="33">
        <f>_xlfn.RANK.AVG(Tableau8[[#This Row],[EE ( MJ/m²)]],AD199:AD1354)</f>
        <v>815</v>
      </c>
      <c r="AF199" s="33">
        <f t="shared" si="44"/>
        <v>2.6354166666666668E-2</v>
      </c>
      <c r="AG199" s="33">
        <f t="shared" si="49"/>
        <v>4.0625000000000001E-2</v>
      </c>
      <c r="AH199" s="33">
        <f t="shared" si="45"/>
        <v>4.0625000000000001E-2</v>
      </c>
      <c r="AI199" s="33">
        <f t="shared" si="50"/>
        <v>2.0312500000000001E-3</v>
      </c>
      <c r="AJ199" s="33">
        <f t="shared" si="46"/>
        <v>2.0312500000000001E-3</v>
      </c>
    </row>
    <row r="200" spans="1:36" s="18" customFormat="1" x14ac:dyDescent="0.25">
      <c r="A200" s="23" t="s">
        <v>945</v>
      </c>
      <c r="B200" s="23" t="s">
        <v>1196</v>
      </c>
      <c r="C200" s="23" t="s">
        <v>12</v>
      </c>
      <c r="D200" s="23" t="s">
        <v>938</v>
      </c>
      <c r="E200" s="20" t="s">
        <v>1197</v>
      </c>
      <c r="F200" s="20" t="s">
        <v>360</v>
      </c>
      <c r="G200" s="20" t="s">
        <v>251</v>
      </c>
      <c r="H200" s="20">
        <v>48</v>
      </c>
      <c r="I200" s="20">
        <v>20</v>
      </c>
      <c r="J200" s="20" t="s">
        <v>109</v>
      </c>
      <c r="K200" t="s">
        <v>17</v>
      </c>
      <c r="L200" s="20" t="s">
        <v>1212</v>
      </c>
      <c r="M200" s="20" t="s">
        <v>12</v>
      </c>
      <c r="N200" s="20" t="s">
        <v>12</v>
      </c>
      <c r="O200"/>
      <c r="P200" s="20"/>
      <c r="Q200" s="20"/>
      <c r="R200" s="20" t="s">
        <v>175</v>
      </c>
      <c r="S200" s="20"/>
      <c r="T200" s="20">
        <v>1</v>
      </c>
      <c r="U200" s="20" t="s">
        <v>175</v>
      </c>
      <c r="V200" s="20"/>
      <c r="W200" s="20">
        <v>7800</v>
      </c>
      <c r="X200" s="20" t="s">
        <v>184</v>
      </c>
      <c r="Y200" s="20" t="s">
        <v>185</v>
      </c>
      <c r="Z200" s="20"/>
      <c r="AA200" s="20">
        <v>2</v>
      </c>
      <c r="AB200" s="20">
        <v>25.3</v>
      </c>
      <c r="AC200" s="20">
        <v>1.95</v>
      </c>
      <c r="AD200" s="33">
        <f t="shared" si="43"/>
        <v>1.0541666666666667</v>
      </c>
      <c r="AE200" s="33">
        <f>_xlfn.RANK.AVG(Tableau8[[#This Row],[EE ( MJ/m²)]],AD200:AD1355)</f>
        <v>761.5</v>
      </c>
      <c r="AF200" s="33">
        <f t="shared" si="44"/>
        <v>5.2708333333333336E-2</v>
      </c>
      <c r="AG200" s="33">
        <f t="shared" si="49"/>
        <v>8.1250000000000003E-2</v>
      </c>
      <c r="AH200" s="33">
        <f t="shared" si="45"/>
        <v>8.1250000000000003E-2</v>
      </c>
      <c r="AI200" s="33">
        <f t="shared" si="50"/>
        <v>4.0625000000000001E-3</v>
      </c>
      <c r="AJ200" s="33">
        <f t="shared" si="46"/>
        <v>4.0625000000000001E-3</v>
      </c>
    </row>
    <row r="201" spans="1:36" s="18" customFormat="1" x14ac:dyDescent="0.25">
      <c r="A201" s="23" t="s">
        <v>945</v>
      </c>
      <c r="B201" s="23" t="s">
        <v>1196</v>
      </c>
      <c r="C201" s="23" t="s">
        <v>12</v>
      </c>
      <c r="D201" s="23" t="s">
        <v>938</v>
      </c>
      <c r="E201" s="20" t="s">
        <v>1197</v>
      </c>
      <c r="F201" s="20" t="s">
        <v>360</v>
      </c>
      <c r="G201" s="20" t="s">
        <v>251</v>
      </c>
      <c r="H201" s="20">
        <v>48</v>
      </c>
      <c r="I201" s="20">
        <v>20</v>
      </c>
      <c r="J201" s="20" t="s">
        <v>109</v>
      </c>
      <c r="K201" t="s">
        <v>17</v>
      </c>
      <c r="L201" s="20" t="s">
        <v>1210</v>
      </c>
      <c r="M201" s="20" t="s">
        <v>12</v>
      </c>
      <c r="N201" s="20" t="s">
        <v>12</v>
      </c>
      <c r="O201"/>
      <c r="P201" s="20"/>
      <c r="Q201" s="20"/>
      <c r="R201" s="20" t="s">
        <v>175</v>
      </c>
      <c r="S201" s="20"/>
      <c r="T201" s="20">
        <v>1</v>
      </c>
      <c r="U201" s="20" t="s">
        <v>175</v>
      </c>
      <c r="V201" s="20"/>
      <c r="W201" s="20">
        <v>7800</v>
      </c>
      <c r="X201" s="20" t="s">
        <v>184</v>
      </c>
      <c r="Y201" s="20" t="s">
        <v>185</v>
      </c>
      <c r="Z201" s="20"/>
      <c r="AA201" s="20">
        <v>15</v>
      </c>
      <c r="AB201" s="20">
        <v>25.3</v>
      </c>
      <c r="AC201" s="20">
        <v>1.95</v>
      </c>
      <c r="AD201" s="33">
        <f t="shared" si="43"/>
        <v>7.90625</v>
      </c>
      <c r="AE201" s="33">
        <f>_xlfn.RANK.AVG(Tableau8[[#This Row],[EE ( MJ/m²)]],AD201:AD1356)</f>
        <v>501.5</v>
      </c>
      <c r="AF201" s="33">
        <f t="shared" si="44"/>
        <v>0.39531250000000001</v>
      </c>
      <c r="AG201" s="33">
        <f t="shared" si="49"/>
        <v>0.609375</v>
      </c>
      <c r="AH201" s="33">
        <f t="shared" si="45"/>
        <v>0.609375</v>
      </c>
      <c r="AI201" s="33">
        <f t="shared" si="50"/>
        <v>3.0468749999999999E-2</v>
      </c>
      <c r="AJ201" s="33">
        <f t="shared" si="46"/>
        <v>3.0468749999999999E-2</v>
      </c>
    </row>
    <row r="202" spans="1:36" x14ac:dyDescent="0.25">
      <c r="A202" s="23" t="s">
        <v>945</v>
      </c>
      <c r="B202" s="23" t="s">
        <v>1196</v>
      </c>
      <c r="C202" s="23" t="s">
        <v>386</v>
      </c>
      <c r="D202" s="23" t="s">
        <v>938</v>
      </c>
      <c r="E202" s="20" t="s">
        <v>1197</v>
      </c>
      <c r="F202" s="20" t="s">
        <v>360</v>
      </c>
      <c r="G202" s="20" t="s">
        <v>251</v>
      </c>
      <c r="H202" s="20">
        <v>48</v>
      </c>
      <c r="I202" s="20">
        <v>20</v>
      </c>
      <c r="J202" s="20" t="s">
        <v>56</v>
      </c>
      <c r="K202" t="s">
        <v>29</v>
      </c>
      <c r="L202" s="21" t="s">
        <v>1213</v>
      </c>
      <c r="M202" s="20" t="s">
        <v>1231</v>
      </c>
      <c r="N202" s="20" t="s">
        <v>497</v>
      </c>
      <c r="P202" s="20"/>
      <c r="Q202" s="20" t="s">
        <v>180</v>
      </c>
      <c r="R202" s="20" t="s">
        <v>175</v>
      </c>
      <c r="S202" s="20"/>
      <c r="T202" s="20">
        <v>1</v>
      </c>
      <c r="U202" s="20" t="s">
        <v>175</v>
      </c>
      <c r="V202" s="20"/>
      <c r="W202" s="20">
        <v>1460</v>
      </c>
      <c r="X202" s="20" t="s">
        <v>184</v>
      </c>
      <c r="Y202" s="20"/>
      <c r="Z202" s="20"/>
      <c r="AA202" s="20">
        <f>48*0.003</f>
        <v>0.14400000000000002</v>
      </c>
      <c r="AB202" s="20">
        <v>0.45</v>
      </c>
      <c r="AC202" s="20">
        <v>2.4E-2</v>
      </c>
      <c r="AD202" s="33">
        <f t="shared" si="43"/>
        <v>1.3500000000000003E-3</v>
      </c>
      <c r="AE202" s="33">
        <f>_xlfn.RANK.AVG(Tableau8[[#This Row],[EE ( MJ/m²)]],AD202:AD1357)</f>
        <v>949.5</v>
      </c>
      <c r="AF202" s="33">
        <f t="shared" ref="AF202:AF233" si="51">AB202*AA202/H202/I202</f>
        <v>6.7500000000000014E-5</v>
      </c>
      <c r="AG202" s="33">
        <f t="shared" si="49"/>
        <v>7.2000000000000002E-5</v>
      </c>
      <c r="AH202" s="33">
        <f t="shared" si="45"/>
        <v>7.2000000000000002E-5</v>
      </c>
      <c r="AI202" s="33">
        <f t="shared" si="50"/>
        <v>3.6000000000000003E-6</v>
      </c>
      <c r="AJ202" s="33">
        <f t="shared" ref="AJ202:AJ233" si="52">AC202*AA202/H202/I202</f>
        <v>3.6000000000000003E-6</v>
      </c>
    </row>
    <row r="203" spans="1:36" x14ac:dyDescent="0.25">
      <c r="A203" s="23" t="s">
        <v>945</v>
      </c>
      <c r="B203" s="23" t="s">
        <v>1196</v>
      </c>
      <c r="C203" s="23" t="s">
        <v>386</v>
      </c>
      <c r="D203" s="23" t="s">
        <v>938</v>
      </c>
      <c r="E203" s="20" t="s">
        <v>1197</v>
      </c>
      <c r="F203" s="20" t="s">
        <v>360</v>
      </c>
      <c r="G203" s="20" t="s">
        <v>251</v>
      </c>
      <c r="H203" s="20">
        <v>48</v>
      </c>
      <c r="I203" s="20">
        <v>20</v>
      </c>
      <c r="J203" s="20" t="s">
        <v>56</v>
      </c>
      <c r="K203" s="20" t="s">
        <v>386</v>
      </c>
      <c r="L203" s="21" t="s">
        <v>1214</v>
      </c>
      <c r="M203" s="20" t="s">
        <v>69</v>
      </c>
      <c r="N203" s="20" t="s">
        <v>69</v>
      </c>
      <c r="P203" s="20">
        <f>48*0.06</f>
        <v>2.88</v>
      </c>
      <c r="Q203" s="20" t="s">
        <v>180</v>
      </c>
      <c r="R203" s="20" t="s">
        <v>175</v>
      </c>
      <c r="S203" s="20"/>
      <c r="T203" s="20">
        <v>1</v>
      </c>
      <c r="U203" s="20" t="s">
        <v>175</v>
      </c>
      <c r="V203" s="20"/>
      <c r="W203" s="20">
        <v>1460</v>
      </c>
      <c r="X203" s="20" t="s">
        <v>184</v>
      </c>
      <c r="Y203" s="20"/>
      <c r="Z203" s="20"/>
      <c r="AA203" s="24">
        <f>Tableau8[[#This Row],[density (kg/m2) or specific weight (kg/m2)]]*Tableau8[[#This Row],[volume or area]]</f>
        <v>4204.8</v>
      </c>
      <c r="AB203" s="20">
        <v>0.45</v>
      </c>
      <c r="AC203" s="20">
        <v>2.4E-2</v>
      </c>
      <c r="AD203" s="33">
        <f t="shared" si="43"/>
        <v>39.42</v>
      </c>
      <c r="AE203" s="33">
        <f>_xlfn.RANK.AVG(Tableau8[[#This Row],[EE ( MJ/m²)]],AD203:AD1358)</f>
        <v>230.5</v>
      </c>
      <c r="AF203" s="33">
        <f t="shared" si="51"/>
        <v>1.9710000000000001</v>
      </c>
      <c r="AG203" s="33">
        <f t="shared" si="49"/>
        <v>2.1024000000000003</v>
      </c>
      <c r="AH203" s="33">
        <f t="shared" si="45"/>
        <v>2.1024000000000003</v>
      </c>
      <c r="AI203" s="33">
        <f t="shared" si="50"/>
        <v>0.10512000000000002</v>
      </c>
      <c r="AJ203" s="33">
        <f t="shared" si="52"/>
        <v>0.10512000000000002</v>
      </c>
    </row>
    <row r="204" spans="1:36" x14ac:dyDescent="0.25">
      <c r="A204" s="23" t="s">
        <v>945</v>
      </c>
      <c r="B204" s="23" t="s">
        <v>1196</v>
      </c>
      <c r="C204" s="23" t="s">
        <v>14</v>
      </c>
      <c r="D204" s="23" t="s">
        <v>938</v>
      </c>
      <c r="E204" s="20" t="s">
        <v>1197</v>
      </c>
      <c r="F204" s="20" t="s">
        <v>360</v>
      </c>
      <c r="G204" s="20" t="s">
        <v>251</v>
      </c>
      <c r="H204" s="20">
        <v>48</v>
      </c>
      <c r="I204" s="20">
        <v>20</v>
      </c>
      <c r="J204" s="20" t="s">
        <v>56</v>
      </c>
      <c r="K204" t="s">
        <v>14</v>
      </c>
      <c r="L204" s="21" t="s">
        <v>1215</v>
      </c>
      <c r="M204" s="20" t="s">
        <v>14</v>
      </c>
      <c r="N204" s="20" t="s">
        <v>111</v>
      </c>
      <c r="P204" s="20"/>
      <c r="Q204" s="20"/>
      <c r="R204" s="20" t="s">
        <v>175</v>
      </c>
      <c r="S204" s="20"/>
      <c r="T204" s="20">
        <v>1</v>
      </c>
      <c r="U204" s="20" t="s">
        <v>175</v>
      </c>
      <c r="V204" s="20"/>
      <c r="W204" s="25">
        <v>1380</v>
      </c>
      <c r="X204" s="20" t="s">
        <v>184</v>
      </c>
      <c r="Y204" s="20"/>
      <c r="Z204" s="20"/>
      <c r="AA204" s="20">
        <v>10</v>
      </c>
      <c r="AB204" s="20">
        <v>35.6</v>
      </c>
      <c r="AC204" s="20">
        <v>3.31</v>
      </c>
      <c r="AD204" s="33">
        <f t="shared" si="43"/>
        <v>7.416666666666667</v>
      </c>
      <c r="AE204" s="33">
        <f>_xlfn.RANK.AVG(Tableau8[[#This Row],[EE ( MJ/m²)]],AD204:AD1359)</f>
        <v>511.5</v>
      </c>
      <c r="AF204" s="33">
        <f t="shared" si="51"/>
        <v>0.37083333333333335</v>
      </c>
      <c r="AG204" s="33">
        <f t="shared" si="49"/>
        <v>0.68958333333333333</v>
      </c>
      <c r="AH204" s="33">
        <f t="shared" si="45"/>
        <v>0.68958333333333333</v>
      </c>
      <c r="AI204" s="33">
        <f t="shared" si="50"/>
        <v>3.4479166666666665E-2</v>
      </c>
      <c r="AJ204" s="33">
        <f t="shared" si="52"/>
        <v>3.4479166666666665E-2</v>
      </c>
    </row>
    <row r="205" spans="1:36" x14ac:dyDescent="0.25">
      <c r="A205" s="23" t="s">
        <v>945</v>
      </c>
      <c r="B205" s="23" t="s">
        <v>1196</v>
      </c>
      <c r="C205" s="23" t="s">
        <v>386</v>
      </c>
      <c r="D205" s="23" t="s">
        <v>938</v>
      </c>
      <c r="E205" s="20" t="s">
        <v>1197</v>
      </c>
      <c r="F205" s="20" t="s">
        <v>360</v>
      </c>
      <c r="G205" s="20" t="s">
        <v>251</v>
      </c>
      <c r="H205" s="20">
        <v>48</v>
      </c>
      <c r="I205" s="20">
        <v>20</v>
      </c>
      <c r="J205" s="20" t="s">
        <v>56</v>
      </c>
      <c r="K205" s="20" t="s">
        <v>386</v>
      </c>
      <c r="L205" s="21" t="s">
        <v>1216</v>
      </c>
      <c r="M205" s="20"/>
      <c r="N205" s="20" t="s">
        <v>435</v>
      </c>
      <c r="P205" s="20">
        <v>1.87</v>
      </c>
      <c r="Q205" s="20" t="s">
        <v>180</v>
      </c>
      <c r="R205" s="20" t="s">
        <v>175</v>
      </c>
      <c r="S205" s="20"/>
      <c r="T205" s="20">
        <v>1</v>
      </c>
      <c r="U205" s="20" t="s">
        <v>175</v>
      </c>
      <c r="V205" s="20"/>
      <c r="W205" s="20">
        <v>1460</v>
      </c>
      <c r="X205" s="20" t="s">
        <v>184</v>
      </c>
      <c r="Y205" s="20"/>
      <c r="Z205" s="20"/>
      <c r="AA205" s="24">
        <f>Tableau8[[#This Row],[density (kg/m2) or specific weight (kg/m2)]]*Tableau8[[#This Row],[nb of item used ]]*Tableau8[[#This Row],[volume or area]]</f>
        <v>2730.2000000000003</v>
      </c>
      <c r="AB205" s="20">
        <v>0.45</v>
      </c>
      <c r="AC205" s="20">
        <v>2.4E-2</v>
      </c>
      <c r="AD205" s="33">
        <f t="shared" si="43"/>
        <v>25.595625000000002</v>
      </c>
      <c r="AE205" s="33">
        <f>_xlfn.RANK.AVG(Tableau8[[#This Row],[EE ( MJ/m²)]],AD205:AD1360)</f>
        <v>301.5</v>
      </c>
      <c r="AF205" s="33">
        <f t="shared" si="51"/>
        <v>1.2797812500000001</v>
      </c>
      <c r="AG205" s="33">
        <f t="shared" si="49"/>
        <v>1.3651000000000002</v>
      </c>
      <c r="AH205" s="33">
        <f t="shared" si="45"/>
        <v>1.3651000000000002</v>
      </c>
      <c r="AI205" s="33">
        <f t="shared" si="50"/>
        <v>6.825500000000001E-2</v>
      </c>
      <c r="AJ205" s="33">
        <f t="shared" si="52"/>
        <v>6.825500000000001E-2</v>
      </c>
    </row>
    <row r="206" spans="1:36" x14ac:dyDescent="0.25">
      <c r="A206" s="23" t="s">
        <v>945</v>
      </c>
      <c r="B206" s="23" t="s">
        <v>1196</v>
      </c>
      <c r="C206" s="23" t="s">
        <v>15</v>
      </c>
      <c r="D206" s="23" t="s">
        <v>938</v>
      </c>
      <c r="E206" s="20" t="s">
        <v>1197</v>
      </c>
      <c r="F206" s="20" t="s">
        <v>360</v>
      </c>
      <c r="G206" s="20" t="s">
        <v>251</v>
      </c>
      <c r="H206" s="20">
        <v>48</v>
      </c>
      <c r="I206" s="20">
        <v>20</v>
      </c>
      <c r="J206" s="20" t="s">
        <v>42</v>
      </c>
      <c r="K206" t="s">
        <v>15</v>
      </c>
      <c r="L206" s="21" t="s">
        <v>1217</v>
      </c>
      <c r="M206" s="20"/>
      <c r="N206" s="20" t="s">
        <v>15</v>
      </c>
      <c r="P206" s="20">
        <v>0.24</v>
      </c>
      <c r="Q206" s="20" t="s">
        <v>180</v>
      </c>
      <c r="R206" s="20" t="s">
        <v>175</v>
      </c>
      <c r="S206" s="20"/>
      <c r="T206" s="20">
        <v>1</v>
      </c>
      <c r="U206" s="20" t="s">
        <v>175</v>
      </c>
      <c r="V206" s="20"/>
      <c r="W206" s="20">
        <v>510</v>
      </c>
      <c r="X206" s="20" t="s">
        <v>184</v>
      </c>
      <c r="Y206" s="20"/>
      <c r="Z206" s="20"/>
      <c r="AA206" s="24">
        <f>Tableau8[[#This Row],[density (kg/m2) or specific weight (kg/m2)]]*Tableau8[[#This Row],[nb of item used ]]*Tableau8[[#This Row],[volume or area]]</f>
        <v>122.39999999999999</v>
      </c>
      <c r="AB206" s="20">
        <f>10-4.4</f>
        <v>5.6</v>
      </c>
      <c r="AC206" s="20">
        <f>0.31+0.41</f>
        <v>0.72</v>
      </c>
      <c r="AD206" s="33">
        <f t="shared" si="43"/>
        <v>14.28</v>
      </c>
      <c r="AE206" s="33">
        <f>_xlfn.RANK.AVG(Tableau8[[#This Row],[EE ( MJ/m²)]],AD206:AD1361)</f>
        <v>398.5</v>
      </c>
      <c r="AF206" s="33">
        <f t="shared" si="51"/>
        <v>0.71399999999999997</v>
      </c>
      <c r="AG206" s="33">
        <f>(AC206-0.41)*AA206/H206</f>
        <v>0.79049999999999987</v>
      </c>
      <c r="AH206" s="33">
        <f t="shared" si="45"/>
        <v>1.8359999999999996</v>
      </c>
      <c r="AI206" s="33">
        <f>(AC206-0.41)*AA206/H206/I206</f>
        <v>3.9524999999999991E-2</v>
      </c>
      <c r="AJ206" s="33">
        <f t="shared" si="52"/>
        <v>9.1799999999999979E-2</v>
      </c>
    </row>
    <row r="207" spans="1:36" x14ac:dyDescent="0.25">
      <c r="A207" s="23" t="s">
        <v>945</v>
      </c>
      <c r="B207" s="23" t="s">
        <v>1196</v>
      </c>
      <c r="C207" s="23" t="s">
        <v>386</v>
      </c>
      <c r="D207" s="23" t="s">
        <v>938</v>
      </c>
      <c r="E207" s="20" t="s">
        <v>1197</v>
      </c>
      <c r="F207" s="20" t="s">
        <v>360</v>
      </c>
      <c r="G207" s="20" t="s">
        <v>251</v>
      </c>
      <c r="H207" s="20">
        <v>48</v>
      </c>
      <c r="I207" s="20">
        <v>20</v>
      </c>
      <c r="J207" s="20" t="s">
        <v>1095</v>
      </c>
      <c r="K207" s="20" t="s">
        <v>386</v>
      </c>
      <c r="L207" s="21" t="s">
        <v>1218</v>
      </c>
      <c r="M207" s="20"/>
      <c r="N207" s="20" t="s">
        <v>69</v>
      </c>
      <c r="P207" s="20">
        <v>37.92</v>
      </c>
      <c r="Q207" s="20" t="s">
        <v>180</v>
      </c>
      <c r="R207" s="20" t="s">
        <v>175</v>
      </c>
      <c r="S207" s="20"/>
      <c r="T207" s="20">
        <v>1</v>
      </c>
      <c r="U207" s="20" t="s">
        <v>175</v>
      </c>
      <c r="V207" s="20"/>
      <c r="W207" s="20">
        <v>1460</v>
      </c>
      <c r="X207" s="20" t="s">
        <v>184</v>
      </c>
      <c r="Y207" s="20"/>
      <c r="Z207" s="20"/>
      <c r="AA207" s="24">
        <f>Tableau8[[#This Row],[density (kg/m2) or specific weight (kg/m2)]]*Tableau8[[#This Row],[nb of item used ]]*Tableau8[[#This Row],[volume or area]]</f>
        <v>55363.200000000004</v>
      </c>
      <c r="AB207" s="20">
        <v>0.45</v>
      </c>
      <c r="AC207" s="20">
        <v>2.4E-2</v>
      </c>
      <c r="AD207" s="33">
        <f t="shared" si="43"/>
        <v>519.03000000000009</v>
      </c>
      <c r="AE207" s="33">
        <f>_xlfn.RANK.AVG(Tableau8[[#This Row],[EE ( MJ/m²)]],AD207:AD1362)</f>
        <v>24.5</v>
      </c>
      <c r="AF207" s="33">
        <f t="shared" si="51"/>
        <v>25.951500000000003</v>
      </c>
      <c r="AG207" s="33">
        <f>(AC207)*AA207/H207</f>
        <v>27.681600000000003</v>
      </c>
      <c r="AH207" s="33">
        <f t="shared" si="45"/>
        <v>27.681600000000003</v>
      </c>
      <c r="AI207" s="33">
        <f>(AC207)*AA207/H207/I207</f>
        <v>1.3840800000000002</v>
      </c>
      <c r="AJ207" s="33">
        <f t="shared" si="52"/>
        <v>1.3840800000000002</v>
      </c>
    </row>
    <row r="208" spans="1:36" x14ac:dyDescent="0.25">
      <c r="A208" s="23" t="s">
        <v>945</v>
      </c>
      <c r="B208" s="23" t="s">
        <v>1196</v>
      </c>
      <c r="C208" s="23" t="s">
        <v>362</v>
      </c>
      <c r="D208" s="23" t="s">
        <v>938</v>
      </c>
      <c r="E208" s="20" t="s">
        <v>1197</v>
      </c>
      <c r="F208" s="20" t="s">
        <v>360</v>
      </c>
      <c r="G208" s="20" t="s">
        <v>251</v>
      </c>
      <c r="H208" s="20">
        <v>48</v>
      </c>
      <c r="I208" s="20">
        <v>20</v>
      </c>
      <c r="J208" s="20" t="s">
        <v>13</v>
      </c>
      <c r="K208" s="20" t="s">
        <v>362</v>
      </c>
      <c r="L208" s="21" t="s">
        <v>1230</v>
      </c>
      <c r="M208" s="20" t="s">
        <v>362</v>
      </c>
      <c r="N208" s="20" t="s">
        <v>430</v>
      </c>
      <c r="P208" s="20">
        <v>4</v>
      </c>
      <c r="Q208" s="20" t="s">
        <v>180</v>
      </c>
      <c r="R208" s="20" t="s">
        <v>175</v>
      </c>
      <c r="S208" s="20"/>
      <c r="T208" s="20">
        <v>1</v>
      </c>
      <c r="U208" s="20" t="s">
        <v>175</v>
      </c>
      <c r="V208" s="20"/>
      <c r="W208" s="20">
        <v>2880</v>
      </c>
      <c r="X208" s="20" t="s">
        <v>184</v>
      </c>
      <c r="Y208" s="20"/>
      <c r="Z208" s="20"/>
      <c r="AA208" s="24">
        <f>Tableau8[[#This Row],[density (kg/m2) or specific weight (kg/m2)]]*Tableau8[[#This Row],[nb of item used ]]*Tableau8[[#This Row],[volume or area]]</f>
        <v>11520</v>
      </c>
      <c r="AB208" s="20">
        <v>1.26</v>
      </c>
      <c r="AC208" s="20">
        <v>7.9000000000000001E-2</v>
      </c>
      <c r="AD208" s="33">
        <f t="shared" si="43"/>
        <v>302.40000000000003</v>
      </c>
      <c r="AE208" s="33">
        <f>_xlfn.RANK.AVG(Tableau8[[#This Row],[EE ( MJ/m²)]],AD208:AD1363)</f>
        <v>44.5</v>
      </c>
      <c r="AF208" s="33">
        <f t="shared" si="51"/>
        <v>15.120000000000001</v>
      </c>
      <c r="AG208" s="33">
        <f>(AC208)*AA208/H208</f>
        <v>18.96</v>
      </c>
      <c r="AH208" s="33">
        <f t="shared" si="45"/>
        <v>18.96</v>
      </c>
      <c r="AI208" s="33">
        <f>(AC208)*AA208/H208/I208</f>
        <v>0.94800000000000006</v>
      </c>
      <c r="AJ208" s="33">
        <f t="shared" si="52"/>
        <v>0.94800000000000006</v>
      </c>
    </row>
    <row r="209" spans="1:36" x14ac:dyDescent="0.25">
      <c r="A209" s="23" t="s">
        <v>945</v>
      </c>
      <c r="B209" s="23" t="s">
        <v>1196</v>
      </c>
      <c r="C209" s="23" t="s">
        <v>15</v>
      </c>
      <c r="D209" s="23" t="s">
        <v>938</v>
      </c>
      <c r="E209" s="20" t="s">
        <v>1197</v>
      </c>
      <c r="F209" s="20" t="s">
        <v>360</v>
      </c>
      <c r="G209" s="20" t="s">
        <v>251</v>
      </c>
      <c r="H209" s="20">
        <v>48</v>
      </c>
      <c r="I209" s="20">
        <v>20</v>
      </c>
      <c r="J209" s="20" t="s">
        <v>40</v>
      </c>
      <c r="K209" t="s">
        <v>15</v>
      </c>
      <c r="L209" s="21" t="s">
        <v>1219</v>
      </c>
      <c r="M209" s="20"/>
      <c r="N209" s="20" t="s">
        <v>15</v>
      </c>
      <c r="P209" s="20">
        <v>0.106</v>
      </c>
      <c r="Q209" s="20" t="s">
        <v>180</v>
      </c>
      <c r="R209" s="20" t="s">
        <v>175</v>
      </c>
      <c r="S209" s="20"/>
      <c r="T209" s="20">
        <v>1</v>
      </c>
      <c r="U209" s="20" t="s">
        <v>175</v>
      </c>
      <c r="V209" s="20"/>
      <c r="W209" s="20">
        <v>510</v>
      </c>
      <c r="X209" s="20" t="s">
        <v>184</v>
      </c>
      <c r="Y209" s="20"/>
      <c r="Z209" s="20"/>
      <c r="AA209" s="24">
        <f>Tableau8[[#This Row],[density (kg/m2) or specific weight (kg/m2)]]*Tableau8[[#This Row],[nb of item used ]]*Tableau8[[#This Row],[volume or area]]</f>
        <v>54.059999999999995</v>
      </c>
      <c r="AB209" s="20">
        <f>10-4.4</f>
        <v>5.6</v>
      </c>
      <c r="AC209" s="20">
        <f>0.31+0.41</f>
        <v>0.72</v>
      </c>
      <c r="AD209" s="33">
        <f t="shared" si="43"/>
        <v>6.3069999999999986</v>
      </c>
      <c r="AE209" s="33">
        <f>_xlfn.RANK.AVG(Tableau8[[#This Row],[EE ( MJ/m²)]],AD209:AD1364)</f>
        <v>547.5</v>
      </c>
      <c r="AF209" s="33">
        <f t="shared" si="51"/>
        <v>0.31534999999999991</v>
      </c>
      <c r="AG209" s="33">
        <f>(AC209-0.41)*AA209/H209</f>
        <v>0.34913749999999993</v>
      </c>
      <c r="AH209" s="33">
        <f t="shared" si="45"/>
        <v>0.81089999999999984</v>
      </c>
      <c r="AI209" s="33">
        <f>(AC209-0.41)*AA209/H209/I209</f>
        <v>1.7456874999999997E-2</v>
      </c>
      <c r="AJ209" s="33">
        <f t="shared" si="52"/>
        <v>4.0544999999999991E-2</v>
      </c>
    </row>
    <row r="210" spans="1:36" x14ac:dyDescent="0.25">
      <c r="A210" s="23" t="s">
        <v>945</v>
      </c>
      <c r="B210" s="23" t="s">
        <v>1196</v>
      </c>
      <c r="C210" s="23" t="s">
        <v>15</v>
      </c>
      <c r="D210" s="23" t="s">
        <v>938</v>
      </c>
      <c r="E210" s="20" t="s">
        <v>1197</v>
      </c>
      <c r="F210" s="20" t="s">
        <v>360</v>
      </c>
      <c r="G210" s="20" t="s">
        <v>251</v>
      </c>
      <c r="H210" s="20">
        <v>48</v>
      </c>
      <c r="I210" s="20">
        <v>20</v>
      </c>
      <c r="J210" s="20" t="s">
        <v>40</v>
      </c>
      <c r="K210" t="s">
        <v>15</v>
      </c>
      <c r="L210" s="21" t="s">
        <v>1220</v>
      </c>
      <c r="M210" s="20"/>
      <c r="N210" s="20" t="s">
        <v>15</v>
      </c>
      <c r="P210" s="20">
        <v>0.15</v>
      </c>
      <c r="Q210" s="20" t="s">
        <v>180</v>
      </c>
      <c r="R210" s="20" t="s">
        <v>175</v>
      </c>
      <c r="S210" s="20"/>
      <c r="T210" s="20">
        <v>1</v>
      </c>
      <c r="U210" s="20" t="s">
        <v>175</v>
      </c>
      <c r="V210" s="20"/>
      <c r="W210" s="20">
        <v>510</v>
      </c>
      <c r="X210" s="20" t="s">
        <v>184</v>
      </c>
      <c r="Y210" s="20"/>
      <c r="Z210" s="20"/>
      <c r="AA210" s="24">
        <f>Tableau8[[#This Row],[density (kg/m2) or specific weight (kg/m2)]]*Tableau8[[#This Row],[nb of item used ]]*Tableau8[[#This Row],[volume or area]]</f>
        <v>76.5</v>
      </c>
      <c r="AB210" s="20">
        <f>10-4.4</f>
        <v>5.6</v>
      </c>
      <c r="AC210" s="20">
        <f>0.31+0.41</f>
        <v>0.72</v>
      </c>
      <c r="AD210" s="33">
        <f t="shared" si="43"/>
        <v>8.9249999999999989</v>
      </c>
      <c r="AE210" s="33">
        <f>_xlfn.RANK.AVG(Tableau8[[#This Row],[EE ( MJ/m²)]],AD210:AD1365)</f>
        <v>476.5</v>
      </c>
      <c r="AF210" s="33">
        <f t="shared" si="51"/>
        <v>0.44624999999999992</v>
      </c>
      <c r="AG210" s="33">
        <f>(AC210-0.41)*AA210/H210</f>
        <v>0.49406250000000002</v>
      </c>
      <c r="AH210" s="33">
        <f t="shared" si="45"/>
        <v>1.1475</v>
      </c>
      <c r="AI210" s="33">
        <f>(AC210-0.41)*AA210/H210/I210</f>
        <v>2.4703124999999999E-2</v>
      </c>
      <c r="AJ210" s="33">
        <f t="shared" si="52"/>
        <v>5.7374999999999995E-2</v>
      </c>
    </row>
    <row r="211" spans="1:36" x14ac:dyDescent="0.25">
      <c r="A211" s="23" t="s">
        <v>945</v>
      </c>
      <c r="B211" s="23" t="s">
        <v>1196</v>
      </c>
      <c r="C211" s="23" t="s">
        <v>15</v>
      </c>
      <c r="D211" s="23" t="s">
        <v>938</v>
      </c>
      <c r="E211" s="20" t="s">
        <v>1197</v>
      </c>
      <c r="F211" s="20" t="s">
        <v>360</v>
      </c>
      <c r="G211" s="20" t="s">
        <v>251</v>
      </c>
      <c r="H211" s="20">
        <v>48</v>
      </c>
      <c r="I211" s="20">
        <v>20</v>
      </c>
      <c r="J211" s="20" t="s">
        <v>40</v>
      </c>
      <c r="K211" t="s">
        <v>15</v>
      </c>
      <c r="L211" s="21" t="s">
        <v>1221</v>
      </c>
      <c r="M211" s="20"/>
      <c r="N211" s="20" t="s">
        <v>15</v>
      </c>
      <c r="P211" s="20">
        <v>0.18</v>
      </c>
      <c r="Q211" s="20" t="s">
        <v>180</v>
      </c>
      <c r="R211" s="20" t="s">
        <v>175</v>
      </c>
      <c r="S211" s="20"/>
      <c r="T211" s="20">
        <v>1</v>
      </c>
      <c r="U211" s="20" t="s">
        <v>175</v>
      </c>
      <c r="V211" s="20"/>
      <c r="W211" s="20">
        <v>510</v>
      </c>
      <c r="X211" s="20" t="s">
        <v>184</v>
      </c>
      <c r="Y211" s="20"/>
      <c r="Z211" s="20"/>
      <c r="AA211" s="24">
        <f>Tableau8[[#This Row],[density (kg/m2) or specific weight (kg/m2)]]*Tableau8[[#This Row],[nb of item used ]]*Tableau8[[#This Row],[volume or area]]</f>
        <v>91.8</v>
      </c>
      <c r="AB211" s="20">
        <f>10-4.4</f>
        <v>5.6</v>
      </c>
      <c r="AC211" s="20">
        <f>0.31+0.41</f>
        <v>0.72</v>
      </c>
      <c r="AD211" s="33">
        <f t="shared" si="43"/>
        <v>10.709999999999999</v>
      </c>
      <c r="AE211" s="33">
        <f>_xlfn.RANK.AVG(Tableau8[[#This Row],[EE ( MJ/m²)]],AD211:AD1366)</f>
        <v>451</v>
      </c>
      <c r="AF211" s="33">
        <f t="shared" si="51"/>
        <v>0.53549999999999998</v>
      </c>
      <c r="AG211" s="33">
        <f>(AC211-0.41)*AA211/H211</f>
        <v>0.59287499999999993</v>
      </c>
      <c r="AH211" s="33">
        <f t="shared" si="45"/>
        <v>1.3769999999999998</v>
      </c>
      <c r="AI211" s="33">
        <f>(AC211-0.41)*AA211/H211/I211</f>
        <v>2.9643749999999996E-2</v>
      </c>
      <c r="AJ211" s="33">
        <f t="shared" si="52"/>
        <v>6.8849999999999995E-2</v>
      </c>
    </row>
    <row r="212" spans="1:36" x14ac:dyDescent="0.25">
      <c r="A212" s="23" t="s">
        <v>945</v>
      </c>
      <c r="B212" s="23" t="s">
        <v>1196</v>
      </c>
      <c r="C212" s="23" t="s">
        <v>1026</v>
      </c>
      <c r="D212" s="23" t="s">
        <v>938</v>
      </c>
      <c r="E212" s="20" t="s">
        <v>1197</v>
      </c>
      <c r="F212" s="20" t="s">
        <v>360</v>
      </c>
      <c r="G212" s="20" t="s">
        <v>251</v>
      </c>
      <c r="H212" s="20">
        <v>48</v>
      </c>
      <c r="I212" s="20">
        <v>20</v>
      </c>
      <c r="J212" s="20" t="s">
        <v>40</v>
      </c>
      <c r="K212" t="s">
        <v>18</v>
      </c>
      <c r="L212" s="21" t="s">
        <v>1222</v>
      </c>
      <c r="M212" s="20"/>
      <c r="N212" s="20" t="s">
        <v>39</v>
      </c>
      <c r="P212" s="20">
        <v>7.1999999999999998E-3</v>
      </c>
      <c r="Q212" s="20" t="s">
        <v>180</v>
      </c>
      <c r="R212" s="20" t="s">
        <v>175</v>
      </c>
      <c r="S212" s="20"/>
      <c r="T212" s="20">
        <v>1</v>
      </c>
      <c r="U212" s="20" t="s">
        <v>175</v>
      </c>
      <c r="V212" s="20"/>
      <c r="W212" s="20">
        <v>2400</v>
      </c>
      <c r="X212" s="20" t="s">
        <v>184</v>
      </c>
      <c r="Y212" s="20"/>
      <c r="Z212" s="20"/>
      <c r="AA212" s="24">
        <f>Tableau8[[#This Row],[density (kg/m2) or specific weight (kg/m2)]]*Tableau8[[#This Row],[nb of item used ]]*Tableau8[[#This Row],[volume or area]]</f>
        <v>17.28</v>
      </c>
      <c r="AB212" s="20">
        <v>0.75</v>
      </c>
      <c r="AC212" s="20">
        <v>0.105</v>
      </c>
      <c r="AD212" s="33">
        <f t="shared" si="43"/>
        <v>0.27</v>
      </c>
      <c r="AE212" s="33">
        <f>_xlfn.RANK.AVG(Tableau8[[#This Row],[EE ( MJ/m²)]],AD212:AD1367)</f>
        <v>850.5</v>
      </c>
      <c r="AF212" s="33">
        <f t="shared" si="51"/>
        <v>1.3500000000000002E-2</v>
      </c>
      <c r="AG212" s="33">
        <f>(AC212)*AA212/H212</f>
        <v>3.78E-2</v>
      </c>
      <c r="AH212" s="33">
        <f t="shared" si="45"/>
        <v>3.78E-2</v>
      </c>
      <c r="AI212" s="33">
        <f>(AC212)*AA212/H212/I212</f>
        <v>1.89E-3</v>
      </c>
      <c r="AJ212" s="33">
        <f t="shared" si="52"/>
        <v>1.89E-3</v>
      </c>
    </row>
    <row r="213" spans="1:36" x14ac:dyDescent="0.25">
      <c r="A213" s="23" t="s">
        <v>945</v>
      </c>
      <c r="B213" s="23" t="s">
        <v>1196</v>
      </c>
      <c r="C213" s="23" t="s">
        <v>1087</v>
      </c>
      <c r="D213" s="23" t="s">
        <v>938</v>
      </c>
      <c r="E213" s="20" t="s">
        <v>1197</v>
      </c>
      <c r="F213" s="20" t="s">
        <v>360</v>
      </c>
      <c r="G213" s="20" t="s">
        <v>251</v>
      </c>
      <c r="H213" s="20">
        <v>48</v>
      </c>
      <c r="I213" s="20">
        <v>20</v>
      </c>
      <c r="J213" s="20" t="s">
        <v>40</v>
      </c>
      <c r="K213" t="s">
        <v>41</v>
      </c>
      <c r="L213" s="21" t="s">
        <v>1223</v>
      </c>
      <c r="M213" s="20" t="s">
        <v>1087</v>
      </c>
      <c r="N213" s="20" t="s">
        <v>1087</v>
      </c>
      <c r="O213" s="20"/>
      <c r="P213" s="20">
        <v>1.35E-2</v>
      </c>
      <c r="Q213" s="20" t="s">
        <v>180</v>
      </c>
      <c r="R213" s="20" t="s">
        <v>175</v>
      </c>
      <c r="S213" s="20"/>
      <c r="T213" s="20">
        <v>1</v>
      </c>
      <c r="U213" s="20" t="s">
        <v>175</v>
      </c>
      <c r="V213" s="20"/>
      <c r="W213" s="20">
        <v>2530</v>
      </c>
      <c r="X213" s="20" t="s">
        <v>184</v>
      </c>
      <c r="Y213" s="20"/>
      <c r="Z213" s="20"/>
      <c r="AA213" s="24">
        <f>Tableau8[[#This Row],[density (kg/m2) or specific weight (kg/m2)]]*Tableau8[[#This Row],[nb of item used ]]*Tableau8[[#This Row],[volume or area]]</f>
        <v>34.155000000000001</v>
      </c>
      <c r="AB213" s="20">
        <v>18</v>
      </c>
      <c r="AC213" s="20">
        <v>10</v>
      </c>
      <c r="AD213" s="33">
        <f t="shared" si="43"/>
        <v>12.808124999999999</v>
      </c>
      <c r="AE213" s="33">
        <f>_xlfn.RANK.AVG(Tableau8[[#This Row],[EE ( MJ/m²)]],AD213:AD1368)</f>
        <v>423.5</v>
      </c>
      <c r="AF213" s="33">
        <f t="shared" si="51"/>
        <v>0.64040624999999995</v>
      </c>
      <c r="AG213" s="33">
        <f>(AC213)*AA213/H213</f>
        <v>7.1156250000000005</v>
      </c>
      <c r="AH213" s="33">
        <f t="shared" si="45"/>
        <v>7.1156250000000005</v>
      </c>
      <c r="AI213" s="33">
        <f>(AC213)*AA213/H213/I213</f>
        <v>0.35578125000000005</v>
      </c>
      <c r="AJ213" s="33">
        <f t="shared" si="52"/>
        <v>0.35578125000000005</v>
      </c>
    </row>
    <row r="214" spans="1:36" x14ac:dyDescent="0.25">
      <c r="A214" s="23" t="s">
        <v>945</v>
      </c>
      <c r="B214" s="23" t="s">
        <v>1196</v>
      </c>
      <c r="C214" s="23" t="s">
        <v>17</v>
      </c>
      <c r="D214" s="23" t="s">
        <v>938</v>
      </c>
      <c r="E214" s="20" t="s">
        <v>1197</v>
      </c>
      <c r="F214" s="20" t="s">
        <v>360</v>
      </c>
      <c r="G214" s="20" t="s">
        <v>251</v>
      </c>
      <c r="H214" s="20">
        <v>48</v>
      </c>
      <c r="I214" s="20">
        <v>20</v>
      </c>
      <c r="J214" s="20" t="s">
        <v>40</v>
      </c>
      <c r="K214" t="s">
        <v>17</v>
      </c>
      <c r="L214" s="21" t="s">
        <v>1224</v>
      </c>
      <c r="M214" s="20" t="s">
        <v>17</v>
      </c>
      <c r="N214" s="20" t="s">
        <v>17</v>
      </c>
      <c r="P214" s="20"/>
      <c r="Q214" s="20"/>
      <c r="R214" s="20" t="s">
        <v>175</v>
      </c>
      <c r="S214" s="20"/>
      <c r="T214" s="20">
        <v>1</v>
      </c>
      <c r="U214" s="20" t="s">
        <v>175</v>
      </c>
      <c r="V214" s="20"/>
      <c r="W214" s="20">
        <v>7700</v>
      </c>
      <c r="X214" s="20" t="s">
        <v>184</v>
      </c>
      <c r="Y214" s="20"/>
      <c r="Z214" s="20"/>
      <c r="AA214" s="24">
        <v>25</v>
      </c>
      <c r="AB214" s="20">
        <v>25.3</v>
      </c>
      <c r="AC214" s="20">
        <v>1.95</v>
      </c>
      <c r="AD214" s="33">
        <f t="shared" si="43"/>
        <v>13.177083333333334</v>
      </c>
      <c r="AE214" s="33">
        <f>_xlfn.RANK.AVG(Tableau8[[#This Row],[EE ( MJ/m²)]],AD214:AD1369)</f>
        <v>415.5</v>
      </c>
      <c r="AF214" s="33">
        <f t="shared" si="51"/>
        <v>0.65885416666666674</v>
      </c>
      <c r="AG214" s="33">
        <f>(AC214-0.41)*AA214/H214</f>
        <v>0.80208333333333337</v>
      </c>
      <c r="AH214" s="33">
        <f t="shared" si="45"/>
        <v>1.015625</v>
      </c>
      <c r="AI214" s="33">
        <f>(AC214-0.41)*AA214/H214/I214</f>
        <v>4.010416666666667E-2</v>
      </c>
      <c r="AJ214" s="33">
        <f t="shared" si="52"/>
        <v>5.078125E-2</v>
      </c>
    </row>
    <row r="215" spans="1:36" x14ac:dyDescent="0.25">
      <c r="A215" s="23" t="s">
        <v>945</v>
      </c>
      <c r="B215" s="23" t="s">
        <v>1196</v>
      </c>
      <c r="C215" s="23" t="s">
        <v>15</v>
      </c>
      <c r="D215" s="23" t="s">
        <v>938</v>
      </c>
      <c r="E215" s="20" t="s">
        <v>1197</v>
      </c>
      <c r="F215" s="20" t="s">
        <v>360</v>
      </c>
      <c r="G215" s="20" t="s">
        <v>251</v>
      </c>
      <c r="H215" s="20">
        <v>48</v>
      </c>
      <c r="I215" s="20">
        <v>20</v>
      </c>
      <c r="J215" s="20" t="s">
        <v>56</v>
      </c>
      <c r="K215" t="s">
        <v>15</v>
      </c>
      <c r="L215" s="21" t="s">
        <v>1225</v>
      </c>
      <c r="M215" s="20" t="s">
        <v>15</v>
      </c>
      <c r="N215" s="20" t="s">
        <v>15</v>
      </c>
      <c r="P215" s="20">
        <v>0.18</v>
      </c>
      <c r="Q215" s="20" t="s">
        <v>180</v>
      </c>
      <c r="R215" s="20" t="s">
        <v>175</v>
      </c>
      <c r="S215" s="20"/>
      <c r="T215" s="20">
        <v>1</v>
      </c>
      <c r="U215" s="20" t="s">
        <v>175</v>
      </c>
      <c r="V215" s="20"/>
      <c r="W215" s="20">
        <v>510</v>
      </c>
      <c r="X215" s="20" t="s">
        <v>184</v>
      </c>
      <c r="Y215" s="20"/>
      <c r="Z215" s="20"/>
      <c r="AA215" s="24">
        <f>Tableau8[[#This Row],[density (kg/m2) or specific weight (kg/m2)]]*Tableau8[[#This Row],[nb of item used ]]*Tableau8[[#This Row],[volume or area]]</f>
        <v>91.8</v>
      </c>
      <c r="AB215" s="20">
        <f>10-4.4</f>
        <v>5.6</v>
      </c>
      <c r="AC215" s="20">
        <f>0.31+0.41</f>
        <v>0.72</v>
      </c>
      <c r="AD215" s="33">
        <f t="shared" si="43"/>
        <v>10.709999999999999</v>
      </c>
      <c r="AE215" s="33">
        <f>_xlfn.RANK.AVG(Tableau8[[#This Row],[EE ( MJ/m²)]],AD215:AD1370)</f>
        <v>448.5</v>
      </c>
      <c r="AF215" s="33">
        <f t="shared" si="51"/>
        <v>0.53549999999999998</v>
      </c>
      <c r="AG215" s="33">
        <f>(AC215-0.41)*AA215/H215</f>
        <v>0.59287499999999993</v>
      </c>
      <c r="AH215" s="33">
        <f t="shared" si="45"/>
        <v>1.3769999999999998</v>
      </c>
      <c r="AI215" s="33">
        <f>(AC215-0.41)*AA215/H215/I215</f>
        <v>2.9643749999999996E-2</v>
      </c>
      <c r="AJ215" s="33">
        <f t="shared" si="52"/>
        <v>6.8849999999999995E-2</v>
      </c>
    </row>
    <row r="216" spans="1:36" x14ac:dyDescent="0.25">
      <c r="A216" s="23" t="s">
        <v>945</v>
      </c>
      <c r="B216" s="23" t="s">
        <v>1196</v>
      </c>
      <c r="C216" s="23" t="s">
        <v>15</v>
      </c>
      <c r="D216" s="23" t="s">
        <v>938</v>
      </c>
      <c r="E216" s="20" t="s">
        <v>1197</v>
      </c>
      <c r="F216" s="20" t="s">
        <v>360</v>
      </c>
      <c r="G216" s="20" t="s">
        <v>251</v>
      </c>
      <c r="H216" s="20">
        <v>48</v>
      </c>
      <c r="I216" s="20">
        <v>20</v>
      </c>
      <c r="J216" s="20" t="s">
        <v>56</v>
      </c>
      <c r="K216" t="s">
        <v>15</v>
      </c>
      <c r="L216" s="21" t="s">
        <v>1226</v>
      </c>
      <c r="M216" s="20" t="s">
        <v>15</v>
      </c>
      <c r="N216" s="20" t="s">
        <v>15</v>
      </c>
      <c r="P216" s="20">
        <v>0.13700000000000001</v>
      </c>
      <c r="Q216" s="20" t="s">
        <v>180</v>
      </c>
      <c r="R216" s="20" t="s">
        <v>175</v>
      </c>
      <c r="S216" s="20"/>
      <c r="T216" s="20">
        <v>1</v>
      </c>
      <c r="U216" s="20" t="s">
        <v>175</v>
      </c>
      <c r="V216" s="20"/>
      <c r="W216" s="20">
        <v>510</v>
      </c>
      <c r="X216" s="20" t="s">
        <v>184</v>
      </c>
      <c r="Y216" s="20"/>
      <c r="Z216" s="20"/>
      <c r="AA216" s="24">
        <f>Tableau8[[#This Row],[density (kg/m2) or specific weight (kg/m2)]]*Tableau8[[#This Row],[nb of item used ]]*Tableau8[[#This Row],[volume or area]]</f>
        <v>69.87</v>
      </c>
      <c r="AB216" s="20">
        <f>10-4.4</f>
        <v>5.6</v>
      </c>
      <c r="AC216" s="20">
        <f>0.31+0.41</f>
        <v>0.72</v>
      </c>
      <c r="AD216" s="33">
        <f t="shared" si="43"/>
        <v>8.1515000000000004</v>
      </c>
      <c r="AE216" s="33">
        <f>_xlfn.RANK.AVG(Tableau8[[#This Row],[EE ( MJ/m²)]],AD216:AD1371)</f>
        <v>488.5</v>
      </c>
      <c r="AF216" s="33">
        <f t="shared" si="51"/>
        <v>0.40757500000000002</v>
      </c>
      <c r="AG216" s="33">
        <f>(AC216-0.41)*AA216/H216</f>
        <v>0.45124375</v>
      </c>
      <c r="AH216" s="33">
        <f t="shared" si="45"/>
        <v>1.0480500000000001</v>
      </c>
      <c r="AI216" s="33">
        <f>(AC216-0.41)*AA216/H216/I216</f>
        <v>2.2562187500000001E-2</v>
      </c>
      <c r="AJ216" s="33">
        <f t="shared" si="52"/>
        <v>5.2402500000000005E-2</v>
      </c>
    </row>
    <row r="217" spans="1:36" x14ac:dyDescent="0.25">
      <c r="A217" s="23" t="s">
        <v>945</v>
      </c>
      <c r="B217" s="23" t="s">
        <v>1196</v>
      </c>
      <c r="C217" s="23" t="s">
        <v>1026</v>
      </c>
      <c r="D217" s="23" t="s">
        <v>938</v>
      </c>
      <c r="E217" s="20" t="s">
        <v>1197</v>
      </c>
      <c r="F217" s="20" t="s">
        <v>360</v>
      </c>
      <c r="G217" s="20" t="s">
        <v>251</v>
      </c>
      <c r="H217" s="20">
        <v>48</v>
      </c>
      <c r="I217" s="20">
        <v>20</v>
      </c>
      <c r="J217" s="20" t="s">
        <v>109</v>
      </c>
      <c r="K217" t="s">
        <v>18</v>
      </c>
      <c r="L217" s="21" t="s">
        <v>1227</v>
      </c>
      <c r="M217" s="20" t="s">
        <v>39</v>
      </c>
      <c r="N217" s="20" t="s">
        <v>39</v>
      </c>
      <c r="P217" s="20">
        <v>0.115</v>
      </c>
      <c r="Q217" s="20" t="s">
        <v>180</v>
      </c>
      <c r="R217" s="20" t="s">
        <v>175</v>
      </c>
      <c r="S217" s="20"/>
      <c r="T217" s="20">
        <v>1</v>
      </c>
      <c r="U217" s="20" t="s">
        <v>175</v>
      </c>
      <c r="V217" s="20"/>
      <c r="W217" s="20">
        <v>2400</v>
      </c>
      <c r="X217" s="20" t="s">
        <v>184</v>
      </c>
      <c r="Y217" s="20"/>
      <c r="Z217" s="20"/>
      <c r="AA217" s="24">
        <f>Tableau8[[#This Row],[density (kg/m2) or specific weight (kg/m2)]]*Tableau8[[#This Row],[nb of item used ]]*Tableau8[[#This Row],[volume or area]]</f>
        <v>276</v>
      </c>
      <c r="AB217" s="20">
        <v>0.75</v>
      </c>
      <c r="AC217" s="20">
        <v>0.105</v>
      </c>
      <c r="AD217" s="33">
        <f t="shared" si="43"/>
        <v>4.3125</v>
      </c>
      <c r="AE217" s="33">
        <f>_xlfn.RANK.AVG(Tableau8[[#This Row],[EE ( MJ/m²)]],AD217:AD1372)</f>
        <v>591.5</v>
      </c>
      <c r="AF217" s="33">
        <f t="shared" si="51"/>
        <v>0.21562500000000001</v>
      </c>
      <c r="AG217" s="33">
        <f>(AC217)*AA217/H217</f>
        <v>0.60375000000000001</v>
      </c>
      <c r="AH217" s="33">
        <f t="shared" si="45"/>
        <v>0.60375000000000001</v>
      </c>
      <c r="AI217" s="33">
        <f>(AC217)*AA217/H217/I217</f>
        <v>3.0187499999999999E-2</v>
      </c>
      <c r="AJ217" s="33">
        <f t="shared" si="52"/>
        <v>3.0187499999999999E-2</v>
      </c>
    </row>
    <row r="218" spans="1:36" x14ac:dyDescent="0.25">
      <c r="A218" s="23" t="s">
        <v>945</v>
      </c>
      <c r="B218" s="23" t="s">
        <v>1196</v>
      </c>
      <c r="C218" s="23" t="s">
        <v>1026</v>
      </c>
      <c r="D218" s="23" t="s">
        <v>938</v>
      </c>
      <c r="E218" s="20" t="s">
        <v>1197</v>
      </c>
      <c r="F218" s="20" t="s">
        <v>360</v>
      </c>
      <c r="G218" s="20" t="s">
        <v>251</v>
      </c>
      <c r="H218" s="20">
        <v>48</v>
      </c>
      <c r="I218" s="20">
        <v>20</v>
      </c>
      <c r="J218" s="20" t="s">
        <v>109</v>
      </c>
      <c r="K218" t="s">
        <v>18</v>
      </c>
      <c r="L218" s="21" t="s">
        <v>1228</v>
      </c>
      <c r="M218" s="20" t="s">
        <v>39</v>
      </c>
      <c r="N218" s="20" t="s">
        <v>39</v>
      </c>
      <c r="P218" s="20">
        <v>0.115</v>
      </c>
      <c r="Q218" s="20" t="s">
        <v>180</v>
      </c>
      <c r="R218" s="20" t="s">
        <v>175</v>
      </c>
      <c r="S218" s="20"/>
      <c r="T218" s="20">
        <v>1</v>
      </c>
      <c r="U218" s="20" t="s">
        <v>175</v>
      </c>
      <c r="V218" s="20"/>
      <c r="W218" s="20">
        <v>2400</v>
      </c>
      <c r="X218" s="20" t="s">
        <v>184</v>
      </c>
      <c r="Y218" s="20"/>
      <c r="Z218" s="20"/>
      <c r="AA218" s="24">
        <f>Tableau8[[#This Row],[density (kg/m2) or specific weight (kg/m2)]]*Tableau8[[#This Row],[nb of item used ]]*Tableau8[[#This Row],[volume or area]]</f>
        <v>276</v>
      </c>
      <c r="AB218" s="20">
        <v>0.75</v>
      </c>
      <c r="AC218" s="20">
        <v>0.105</v>
      </c>
      <c r="AD218" s="33">
        <f t="shared" si="43"/>
        <v>4.3125</v>
      </c>
      <c r="AE218" s="33">
        <f>_xlfn.RANK.AVG(Tableau8[[#This Row],[EE ( MJ/m²)]],AD218:AD1373)</f>
        <v>591</v>
      </c>
      <c r="AF218" s="33">
        <f t="shared" si="51"/>
        <v>0.21562500000000001</v>
      </c>
      <c r="AG218" s="33">
        <f>(AC218)*AA218/H218</f>
        <v>0.60375000000000001</v>
      </c>
      <c r="AH218" s="33">
        <f t="shared" si="45"/>
        <v>0.60375000000000001</v>
      </c>
      <c r="AI218" s="33">
        <f>(AC218)*AA218/H218/I218</f>
        <v>3.0187499999999999E-2</v>
      </c>
      <c r="AJ218" s="33">
        <f t="shared" si="52"/>
        <v>3.0187499999999999E-2</v>
      </c>
    </row>
    <row r="219" spans="1:36" x14ac:dyDescent="0.25">
      <c r="A219" s="23" t="s">
        <v>945</v>
      </c>
      <c r="B219" s="23" t="s">
        <v>1196</v>
      </c>
      <c r="C219" s="23" t="s">
        <v>367</v>
      </c>
      <c r="D219" s="23" t="s">
        <v>938</v>
      </c>
      <c r="E219" s="20" t="s">
        <v>1197</v>
      </c>
      <c r="F219" s="20" t="s">
        <v>360</v>
      </c>
      <c r="G219" s="20" t="s">
        <v>251</v>
      </c>
      <c r="H219" s="20">
        <v>48</v>
      </c>
      <c r="I219" s="20">
        <v>20</v>
      </c>
      <c r="J219" s="20" t="s">
        <v>40</v>
      </c>
      <c r="K219" t="s">
        <v>18</v>
      </c>
      <c r="L219" s="21" t="s">
        <v>1229</v>
      </c>
      <c r="M219" s="20" t="s">
        <v>363</v>
      </c>
      <c r="N219" s="20" t="s">
        <v>431</v>
      </c>
      <c r="P219" s="20">
        <v>150</v>
      </c>
      <c r="Q219" s="20" t="s">
        <v>1017</v>
      </c>
      <c r="R219" s="20" t="s">
        <v>175</v>
      </c>
      <c r="S219" s="20"/>
      <c r="T219" s="20">
        <v>1</v>
      </c>
      <c r="U219" s="20" t="s">
        <v>175</v>
      </c>
      <c r="V219" s="20"/>
      <c r="W219" s="20">
        <v>1860</v>
      </c>
      <c r="X219" s="20" t="s">
        <v>184</v>
      </c>
      <c r="Y219" s="20"/>
      <c r="Z219" s="20"/>
      <c r="AA219" s="24">
        <v>150</v>
      </c>
      <c r="AB219" s="20">
        <v>4.51</v>
      </c>
      <c r="AC219" s="20">
        <v>0.74</v>
      </c>
      <c r="AD219" s="33">
        <f t="shared" si="43"/>
        <v>14.09375</v>
      </c>
      <c r="AE219" s="33">
        <f>_xlfn.RANK.AVG(Tableau8[[#This Row],[EE ( MJ/m²)]],AD219:AD1374)</f>
        <v>400.5</v>
      </c>
      <c r="AF219" s="33">
        <f t="shared" si="51"/>
        <v>0.70468750000000002</v>
      </c>
      <c r="AG219" s="33">
        <f>(AC219-0.41)*AA219/H219</f>
        <v>1.03125</v>
      </c>
      <c r="AH219" s="33">
        <f t="shared" si="45"/>
        <v>2.3125</v>
      </c>
      <c r="AI219" s="33">
        <f>(AC219-0.41)*AA219/H219/I219</f>
        <v>5.1562499999999997E-2</v>
      </c>
      <c r="AJ219" s="33">
        <f t="shared" si="52"/>
        <v>0.11562500000000001</v>
      </c>
    </row>
    <row r="220" spans="1:36" x14ac:dyDescent="0.25">
      <c r="A220" s="23" t="s">
        <v>945</v>
      </c>
      <c r="B220" s="23" t="s">
        <v>1196</v>
      </c>
      <c r="C220" s="23" t="s">
        <v>12</v>
      </c>
      <c r="D220" s="23" t="s">
        <v>938</v>
      </c>
      <c r="E220" s="20" t="s">
        <v>1197</v>
      </c>
      <c r="F220" s="20" t="s">
        <v>360</v>
      </c>
      <c r="G220" s="20" t="s">
        <v>251</v>
      </c>
      <c r="H220" s="20">
        <v>48</v>
      </c>
      <c r="I220" s="20">
        <v>20</v>
      </c>
      <c r="J220" s="20" t="s">
        <v>40</v>
      </c>
      <c r="K220" t="s">
        <v>17</v>
      </c>
      <c r="L220" s="21" t="s">
        <v>1233</v>
      </c>
      <c r="M220" s="20" t="s">
        <v>17</v>
      </c>
      <c r="N220" s="20" t="s">
        <v>17</v>
      </c>
      <c r="P220" s="20"/>
      <c r="Q220" s="20"/>
      <c r="R220" s="20" t="s">
        <v>175</v>
      </c>
      <c r="S220" s="20"/>
      <c r="T220" s="20">
        <v>1</v>
      </c>
      <c r="U220" s="20" t="s">
        <v>175</v>
      </c>
      <c r="V220" s="20"/>
      <c r="W220" s="20">
        <v>7700</v>
      </c>
      <c r="X220" s="20" t="s">
        <v>184</v>
      </c>
      <c r="Y220" s="20"/>
      <c r="Z220" s="20"/>
      <c r="AA220" s="24">
        <v>20</v>
      </c>
      <c r="AB220" s="20">
        <v>25.3</v>
      </c>
      <c r="AC220" s="20">
        <v>1.95</v>
      </c>
      <c r="AD220" s="33">
        <f t="shared" si="43"/>
        <v>10.541666666666666</v>
      </c>
      <c r="AE220" s="33">
        <f>_xlfn.RANK.AVG(Tableau8[[#This Row],[EE ( MJ/m²)]],AD220:AD1375)</f>
        <v>454.5</v>
      </c>
      <c r="AF220" s="33">
        <f t="shared" si="51"/>
        <v>0.52708333333333335</v>
      </c>
      <c r="AG220" s="33">
        <f>(AC220)*AA220/H220</f>
        <v>0.8125</v>
      </c>
      <c r="AH220" s="33">
        <f t="shared" si="45"/>
        <v>0.8125</v>
      </c>
      <c r="AI220" s="33">
        <f>(AC220)*AA220/H220/I220</f>
        <v>4.0625000000000001E-2</v>
      </c>
      <c r="AJ220" s="33">
        <f t="shared" si="52"/>
        <v>4.0625000000000001E-2</v>
      </c>
    </row>
    <row r="221" spans="1:36" x14ac:dyDescent="0.25">
      <c r="A221" s="23" t="s">
        <v>945</v>
      </c>
      <c r="B221" s="23" t="s">
        <v>1196</v>
      </c>
      <c r="C221" s="23" t="s">
        <v>15</v>
      </c>
      <c r="D221" s="23" t="s">
        <v>938</v>
      </c>
      <c r="E221" s="20" t="s">
        <v>1197</v>
      </c>
      <c r="F221" s="20" t="s">
        <v>360</v>
      </c>
      <c r="G221" s="20" t="s">
        <v>251</v>
      </c>
      <c r="H221" s="20">
        <v>48</v>
      </c>
      <c r="I221" s="20">
        <v>20</v>
      </c>
      <c r="J221" s="20" t="s">
        <v>40</v>
      </c>
      <c r="K221" t="s">
        <v>15</v>
      </c>
      <c r="L221" s="20" t="s">
        <v>1234</v>
      </c>
      <c r="M221" s="20" t="s">
        <v>15</v>
      </c>
      <c r="N221" s="20" t="s">
        <v>15</v>
      </c>
      <c r="P221" s="20">
        <v>0.32</v>
      </c>
      <c r="Q221" s="20" t="s">
        <v>180</v>
      </c>
      <c r="R221" s="20" t="s">
        <v>175</v>
      </c>
      <c r="S221" s="20"/>
      <c r="T221" s="20">
        <v>1</v>
      </c>
      <c r="U221" s="20" t="s">
        <v>175</v>
      </c>
      <c r="V221" s="20"/>
      <c r="W221" s="20">
        <v>510</v>
      </c>
      <c r="X221" s="20" t="s">
        <v>184</v>
      </c>
      <c r="Y221" s="20"/>
      <c r="Z221" s="20"/>
      <c r="AA221" s="24">
        <f>Tableau8[[#This Row],[density (kg/m2) or specific weight (kg/m2)]]*Tableau8[[#This Row],[nb of item used ]]*Tableau8[[#This Row],[volume or area]]</f>
        <v>163.20000000000002</v>
      </c>
      <c r="AB221" s="20">
        <f>10-4.4</f>
        <v>5.6</v>
      </c>
      <c r="AC221" s="20">
        <f>0.31+0.41</f>
        <v>0.72</v>
      </c>
      <c r="AD221" s="33">
        <f t="shared" si="43"/>
        <v>19.040000000000003</v>
      </c>
      <c r="AE221" s="33">
        <f>_xlfn.RANK.AVG(Tableau8[[#This Row],[EE ( MJ/m²)]],AD221:AD1376)</f>
        <v>348.5</v>
      </c>
      <c r="AF221" s="33">
        <f t="shared" si="51"/>
        <v>0.95200000000000018</v>
      </c>
      <c r="AG221" s="33">
        <f>(AC221-0.41)*AA221/H221</f>
        <v>1.054</v>
      </c>
      <c r="AH221" s="33">
        <f t="shared" si="45"/>
        <v>2.448</v>
      </c>
      <c r="AI221" s="33">
        <f>(AC221-0.41)*AA221/H221/I221</f>
        <v>5.2700000000000004E-2</v>
      </c>
      <c r="AJ221" s="33">
        <f t="shared" si="52"/>
        <v>0.12239999999999999</v>
      </c>
    </row>
    <row r="222" spans="1:36" x14ac:dyDescent="0.25">
      <c r="A222" s="23" t="s">
        <v>945</v>
      </c>
      <c r="B222" s="4" t="s">
        <v>1239</v>
      </c>
      <c r="C222" s="23" t="s">
        <v>12</v>
      </c>
      <c r="D222" s="4" t="s">
        <v>938</v>
      </c>
      <c r="E222" t="s">
        <v>1240</v>
      </c>
      <c r="F222" t="s">
        <v>360</v>
      </c>
      <c r="G222" t="s">
        <v>251</v>
      </c>
      <c r="H222">
        <v>48</v>
      </c>
      <c r="I222">
        <v>20</v>
      </c>
      <c r="J222" t="s">
        <v>56</v>
      </c>
      <c r="K222" t="s">
        <v>17</v>
      </c>
      <c r="L222" t="s">
        <v>1198</v>
      </c>
      <c r="M222" t="s">
        <v>12</v>
      </c>
      <c r="N222" t="s">
        <v>12</v>
      </c>
      <c r="R222" s="20" t="s">
        <v>175</v>
      </c>
      <c r="T222">
        <v>1</v>
      </c>
      <c r="U222" t="s">
        <v>175</v>
      </c>
      <c r="W222">
        <v>7800</v>
      </c>
      <c r="X222" t="s">
        <v>184</v>
      </c>
      <c r="AA222">
        <v>485</v>
      </c>
      <c r="AB222">
        <v>25.3</v>
      </c>
      <c r="AC222">
        <v>1.95</v>
      </c>
      <c r="AD222" s="11">
        <f t="shared" si="43"/>
        <v>255.63541666666666</v>
      </c>
      <c r="AE222" s="11">
        <f>_xlfn.RANK.AVG(Tableau8[[#This Row],[EE ( MJ/m²)]],AD222:AD1377)</f>
        <v>50</v>
      </c>
      <c r="AF222" s="11">
        <f t="shared" si="51"/>
        <v>12.781770833333333</v>
      </c>
      <c r="AG222" s="11">
        <f t="shared" ref="AG222:AG239" si="53">(AC222)*AA222/H222</f>
        <v>19.703125</v>
      </c>
      <c r="AH222" s="11">
        <f t="shared" si="45"/>
        <v>19.703125</v>
      </c>
      <c r="AI222" s="11">
        <f t="shared" ref="AI222:AI239" si="54">(AC222)*AA222/H222/I222</f>
        <v>0.98515624999999996</v>
      </c>
      <c r="AJ222" s="11">
        <f t="shared" si="52"/>
        <v>0.98515624999999996</v>
      </c>
    </row>
    <row r="223" spans="1:36" x14ac:dyDescent="0.25">
      <c r="A223" s="23" t="s">
        <v>945</v>
      </c>
      <c r="B223" s="4" t="s">
        <v>1239</v>
      </c>
      <c r="C223" s="23" t="s">
        <v>12</v>
      </c>
      <c r="D223" s="4" t="s">
        <v>938</v>
      </c>
      <c r="E223" t="s">
        <v>1240</v>
      </c>
      <c r="F223" t="s">
        <v>360</v>
      </c>
      <c r="G223" t="s">
        <v>251</v>
      </c>
      <c r="H223">
        <v>48</v>
      </c>
      <c r="I223">
        <v>20</v>
      </c>
      <c r="J223" t="s">
        <v>56</v>
      </c>
      <c r="K223" t="s">
        <v>17</v>
      </c>
      <c r="L223" t="s">
        <v>1199</v>
      </c>
      <c r="M223" t="s">
        <v>12</v>
      </c>
      <c r="N223" t="s">
        <v>12</v>
      </c>
      <c r="R223" s="20" t="s">
        <v>175</v>
      </c>
      <c r="T223">
        <v>1</v>
      </c>
      <c r="U223" t="s">
        <v>175</v>
      </c>
      <c r="W223">
        <v>7800</v>
      </c>
      <c r="X223" t="s">
        <v>184</v>
      </c>
      <c r="AA223">
        <v>150</v>
      </c>
      <c r="AB223">
        <v>25.3</v>
      </c>
      <c r="AC223">
        <v>1.95</v>
      </c>
      <c r="AD223" s="11">
        <f t="shared" si="43"/>
        <v>79.0625</v>
      </c>
      <c r="AE223" s="11">
        <f>_xlfn.RANK.AVG(Tableau8[[#This Row],[EE ( MJ/m²)]],AD223:AD1378)</f>
        <v>145</v>
      </c>
      <c r="AF223" s="11">
        <f t="shared" si="51"/>
        <v>3.953125</v>
      </c>
      <c r="AG223" s="11">
        <f t="shared" si="53"/>
        <v>6.09375</v>
      </c>
      <c r="AH223" s="11">
        <f t="shared" si="45"/>
        <v>6.09375</v>
      </c>
      <c r="AI223" s="11">
        <f t="shared" si="54"/>
        <v>0.3046875</v>
      </c>
      <c r="AJ223" s="11">
        <f t="shared" si="52"/>
        <v>0.3046875</v>
      </c>
    </row>
    <row r="224" spans="1:36" x14ac:dyDescent="0.25">
      <c r="A224" s="23" t="s">
        <v>945</v>
      </c>
      <c r="B224" s="4" t="s">
        <v>1239</v>
      </c>
      <c r="C224" s="23" t="s">
        <v>12</v>
      </c>
      <c r="D224" s="4" t="s">
        <v>938</v>
      </c>
      <c r="E224" t="s">
        <v>1240</v>
      </c>
      <c r="F224" t="s">
        <v>360</v>
      </c>
      <c r="G224" t="s">
        <v>251</v>
      </c>
      <c r="H224">
        <v>48</v>
      </c>
      <c r="I224">
        <v>20</v>
      </c>
      <c r="J224" t="s">
        <v>56</v>
      </c>
      <c r="K224" t="s">
        <v>17</v>
      </c>
      <c r="L224" t="s">
        <v>1200</v>
      </c>
      <c r="M224" t="s">
        <v>12</v>
      </c>
      <c r="N224" t="s">
        <v>12</v>
      </c>
      <c r="R224" s="20" t="s">
        <v>175</v>
      </c>
      <c r="T224">
        <v>1</v>
      </c>
      <c r="U224" t="s">
        <v>175</v>
      </c>
      <c r="W224">
        <v>7800</v>
      </c>
      <c r="X224" t="s">
        <v>184</v>
      </c>
      <c r="AA224">
        <v>112</v>
      </c>
      <c r="AB224">
        <v>25.3</v>
      </c>
      <c r="AC224">
        <v>1.95</v>
      </c>
      <c r="AD224" s="11">
        <f t="shared" si="43"/>
        <v>59.033333333333331</v>
      </c>
      <c r="AE224" s="11">
        <f>_xlfn.RANK.AVG(Tableau8[[#This Row],[EE ( MJ/m²)]],AD224:AD1379)</f>
        <v>178</v>
      </c>
      <c r="AF224" s="11">
        <f t="shared" si="51"/>
        <v>2.9516666666666667</v>
      </c>
      <c r="AG224" s="11">
        <f t="shared" si="53"/>
        <v>4.55</v>
      </c>
      <c r="AH224" s="11">
        <f t="shared" si="45"/>
        <v>4.55</v>
      </c>
      <c r="AI224" s="11">
        <f t="shared" si="54"/>
        <v>0.22749999999999998</v>
      </c>
      <c r="AJ224" s="11">
        <f t="shared" si="52"/>
        <v>0.22749999999999998</v>
      </c>
    </row>
    <row r="225" spans="1:36" x14ac:dyDescent="0.25">
      <c r="A225" s="23" t="s">
        <v>945</v>
      </c>
      <c r="B225" s="4" t="s">
        <v>1239</v>
      </c>
      <c r="C225" s="23" t="s">
        <v>12</v>
      </c>
      <c r="D225" s="4" t="s">
        <v>938</v>
      </c>
      <c r="E225" t="s">
        <v>1240</v>
      </c>
      <c r="F225" t="s">
        <v>360</v>
      </c>
      <c r="G225" t="s">
        <v>251</v>
      </c>
      <c r="H225">
        <v>48</v>
      </c>
      <c r="I225">
        <v>20</v>
      </c>
      <c r="J225" t="s">
        <v>56</v>
      </c>
      <c r="K225" t="s">
        <v>17</v>
      </c>
      <c r="L225" t="s">
        <v>1201</v>
      </c>
      <c r="M225" t="s">
        <v>12</v>
      </c>
      <c r="N225" t="s">
        <v>12</v>
      </c>
      <c r="R225" s="20" t="s">
        <v>175</v>
      </c>
      <c r="T225">
        <v>1</v>
      </c>
      <c r="U225" t="s">
        <v>175</v>
      </c>
      <c r="W225">
        <v>7800</v>
      </c>
      <c r="X225" t="s">
        <v>184</v>
      </c>
      <c r="AA225">
        <v>50</v>
      </c>
      <c r="AB225">
        <v>25.3</v>
      </c>
      <c r="AC225">
        <v>1.95</v>
      </c>
      <c r="AD225" s="11">
        <f t="shared" si="43"/>
        <v>26.354166666666668</v>
      </c>
      <c r="AE225" s="11">
        <f>_xlfn.RANK.AVG(Tableau8[[#This Row],[EE ( MJ/m²)]],AD225:AD1380)</f>
        <v>293</v>
      </c>
      <c r="AF225" s="11">
        <f t="shared" si="51"/>
        <v>1.3177083333333335</v>
      </c>
      <c r="AG225" s="11">
        <f t="shared" si="53"/>
        <v>2.03125</v>
      </c>
      <c r="AH225" s="11">
        <f t="shared" si="45"/>
        <v>2.03125</v>
      </c>
      <c r="AI225" s="11">
        <f t="shared" si="54"/>
        <v>0.1015625</v>
      </c>
      <c r="AJ225" s="11">
        <f t="shared" si="52"/>
        <v>0.1015625</v>
      </c>
    </row>
    <row r="226" spans="1:36" x14ac:dyDescent="0.25">
      <c r="A226" s="23" t="s">
        <v>945</v>
      </c>
      <c r="B226" s="4" t="s">
        <v>1239</v>
      </c>
      <c r="C226" s="23" t="s">
        <v>12</v>
      </c>
      <c r="D226" s="4" t="s">
        <v>938</v>
      </c>
      <c r="E226" t="s">
        <v>1240</v>
      </c>
      <c r="F226" t="s">
        <v>360</v>
      </c>
      <c r="G226" t="s">
        <v>251</v>
      </c>
      <c r="H226">
        <v>48</v>
      </c>
      <c r="I226">
        <v>20</v>
      </c>
      <c r="J226" t="s">
        <v>40</v>
      </c>
      <c r="K226" t="s">
        <v>17</v>
      </c>
      <c r="L226" t="s">
        <v>1202</v>
      </c>
      <c r="M226" t="s">
        <v>12</v>
      </c>
      <c r="N226" t="s">
        <v>12</v>
      </c>
      <c r="R226" s="20" t="s">
        <v>175</v>
      </c>
      <c r="T226">
        <v>1</v>
      </c>
      <c r="U226" t="s">
        <v>175</v>
      </c>
      <c r="W226">
        <v>7800</v>
      </c>
      <c r="X226" t="s">
        <v>184</v>
      </c>
      <c r="AA226">
        <v>45</v>
      </c>
      <c r="AB226">
        <v>25.3</v>
      </c>
      <c r="AC226">
        <v>1.95</v>
      </c>
      <c r="AD226" s="11">
        <f t="shared" si="43"/>
        <v>23.71875</v>
      </c>
      <c r="AE226" s="11">
        <f>_xlfn.RANK.AVG(Tableau8[[#This Row],[EE ( MJ/m²)]],AD226:AD1381)</f>
        <v>305</v>
      </c>
      <c r="AF226" s="11">
        <f t="shared" si="51"/>
        <v>1.1859375000000001</v>
      </c>
      <c r="AG226" s="11">
        <f t="shared" si="53"/>
        <v>1.828125</v>
      </c>
      <c r="AH226" s="11">
        <f t="shared" si="45"/>
        <v>1.828125</v>
      </c>
      <c r="AI226" s="11">
        <f t="shared" si="54"/>
        <v>9.1406249999999994E-2</v>
      </c>
      <c r="AJ226" s="11">
        <f t="shared" si="52"/>
        <v>9.1406249999999994E-2</v>
      </c>
    </row>
    <row r="227" spans="1:36" x14ac:dyDescent="0.25">
      <c r="A227" s="23" t="s">
        <v>945</v>
      </c>
      <c r="B227" s="4" t="s">
        <v>1239</v>
      </c>
      <c r="C227" s="23" t="s">
        <v>12</v>
      </c>
      <c r="D227" s="4" t="s">
        <v>938</v>
      </c>
      <c r="E227" t="s">
        <v>1240</v>
      </c>
      <c r="F227" t="s">
        <v>360</v>
      </c>
      <c r="G227" t="s">
        <v>251</v>
      </c>
      <c r="H227">
        <v>48</v>
      </c>
      <c r="I227">
        <v>20</v>
      </c>
      <c r="J227" t="s">
        <v>40</v>
      </c>
      <c r="K227" t="s">
        <v>17</v>
      </c>
      <c r="L227" t="s">
        <v>1203</v>
      </c>
      <c r="M227" t="s">
        <v>17</v>
      </c>
      <c r="N227" t="s">
        <v>17</v>
      </c>
      <c r="R227" s="20" t="s">
        <v>175</v>
      </c>
      <c r="T227">
        <v>1</v>
      </c>
      <c r="U227" t="s">
        <v>175</v>
      </c>
      <c r="W227">
        <v>7700</v>
      </c>
      <c r="X227" t="s">
        <v>184</v>
      </c>
      <c r="AA227">
        <v>17</v>
      </c>
      <c r="AB227">
        <v>25.3</v>
      </c>
      <c r="AC227">
        <v>1.95</v>
      </c>
      <c r="AD227" s="11">
        <f t="shared" si="43"/>
        <v>8.9604166666666671</v>
      </c>
      <c r="AE227" s="11">
        <f>_xlfn.RANK.AVG(Tableau8[[#This Row],[EE ( MJ/m²)]],AD227:AD1382)</f>
        <v>462</v>
      </c>
      <c r="AF227" s="11">
        <f t="shared" si="51"/>
        <v>0.44802083333333337</v>
      </c>
      <c r="AG227" s="11">
        <f t="shared" si="53"/>
        <v>0.69062499999999993</v>
      </c>
      <c r="AH227" s="11">
        <f t="shared" si="45"/>
        <v>0.69062499999999993</v>
      </c>
      <c r="AI227" s="11">
        <f t="shared" si="54"/>
        <v>3.4531249999999999E-2</v>
      </c>
      <c r="AJ227" s="11">
        <f t="shared" si="52"/>
        <v>3.4531249999999999E-2</v>
      </c>
    </row>
    <row r="228" spans="1:36" x14ac:dyDescent="0.25">
      <c r="A228" s="23" t="s">
        <v>945</v>
      </c>
      <c r="B228" s="4" t="s">
        <v>1239</v>
      </c>
      <c r="C228" s="23" t="s">
        <v>12</v>
      </c>
      <c r="D228" s="4" t="s">
        <v>938</v>
      </c>
      <c r="E228" t="s">
        <v>1240</v>
      </c>
      <c r="F228" t="s">
        <v>360</v>
      </c>
      <c r="G228" t="s">
        <v>251</v>
      </c>
      <c r="H228">
        <v>48</v>
      </c>
      <c r="I228">
        <v>20</v>
      </c>
      <c r="J228" t="s">
        <v>109</v>
      </c>
      <c r="K228" t="s">
        <v>17</v>
      </c>
      <c r="L228" t="s">
        <v>1204</v>
      </c>
      <c r="M228" t="s">
        <v>12</v>
      </c>
      <c r="N228" t="s">
        <v>12</v>
      </c>
      <c r="R228" s="20" t="s">
        <v>175</v>
      </c>
      <c r="T228">
        <v>1</v>
      </c>
      <c r="U228" t="s">
        <v>175</v>
      </c>
      <c r="W228">
        <v>7800</v>
      </c>
      <c r="X228" t="s">
        <v>184</v>
      </c>
      <c r="AA228">
        <v>0.6</v>
      </c>
      <c r="AB228">
        <v>25.3</v>
      </c>
      <c r="AC228">
        <v>1.95</v>
      </c>
      <c r="AD228" s="11">
        <f t="shared" si="43"/>
        <v>0.31624999999999998</v>
      </c>
      <c r="AE228" s="11">
        <f>_xlfn.RANK.AVG(Tableau8[[#This Row],[EE ( MJ/m²)]],AD228:AD1383)</f>
        <v>827</v>
      </c>
      <c r="AF228" s="11">
        <f t="shared" si="51"/>
        <v>1.58125E-2</v>
      </c>
      <c r="AG228" s="11">
        <f t="shared" si="53"/>
        <v>2.4374999999999997E-2</v>
      </c>
      <c r="AH228" s="11">
        <f t="shared" si="45"/>
        <v>2.4374999999999997E-2</v>
      </c>
      <c r="AI228" s="11">
        <f t="shared" si="54"/>
        <v>1.2187499999999998E-3</v>
      </c>
      <c r="AJ228" s="11">
        <f t="shared" si="52"/>
        <v>1.2187499999999998E-3</v>
      </c>
    </row>
    <row r="229" spans="1:36" s="36" customFormat="1" x14ac:dyDescent="0.25">
      <c r="A229" s="23" t="s">
        <v>945</v>
      </c>
      <c r="B229" s="4" t="s">
        <v>1239</v>
      </c>
      <c r="C229" s="23" t="s">
        <v>12</v>
      </c>
      <c r="D229" s="4" t="s">
        <v>938</v>
      </c>
      <c r="E229" t="s">
        <v>1240</v>
      </c>
      <c r="F229" t="s">
        <v>360</v>
      </c>
      <c r="G229" t="s">
        <v>251</v>
      </c>
      <c r="H229">
        <v>48</v>
      </c>
      <c r="I229">
        <v>20</v>
      </c>
      <c r="J229" t="s">
        <v>109</v>
      </c>
      <c r="K229" t="s">
        <v>17</v>
      </c>
      <c r="L229" t="s">
        <v>1205</v>
      </c>
      <c r="M229" t="s">
        <v>12</v>
      </c>
      <c r="N229" t="s">
        <v>12</v>
      </c>
      <c r="O229"/>
      <c r="P229"/>
      <c r="Q229"/>
      <c r="R229" s="20" t="s">
        <v>175</v>
      </c>
      <c r="S229"/>
      <c r="T229">
        <v>1</v>
      </c>
      <c r="U229" t="s">
        <v>175</v>
      </c>
      <c r="V229"/>
      <c r="W229">
        <v>7800</v>
      </c>
      <c r="X229" t="s">
        <v>184</v>
      </c>
      <c r="Y229"/>
      <c r="Z229"/>
      <c r="AA229">
        <v>1</v>
      </c>
      <c r="AB229">
        <v>25.3</v>
      </c>
      <c r="AC229">
        <v>1.95</v>
      </c>
      <c r="AD229" s="11">
        <f t="shared" si="43"/>
        <v>0.52708333333333335</v>
      </c>
      <c r="AE229" s="11">
        <f>_xlfn.RANK.AVG(Tableau8[[#This Row],[EE ( MJ/m²)]],AD229:AD1384)</f>
        <v>788.5</v>
      </c>
      <c r="AF229" s="11">
        <f t="shared" si="51"/>
        <v>2.6354166666666668E-2</v>
      </c>
      <c r="AG229" s="11">
        <f t="shared" si="53"/>
        <v>4.0625000000000001E-2</v>
      </c>
      <c r="AH229" s="11">
        <f t="shared" si="45"/>
        <v>4.0625000000000001E-2</v>
      </c>
      <c r="AI229" s="11">
        <f t="shared" si="54"/>
        <v>2.0312500000000001E-3</v>
      </c>
      <c r="AJ229" s="11">
        <f t="shared" si="52"/>
        <v>2.0312500000000001E-3</v>
      </c>
    </row>
    <row r="230" spans="1:36" s="36" customFormat="1" x14ac:dyDescent="0.25">
      <c r="A230" s="23" t="s">
        <v>945</v>
      </c>
      <c r="B230" s="4" t="s">
        <v>1239</v>
      </c>
      <c r="C230" s="23" t="s">
        <v>12</v>
      </c>
      <c r="D230" s="4" t="s">
        <v>938</v>
      </c>
      <c r="E230" t="s">
        <v>1240</v>
      </c>
      <c r="F230" t="s">
        <v>360</v>
      </c>
      <c r="G230" t="s">
        <v>251</v>
      </c>
      <c r="H230">
        <v>48</v>
      </c>
      <c r="I230">
        <v>20</v>
      </c>
      <c r="J230" t="s">
        <v>109</v>
      </c>
      <c r="K230" t="s">
        <v>17</v>
      </c>
      <c r="L230" t="s">
        <v>1206</v>
      </c>
      <c r="M230" t="s">
        <v>12</v>
      </c>
      <c r="N230" t="s">
        <v>12</v>
      </c>
      <c r="O230"/>
      <c r="P230"/>
      <c r="Q230"/>
      <c r="R230" s="20" t="s">
        <v>175</v>
      </c>
      <c r="S230"/>
      <c r="T230">
        <v>1</v>
      </c>
      <c r="U230" t="s">
        <v>175</v>
      </c>
      <c r="V230"/>
      <c r="W230">
        <v>7800</v>
      </c>
      <c r="X230" t="s">
        <v>184</v>
      </c>
      <c r="Y230"/>
      <c r="Z230"/>
      <c r="AA230">
        <v>4</v>
      </c>
      <c r="AB230">
        <v>25.3</v>
      </c>
      <c r="AC230">
        <v>1.95</v>
      </c>
      <c r="AD230" s="11">
        <f t="shared" si="43"/>
        <v>2.1083333333333334</v>
      </c>
      <c r="AE230" s="11">
        <f>_xlfn.RANK.AVG(Tableau8[[#This Row],[EE ( MJ/m²)]],AD230:AD1385)</f>
        <v>668</v>
      </c>
      <c r="AF230" s="11">
        <f t="shared" si="51"/>
        <v>0.10541666666666667</v>
      </c>
      <c r="AG230" s="11">
        <f t="shared" si="53"/>
        <v>0.16250000000000001</v>
      </c>
      <c r="AH230" s="11">
        <f t="shared" si="45"/>
        <v>0.16250000000000001</v>
      </c>
      <c r="AI230" s="11">
        <f t="shared" si="54"/>
        <v>8.1250000000000003E-3</v>
      </c>
      <c r="AJ230" s="11">
        <f t="shared" si="52"/>
        <v>8.1250000000000003E-3</v>
      </c>
    </row>
    <row r="231" spans="1:36" x14ac:dyDescent="0.25">
      <c r="A231" s="23" t="s">
        <v>945</v>
      </c>
      <c r="B231" s="4" t="s">
        <v>1239</v>
      </c>
      <c r="C231" s="23" t="s">
        <v>12</v>
      </c>
      <c r="D231" s="4" t="s">
        <v>938</v>
      </c>
      <c r="E231" t="s">
        <v>1240</v>
      </c>
      <c r="F231" t="s">
        <v>360</v>
      </c>
      <c r="G231" t="s">
        <v>251</v>
      </c>
      <c r="H231">
        <v>48</v>
      </c>
      <c r="I231">
        <v>20</v>
      </c>
      <c r="J231" t="s">
        <v>109</v>
      </c>
      <c r="K231" t="s">
        <v>17</v>
      </c>
      <c r="L231" t="s">
        <v>1207</v>
      </c>
      <c r="M231" t="s">
        <v>12</v>
      </c>
      <c r="N231" t="s">
        <v>12</v>
      </c>
      <c r="R231" s="20" t="s">
        <v>175</v>
      </c>
      <c r="T231">
        <v>1</v>
      </c>
      <c r="U231" t="s">
        <v>175</v>
      </c>
      <c r="W231">
        <v>7800</v>
      </c>
      <c r="X231" t="s">
        <v>184</v>
      </c>
      <c r="AA231">
        <v>0.3</v>
      </c>
      <c r="AB231">
        <v>25.3</v>
      </c>
      <c r="AC231">
        <v>1.95</v>
      </c>
      <c r="AD231" s="11">
        <f t="shared" si="43"/>
        <v>0.15812499999999999</v>
      </c>
      <c r="AE231" s="11">
        <f>_xlfn.RANK.AVG(Tableau8[[#This Row],[EE ( MJ/m²)]],AD231:AD1386)</f>
        <v>844</v>
      </c>
      <c r="AF231" s="11">
        <f t="shared" si="51"/>
        <v>7.9062500000000001E-3</v>
      </c>
      <c r="AG231" s="11">
        <f t="shared" si="53"/>
        <v>1.2187499999999999E-2</v>
      </c>
      <c r="AH231" s="11">
        <f t="shared" si="45"/>
        <v>1.2187499999999999E-2</v>
      </c>
      <c r="AI231" s="11">
        <f t="shared" si="54"/>
        <v>6.0937499999999989E-4</v>
      </c>
      <c r="AJ231" s="11">
        <f t="shared" si="52"/>
        <v>6.0937499999999989E-4</v>
      </c>
    </row>
    <row r="232" spans="1:36" x14ac:dyDescent="0.25">
      <c r="A232" s="23" t="s">
        <v>945</v>
      </c>
      <c r="B232" s="4" t="s">
        <v>1239</v>
      </c>
      <c r="C232" s="23" t="s">
        <v>12</v>
      </c>
      <c r="D232" s="4" t="s">
        <v>938</v>
      </c>
      <c r="E232" t="s">
        <v>1240</v>
      </c>
      <c r="F232" t="s">
        <v>360</v>
      </c>
      <c r="G232" t="s">
        <v>251</v>
      </c>
      <c r="H232">
        <v>48</v>
      </c>
      <c r="I232">
        <v>20</v>
      </c>
      <c r="J232" t="s">
        <v>109</v>
      </c>
      <c r="K232" t="s">
        <v>17</v>
      </c>
      <c r="L232" t="s">
        <v>1208</v>
      </c>
      <c r="M232" t="s">
        <v>12</v>
      </c>
      <c r="N232" t="s">
        <v>12</v>
      </c>
      <c r="R232" s="20" t="s">
        <v>175</v>
      </c>
      <c r="T232">
        <v>1</v>
      </c>
      <c r="U232" t="s">
        <v>175</v>
      </c>
      <c r="W232">
        <v>7800</v>
      </c>
      <c r="X232" t="s">
        <v>184</v>
      </c>
      <c r="AA232">
        <v>0.1</v>
      </c>
      <c r="AB232">
        <v>25.3</v>
      </c>
      <c r="AC232">
        <v>1.95</v>
      </c>
      <c r="AD232" s="11">
        <f t="shared" si="43"/>
        <v>5.2708333333333336E-2</v>
      </c>
      <c r="AE232" s="11">
        <f>_xlfn.RANK.AVG(Tableau8[[#This Row],[EE ( MJ/m²)]],AD232:AD1387)</f>
        <v>864</v>
      </c>
      <c r="AF232" s="11">
        <f t="shared" si="51"/>
        <v>2.635416666666667E-3</v>
      </c>
      <c r="AG232" s="11">
        <f t="shared" si="53"/>
        <v>4.0625000000000001E-3</v>
      </c>
      <c r="AH232" s="11">
        <f t="shared" si="45"/>
        <v>4.0625000000000001E-3</v>
      </c>
      <c r="AI232" s="11">
        <f t="shared" si="54"/>
        <v>2.0312500000000002E-4</v>
      </c>
      <c r="AJ232" s="11">
        <f t="shared" si="52"/>
        <v>2.0312500000000002E-4</v>
      </c>
    </row>
    <row r="233" spans="1:36" x14ac:dyDescent="0.25">
      <c r="A233" s="23" t="s">
        <v>945</v>
      </c>
      <c r="B233" s="4" t="s">
        <v>1239</v>
      </c>
      <c r="C233" s="23" t="s">
        <v>12</v>
      </c>
      <c r="D233" s="4" t="s">
        <v>938</v>
      </c>
      <c r="E233" t="s">
        <v>1240</v>
      </c>
      <c r="F233" t="s">
        <v>360</v>
      </c>
      <c r="G233" t="s">
        <v>251</v>
      </c>
      <c r="H233">
        <v>48</v>
      </c>
      <c r="I233">
        <v>20</v>
      </c>
      <c r="J233" t="s">
        <v>109</v>
      </c>
      <c r="K233" t="s">
        <v>17</v>
      </c>
      <c r="L233" t="s">
        <v>1209</v>
      </c>
      <c r="M233" t="s">
        <v>12</v>
      </c>
      <c r="N233" t="s">
        <v>12</v>
      </c>
      <c r="R233" s="20" t="s">
        <v>175</v>
      </c>
      <c r="T233">
        <v>1</v>
      </c>
      <c r="U233" t="s">
        <v>175</v>
      </c>
      <c r="W233">
        <v>7800</v>
      </c>
      <c r="X233" t="s">
        <v>184</v>
      </c>
      <c r="AA233">
        <v>1</v>
      </c>
      <c r="AB233">
        <v>25.3</v>
      </c>
      <c r="AC233">
        <v>1.95</v>
      </c>
      <c r="AD233" s="11">
        <f t="shared" si="43"/>
        <v>0.52708333333333335</v>
      </c>
      <c r="AE233" s="11">
        <f>_xlfn.RANK.AVG(Tableau8[[#This Row],[EE ( MJ/m²)]],AD233:AD1388)</f>
        <v>787</v>
      </c>
      <c r="AF233" s="11">
        <f t="shared" si="51"/>
        <v>2.6354166666666668E-2</v>
      </c>
      <c r="AG233" s="11">
        <f t="shared" si="53"/>
        <v>4.0625000000000001E-2</v>
      </c>
      <c r="AH233" s="11">
        <f t="shared" si="45"/>
        <v>4.0625000000000001E-2</v>
      </c>
      <c r="AI233" s="11">
        <f t="shared" si="54"/>
        <v>2.0312500000000001E-3</v>
      </c>
      <c r="AJ233" s="11">
        <f t="shared" si="52"/>
        <v>2.0312500000000001E-3</v>
      </c>
    </row>
    <row r="234" spans="1:36" x14ac:dyDescent="0.25">
      <c r="A234" s="23" t="s">
        <v>945</v>
      </c>
      <c r="B234" s="4" t="s">
        <v>1239</v>
      </c>
      <c r="C234" s="23" t="s">
        <v>12</v>
      </c>
      <c r="D234" s="4" t="s">
        <v>938</v>
      </c>
      <c r="E234" t="s">
        <v>1240</v>
      </c>
      <c r="F234" t="s">
        <v>360</v>
      </c>
      <c r="G234" t="s">
        <v>251</v>
      </c>
      <c r="H234">
        <v>48</v>
      </c>
      <c r="I234">
        <v>20</v>
      </c>
      <c r="J234" t="s">
        <v>109</v>
      </c>
      <c r="K234" t="s">
        <v>17</v>
      </c>
      <c r="L234" t="s">
        <v>1212</v>
      </c>
      <c r="M234" t="s">
        <v>12</v>
      </c>
      <c r="N234" t="s">
        <v>12</v>
      </c>
      <c r="R234" s="20" t="s">
        <v>175</v>
      </c>
      <c r="T234">
        <v>1</v>
      </c>
      <c r="U234" t="s">
        <v>175</v>
      </c>
      <c r="W234">
        <v>7800</v>
      </c>
      <c r="X234" t="s">
        <v>184</v>
      </c>
      <c r="AA234">
        <v>2</v>
      </c>
      <c r="AB234">
        <v>25.3</v>
      </c>
      <c r="AC234">
        <v>1.95</v>
      </c>
      <c r="AD234" s="11">
        <f t="shared" ref="AD234:AD297" si="55">AB234*AA234/H234</f>
        <v>1.0541666666666667</v>
      </c>
      <c r="AE234" s="11">
        <f>_xlfn.RANK.AVG(Tableau8[[#This Row],[EE ( MJ/m²)]],AD234:AD1389)</f>
        <v>735</v>
      </c>
      <c r="AF234" s="11">
        <f t="shared" ref="AF234:AF265" si="56">AB234*AA234/H234/I234</f>
        <v>5.2708333333333336E-2</v>
      </c>
      <c r="AG234" s="11">
        <f t="shared" si="53"/>
        <v>8.1250000000000003E-2</v>
      </c>
      <c r="AH234" s="11">
        <f t="shared" ref="AH234:AH297" si="57">AC234*AA234/H234</f>
        <v>8.1250000000000003E-2</v>
      </c>
      <c r="AI234" s="11">
        <f t="shared" si="54"/>
        <v>4.0625000000000001E-3</v>
      </c>
      <c r="AJ234" s="11">
        <f t="shared" ref="AJ234:AJ265" si="58">AC234*AA234/H234/I234</f>
        <v>4.0625000000000001E-3</v>
      </c>
    </row>
    <row r="235" spans="1:36" x14ac:dyDescent="0.25">
      <c r="A235" s="23" t="s">
        <v>945</v>
      </c>
      <c r="B235" s="4" t="s">
        <v>1239</v>
      </c>
      <c r="C235" s="23" t="s">
        <v>12</v>
      </c>
      <c r="D235" s="4" t="s">
        <v>938</v>
      </c>
      <c r="E235" t="s">
        <v>1240</v>
      </c>
      <c r="F235" t="s">
        <v>360</v>
      </c>
      <c r="G235" t="s">
        <v>251</v>
      </c>
      <c r="H235">
        <v>48</v>
      </c>
      <c r="I235">
        <v>20</v>
      </c>
      <c r="J235" t="s">
        <v>109</v>
      </c>
      <c r="K235" t="s">
        <v>17</v>
      </c>
      <c r="L235" t="s">
        <v>1210</v>
      </c>
      <c r="M235" t="s">
        <v>12</v>
      </c>
      <c r="N235" t="s">
        <v>12</v>
      </c>
      <c r="R235" s="20" t="s">
        <v>175</v>
      </c>
      <c r="T235">
        <v>1</v>
      </c>
      <c r="U235" t="s">
        <v>175</v>
      </c>
      <c r="W235">
        <v>7800</v>
      </c>
      <c r="X235" t="s">
        <v>184</v>
      </c>
      <c r="AA235">
        <v>15</v>
      </c>
      <c r="AB235">
        <v>25.3</v>
      </c>
      <c r="AC235">
        <v>1.95</v>
      </c>
      <c r="AD235" s="11">
        <f t="shared" si="55"/>
        <v>7.90625</v>
      </c>
      <c r="AE235" s="11">
        <f>_xlfn.RANK.AVG(Tableau8[[#This Row],[EE ( MJ/m²)]],AD235:AD1390)</f>
        <v>481</v>
      </c>
      <c r="AF235" s="11">
        <f t="shared" si="56"/>
        <v>0.39531250000000001</v>
      </c>
      <c r="AG235" s="11">
        <f t="shared" si="53"/>
        <v>0.609375</v>
      </c>
      <c r="AH235" s="11">
        <f t="shared" si="57"/>
        <v>0.609375</v>
      </c>
      <c r="AI235" s="11">
        <f t="shared" si="54"/>
        <v>3.0468749999999999E-2</v>
      </c>
      <c r="AJ235" s="11">
        <f t="shared" si="58"/>
        <v>3.0468749999999999E-2</v>
      </c>
    </row>
    <row r="236" spans="1:36" x14ac:dyDescent="0.25">
      <c r="A236" s="23" t="s">
        <v>945</v>
      </c>
      <c r="B236" s="4" t="s">
        <v>1239</v>
      </c>
      <c r="C236" s="23" t="s">
        <v>386</v>
      </c>
      <c r="D236" s="4" t="s">
        <v>938</v>
      </c>
      <c r="E236" t="s">
        <v>1240</v>
      </c>
      <c r="F236" t="s">
        <v>360</v>
      </c>
      <c r="G236" t="s">
        <v>251</v>
      </c>
      <c r="H236">
        <v>48</v>
      </c>
      <c r="I236">
        <v>20</v>
      </c>
      <c r="J236" t="s">
        <v>56</v>
      </c>
      <c r="K236" t="s">
        <v>29</v>
      </c>
      <c r="L236" s="3" t="s">
        <v>1213</v>
      </c>
      <c r="M236" t="s">
        <v>1231</v>
      </c>
      <c r="N236" t="s">
        <v>497</v>
      </c>
      <c r="R236" s="20" t="s">
        <v>175</v>
      </c>
      <c r="T236">
        <v>1</v>
      </c>
      <c r="U236" t="s">
        <v>175</v>
      </c>
      <c r="W236">
        <v>1460</v>
      </c>
      <c r="X236" t="s">
        <v>184</v>
      </c>
      <c r="AA236">
        <v>0.14400000000000002</v>
      </c>
      <c r="AB236">
        <v>0.45</v>
      </c>
      <c r="AC236">
        <v>2.4E-2</v>
      </c>
      <c r="AD236" s="11">
        <f t="shared" si="55"/>
        <v>1.3500000000000003E-3</v>
      </c>
      <c r="AE236" s="11">
        <f>_xlfn.RANK.AVG(Tableau8[[#This Row],[EE ( MJ/m²)]],AD236:AD1391)</f>
        <v>916</v>
      </c>
      <c r="AF236" s="11">
        <f t="shared" si="56"/>
        <v>6.7500000000000014E-5</v>
      </c>
      <c r="AG236" s="11">
        <f t="shared" si="53"/>
        <v>7.2000000000000002E-5</v>
      </c>
      <c r="AH236" s="11">
        <f t="shared" si="57"/>
        <v>7.2000000000000002E-5</v>
      </c>
      <c r="AI236" s="11">
        <f t="shared" si="54"/>
        <v>3.6000000000000003E-6</v>
      </c>
      <c r="AJ236" s="11">
        <f t="shared" si="58"/>
        <v>3.6000000000000003E-6</v>
      </c>
    </row>
    <row r="237" spans="1:36" x14ac:dyDescent="0.25">
      <c r="A237" s="23" t="s">
        <v>945</v>
      </c>
      <c r="B237" s="4" t="s">
        <v>1239</v>
      </c>
      <c r="C237" s="23" t="s">
        <v>386</v>
      </c>
      <c r="D237" s="4" t="s">
        <v>938</v>
      </c>
      <c r="E237" t="s">
        <v>1240</v>
      </c>
      <c r="F237" t="s">
        <v>360</v>
      </c>
      <c r="G237" t="s">
        <v>251</v>
      </c>
      <c r="H237">
        <v>48</v>
      </c>
      <c r="I237">
        <v>20</v>
      </c>
      <c r="J237" t="s">
        <v>56</v>
      </c>
      <c r="K237" t="s">
        <v>386</v>
      </c>
      <c r="L237" s="3" t="s">
        <v>1214</v>
      </c>
      <c r="M237" t="s">
        <v>69</v>
      </c>
      <c r="N237" t="s">
        <v>69</v>
      </c>
      <c r="P237">
        <f>48*0.06</f>
        <v>2.88</v>
      </c>
      <c r="Q237" t="s">
        <v>180</v>
      </c>
      <c r="R237" t="s">
        <v>175</v>
      </c>
      <c r="T237">
        <v>1</v>
      </c>
      <c r="U237" t="s">
        <v>175</v>
      </c>
      <c r="W237">
        <v>1460</v>
      </c>
      <c r="X237" t="s">
        <v>184</v>
      </c>
      <c r="AA237" s="13">
        <v>4204.8</v>
      </c>
      <c r="AB237">
        <v>0.45</v>
      </c>
      <c r="AC237">
        <v>2.4E-2</v>
      </c>
      <c r="AD237" s="11">
        <f t="shared" si="55"/>
        <v>39.42</v>
      </c>
      <c r="AE237" s="11">
        <f>_xlfn.RANK.AVG(Tableau8[[#This Row],[EE ( MJ/m²)]],AD237:AD1392)</f>
        <v>225</v>
      </c>
      <c r="AF237" s="11">
        <f t="shared" si="56"/>
        <v>1.9710000000000001</v>
      </c>
      <c r="AG237" s="11">
        <f t="shared" si="53"/>
        <v>2.1024000000000003</v>
      </c>
      <c r="AH237" s="11">
        <f t="shared" si="57"/>
        <v>2.1024000000000003</v>
      </c>
      <c r="AI237" s="11">
        <f t="shared" si="54"/>
        <v>0.10512000000000002</v>
      </c>
      <c r="AJ237" s="11">
        <f t="shared" si="58"/>
        <v>0.10512000000000002</v>
      </c>
    </row>
    <row r="238" spans="1:36" x14ac:dyDescent="0.25">
      <c r="A238" s="23" t="s">
        <v>945</v>
      </c>
      <c r="B238" s="4" t="s">
        <v>1239</v>
      </c>
      <c r="C238" s="23" t="s">
        <v>14</v>
      </c>
      <c r="D238" s="4" t="s">
        <v>938</v>
      </c>
      <c r="E238" t="s">
        <v>1240</v>
      </c>
      <c r="F238" t="s">
        <v>360</v>
      </c>
      <c r="G238" t="s">
        <v>251</v>
      </c>
      <c r="H238">
        <v>48</v>
      </c>
      <c r="I238">
        <v>20</v>
      </c>
      <c r="J238" s="20" t="s">
        <v>56</v>
      </c>
      <c r="K238" t="s">
        <v>14</v>
      </c>
      <c r="L238" s="21" t="s">
        <v>1215</v>
      </c>
      <c r="M238" s="20" t="s">
        <v>14</v>
      </c>
      <c r="N238" s="20" t="s">
        <v>111</v>
      </c>
      <c r="P238" s="20"/>
      <c r="Q238" s="20"/>
      <c r="R238" s="20" t="s">
        <v>175</v>
      </c>
      <c r="T238">
        <v>1</v>
      </c>
      <c r="U238" t="s">
        <v>175</v>
      </c>
      <c r="W238" s="25">
        <v>1380</v>
      </c>
      <c r="X238" s="20" t="s">
        <v>184</v>
      </c>
      <c r="AA238" s="20">
        <v>10</v>
      </c>
      <c r="AB238" s="20">
        <v>35.6</v>
      </c>
      <c r="AC238">
        <v>3.31</v>
      </c>
      <c r="AD238" s="11">
        <f t="shared" si="55"/>
        <v>7.416666666666667</v>
      </c>
      <c r="AE238" s="11">
        <f>_xlfn.RANK.AVG(Tableau8[[#This Row],[EE ( MJ/m²)]],AD238:AD1393)</f>
        <v>490</v>
      </c>
      <c r="AF238" s="11">
        <f t="shared" si="56"/>
        <v>0.37083333333333335</v>
      </c>
      <c r="AG238" s="11">
        <f t="shared" si="53"/>
        <v>0.68958333333333333</v>
      </c>
      <c r="AH238" s="11">
        <f t="shared" si="57"/>
        <v>0.68958333333333333</v>
      </c>
      <c r="AI238" s="11">
        <f t="shared" si="54"/>
        <v>3.4479166666666665E-2</v>
      </c>
      <c r="AJ238" s="11">
        <f t="shared" si="58"/>
        <v>3.4479166666666665E-2</v>
      </c>
    </row>
    <row r="239" spans="1:36" x14ac:dyDescent="0.25">
      <c r="A239" s="23" t="s">
        <v>945</v>
      </c>
      <c r="B239" s="4" t="s">
        <v>1239</v>
      </c>
      <c r="C239" s="23" t="s">
        <v>386</v>
      </c>
      <c r="D239" s="4" t="s">
        <v>938</v>
      </c>
      <c r="E239" t="s">
        <v>1240</v>
      </c>
      <c r="F239" t="s">
        <v>360</v>
      </c>
      <c r="G239" t="s">
        <v>251</v>
      </c>
      <c r="H239">
        <v>48</v>
      </c>
      <c r="I239">
        <v>20</v>
      </c>
      <c r="J239" t="s">
        <v>56</v>
      </c>
      <c r="K239" t="s">
        <v>386</v>
      </c>
      <c r="L239" s="3" t="s">
        <v>1216</v>
      </c>
      <c r="N239" t="s">
        <v>435</v>
      </c>
      <c r="P239">
        <v>1.87</v>
      </c>
      <c r="Q239" t="s">
        <v>180</v>
      </c>
      <c r="R239" t="s">
        <v>175</v>
      </c>
      <c r="T239">
        <v>1</v>
      </c>
      <c r="U239" t="s">
        <v>175</v>
      </c>
      <c r="W239">
        <v>1460</v>
      </c>
      <c r="X239" t="s">
        <v>184</v>
      </c>
      <c r="AA239" s="13">
        <v>2730.2000000000003</v>
      </c>
      <c r="AB239">
        <v>0.45</v>
      </c>
      <c r="AC239">
        <v>2.4E-2</v>
      </c>
      <c r="AD239" s="11">
        <f t="shared" si="55"/>
        <v>25.595625000000002</v>
      </c>
      <c r="AE239" s="11">
        <f>_xlfn.RANK.AVG(Tableau8[[#This Row],[EE ( MJ/m²)]],AD239:AD1394)</f>
        <v>294</v>
      </c>
      <c r="AF239" s="11">
        <f t="shared" si="56"/>
        <v>1.2797812500000001</v>
      </c>
      <c r="AG239" s="11">
        <f t="shared" si="53"/>
        <v>1.3651000000000002</v>
      </c>
      <c r="AH239" s="11">
        <f t="shared" si="57"/>
        <v>1.3651000000000002</v>
      </c>
      <c r="AI239" s="11">
        <f t="shared" si="54"/>
        <v>6.825500000000001E-2</v>
      </c>
      <c r="AJ239" s="11">
        <f t="shared" si="58"/>
        <v>6.825500000000001E-2</v>
      </c>
    </row>
    <row r="240" spans="1:36" x14ac:dyDescent="0.25">
      <c r="A240" s="23" t="s">
        <v>945</v>
      </c>
      <c r="B240" s="4" t="s">
        <v>1239</v>
      </c>
      <c r="C240" s="23" t="s">
        <v>15</v>
      </c>
      <c r="D240" s="4" t="s">
        <v>938</v>
      </c>
      <c r="E240" t="s">
        <v>1240</v>
      </c>
      <c r="F240" t="s">
        <v>360</v>
      </c>
      <c r="G240" t="s">
        <v>251</v>
      </c>
      <c r="H240">
        <v>48</v>
      </c>
      <c r="I240">
        <v>20</v>
      </c>
      <c r="J240" t="s">
        <v>42</v>
      </c>
      <c r="K240" t="s">
        <v>15</v>
      </c>
      <c r="L240" s="3" t="s">
        <v>1217</v>
      </c>
      <c r="N240" t="s">
        <v>15</v>
      </c>
      <c r="P240">
        <v>0.24</v>
      </c>
      <c r="Q240" t="s">
        <v>180</v>
      </c>
      <c r="R240" t="s">
        <v>175</v>
      </c>
      <c r="T240">
        <v>1</v>
      </c>
      <c r="U240" t="s">
        <v>175</v>
      </c>
      <c r="W240">
        <v>510</v>
      </c>
      <c r="X240" t="s">
        <v>184</v>
      </c>
      <c r="AA240" s="13">
        <v>122.39999999999999</v>
      </c>
      <c r="AB240">
        <v>5.6</v>
      </c>
      <c r="AC240">
        <v>0.72</v>
      </c>
      <c r="AD240" s="11">
        <f t="shared" si="55"/>
        <v>14.28</v>
      </c>
      <c r="AE240" s="11">
        <f>_xlfn.RANK.AVG(Tableau8[[#This Row],[EE ( MJ/m²)]],AD240:AD1395)</f>
        <v>388</v>
      </c>
      <c r="AF240" s="11">
        <f t="shared" si="56"/>
        <v>0.71399999999999997</v>
      </c>
      <c r="AG240" s="11">
        <f>(AC240-0.41)*AA240/H240</f>
        <v>0.79049999999999987</v>
      </c>
      <c r="AH240" s="11">
        <f t="shared" si="57"/>
        <v>1.8359999999999996</v>
      </c>
      <c r="AI240" s="11">
        <f>(AC240-0.41)*AA240/H240/I240</f>
        <v>3.9524999999999991E-2</v>
      </c>
      <c r="AJ240" s="11">
        <f t="shared" si="58"/>
        <v>9.1799999999999979E-2</v>
      </c>
    </row>
    <row r="241" spans="1:36" x14ac:dyDescent="0.25">
      <c r="A241" s="23" t="s">
        <v>945</v>
      </c>
      <c r="B241" s="4" t="s">
        <v>1239</v>
      </c>
      <c r="C241" s="23" t="s">
        <v>362</v>
      </c>
      <c r="D241" s="4" t="s">
        <v>938</v>
      </c>
      <c r="E241" t="s">
        <v>1240</v>
      </c>
      <c r="F241" t="s">
        <v>360</v>
      </c>
      <c r="G241" t="s">
        <v>251</v>
      </c>
      <c r="H241">
        <v>48</v>
      </c>
      <c r="I241">
        <v>20</v>
      </c>
      <c r="J241" t="s">
        <v>1095</v>
      </c>
      <c r="K241" t="s">
        <v>386</v>
      </c>
      <c r="L241" s="3" t="s">
        <v>1230</v>
      </c>
      <c r="M241" t="s">
        <v>362</v>
      </c>
      <c r="N241" t="s">
        <v>430</v>
      </c>
      <c r="P241">
        <v>37</v>
      </c>
      <c r="Q241" t="s">
        <v>180</v>
      </c>
      <c r="R241" t="s">
        <v>175</v>
      </c>
      <c r="T241">
        <v>1</v>
      </c>
      <c r="U241" t="s">
        <v>175</v>
      </c>
      <c r="W241">
        <v>1460</v>
      </c>
      <c r="X241" t="s">
        <v>184</v>
      </c>
      <c r="AA241" s="13">
        <v>55363.200000000004</v>
      </c>
      <c r="AB241">
        <v>0.45</v>
      </c>
      <c r="AC241">
        <v>2.4E-2</v>
      </c>
      <c r="AD241" s="11">
        <f t="shared" si="55"/>
        <v>519.03000000000009</v>
      </c>
      <c r="AE241" s="11">
        <f>_xlfn.RANK.AVG(Tableau8[[#This Row],[EE ( MJ/m²)]],AD241:AD1396)</f>
        <v>24</v>
      </c>
      <c r="AF241" s="11">
        <f t="shared" si="56"/>
        <v>25.951500000000003</v>
      </c>
      <c r="AG241" s="11">
        <f>(AC241)*AA241/H241</f>
        <v>27.681600000000003</v>
      </c>
      <c r="AH241" s="11">
        <f t="shared" si="57"/>
        <v>27.681600000000003</v>
      </c>
      <c r="AI241" s="11">
        <f>(AC241)*AA241/H241/I241</f>
        <v>1.3840800000000002</v>
      </c>
      <c r="AJ241" s="11">
        <f t="shared" si="58"/>
        <v>1.3840800000000002</v>
      </c>
    </row>
    <row r="242" spans="1:36" x14ac:dyDescent="0.25">
      <c r="A242" s="23" t="s">
        <v>945</v>
      </c>
      <c r="B242" s="4" t="s">
        <v>1239</v>
      </c>
      <c r="C242" s="23" t="s">
        <v>362</v>
      </c>
      <c r="D242" s="4" t="s">
        <v>938</v>
      </c>
      <c r="E242" t="s">
        <v>1240</v>
      </c>
      <c r="F242" t="s">
        <v>360</v>
      </c>
      <c r="G242" t="s">
        <v>251</v>
      </c>
      <c r="H242">
        <v>48</v>
      </c>
      <c r="I242">
        <v>20</v>
      </c>
      <c r="J242" t="s">
        <v>13</v>
      </c>
      <c r="K242" t="s">
        <v>362</v>
      </c>
      <c r="L242" s="3" t="s">
        <v>1230</v>
      </c>
      <c r="M242" t="s">
        <v>362</v>
      </c>
      <c r="N242" t="s">
        <v>430</v>
      </c>
      <c r="P242">
        <v>4</v>
      </c>
      <c r="Q242" t="s">
        <v>180</v>
      </c>
      <c r="R242" t="s">
        <v>175</v>
      </c>
      <c r="T242">
        <v>1</v>
      </c>
      <c r="U242" t="s">
        <v>175</v>
      </c>
      <c r="W242">
        <v>2880</v>
      </c>
      <c r="X242" t="s">
        <v>184</v>
      </c>
      <c r="AA242" s="13">
        <v>11520</v>
      </c>
      <c r="AB242">
        <v>1.26</v>
      </c>
      <c r="AC242">
        <v>7.9000000000000001E-2</v>
      </c>
      <c r="AD242" s="11">
        <f t="shared" si="55"/>
        <v>302.40000000000003</v>
      </c>
      <c r="AE242" s="11">
        <f>_xlfn.RANK.AVG(Tableau8[[#This Row],[EE ( MJ/m²)]],AD242:AD1397)</f>
        <v>43</v>
      </c>
      <c r="AF242" s="11">
        <f t="shared" si="56"/>
        <v>15.120000000000001</v>
      </c>
      <c r="AG242" s="11">
        <f>(AC242)*AA242/H242</f>
        <v>18.96</v>
      </c>
      <c r="AH242" s="11">
        <f t="shared" si="57"/>
        <v>18.96</v>
      </c>
      <c r="AI242" s="11">
        <f>(AC242)*AA242/H242/I242</f>
        <v>0.94800000000000006</v>
      </c>
      <c r="AJ242" s="11">
        <f t="shared" si="58"/>
        <v>0.94800000000000006</v>
      </c>
    </row>
    <row r="243" spans="1:36" x14ac:dyDescent="0.25">
      <c r="A243" s="23" t="s">
        <v>945</v>
      </c>
      <c r="B243" s="4" t="s">
        <v>1239</v>
      </c>
      <c r="C243" s="23" t="s">
        <v>15</v>
      </c>
      <c r="D243" s="4" t="s">
        <v>938</v>
      </c>
      <c r="E243" t="s">
        <v>1240</v>
      </c>
      <c r="F243" t="s">
        <v>360</v>
      </c>
      <c r="G243" t="s">
        <v>251</v>
      </c>
      <c r="H243">
        <v>48</v>
      </c>
      <c r="I243">
        <v>20</v>
      </c>
      <c r="J243" t="s">
        <v>40</v>
      </c>
      <c r="K243" t="s">
        <v>15</v>
      </c>
      <c r="L243" s="3" t="s">
        <v>1219</v>
      </c>
      <c r="N243" t="s">
        <v>15</v>
      </c>
      <c r="P243">
        <v>0.106</v>
      </c>
      <c r="Q243" t="s">
        <v>180</v>
      </c>
      <c r="R243" t="s">
        <v>175</v>
      </c>
      <c r="T243">
        <v>1</v>
      </c>
      <c r="U243" t="s">
        <v>175</v>
      </c>
      <c r="W243">
        <v>510</v>
      </c>
      <c r="X243" t="s">
        <v>184</v>
      </c>
      <c r="AA243" s="13">
        <v>54.059999999999995</v>
      </c>
      <c r="AB243">
        <v>5.6</v>
      </c>
      <c r="AC243">
        <v>0.72</v>
      </c>
      <c r="AD243" s="11">
        <f t="shared" si="55"/>
        <v>6.3069999999999986</v>
      </c>
      <c r="AE243" s="11">
        <f>_xlfn.RANK.AVG(Tableau8[[#This Row],[EE ( MJ/m²)]],AD243:AD1398)</f>
        <v>525</v>
      </c>
      <c r="AF243" s="11">
        <f t="shared" si="56"/>
        <v>0.31534999999999991</v>
      </c>
      <c r="AG243" s="11">
        <f>(AC243-0.41)*AA243/H243</f>
        <v>0.34913749999999993</v>
      </c>
      <c r="AH243" s="11">
        <f t="shared" si="57"/>
        <v>0.81089999999999984</v>
      </c>
      <c r="AI243" s="11">
        <f>(AC243-0.41)*AA243/H243/I243</f>
        <v>1.7456874999999997E-2</v>
      </c>
      <c r="AJ243" s="11">
        <f t="shared" si="58"/>
        <v>4.0544999999999991E-2</v>
      </c>
    </row>
    <row r="244" spans="1:36" x14ac:dyDescent="0.25">
      <c r="A244" s="23" t="s">
        <v>945</v>
      </c>
      <c r="B244" s="4" t="s">
        <v>1239</v>
      </c>
      <c r="C244" s="23" t="s">
        <v>15</v>
      </c>
      <c r="D244" s="4" t="s">
        <v>938</v>
      </c>
      <c r="E244" t="s">
        <v>1240</v>
      </c>
      <c r="F244" t="s">
        <v>360</v>
      </c>
      <c r="G244" t="s">
        <v>251</v>
      </c>
      <c r="H244">
        <v>48</v>
      </c>
      <c r="I244">
        <v>20</v>
      </c>
      <c r="J244" t="s">
        <v>40</v>
      </c>
      <c r="K244" t="s">
        <v>15</v>
      </c>
      <c r="L244" s="3" t="s">
        <v>1220</v>
      </c>
      <c r="N244" t="s">
        <v>15</v>
      </c>
      <c r="P244">
        <v>0.15</v>
      </c>
      <c r="Q244" t="s">
        <v>180</v>
      </c>
      <c r="R244" t="s">
        <v>175</v>
      </c>
      <c r="T244">
        <v>1</v>
      </c>
      <c r="U244" t="s">
        <v>175</v>
      </c>
      <c r="W244">
        <v>510</v>
      </c>
      <c r="X244" t="s">
        <v>184</v>
      </c>
      <c r="AA244" s="13">
        <v>76.5</v>
      </c>
      <c r="AB244">
        <v>5.6</v>
      </c>
      <c r="AC244">
        <v>0.72</v>
      </c>
      <c r="AD244" s="11">
        <f t="shared" si="55"/>
        <v>8.9249999999999989</v>
      </c>
      <c r="AE244" s="11">
        <f>_xlfn.RANK.AVG(Tableau8[[#This Row],[EE ( MJ/m²)]],AD244:AD1399)</f>
        <v>458</v>
      </c>
      <c r="AF244" s="11">
        <f t="shared" si="56"/>
        <v>0.44624999999999992</v>
      </c>
      <c r="AG244" s="11">
        <f>(AC244-0.41)*AA244/H244</f>
        <v>0.49406250000000002</v>
      </c>
      <c r="AH244" s="11">
        <f t="shared" si="57"/>
        <v>1.1475</v>
      </c>
      <c r="AI244" s="11">
        <f>(AC244-0.41)*AA244/H244/I244</f>
        <v>2.4703124999999999E-2</v>
      </c>
      <c r="AJ244" s="11">
        <f t="shared" si="58"/>
        <v>5.7374999999999995E-2</v>
      </c>
    </row>
    <row r="245" spans="1:36" x14ac:dyDescent="0.25">
      <c r="A245" s="23" t="s">
        <v>945</v>
      </c>
      <c r="B245" s="4" t="s">
        <v>1239</v>
      </c>
      <c r="C245" s="23" t="s">
        <v>15</v>
      </c>
      <c r="D245" s="4" t="s">
        <v>938</v>
      </c>
      <c r="E245" t="s">
        <v>1240</v>
      </c>
      <c r="F245" t="s">
        <v>360</v>
      </c>
      <c r="G245" t="s">
        <v>251</v>
      </c>
      <c r="H245">
        <v>48</v>
      </c>
      <c r="I245">
        <v>20</v>
      </c>
      <c r="J245" t="s">
        <v>40</v>
      </c>
      <c r="K245" t="s">
        <v>15</v>
      </c>
      <c r="L245" s="3" t="s">
        <v>1221</v>
      </c>
      <c r="N245" t="s">
        <v>15</v>
      </c>
      <c r="P245">
        <v>0.18</v>
      </c>
      <c r="Q245" t="s">
        <v>180</v>
      </c>
      <c r="R245" t="s">
        <v>175</v>
      </c>
      <c r="T245">
        <v>1</v>
      </c>
      <c r="U245" t="s">
        <v>175</v>
      </c>
      <c r="W245">
        <v>510</v>
      </c>
      <c r="X245" t="s">
        <v>184</v>
      </c>
      <c r="AA245" s="13">
        <v>91.8</v>
      </c>
      <c r="AB245">
        <v>5.6</v>
      </c>
      <c r="AC245">
        <v>0.72</v>
      </c>
      <c r="AD245" s="11">
        <f t="shared" si="55"/>
        <v>10.709999999999999</v>
      </c>
      <c r="AE245" s="11">
        <f>_xlfn.RANK.AVG(Tableau8[[#This Row],[EE ( MJ/m²)]],AD245:AD1400)</f>
        <v>436</v>
      </c>
      <c r="AF245" s="11">
        <f t="shared" si="56"/>
        <v>0.53549999999999998</v>
      </c>
      <c r="AG245" s="11">
        <f>(AC245-0.41)*AA245/H245</f>
        <v>0.59287499999999993</v>
      </c>
      <c r="AH245" s="11">
        <f t="shared" si="57"/>
        <v>1.3769999999999998</v>
      </c>
      <c r="AI245" s="11">
        <f>(AC245-0.41)*AA245/H245/I245</f>
        <v>2.9643749999999996E-2</v>
      </c>
      <c r="AJ245" s="11">
        <f t="shared" si="58"/>
        <v>6.8849999999999995E-2</v>
      </c>
    </row>
    <row r="246" spans="1:36" x14ac:dyDescent="0.25">
      <c r="A246" s="23" t="s">
        <v>945</v>
      </c>
      <c r="B246" s="4" t="s">
        <v>1239</v>
      </c>
      <c r="C246" s="23" t="s">
        <v>1026</v>
      </c>
      <c r="D246" s="4" t="s">
        <v>938</v>
      </c>
      <c r="E246" t="s">
        <v>1240</v>
      </c>
      <c r="F246" t="s">
        <v>360</v>
      </c>
      <c r="G246" t="s">
        <v>251</v>
      </c>
      <c r="H246">
        <v>48</v>
      </c>
      <c r="I246">
        <v>20</v>
      </c>
      <c r="J246" t="s">
        <v>40</v>
      </c>
      <c r="K246" t="s">
        <v>18</v>
      </c>
      <c r="L246" s="3" t="s">
        <v>1222</v>
      </c>
      <c r="N246" t="s">
        <v>39</v>
      </c>
      <c r="P246">
        <v>7.1999999999999998E-3</v>
      </c>
      <c r="Q246" t="s">
        <v>180</v>
      </c>
      <c r="R246" t="s">
        <v>175</v>
      </c>
      <c r="T246">
        <v>1</v>
      </c>
      <c r="U246" t="s">
        <v>175</v>
      </c>
      <c r="W246">
        <v>2400</v>
      </c>
      <c r="X246" t="s">
        <v>184</v>
      </c>
      <c r="AA246" s="13">
        <v>17.28</v>
      </c>
      <c r="AB246">
        <v>0.75</v>
      </c>
      <c r="AC246">
        <v>0.105</v>
      </c>
      <c r="AD246" s="11">
        <f t="shared" si="55"/>
        <v>0.27</v>
      </c>
      <c r="AE246" s="11">
        <f>_xlfn.RANK.AVG(Tableau8[[#This Row],[EE ( MJ/m²)]],AD246:AD1401)</f>
        <v>820</v>
      </c>
      <c r="AF246" s="11">
        <f t="shared" si="56"/>
        <v>1.3500000000000002E-2</v>
      </c>
      <c r="AG246" s="11">
        <f>(AC246)*AA246/H246</f>
        <v>3.78E-2</v>
      </c>
      <c r="AH246" s="11">
        <f t="shared" si="57"/>
        <v>3.78E-2</v>
      </c>
      <c r="AI246" s="11">
        <f>(AC246)*AA246/H246/I246</f>
        <v>1.89E-3</v>
      </c>
      <c r="AJ246" s="11">
        <f t="shared" si="58"/>
        <v>1.89E-3</v>
      </c>
    </row>
    <row r="247" spans="1:36" x14ac:dyDescent="0.25">
      <c r="A247" s="23" t="s">
        <v>945</v>
      </c>
      <c r="B247" s="4" t="s">
        <v>1239</v>
      </c>
      <c r="C247" s="23" t="s">
        <v>1087</v>
      </c>
      <c r="D247" s="4" t="s">
        <v>938</v>
      </c>
      <c r="E247" t="s">
        <v>1240</v>
      </c>
      <c r="F247" t="s">
        <v>360</v>
      </c>
      <c r="G247" t="s">
        <v>251</v>
      </c>
      <c r="H247">
        <v>48</v>
      </c>
      <c r="I247">
        <v>20</v>
      </c>
      <c r="J247" s="20" t="s">
        <v>40</v>
      </c>
      <c r="K247" t="s">
        <v>41</v>
      </c>
      <c r="L247" s="21" t="s">
        <v>1223</v>
      </c>
      <c r="M247" s="20" t="s">
        <v>1087</v>
      </c>
      <c r="N247" s="20" t="s">
        <v>1087</v>
      </c>
      <c r="P247" s="20">
        <v>1.35E-2</v>
      </c>
      <c r="Q247" s="20" t="s">
        <v>180</v>
      </c>
      <c r="R247" s="20" t="s">
        <v>175</v>
      </c>
      <c r="T247">
        <v>1</v>
      </c>
      <c r="U247" t="s">
        <v>175</v>
      </c>
      <c r="W247" s="20">
        <v>2530</v>
      </c>
      <c r="X247" s="20" t="s">
        <v>184</v>
      </c>
      <c r="AA247" s="24">
        <v>34.155000000000001</v>
      </c>
      <c r="AB247" s="20">
        <v>18</v>
      </c>
      <c r="AC247" s="20">
        <v>10</v>
      </c>
      <c r="AD247" s="11">
        <f t="shared" si="55"/>
        <v>12.808124999999999</v>
      </c>
      <c r="AE247" s="11">
        <f>_xlfn.RANK.AVG(Tableau8[[#This Row],[EE ( MJ/m²)]],AD247:AD1402)</f>
        <v>410</v>
      </c>
      <c r="AF247" s="11">
        <f t="shared" si="56"/>
        <v>0.64040624999999995</v>
      </c>
      <c r="AG247" s="11">
        <f>(AC247)*AA247/H247</f>
        <v>7.1156250000000005</v>
      </c>
      <c r="AH247" s="11">
        <f t="shared" si="57"/>
        <v>7.1156250000000005</v>
      </c>
      <c r="AI247" s="11">
        <f>(AC247)*AA247/H247/I247</f>
        <v>0.35578125000000005</v>
      </c>
      <c r="AJ247" s="11">
        <f t="shared" si="58"/>
        <v>0.35578125000000005</v>
      </c>
    </row>
    <row r="248" spans="1:36" x14ac:dyDescent="0.25">
      <c r="A248" s="23" t="s">
        <v>945</v>
      </c>
      <c r="B248" s="4" t="s">
        <v>1239</v>
      </c>
      <c r="C248" s="23" t="s">
        <v>17</v>
      </c>
      <c r="D248" s="4" t="s">
        <v>938</v>
      </c>
      <c r="E248" t="s">
        <v>1240</v>
      </c>
      <c r="F248" t="s">
        <v>360</v>
      </c>
      <c r="G248" t="s">
        <v>251</v>
      </c>
      <c r="H248">
        <v>48</v>
      </c>
      <c r="I248">
        <v>20</v>
      </c>
      <c r="J248" t="s">
        <v>40</v>
      </c>
      <c r="K248" t="s">
        <v>17</v>
      </c>
      <c r="L248" s="3" t="s">
        <v>1224</v>
      </c>
      <c r="M248" t="s">
        <v>17</v>
      </c>
      <c r="N248" t="s">
        <v>17</v>
      </c>
      <c r="R248" t="s">
        <v>175</v>
      </c>
      <c r="T248">
        <v>1</v>
      </c>
      <c r="U248" t="s">
        <v>175</v>
      </c>
      <c r="W248">
        <v>7700</v>
      </c>
      <c r="X248" t="s">
        <v>184</v>
      </c>
      <c r="AA248" s="13">
        <v>25</v>
      </c>
      <c r="AB248">
        <v>25.3</v>
      </c>
      <c r="AC248">
        <v>1.95</v>
      </c>
      <c r="AD248" s="11">
        <f t="shared" si="55"/>
        <v>13.177083333333334</v>
      </c>
      <c r="AE248" s="11">
        <f>_xlfn.RANK.AVG(Tableau8[[#This Row],[EE ( MJ/m²)]],AD248:AD1403)</f>
        <v>403</v>
      </c>
      <c r="AF248" s="11">
        <f t="shared" si="56"/>
        <v>0.65885416666666674</v>
      </c>
      <c r="AG248" s="11">
        <f>(AC248)*AA248/H248</f>
        <v>1.015625</v>
      </c>
      <c r="AH248" s="11">
        <f t="shared" si="57"/>
        <v>1.015625</v>
      </c>
      <c r="AI248" s="11">
        <f>(AC248)*AA248/H248/I248</f>
        <v>5.078125E-2</v>
      </c>
      <c r="AJ248" s="11">
        <f t="shared" si="58"/>
        <v>5.078125E-2</v>
      </c>
    </row>
    <row r="249" spans="1:36" x14ac:dyDescent="0.25">
      <c r="A249" s="23" t="s">
        <v>945</v>
      </c>
      <c r="B249" s="4" t="s">
        <v>1239</v>
      </c>
      <c r="C249" s="23" t="s">
        <v>15</v>
      </c>
      <c r="D249" s="4" t="s">
        <v>938</v>
      </c>
      <c r="E249" t="s">
        <v>1240</v>
      </c>
      <c r="F249" t="s">
        <v>360</v>
      </c>
      <c r="G249" t="s">
        <v>251</v>
      </c>
      <c r="H249">
        <v>48</v>
      </c>
      <c r="I249">
        <v>20</v>
      </c>
      <c r="J249" t="s">
        <v>56</v>
      </c>
      <c r="K249" t="s">
        <v>15</v>
      </c>
      <c r="L249" s="3" t="s">
        <v>1225</v>
      </c>
      <c r="M249" t="s">
        <v>15</v>
      </c>
      <c r="N249" t="s">
        <v>15</v>
      </c>
      <c r="P249">
        <v>0.18</v>
      </c>
      <c r="Q249" t="s">
        <v>180</v>
      </c>
      <c r="R249" t="s">
        <v>175</v>
      </c>
      <c r="T249">
        <v>1</v>
      </c>
      <c r="U249" t="s">
        <v>175</v>
      </c>
      <c r="W249">
        <v>510</v>
      </c>
      <c r="X249" t="s">
        <v>184</v>
      </c>
      <c r="AA249" s="13">
        <v>91.8</v>
      </c>
      <c r="AB249">
        <v>5.6</v>
      </c>
      <c r="AC249">
        <v>0.72</v>
      </c>
      <c r="AD249" s="11">
        <f t="shared" si="55"/>
        <v>10.709999999999999</v>
      </c>
      <c r="AE249" s="11">
        <f>_xlfn.RANK.AVG(Tableau8[[#This Row],[EE ( MJ/m²)]],AD249:AD1404)</f>
        <v>433.5</v>
      </c>
      <c r="AF249" s="11">
        <f t="shared" si="56"/>
        <v>0.53549999999999998</v>
      </c>
      <c r="AG249" s="11">
        <f>(AC249-0.41)*AA249/H249</f>
        <v>0.59287499999999993</v>
      </c>
      <c r="AH249" s="11">
        <f t="shared" si="57"/>
        <v>1.3769999999999998</v>
      </c>
      <c r="AI249" s="11">
        <f>(AC249-0.41)*AA249/H249/I249</f>
        <v>2.9643749999999996E-2</v>
      </c>
      <c r="AJ249" s="11">
        <f t="shared" si="58"/>
        <v>6.8849999999999995E-2</v>
      </c>
    </row>
    <row r="250" spans="1:36" x14ac:dyDescent="0.25">
      <c r="A250" s="23" t="s">
        <v>945</v>
      </c>
      <c r="B250" s="4" t="s">
        <v>1239</v>
      </c>
      <c r="C250" s="23" t="s">
        <v>15</v>
      </c>
      <c r="D250" s="4" t="s">
        <v>938</v>
      </c>
      <c r="E250" t="s">
        <v>1240</v>
      </c>
      <c r="F250" t="s">
        <v>360</v>
      </c>
      <c r="G250" t="s">
        <v>251</v>
      </c>
      <c r="H250">
        <v>48</v>
      </c>
      <c r="I250">
        <v>20</v>
      </c>
      <c r="J250" t="s">
        <v>56</v>
      </c>
      <c r="K250" t="s">
        <v>15</v>
      </c>
      <c r="L250" s="3" t="s">
        <v>1226</v>
      </c>
      <c r="M250" t="s">
        <v>15</v>
      </c>
      <c r="N250" t="s">
        <v>15</v>
      </c>
      <c r="P250">
        <v>0.13700000000000001</v>
      </c>
      <c r="Q250" t="s">
        <v>180</v>
      </c>
      <c r="R250" t="s">
        <v>175</v>
      </c>
      <c r="T250">
        <v>1</v>
      </c>
      <c r="U250" t="s">
        <v>175</v>
      </c>
      <c r="W250">
        <v>510</v>
      </c>
      <c r="X250" t="s">
        <v>184</v>
      </c>
      <c r="AA250" s="13">
        <v>69.87</v>
      </c>
      <c r="AB250">
        <v>5.6</v>
      </c>
      <c r="AC250">
        <v>0.72</v>
      </c>
      <c r="AD250" s="11">
        <f t="shared" si="55"/>
        <v>8.1515000000000004</v>
      </c>
      <c r="AE250" s="11">
        <f>_xlfn.RANK.AVG(Tableau8[[#This Row],[EE ( MJ/m²)]],AD250:AD1405)</f>
        <v>469</v>
      </c>
      <c r="AF250" s="11">
        <f t="shared" si="56"/>
        <v>0.40757500000000002</v>
      </c>
      <c r="AG250" s="11">
        <f>(AC250-0.41)*AA250/H250</f>
        <v>0.45124375</v>
      </c>
      <c r="AH250" s="11">
        <f t="shared" si="57"/>
        <v>1.0480500000000001</v>
      </c>
      <c r="AI250" s="11">
        <f>(AC250-0.41)*AA250/H250/I250</f>
        <v>2.2562187500000001E-2</v>
      </c>
      <c r="AJ250" s="11">
        <f t="shared" si="58"/>
        <v>5.2402500000000005E-2</v>
      </c>
    </row>
    <row r="251" spans="1:36" x14ac:dyDescent="0.25">
      <c r="A251" s="23" t="s">
        <v>945</v>
      </c>
      <c r="B251" s="4" t="s">
        <v>1239</v>
      </c>
      <c r="C251" s="23" t="s">
        <v>1026</v>
      </c>
      <c r="D251" s="4" t="s">
        <v>938</v>
      </c>
      <c r="E251" t="s">
        <v>1240</v>
      </c>
      <c r="F251" t="s">
        <v>360</v>
      </c>
      <c r="G251" t="s">
        <v>251</v>
      </c>
      <c r="H251">
        <v>48</v>
      </c>
      <c r="I251">
        <v>20</v>
      </c>
      <c r="J251" t="s">
        <v>109</v>
      </c>
      <c r="K251" t="s">
        <v>18</v>
      </c>
      <c r="L251" s="3" t="s">
        <v>1227</v>
      </c>
      <c r="M251" t="s">
        <v>39</v>
      </c>
      <c r="N251" t="s">
        <v>39</v>
      </c>
      <c r="P251">
        <v>0.115</v>
      </c>
      <c r="Q251" t="s">
        <v>180</v>
      </c>
      <c r="R251" t="s">
        <v>175</v>
      </c>
      <c r="T251">
        <v>1</v>
      </c>
      <c r="U251" t="s">
        <v>175</v>
      </c>
      <c r="W251">
        <v>2400</v>
      </c>
      <c r="X251" t="s">
        <v>184</v>
      </c>
      <c r="AA251" s="13">
        <v>276</v>
      </c>
      <c r="AB251">
        <v>0.75</v>
      </c>
      <c r="AC251">
        <v>0.105</v>
      </c>
      <c r="AD251" s="11">
        <f t="shared" si="55"/>
        <v>4.3125</v>
      </c>
      <c r="AE251" s="11">
        <f>_xlfn.RANK.AVG(Tableau8[[#This Row],[EE ( MJ/m²)]],AD251:AD1406)</f>
        <v>567.5</v>
      </c>
      <c r="AF251" s="11">
        <f t="shared" si="56"/>
        <v>0.21562500000000001</v>
      </c>
      <c r="AG251" s="11">
        <f>(AC251)*AA251/H251</f>
        <v>0.60375000000000001</v>
      </c>
      <c r="AH251" s="11">
        <f t="shared" si="57"/>
        <v>0.60375000000000001</v>
      </c>
      <c r="AI251" s="11">
        <f>(AC251)*AA251/H251/I251</f>
        <v>3.0187499999999999E-2</v>
      </c>
      <c r="AJ251" s="11">
        <f t="shared" si="58"/>
        <v>3.0187499999999999E-2</v>
      </c>
    </row>
    <row r="252" spans="1:36" x14ac:dyDescent="0.25">
      <c r="A252" s="23" t="s">
        <v>945</v>
      </c>
      <c r="B252" s="4" t="s">
        <v>1239</v>
      </c>
      <c r="C252" s="23" t="s">
        <v>1026</v>
      </c>
      <c r="D252" s="4" t="s">
        <v>938</v>
      </c>
      <c r="E252" t="s">
        <v>1240</v>
      </c>
      <c r="F252" t="s">
        <v>360</v>
      </c>
      <c r="G252" t="s">
        <v>251</v>
      </c>
      <c r="H252">
        <v>48</v>
      </c>
      <c r="I252">
        <v>20</v>
      </c>
      <c r="J252" t="s">
        <v>109</v>
      </c>
      <c r="K252" t="s">
        <v>18</v>
      </c>
      <c r="L252" s="3" t="s">
        <v>1228</v>
      </c>
      <c r="M252" t="s">
        <v>39</v>
      </c>
      <c r="N252" t="s">
        <v>39</v>
      </c>
      <c r="P252">
        <v>0.115</v>
      </c>
      <c r="Q252" t="s">
        <v>180</v>
      </c>
      <c r="R252" t="s">
        <v>175</v>
      </c>
      <c r="T252">
        <v>1</v>
      </c>
      <c r="U252" t="s">
        <v>175</v>
      </c>
      <c r="W252" s="16">
        <v>2400</v>
      </c>
      <c r="X252" t="s">
        <v>184</v>
      </c>
      <c r="AA252" s="13">
        <v>276</v>
      </c>
      <c r="AB252">
        <v>0.75</v>
      </c>
      <c r="AC252">
        <v>0.105</v>
      </c>
      <c r="AD252" s="11">
        <f t="shared" si="55"/>
        <v>4.3125</v>
      </c>
      <c r="AE252" s="11">
        <f>_xlfn.RANK.AVG(Tableau8[[#This Row],[EE ( MJ/m²)]],AD252:AD1407)</f>
        <v>567</v>
      </c>
      <c r="AF252" s="11">
        <f t="shared" si="56"/>
        <v>0.21562500000000001</v>
      </c>
      <c r="AG252" s="11">
        <f>(AC252)*AA252/H252</f>
        <v>0.60375000000000001</v>
      </c>
      <c r="AH252" s="11">
        <f t="shared" si="57"/>
        <v>0.60375000000000001</v>
      </c>
      <c r="AI252" s="11">
        <f>(AC252)*AA252/H252/I252</f>
        <v>3.0187499999999999E-2</v>
      </c>
      <c r="AJ252" s="11">
        <f t="shared" si="58"/>
        <v>3.0187499999999999E-2</v>
      </c>
    </row>
    <row r="253" spans="1:36" x14ac:dyDescent="0.25">
      <c r="A253" s="23" t="s">
        <v>945</v>
      </c>
      <c r="B253" s="4" t="s">
        <v>1239</v>
      </c>
      <c r="C253" s="23" t="s">
        <v>367</v>
      </c>
      <c r="D253" s="4" t="s">
        <v>938</v>
      </c>
      <c r="E253" t="s">
        <v>1240</v>
      </c>
      <c r="F253" t="s">
        <v>360</v>
      </c>
      <c r="G253" t="s">
        <v>251</v>
      </c>
      <c r="H253">
        <v>48</v>
      </c>
      <c r="I253">
        <v>20</v>
      </c>
      <c r="J253" t="s">
        <v>40</v>
      </c>
      <c r="K253" t="s">
        <v>18</v>
      </c>
      <c r="L253" s="3" t="s">
        <v>1229</v>
      </c>
      <c r="M253" t="s">
        <v>363</v>
      </c>
      <c r="N253" t="s">
        <v>431</v>
      </c>
      <c r="P253">
        <v>150</v>
      </c>
      <c r="Q253" t="s">
        <v>1017</v>
      </c>
      <c r="R253" t="s">
        <v>175</v>
      </c>
      <c r="T253">
        <v>1</v>
      </c>
      <c r="U253" t="s">
        <v>175</v>
      </c>
      <c r="W253">
        <v>1860</v>
      </c>
      <c r="X253" t="s">
        <v>184</v>
      </c>
      <c r="AA253" s="13">
        <v>150</v>
      </c>
      <c r="AB253">
        <v>4.51</v>
      </c>
      <c r="AC253">
        <v>0.74</v>
      </c>
      <c r="AD253" s="11">
        <f t="shared" si="55"/>
        <v>14.09375</v>
      </c>
      <c r="AE253" s="11">
        <f>_xlfn.RANK.AVG(Tableau8[[#This Row],[EE ( MJ/m²)]],AD253:AD1408)</f>
        <v>389</v>
      </c>
      <c r="AF253" s="11">
        <f t="shared" si="56"/>
        <v>0.70468750000000002</v>
      </c>
      <c r="AG253" s="11">
        <f>(AC253)*AA253/H253</f>
        <v>2.3125</v>
      </c>
      <c r="AH253" s="11">
        <f t="shared" si="57"/>
        <v>2.3125</v>
      </c>
      <c r="AI253" s="11">
        <f>(AC253)*AA253/H253/I253</f>
        <v>0.11562500000000001</v>
      </c>
      <c r="AJ253" s="11">
        <f t="shared" si="58"/>
        <v>0.11562500000000001</v>
      </c>
    </row>
    <row r="254" spans="1:36" x14ac:dyDescent="0.25">
      <c r="A254" s="23" t="s">
        <v>945</v>
      </c>
      <c r="B254" s="4" t="s">
        <v>1239</v>
      </c>
      <c r="C254" s="23" t="s">
        <v>12</v>
      </c>
      <c r="D254" s="4" t="s">
        <v>938</v>
      </c>
      <c r="E254" t="s">
        <v>1240</v>
      </c>
      <c r="F254" t="s">
        <v>360</v>
      </c>
      <c r="G254" t="s">
        <v>251</v>
      </c>
      <c r="H254">
        <v>48</v>
      </c>
      <c r="I254">
        <v>20</v>
      </c>
      <c r="J254" t="s">
        <v>40</v>
      </c>
      <c r="K254" t="s">
        <v>17</v>
      </c>
      <c r="L254" s="3" t="s">
        <v>1233</v>
      </c>
      <c r="M254" t="s">
        <v>17</v>
      </c>
      <c r="N254" t="s">
        <v>17</v>
      </c>
      <c r="R254" t="s">
        <v>175</v>
      </c>
      <c r="T254">
        <v>1</v>
      </c>
      <c r="U254" t="s">
        <v>175</v>
      </c>
      <c r="W254">
        <v>7700</v>
      </c>
      <c r="X254" t="s">
        <v>184</v>
      </c>
      <c r="AA254" s="13">
        <v>20</v>
      </c>
      <c r="AB254">
        <v>25.3</v>
      </c>
      <c r="AC254">
        <v>1.95</v>
      </c>
      <c r="AD254" s="11">
        <f t="shared" si="55"/>
        <v>10.541666666666666</v>
      </c>
      <c r="AE254" s="11">
        <f>_xlfn.RANK.AVG(Tableau8[[#This Row],[EE ( MJ/m²)]],AD254:AD1409)</f>
        <v>438</v>
      </c>
      <c r="AF254" s="11">
        <f t="shared" si="56"/>
        <v>0.52708333333333335</v>
      </c>
      <c r="AG254" s="11">
        <f>(AC254)*AA254/H254</f>
        <v>0.8125</v>
      </c>
      <c r="AH254" s="11">
        <f t="shared" si="57"/>
        <v>0.8125</v>
      </c>
      <c r="AI254" s="11">
        <f>(AC254)*AA254/H254/I254</f>
        <v>4.0625000000000001E-2</v>
      </c>
      <c r="AJ254" s="11">
        <f t="shared" si="58"/>
        <v>4.0625000000000001E-2</v>
      </c>
    </row>
    <row r="255" spans="1:36" x14ac:dyDescent="0.25">
      <c r="A255" s="23" t="s">
        <v>945</v>
      </c>
      <c r="B255" s="23" t="s">
        <v>1239</v>
      </c>
      <c r="C255" s="23" t="s">
        <v>15</v>
      </c>
      <c r="D255" s="23" t="s">
        <v>938</v>
      </c>
      <c r="E255" s="20" t="s">
        <v>1240</v>
      </c>
      <c r="F255" s="20" t="s">
        <v>360</v>
      </c>
      <c r="G255" s="20" t="s">
        <v>251</v>
      </c>
      <c r="H255" s="20">
        <v>48</v>
      </c>
      <c r="I255" s="20">
        <v>20</v>
      </c>
      <c r="J255" s="20" t="s">
        <v>40</v>
      </c>
      <c r="K255" t="s">
        <v>15</v>
      </c>
      <c r="L255" s="20" t="s">
        <v>1234</v>
      </c>
      <c r="M255" s="20" t="s">
        <v>15</v>
      </c>
      <c r="N255" s="20" t="s">
        <v>15</v>
      </c>
      <c r="P255" s="20">
        <v>0.32</v>
      </c>
      <c r="Q255" s="20" t="s">
        <v>180</v>
      </c>
      <c r="R255" s="20" t="s">
        <v>175</v>
      </c>
      <c r="S255" s="20"/>
      <c r="T255" s="20">
        <v>1</v>
      </c>
      <c r="U255" s="20" t="s">
        <v>175</v>
      </c>
      <c r="V255" s="20"/>
      <c r="W255" s="20">
        <v>510</v>
      </c>
      <c r="X255" s="20" t="s">
        <v>184</v>
      </c>
      <c r="Y255" s="20"/>
      <c r="Z255" s="20"/>
      <c r="AA255" s="24">
        <v>163.20000000000002</v>
      </c>
      <c r="AB255" s="20">
        <v>5.6</v>
      </c>
      <c r="AC255" s="20">
        <v>0.72</v>
      </c>
      <c r="AD255" s="33">
        <f t="shared" si="55"/>
        <v>19.040000000000003</v>
      </c>
      <c r="AE255" s="33">
        <f>_xlfn.RANK.AVG(Tableau8[[#This Row],[EE ( MJ/m²)]],AD255:AD1410)</f>
        <v>339</v>
      </c>
      <c r="AF255" s="33">
        <f t="shared" si="56"/>
        <v>0.95200000000000018</v>
      </c>
      <c r="AG255" s="33">
        <f t="shared" ref="AG255:AG262" si="59">(AC255-0.41)*AA255/H255</f>
        <v>1.054</v>
      </c>
      <c r="AH255" s="33">
        <f t="shared" si="57"/>
        <v>2.448</v>
      </c>
      <c r="AI255" s="33">
        <f t="shared" ref="AI255:AI262" si="60">(AC255-0.41)*AA255/H255/I255</f>
        <v>5.2700000000000004E-2</v>
      </c>
      <c r="AJ255" s="33">
        <f t="shared" si="58"/>
        <v>0.12239999999999999</v>
      </c>
    </row>
    <row r="256" spans="1:36" x14ac:dyDescent="0.25">
      <c r="A256" s="4" t="s">
        <v>945</v>
      </c>
      <c r="B256" s="4" t="s">
        <v>950</v>
      </c>
      <c r="C256" s="4" t="s">
        <v>15</v>
      </c>
      <c r="D256" s="4" t="s">
        <v>941</v>
      </c>
      <c r="E256" t="s">
        <v>637</v>
      </c>
      <c r="F256" t="s">
        <v>360</v>
      </c>
      <c r="G256" t="s">
        <v>616</v>
      </c>
      <c r="H256">
        <f t="shared" ref="H256:H280" si="61">3.6*1.8</f>
        <v>6.48</v>
      </c>
      <c r="I256">
        <v>7.5</v>
      </c>
      <c r="J256" t="s">
        <v>42</v>
      </c>
      <c r="K256" t="s">
        <v>15</v>
      </c>
      <c r="L256" t="s">
        <v>640</v>
      </c>
      <c r="M256" t="s">
        <v>15</v>
      </c>
      <c r="N256" t="s">
        <v>15</v>
      </c>
      <c r="P256">
        <f>0.038*0.038*3.7</f>
        <v>5.3428E-3</v>
      </c>
      <c r="Q256" t="s">
        <v>180</v>
      </c>
      <c r="R256" t="s">
        <v>175</v>
      </c>
      <c r="T256">
        <v>34</v>
      </c>
      <c r="W256">
        <v>510</v>
      </c>
      <c r="X256" t="s">
        <v>184</v>
      </c>
      <c r="AA256" s="13">
        <f>Tableau8[[#This Row],[nb of item used ]]*Tableau8[[#This Row],[density (kg/m2) or specific weight (kg/m2)]]*Tableau8[[#This Row],[volume or area]]</f>
        <v>92.644152000000005</v>
      </c>
      <c r="AB256">
        <f t="shared" ref="AB256:AB262" si="62">10-4.4</f>
        <v>5.6</v>
      </c>
      <c r="AC256">
        <f t="shared" ref="AC256:AC262" si="63">0.31+0.41</f>
        <v>0.72</v>
      </c>
      <c r="AD256" s="11">
        <f t="shared" si="55"/>
        <v>80.062847407407403</v>
      </c>
      <c r="AE256" s="11">
        <f>_xlfn.RANK.AVG(Tableau8[[#This Row],[EE ( MJ/m²)]],AD256:AD1411)</f>
        <v>141</v>
      </c>
      <c r="AF256" s="11">
        <f t="shared" si="56"/>
        <v>10.675046320987654</v>
      </c>
      <c r="AG256" s="11">
        <f t="shared" si="59"/>
        <v>4.4320504814814816</v>
      </c>
      <c r="AH256" s="11">
        <f t="shared" si="57"/>
        <v>10.293794666666667</v>
      </c>
      <c r="AI256" s="11">
        <f t="shared" si="60"/>
        <v>0.59094006419753087</v>
      </c>
      <c r="AJ256" s="11">
        <f t="shared" si="58"/>
        <v>1.3725059555555557</v>
      </c>
    </row>
    <row r="257" spans="1:36" x14ac:dyDescent="0.25">
      <c r="A257" s="4" t="s">
        <v>945</v>
      </c>
      <c r="B257" s="4" t="s">
        <v>950</v>
      </c>
      <c r="C257" s="4" t="s">
        <v>15</v>
      </c>
      <c r="D257" s="4" t="s">
        <v>941</v>
      </c>
      <c r="E257" t="s">
        <v>637</v>
      </c>
      <c r="F257" t="s">
        <v>360</v>
      </c>
      <c r="G257" t="s">
        <v>616</v>
      </c>
      <c r="H257">
        <f t="shared" si="61"/>
        <v>6.48</v>
      </c>
      <c r="I257">
        <v>7.5</v>
      </c>
      <c r="J257" t="s">
        <v>42</v>
      </c>
      <c r="K257" t="s">
        <v>15</v>
      </c>
      <c r="L257" t="s">
        <v>641</v>
      </c>
      <c r="M257" t="s">
        <v>15</v>
      </c>
      <c r="N257" t="s">
        <v>15</v>
      </c>
      <c r="P257">
        <f>0.038*0.102*2.4</f>
        <v>9.3023999999999989E-3</v>
      </c>
      <c r="Q257" t="s">
        <v>180</v>
      </c>
      <c r="R257" t="s">
        <v>175</v>
      </c>
      <c r="T257">
        <v>40</v>
      </c>
      <c r="W257">
        <v>510</v>
      </c>
      <c r="X257" t="s">
        <v>184</v>
      </c>
      <c r="AA257" s="13">
        <f>Tableau8[[#This Row],[nb of item used ]]*Tableau8[[#This Row],[density (kg/m2) or specific weight (kg/m2)]]*Tableau8[[#This Row],[volume or area]]</f>
        <v>189.76895999999996</v>
      </c>
      <c r="AB257">
        <f t="shared" si="62"/>
        <v>5.6</v>
      </c>
      <c r="AC257">
        <f t="shared" si="63"/>
        <v>0.72</v>
      </c>
      <c r="AD257" s="11">
        <f t="shared" si="55"/>
        <v>163.9978666666666</v>
      </c>
      <c r="AE257" s="11">
        <f>_xlfn.RANK.AVG(Tableau8[[#This Row],[EE ( MJ/m²)]],AD257:AD1412)</f>
        <v>74</v>
      </c>
      <c r="AF257" s="11">
        <f t="shared" si="56"/>
        <v>21.866382222222214</v>
      </c>
      <c r="AG257" s="11">
        <f t="shared" si="59"/>
        <v>9.0784533333333304</v>
      </c>
      <c r="AH257" s="11">
        <f t="shared" si="57"/>
        <v>21.085439999999995</v>
      </c>
      <c r="AI257" s="11">
        <f t="shared" si="60"/>
        <v>1.210460444444444</v>
      </c>
      <c r="AJ257" s="11">
        <f t="shared" si="58"/>
        <v>2.8113919999999992</v>
      </c>
    </row>
    <row r="258" spans="1:36" x14ac:dyDescent="0.25">
      <c r="A258" s="4" t="s">
        <v>945</v>
      </c>
      <c r="B258" s="4" t="s">
        <v>950</v>
      </c>
      <c r="C258" s="4" t="s">
        <v>15</v>
      </c>
      <c r="D258" s="4" t="s">
        <v>941</v>
      </c>
      <c r="E258" t="s">
        <v>637</v>
      </c>
      <c r="F258" t="s">
        <v>360</v>
      </c>
      <c r="G258" t="s">
        <v>616</v>
      </c>
      <c r="H258">
        <f t="shared" si="61"/>
        <v>6.48</v>
      </c>
      <c r="I258">
        <v>7.5</v>
      </c>
      <c r="J258" t="s">
        <v>42</v>
      </c>
      <c r="K258" t="s">
        <v>15</v>
      </c>
      <c r="L258" t="s">
        <v>642</v>
      </c>
      <c r="M258" t="s">
        <v>15</v>
      </c>
      <c r="N258" t="s">
        <v>15</v>
      </c>
      <c r="P258">
        <f>0.038*0.102*3.1</f>
        <v>1.20156E-2</v>
      </c>
      <c r="Q258" t="s">
        <v>180</v>
      </c>
      <c r="R258" t="s">
        <v>175</v>
      </c>
      <c r="T258">
        <v>28</v>
      </c>
      <c r="W258">
        <v>510</v>
      </c>
      <c r="X258" t="s">
        <v>184</v>
      </c>
      <c r="AA258" s="13">
        <f>Tableau8[[#This Row],[nb of item used ]]*Tableau8[[#This Row],[density (kg/m2) or specific weight (kg/m2)]]*Tableau8[[#This Row],[volume or area]]</f>
        <v>171.58276799999999</v>
      </c>
      <c r="AB258">
        <f t="shared" si="62"/>
        <v>5.6</v>
      </c>
      <c r="AC258">
        <f t="shared" si="63"/>
        <v>0.72</v>
      </c>
      <c r="AD258" s="11">
        <f t="shared" si="55"/>
        <v>148.28140444444441</v>
      </c>
      <c r="AE258" s="11">
        <f>_xlfn.RANK.AVG(Tableau8[[#This Row],[EE ( MJ/m²)]],AD258:AD1413)</f>
        <v>83</v>
      </c>
      <c r="AF258" s="11">
        <f t="shared" si="56"/>
        <v>19.77085392592592</v>
      </c>
      <c r="AG258" s="11">
        <f t="shared" si="59"/>
        <v>8.2084348888888883</v>
      </c>
      <c r="AH258" s="11">
        <f t="shared" si="57"/>
        <v>19.064751999999999</v>
      </c>
      <c r="AI258" s="11">
        <f t="shared" si="60"/>
        <v>1.094457985185185</v>
      </c>
      <c r="AJ258" s="11">
        <f t="shared" si="58"/>
        <v>2.5419669333333332</v>
      </c>
    </row>
    <row r="259" spans="1:36" x14ac:dyDescent="0.25">
      <c r="A259" s="4" t="s">
        <v>945</v>
      </c>
      <c r="B259" s="4" t="s">
        <v>950</v>
      </c>
      <c r="C259" s="4" t="s">
        <v>15</v>
      </c>
      <c r="D259" s="4" t="s">
        <v>941</v>
      </c>
      <c r="E259" t="s">
        <v>637</v>
      </c>
      <c r="F259" t="s">
        <v>360</v>
      </c>
      <c r="G259" t="s">
        <v>616</v>
      </c>
      <c r="H259">
        <f t="shared" si="61"/>
        <v>6.48</v>
      </c>
      <c r="I259">
        <v>7.5</v>
      </c>
      <c r="J259" t="s">
        <v>42</v>
      </c>
      <c r="K259" t="s">
        <v>15</v>
      </c>
      <c r="L259" t="s">
        <v>643</v>
      </c>
      <c r="M259" t="s">
        <v>15</v>
      </c>
      <c r="N259" t="s">
        <v>15</v>
      </c>
      <c r="P259">
        <f>0.038*0.102*3.7</f>
        <v>1.43412E-2</v>
      </c>
      <c r="Q259" t="s">
        <v>180</v>
      </c>
      <c r="R259" t="s">
        <v>175</v>
      </c>
      <c r="T259">
        <v>10</v>
      </c>
      <c r="W259" s="1">
        <v>510</v>
      </c>
      <c r="X259" t="s">
        <v>184</v>
      </c>
      <c r="AA259" s="13">
        <f>Tableau8[[#This Row],[nb of item used ]]*Tableau8[[#This Row],[density (kg/m2) or specific weight (kg/m2)]]*Tableau8[[#This Row],[volume or area]]</f>
        <v>73.140119999999996</v>
      </c>
      <c r="AB259">
        <f t="shared" si="62"/>
        <v>5.6</v>
      </c>
      <c r="AC259">
        <f t="shared" si="63"/>
        <v>0.72</v>
      </c>
      <c r="AD259" s="11">
        <f t="shared" si="55"/>
        <v>63.207511111111103</v>
      </c>
      <c r="AE259" s="11">
        <f>_xlfn.RANK.AVG(Tableau8[[#This Row],[EE ( MJ/m²)]],AD259:AD1414)</f>
        <v>163</v>
      </c>
      <c r="AF259" s="11">
        <f t="shared" si="56"/>
        <v>8.4276681481481468</v>
      </c>
      <c r="AG259" s="11">
        <f t="shared" si="59"/>
        <v>3.4989872222222216</v>
      </c>
      <c r="AH259" s="11">
        <f t="shared" si="57"/>
        <v>8.1266799999999986</v>
      </c>
      <c r="AI259" s="11">
        <f t="shared" si="60"/>
        <v>0.46653162962962952</v>
      </c>
      <c r="AJ259" s="11">
        <f t="shared" si="58"/>
        <v>1.083557333333333</v>
      </c>
    </row>
    <row r="260" spans="1:36" x14ac:dyDescent="0.25">
      <c r="A260" s="4" t="s">
        <v>945</v>
      </c>
      <c r="B260" s="4" t="s">
        <v>950</v>
      </c>
      <c r="C260" s="4" t="s">
        <v>15</v>
      </c>
      <c r="D260" s="4" t="s">
        <v>941</v>
      </c>
      <c r="E260" t="s">
        <v>637</v>
      </c>
      <c r="F260" t="s">
        <v>360</v>
      </c>
      <c r="G260" t="s">
        <v>616</v>
      </c>
      <c r="H260">
        <f t="shared" si="61"/>
        <v>6.48</v>
      </c>
      <c r="I260">
        <v>7.5</v>
      </c>
      <c r="J260" t="s">
        <v>42</v>
      </c>
      <c r="K260" t="s">
        <v>15</v>
      </c>
      <c r="L260" t="s">
        <v>644</v>
      </c>
      <c r="M260" t="s">
        <v>15</v>
      </c>
      <c r="N260" t="s">
        <v>15</v>
      </c>
      <c r="P260">
        <f>0.038*0.102*4.3</f>
        <v>1.6666799999999999E-2</v>
      </c>
      <c r="Q260" t="s">
        <v>180</v>
      </c>
      <c r="R260" t="s">
        <v>175</v>
      </c>
      <c r="T260">
        <v>5</v>
      </c>
      <c r="W260">
        <v>510</v>
      </c>
      <c r="X260" t="s">
        <v>184</v>
      </c>
      <c r="AA260" s="13">
        <f>Tableau8[[#This Row],[nb of item used ]]*Tableau8[[#This Row],[density (kg/m2) or specific weight (kg/m2)]]*Tableau8[[#This Row],[volume or area]]</f>
        <v>42.500339999999994</v>
      </c>
      <c r="AB260">
        <f t="shared" si="62"/>
        <v>5.6</v>
      </c>
      <c r="AC260">
        <f t="shared" si="63"/>
        <v>0.72</v>
      </c>
      <c r="AD260" s="11">
        <f t="shared" si="55"/>
        <v>36.728688888888875</v>
      </c>
      <c r="AE260" s="11">
        <f>_xlfn.RANK.AVG(Tableau8[[#This Row],[EE ( MJ/m²)]],AD260:AD1415)</f>
        <v>233</v>
      </c>
      <c r="AF260" s="11">
        <f t="shared" si="56"/>
        <v>4.8971585185185171</v>
      </c>
      <c r="AG260" s="11">
        <f t="shared" si="59"/>
        <v>2.0331952777777773</v>
      </c>
      <c r="AH260" s="11">
        <f t="shared" si="57"/>
        <v>4.7222599999999986</v>
      </c>
      <c r="AI260" s="11">
        <f t="shared" si="60"/>
        <v>0.27109270370370364</v>
      </c>
      <c r="AJ260" s="11">
        <f t="shared" si="58"/>
        <v>0.62963466666666645</v>
      </c>
    </row>
    <row r="261" spans="1:36" x14ac:dyDescent="0.25">
      <c r="A261" s="4" t="s">
        <v>945</v>
      </c>
      <c r="B261" s="4" t="s">
        <v>950</v>
      </c>
      <c r="C261" s="4" t="s">
        <v>15</v>
      </c>
      <c r="D261" s="4" t="s">
        <v>941</v>
      </c>
      <c r="E261" t="s">
        <v>637</v>
      </c>
      <c r="F261" t="s">
        <v>360</v>
      </c>
      <c r="G261" t="s">
        <v>616</v>
      </c>
      <c r="H261">
        <f t="shared" si="61"/>
        <v>6.48</v>
      </c>
      <c r="I261">
        <v>7.5</v>
      </c>
      <c r="J261" t="s">
        <v>42</v>
      </c>
      <c r="K261" t="s">
        <v>15</v>
      </c>
      <c r="L261" t="s">
        <v>645</v>
      </c>
      <c r="M261" t="s">
        <v>15</v>
      </c>
      <c r="N261" t="s">
        <v>15</v>
      </c>
      <c r="P261">
        <f>0.038*0.152*3.7</f>
        <v>2.13712E-2</v>
      </c>
      <c r="Q261" t="s">
        <v>180</v>
      </c>
      <c r="R261" t="s">
        <v>175</v>
      </c>
      <c r="T261">
        <v>16</v>
      </c>
      <c r="W261" s="1">
        <v>510</v>
      </c>
      <c r="X261" t="s">
        <v>184</v>
      </c>
      <c r="AA261" s="13">
        <f>Tableau8[[#This Row],[nb of item used ]]*Tableau8[[#This Row],[density (kg/m2) or specific weight (kg/m2)]]*Tableau8[[#This Row],[volume or area]]</f>
        <v>174.388992</v>
      </c>
      <c r="AB261">
        <f t="shared" si="62"/>
        <v>5.6</v>
      </c>
      <c r="AC261">
        <f t="shared" si="63"/>
        <v>0.72</v>
      </c>
      <c r="AD261" s="11">
        <f t="shared" si="55"/>
        <v>150.70653629629626</v>
      </c>
      <c r="AE261" s="11">
        <f>_xlfn.RANK.AVG(Tableau8[[#This Row],[EE ( MJ/m²)]],AD261:AD1416)</f>
        <v>81</v>
      </c>
      <c r="AF261" s="11">
        <f t="shared" si="56"/>
        <v>20.094204839506169</v>
      </c>
      <c r="AG261" s="11">
        <f t="shared" si="59"/>
        <v>8.3426832592592586</v>
      </c>
      <c r="AH261" s="11">
        <f t="shared" si="57"/>
        <v>19.376554666666664</v>
      </c>
      <c r="AI261" s="11">
        <f t="shared" si="60"/>
        <v>1.1123577679012344</v>
      </c>
      <c r="AJ261" s="11">
        <f t="shared" si="58"/>
        <v>2.5835406222222219</v>
      </c>
    </row>
    <row r="262" spans="1:36" x14ac:dyDescent="0.25">
      <c r="A262" s="4" t="s">
        <v>945</v>
      </c>
      <c r="B262" s="4" t="s">
        <v>950</v>
      </c>
      <c r="C262" s="4" t="s">
        <v>15</v>
      </c>
      <c r="D262" s="4" t="s">
        <v>941</v>
      </c>
      <c r="E262" t="s">
        <v>637</v>
      </c>
      <c r="F262" t="s">
        <v>360</v>
      </c>
      <c r="G262" t="s">
        <v>616</v>
      </c>
      <c r="H262">
        <f t="shared" si="61"/>
        <v>6.48</v>
      </c>
      <c r="I262">
        <v>7.5</v>
      </c>
      <c r="J262" t="s">
        <v>42</v>
      </c>
      <c r="K262" t="s">
        <v>15</v>
      </c>
      <c r="L262" t="s">
        <v>646</v>
      </c>
      <c r="M262" t="s">
        <v>15</v>
      </c>
      <c r="N262" t="s">
        <v>15</v>
      </c>
      <c r="P262">
        <f>0.102*0.102*3.1</f>
        <v>3.2252399999999994E-2</v>
      </c>
      <c r="Q262" t="s">
        <v>180</v>
      </c>
      <c r="R262" t="s">
        <v>175</v>
      </c>
      <c r="T262">
        <v>6</v>
      </c>
      <c r="W262">
        <v>510</v>
      </c>
      <c r="X262" t="s">
        <v>184</v>
      </c>
      <c r="AA262" s="13">
        <f>Tableau8[[#This Row],[nb of item used ]]*Tableau8[[#This Row],[density (kg/m2) or specific weight (kg/m2)]]*Tableau8[[#This Row],[volume or area]]</f>
        <v>98.692343999999977</v>
      </c>
      <c r="AB262">
        <f t="shared" si="62"/>
        <v>5.6</v>
      </c>
      <c r="AC262">
        <f t="shared" si="63"/>
        <v>0.72</v>
      </c>
      <c r="AD262" s="11">
        <f t="shared" si="55"/>
        <v>85.289679999999962</v>
      </c>
      <c r="AE262" s="11">
        <f>_xlfn.RANK.AVG(Tableau8[[#This Row],[EE ( MJ/m²)]],AD262:AD1417)</f>
        <v>134</v>
      </c>
      <c r="AF262" s="11">
        <f t="shared" si="56"/>
        <v>11.371957333333329</v>
      </c>
      <c r="AG262" s="11">
        <f t="shared" si="59"/>
        <v>4.7213929999999991</v>
      </c>
      <c r="AH262" s="11">
        <f t="shared" si="57"/>
        <v>10.965815999999997</v>
      </c>
      <c r="AI262" s="11">
        <f t="shared" si="60"/>
        <v>0.62951906666666657</v>
      </c>
      <c r="AJ262" s="11">
        <f t="shared" si="58"/>
        <v>1.4621087999999995</v>
      </c>
    </row>
    <row r="263" spans="1:36" x14ac:dyDescent="0.25">
      <c r="A263" s="4" t="s">
        <v>945</v>
      </c>
      <c r="B263" s="4" t="s">
        <v>950</v>
      </c>
      <c r="C263" s="4" t="s">
        <v>15</v>
      </c>
      <c r="D263" s="4" t="s">
        <v>941</v>
      </c>
      <c r="E263" t="s">
        <v>637</v>
      </c>
      <c r="F263" t="s">
        <v>360</v>
      </c>
      <c r="G263" t="s">
        <v>616</v>
      </c>
      <c r="H263">
        <f t="shared" si="61"/>
        <v>6.48</v>
      </c>
      <c r="I263">
        <v>7.5</v>
      </c>
      <c r="J263" t="s">
        <v>40</v>
      </c>
      <c r="K263" t="s">
        <v>15</v>
      </c>
      <c r="L263" t="s">
        <v>627</v>
      </c>
      <c r="M263" t="s">
        <v>15</v>
      </c>
      <c r="N263" t="s">
        <v>252</v>
      </c>
      <c r="P263">
        <f>1.2*2.4*0.013</f>
        <v>3.7439999999999994E-2</v>
      </c>
      <c r="Q263" t="s">
        <v>180</v>
      </c>
      <c r="R263" t="s">
        <v>175</v>
      </c>
      <c r="T263">
        <v>28</v>
      </c>
      <c r="W263">
        <v>540</v>
      </c>
      <c r="X263" t="s">
        <v>184</v>
      </c>
      <c r="AA263" s="13">
        <f>Tableau8[[#This Row],[nb of item used ]]*Tableau8[[#This Row],[density (kg/m2) or specific weight (kg/m2)]]*Tableau8[[#This Row],[volume or area]]</f>
        <v>566.0927999999999</v>
      </c>
      <c r="AB263">
        <f>15-7.1</f>
        <v>7.9</v>
      </c>
      <c r="AC263">
        <f>0.45+0.65</f>
        <v>1.1000000000000001</v>
      </c>
      <c r="AD263" s="11">
        <f t="shared" si="55"/>
        <v>690.14399999999989</v>
      </c>
      <c r="AE263" s="11">
        <f>_xlfn.RANK.AVG(Tableau8[[#This Row],[EE ( MJ/m²)]],AD263:AD1418)</f>
        <v>16</v>
      </c>
      <c r="AF263" s="11">
        <f t="shared" si="56"/>
        <v>92.019199999999984</v>
      </c>
      <c r="AG263" s="11">
        <f>(AC263-0.65)*AA263/H263</f>
        <v>39.311999999999998</v>
      </c>
      <c r="AH263" s="11">
        <f t="shared" si="57"/>
        <v>96.095999999999975</v>
      </c>
      <c r="AI263" s="11">
        <f>(AC263-0.65)*AA263/H263/I263</f>
        <v>5.2416</v>
      </c>
      <c r="AJ263" s="11">
        <f t="shared" si="58"/>
        <v>12.812799999999998</v>
      </c>
    </row>
    <row r="264" spans="1:36" x14ac:dyDescent="0.25">
      <c r="A264" s="4" t="s">
        <v>945</v>
      </c>
      <c r="B264" s="4" t="s">
        <v>950</v>
      </c>
      <c r="C264" s="4" t="s">
        <v>15</v>
      </c>
      <c r="D264" s="4" t="s">
        <v>941</v>
      </c>
      <c r="E264" t="s">
        <v>637</v>
      </c>
      <c r="F264" t="s">
        <v>360</v>
      </c>
      <c r="G264" t="s">
        <v>616</v>
      </c>
      <c r="H264">
        <f t="shared" si="61"/>
        <v>6.48</v>
      </c>
      <c r="I264">
        <v>7.5</v>
      </c>
      <c r="J264" t="s">
        <v>40</v>
      </c>
      <c r="K264" t="s">
        <v>15</v>
      </c>
      <c r="L264" t="s">
        <v>488</v>
      </c>
      <c r="M264" t="s">
        <v>15</v>
      </c>
      <c r="N264" t="s">
        <v>15</v>
      </c>
      <c r="P264">
        <f>0.962*2.04*0.03</f>
        <v>5.88744E-2</v>
      </c>
      <c r="Q264" t="s">
        <v>180</v>
      </c>
      <c r="R264" t="s">
        <v>175</v>
      </c>
      <c r="T264">
        <v>2</v>
      </c>
      <c r="W264">
        <v>510</v>
      </c>
      <c r="X264" t="s">
        <v>184</v>
      </c>
      <c r="AA264" s="13">
        <f>Tableau8[[#This Row],[nb of item used ]]*Tableau8[[#This Row],[density (kg/m2) or specific weight (kg/m2)]]*Tableau8[[#This Row],[volume or area]]</f>
        <v>60.051887999999998</v>
      </c>
      <c r="AB264">
        <f>10-4.4</f>
        <v>5.6</v>
      </c>
      <c r="AC264">
        <f>0.31+0.41</f>
        <v>0.72</v>
      </c>
      <c r="AD264" s="11">
        <f t="shared" si="55"/>
        <v>51.896693333333324</v>
      </c>
      <c r="AE264" s="11">
        <f>_xlfn.RANK.AVG(Tableau8[[#This Row],[EE ( MJ/m²)]],AD264:AD1419)</f>
        <v>183</v>
      </c>
      <c r="AF264" s="11">
        <f t="shared" si="56"/>
        <v>6.9195591111111101</v>
      </c>
      <c r="AG264" s="11">
        <f>(AC264-0.41)*AA264/H264</f>
        <v>2.8728526666666663</v>
      </c>
      <c r="AH264" s="11">
        <f t="shared" si="57"/>
        <v>6.6724319999999997</v>
      </c>
      <c r="AI264" s="11">
        <f>(AC264-0.41)*AA264/H264/I264</f>
        <v>0.38304702222222214</v>
      </c>
      <c r="AJ264" s="11">
        <f t="shared" si="58"/>
        <v>0.88965759999999994</v>
      </c>
    </row>
    <row r="265" spans="1:36" x14ac:dyDescent="0.25">
      <c r="A265" s="4" t="s">
        <v>945</v>
      </c>
      <c r="B265" s="4" t="s">
        <v>950</v>
      </c>
      <c r="C265" s="4" t="s">
        <v>15</v>
      </c>
      <c r="D265" s="4" t="s">
        <v>941</v>
      </c>
      <c r="E265" t="s">
        <v>637</v>
      </c>
      <c r="F265" t="s">
        <v>360</v>
      </c>
      <c r="G265" t="s">
        <v>616</v>
      </c>
      <c r="H265">
        <f t="shared" si="61"/>
        <v>6.48</v>
      </c>
      <c r="I265">
        <v>7.5</v>
      </c>
      <c r="J265" t="s">
        <v>40</v>
      </c>
      <c r="K265" t="s">
        <v>15</v>
      </c>
      <c r="L265" t="s">
        <v>487</v>
      </c>
      <c r="M265" t="s">
        <v>15</v>
      </c>
      <c r="N265" t="s">
        <v>15</v>
      </c>
      <c r="P265">
        <f>8*0.572*0.1*0.015</f>
        <v>6.8639999999999994E-3</v>
      </c>
      <c r="Q265" t="s">
        <v>180</v>
      </c>
      <c r="R265" t="s">
        <v>187</v>
      </c>
      <c r="T265">
        <v>3</v>
      </c>
      <c r="W265">
        <v>510</v>
      </c>
      <c r="X265" t="s">
        <v>184</v>
      </c>
      <c r="AA265" s="13">
        <f>Tableau8[[#This Row],[nb of item used ]]*Tableau8[[#This Row],[density (kg/m2) or specific weight (kg/m2)]]*Tableau8[[#This Row],[volume or area]]</f>
        <v>10.501919999999998</v>
      </c>
      <c r="AB265">
        <f>10-4.4</f>
        <v>5.6</v>
      </c>
      <c r="AC265">
        <f>0.31+0.41</f>
        <v>0.72</v>
      </c>
      <c r="AD265" s="11">
        <f t="shared" si="55"/>
        <v>9.0757333333333303</v>
      </c>
      <c r="AE265" s="11">
        <f>_xlfn.RANK.AVG(Tableau8[[#This Row],[EE ( MJ/m²)]],AD265:AD1420)</f>
        <v>440</v>
      </c>
      <c r="AF265" s="11">
        <f t="shared" si="56"/>
        <v>1.2100977777777773</v>
      </c>
      <c r="AG265" s="11">
        <f>(AC265-0.41)*AA265/H265</f>
        <v>0.50240666666666656</v>
      </c>
      <c r="AH265" s="11">
        <f t="shared" si="57"/>
        <v>1.1668799999999997</v>
      </c>
      <c r="AI265" s="11">
        <f>(AC265-0.41)*AA265/H265/I265</f>
        <v>6.6987555555555536E-2</v>
      </c>
      <c r="AJ265" s="11">
        <f t="shared" si="58"/>
        <v>0.15558399999999997</v>
      </c>
    </row>
    <row r="266" spans="1:36" x14ac:dyDescent="0.25">
      <c r="A266" s="4" t="s">
        <v>945</v>
      </c>
      <c r="B266" s="4" t="s">
        <v>950</v>
      </c>
      <c r="C266" s="4" t="s">
        <v>15</v>
      </c>
      <c r="D266" s="4" t="s">
        <v>941</v>
      </c>
      <c r="E266" t="s">
        <v>637</v>
      </c>
      <c r="F266" t="s">
        <v>360</v>
      </c>
      <c r="G266" t="s">
        <v>616</v>
      </c>
      <c r="H266">
        <f t="shared" si="61"/>
        <v>6.48</v>
      </c>
      <c r="I266">
        <v>7.5</v>
      </c>
      <c r="J266" t="s">
        <v>56</v>
      </c>
      <c r="K266" t="s">
        <v>17</v>
      </c>
      <c r="L266" t="s">
        <v>629</v>
      </c>
      <c r="M266" t="s">
        <v>12</v>
      </c>
      <c r="N266" t="s">
        <v>12</v>
      </c>
      <c r="P266">
        <f>1.8*0.3*0.00035</f>
        <v>1.8900000000000001E-4</v>
      </c>
      <c r="Q266" t="s">
        <v>180</v>
      </c>
      <c r="R266" t="s">
        <v>175</v>
      </c>
      <c r="T266">
        <v>6</v>
      </c>
      <c r="W266">
        <v>7800</v>
      </c>
      <c r="X266" t="s">
        <v>184</v>
      </c>
      <c r="AA266" s="13">
        <f>Tableau8[[#This Row],[density (kg/m2) or specific weight (kg/m2)]]*Tableau8[[#This Row],[nb of item used ]]*Tableau8[[#This Row],[volume or area]]</f>
        <v>8.8452000000000002</v>
      </c>
      <c r="AB266">
        <v>25.3</v>
      </c>
      <c r="AC266">
        <v>1.95</v>
      </c>
      <c r="AD266" s="11">
        <f t="shared" si="55"/>
        <v>34.534500000000001</v>
      </c>
      <c r="AE266" s="11">
        <f>_xlfn.RANK.AVG(Tableau8[[#This Row],[EE ( MJ/m²)]],AD266:AD1421)</f>
        <v>243</v>
      </c>
      <c r="AF266" s="11">
        <f t="shared" ref="AF266:AF297" si="64">AB266*AA266/H266/I266</f>
        <v>4.6046000000000005</v>
      </c>
      <c r="AG266" s="11">
        <f t="shared" ref="AG266:AG280" si="65">(AC266)*AA266/H266</f>
        <v>2.6617499999999996</v>
      </c>
      <c r="AH266" s="11">
        <f t="shared" si="57"/>
        <v>2.6617499999999996</v>
      </c>
      <c r="AI266" s="11">
        <f t="shared" ref="AI266:AI280" si="66">(AC266)*AA266/H266/I266</f>
        <v>0.35489999999999994</v>
      </c>
      <c r="AJ266" s="11">
        <f t="shared" ref="AJ266:AJ297" si="67">AC266*AA266/H266/I266</f>
        <v>0.35489999999999994</v>
      </c>
    </row>
    <row r="267" spans="1:36" x14ac:dyDescent="0.25">
      <c r="A267" s="4" t="s">
        <v>945</v>
      </c>
      <c r="B267" s="4" t="s">
        <v>950</v>
      </c>
      <c r="C267" s="4" t="s">
        <v>15</v>
      </c>
      <c r="D267" s="4" t="s">
        <v>941</v>
      </c>
      <c r="E267" t="s">
        <v>637</v>
      </c>
      <c r="F267" t="s">
        <v>360</v>
      </c>
      <c r="G267" t="s">
        <v>616</v>
      </c>
      <c r="H267">
        <f t="shared" si="61"/>
        <v>6.48</v>
      </c>
      <c r="I267">
        <v>7.5</v>
      </c>
      <c r="J267" t="s">
        <v>40</v>
      </c>
      <c r="K267" t="s">
        <v>17</v>
      </c>
      <c r="L267" t="s">
        <v>278</v>
      </c>
      <c r="M267" t="s">
        <v>12</v>
      </c>
      <c r="N267" t="s">
        <v>12</v>
      </c>
      <c r="T267">
        <v>1</v>
      </c>
      <c r="W267" s="1">
        <v>7800</v>
      </c>
      <c r="X267" t="s">
        <v>184</v>
      </c>
      <c r="AA267" s="13">
        <f>2*0.538</f>
        <v>1.0760000000000001</v>
      </c>
      <c r="AB267">
        <v>25.3</v>
      </c>
      <c r="AC267">
        <v>1.95</v>
      </c>
      <c r="AD267" s="11">
        <f t="shared" si="55"/>
        <v>4.2010493827160493</v>
      </c>
      <c r="AE267" s="11">
        <f>_xlfn.RANK.AVG(Tableau8[[#This Row],[EE ( MJ/m²)]],AD267:AD1422)</f>
        <v>556.5</v>
      </c>
      <c r="AF267" s="11">
        <f t="shared" si="64"/>
        <v>0.56013991769547322</v>
      </c>
      <c r="AG267" s="11">
        <f t="shared" si="65"/>
        <v>0.3237962962962963</v>
      </c>
      <c r="AH267" s="11">
        <f t="shared" si="57"/>
        <v>0.3237962962962963</v>
      </c>
      <c r="AI267" s="11">
        <f t="shared" si="66"/>
        <v>4.3172839506172837E-2</v>
      </c>
      <c r="AJ267" s="11">
        <f t="shared" si="67"/>
        <v>4.3172839506172837E-2</v>
      </c>
    </row>
    <row r="268" spans="1:36" x14ac:dyDescent="0.25">
      <c r="A268" s="4" t="s">
        <v>945</v>
      </c>
      <c r="B268" s="4" t="s">
        <v>950</v>
      </c>
      <c r="C268" s="4" t="s">
        <v>15</v>
      </c>
      <c r="D268" s="4" t="s">
        <v>941</v>
      </c>
      <c r="E268" t="s">
        <v>637</v>
      </c>
      <c r="F268" t="s">
        <v>360</v>
      </c>
      <c r="G268" t="s">
        <v>616</v>
      </c>
      <c r="H268">
        <f t="shared" si="61"/>
        <v>6.48</v>
      </c>
      <c r="I268">
        <v>7.5</v>
      </c>
      <c r="J268" t="s">
        <v>40</v>
      </c>
      <c r="K268" t="s">
        <v>17</v>
      </c>
      <c r="L268" t="s">
        <v>647</v>
      </c>
      <c r="M268" t="s">
        <v>12</v>
      </c>
      <c r="N268" t="s">
        <v>12</v>
      </c>
      <c r="T268">
        <v>1</v>
      </c>
      <c r="W268">
        <v>7800</v>
      </c>
      <c r="X268" t="s">
        <v>184</v>
      </c>
      <c r="AA268" s="13">
        <f>2*0.538</f>
        <v>1.0760000000000001</v>
      </c>
      <c r="AB268">
        <v>25.3</v>
      </c>
      <c r="AC268">
        <v>1.95</v>
      </c>
      <c r="AD268" s="11">
        <f t="shared" si="55"/>
        <v>4.2010493827160493</v>
      </c>
      <c r="AE268" s="11">
        <f>_xlfn.RANK.AVG(Tableau8[[#This Row],[EE ( MJ/m²)]],AD268:AD1423)</f>
        <v>556</v>
      </c>
      <c r="AF268" s="11">
        <f t="shared" si="64"/>
        <v>0.56013991769547322</v>
      </c>
      <c r="AG268" s="11">
        <f t="shared" si="65"/>
        <v>0.3237962962962963</v>
      </c>
      <c r="AH268" s="11">
        <f t="shared" si="57"/>
        <v>0.3237962962962963</v>
      </c>
      <c r="AI268" s="11">
        <f t="shared" si="66"/>
        <v>4.3172839506172837E-2</v>
      </c>
      <c r="AJ268" s="11">
        <f t="shared" si="67"/>
        <v>4.3172839506172837E-2</v>
      </c>
    </row>
    <row r="269" spans="1:36" x14ac:dyDescent="0.25">
      <c r="A269" s="4" t="s">
        <v>945</v>
      </c>
      <c r="B269" s="4" t="s">
        <v>950</v>
      </c>
      <c r="C269" s="4" t="s">
        <v>15</v>
      </c>
      <c r="D269" s="4" t="s">
        <v>941</v>
      </c>
      <c r="E269" t="s">
        <v>637</v>
      </c>
      <c r="F269" t="s">
        <v>360</v>
      </c>
      <c r="G269" t="s">
        <v>616</v>
      </c>
      <c r="H269">
        <f t="shared" si="61"/>
        <v>6.48</v>
      </c>
      <c r="I269">
        <v>7.5</v>
      </c>
      <c r="J269" t="s">
        <v>44</v>
      </c>
      <c r="K269" t="s">
        <v>17</v>
      </c>
      <c r="L269" t="s">
        <v>648</v>
      </c>
      <c r="M269" t="s">
        <v>12</v>
      </c>
      <c r="N269" t="s">
        <v>12</v>
      </c>
      <c r="P269">
        <f>0.014*0.1*0.05</f>
        <v>7.0000000000000007E-5</v>
      </c>
      <c r="Q269" t="s">
        <v>180</v>
      </c>
      <c r="R269" t="s">
        <v>187</v>
      </c>
      <c r="T269">
        <v>10</v>
      </c>
      <c r="W269">
        <v>7800</v>
      </c>
      <c r="X269" t="s">
        <v>184</v>
      </c>
      <c r="AA269" s="13">
        <f>Tableau8[[#This Row],[density (kg/m2) or specific weight (kg/m2)]]*Tableau8[[#This Row],[nb of item used ]]*Tableau8[[#This Row],[volume or area]]</f>
        <v>5.4600000000000009</v>
      </c>
      <c r="AB269">
        <v>25.3</v>
      </c>
      <c r="AC269">
        <v>1.95</v>
      </c>
      <c r="AD269" s="11">
        <f t="shared" si="55"/>
        <v>21.317592592592597</v>
      </c>
      <c r="AE269" s="11">
        <f>_xlfn.RANK.AVG(Tableau8[[#This Row],[EE ( MJ/m²)]],AD269:AD1424)</f>
        <v>310</v>
      </c>
      <c r="AF269" s="11">
        <f t="shared" si="64"/>
        <v>2.8423456790123462</v>
      </c>
      <c r="AG269" s="11">
        <f t="shared" si="65"/>
        <v>1.6430555555555557</v>
      </c>
      <c r="AH269" s="11">
        <f t="shared" si="57"/>
        <v>1.6430555555555557</v>
      </c>
      <c r="AI269" s="11">
        <f t="shared" si="66"/>
        <v>0.21907407407407409</v>
      </c>
      <c r="AJ269" s="11">
        <f t="shared" si="67"/>
        <v>0.21907407407407409</v>
      </c>
    </row>
    <row r="270" spans="1:36" x14ac:dyDescent="0.25">
      <c r="A270" s="4" t="s">
        <v>945</v>
      </c>
      <c r="B270" s="4" t="s">
        <v>950</v>
      </c>
      <c r="C270" s="4" t="s">
        <v>15</v>
      </c>
      <c r="D270" s="4" t="s">
        <v>941</v>
      </c>
      <c r="E270" t="s">
        <v>637</v>
      </c>
      <c r="F270" t="s">
        <v>360</v>
      </c>
      <c r="G270" t="s">
        <v>616</v>
      </c>
      <c r="H270">
        <f t="shared" si="61"/>
        <v>6.48</v>
      </c>
      <c r="I270">
        <v>7.5</v>
      </c>
      <c r="J270" t="s">
        <v>44</v>
      </c>
      <c r="K270" t="s">
        <v>17</v>
      </c>
      <c r="L270" t="s">
        <v>649</v>
      </c>
      <c r="M270" t="s">
        <v>12</v>
      </c>
      <c r="N270" t="s">
        <v>12</v>
      </c>
      <c r="T270">
        <v>1</v>
      </c>
      <c r="W270">
        <v>7800</v>
      </c>
      <c r="X270" t="s">
        <v>184</v>
      </c>
      <c r="AA270" s="13">
        <v>4.5</v>
      </c>
      <c r="AB270">
        <v>25.3</v>
      </c>
      <c r="AC270">
        <v>1.95</v>
      </c>
      <c r="AD270" s="11">
        <f t="shared" si="55"/>
        <v>17.569444444444443</v>
      </c>
      <c r="AE270" s="11">
        <f>_xlfn.RANK.AVG(Tableau8[[#This Row],[EE ( MJ/m²)]],AD270:AD1425)</f>
        <v>341</v>
      </c>
      <c r="AF270" s="11">
        <f t="shared" si="64"/>
        <v>2.3425925925925926</v>
      </c>
      <c r="AG270" s="11">
        <f t="shared" si="65"/>
        <v>1.3541666666666667</v>
      </c>
      <c r="AH270" s="11">
        <f t="shared" si="57"/>
        <v>1.3541666666666667</v>
      </c>
      <c r="AI270" s="11">
        <f t="shared" si="66"/>
        <v>0.18055555555555555</v>
      </c>
      <c r="AJ270" s="11">
        <f t="shared" si="67"/>
        <v>0.18055555555555555</v>
      </c>
    </row>
    <row r="271" spans="1:36" x14ac:dyDescent="0.25">
      <c r="A271" s="4" t="s">
        <v>945</v>
      </c>
      <c r="B271" s="4" t="s">
        <v>950</v>
      </c>
      <c r="C271" s="4" t="s">
        <v>15</v>
      </c>
      <c r="D271" s="4" t="s">
        <v>941</v>
      </c>
      <c r="E271" t="s">
        <v>637</v>
      </c>
      <c r="F271" t="s">
        <v>360</v>
      </c>
      <c r="G271" t="s">
        <v>616</v>
      </c>
      <c r="H271">
        <f t="shared" si="61"/>
        <v>6.48</v>
      </c>
      <c r="I271">
        <v>7.5</v>
      </c>
      <c r="J271" t="s">
        <v>44</v>
      </c>
      <c r="K271" t="s">
        <v>17</v>
      </c>
      <c r="L271" t="s">
        <v>650</v>
      </c>
      <c r="M271" t="s">
        <v>12</v>
      </c>
      <c r="N271" t="s">
        <v>12</v>
      </c>
      <c r="T271">
        <v>1</v>
      </c>
      <c r="W271">
        <v>7800</v>
      </c>
      <c r="X271" t="s">
        <v>184</v>
      </c>
      <c r="AA271" s="13">
        <v>3.2</v>
      </c>
      <c r="AB271">
        <v>25.3</v>
      </c>
      <c r="AC271">
        <v>1.95</v>
      </c>
      <c r="AD271" s="11">
        <f t="shared" si="55"/>
        <v>12.493827160493828</v>
      </c>
      <c r="AE271" s="11">
        <f>_xlfn.RANK.AVG(Tableau8[[#This Row],[EE ( MJ/m²)]],AD271:AD1426)</f>
        <v>397</v>
      </c>
      <c r="AF271" s="11">
        <f t="shared" si="64"/>
        <v>1.665843621399177</v>
      </c>
      <c r="AG271" s="11">
        <f t="shared" si="65"/>
        <v>0.96296296296296291</v>
      </c>
      <c r="AH271" s="11">
        <f t="shared" si="57"/>
        <v>0.96296296296296291</v>
      </c>
      <c r="AI271" s="11">
        <f t="shared" si="66"/>
        <v>0.12839506172839504</v>
      </c>
      <c r="AJ271" s="11">
        <f t="shared" si="67"/>
        <v>0.12839506172839504</v>
      </c>
    </row>
    <row r="272" spans="1:36" x14ac:dyDescent="0.25">
      <c r="A272" s="4" t="s">
        <v>945</v>
      </c>
      <c r="B272" s="4" t="s">
        <v>950</v>
      </c>
      <c r="C272" s="4" t="s">
        <v>15</v>
      </c>
      <c r="D272" s="4" t="s">
        <v>941</v>
      </c>
      <c r="E272" t="s">
        <v>637</v>
      </c>
      <c r="F272" t="s">
        <v>360</v>
      </c>
      <c r="G272" t="s">
        <v>616</v>
      </c>
      <c r="H272">
        <f t="shared" si="61"/>
        <v>6.48</v>
      </c>
      <c r="I272">
        <v>7.5</v>
      </c>
      <c r="J272" t="s">
        <v>44</v>
      </c>
      <c r="K272" t="s">
        <v>17</v>
      </c>
      <c r="L272" t="s">
        <v>634</v>
      </c>
      <c r="M272" t="s">
        <v>12</v>
      </c>
      <c r="N272" t="s">
        <v>12</v>
      </c>
      <c r="T272">
        <v>1</v>
      </c>
      <c r="W272">
        <v>7800</v>
      </c>
      <c r="X272" t="s">
        <v>184</v>
      </c>
      <c r="AA272" s="13">
        <v>7.7</v>
      </c>
      <c r="AB272">
        <v>25.3</v>
      </c>
      <c r="AC272">
        <v>1.95</v>
      </c>
      <c r="AD272" s="11">
        <f t="shared" si="55"/>
        <v>30.063271604938269</v>
      </c>
      <c r="AE272" s="11">
        <f>_xlfn.RANK.AVG(Tableau8[[#This Row],[EE ( MJ/m²)]],AD272:AD1427)</f>
        <v>263</v>
      </c>
      <c r="AF272" s="11">
        <f t="shared" si="64"/>
        <v>4.0084362139917689</v>
      </c>
      <c r="AG272" s="11">
        <f t="shared" si="65"/>
        <v>2.3171296296296298</v>
      </c>
      <c r="AH272" s="11">
        <f t="shared" si="57"/>
        <v>2.3171296296296298</v>
      </c>
      <c r="AI272" s="11">
        <f t="shared" si="66"/>
        <v>0.30895061728395062</v>
      </c>
      <c r="AJ272" s="11">
        <f t="shared" si="67"/>
        <v>0.30895061728395062</v>
      </c>
    </row>
    <row r="273" spans="1:36" x14ac:dyDescent="0.25">
      <c r="A273" s="4" t="s">
        <v>945</v>
      </c>
      <c r="B273" s="4" t="s">
        <v>950</v>
      </c>
      <c r="C273" s="4" t="s">
        <v>15</v>
      </c>
      <c r="D273" s="4" t="s">
        <v>941</v>
      </c>
      <c r="E273" t="s">
        <v>637</v>
      </c>
      <c r="F273" t="s">
        <v>360</v>
      </c>
      <c r="G273" t="s">
        <v>616</v>
      </c>
      <c r="H273">
        <f t="shared" si="61"/>
        <v>6.48</v>
      </c>
      <c r="I273">
        <v>7.5</v>
      </c>
      <c r="J273" t="s">
        <v>44</v>
      </c>
      <c r="K273" t="s">
        <v>17</v>
      </c>
      <c r="L273" t="s">
        <v>651</v>
      </c>
      <c r="M273" t="s">
        <v>12</v>
      </c>
      <c r="N273" t="s">
        <v>12</v>
      </c>
      <c r="T273">
        <v>1</v>
      </c>
      <c r="W273">
        <v>7800</v>
      </c>
      <c r="X273" t="s">
        <v>184</v>
      </c>
      <c r="AA273" s="13">
        <v>5.5</v>
      </c>
      <c r="AB273">
        <v>25.3</v>
      </c>
      <c r="AC273">
        <v>1.95</v>
      </c>
      <c r="AD273" s="11">
        <f t="shared" si="55"/>
        <v>21.473765432098766</v>
      </c>
      <c r="AE273" s="11">
        <f>_xlfn.RANK.AVG(Tableau8[[#This Row],[EE ( MJ/m²)]],AD273:AD1428)</f>
        <v>308</v>
      </c>
      <c r="AF273" s="11">
        <f t="shared" si="64"/>
        <v>2.8631687242798356</v>
      </c>
      <c r="AG273" s="11">
        <f t="shared" si="65"/>
        <v>1.6550925925925923</v>
      </c>
      <c r="AH273" s="11">
        <f t="shared" si="57"/>
        <v>1.6550925925925923</v>
      </c>
      <c r="AI273" s="11">
        <f t="shared" si="66"/>
        <v>0.22067901234567897</v>
      </c>
      <c r="AJ273" s="11">
        <f t="shared" si="67"/>
        <v>0.22067901234567897</v>
      </c>
    </row>
    <row r="274" spans="1:36" x14ac:dyDescent="0.25">
      <c r="A274" s="4" t="s">
        <v>945</v>
      </c>
      <c r="B274" s="4" t="s">
        <v>950</v>
      </c>
      <c r="C274" s="4" t="s">
        <v>15</v>
      </c>
      <c r="D274" s="4" t="s">
        <v>941</v>
      </c>
      <c r="E274" t="s">
        <v>637</v>
      </c>
      <c r="F274" t="s">
        <v>360</v>
      </c>
      <c r="G274" t="s">
        <v>616</v>
      </c>
      <c r="H274">
        <f t="shared" si="61"/>
        <v>6.48</v>
      </c>
      <c r="I274">
        <v>7.5</v>
      </c>
      <c r="J274" t="s">
        <v>44</v>
      </c>
      <c r="K274" t="s">
        <v>17</v>
      </c>
      <c r="L274" t="s">
        <v>652</v>
      </c>
      <c r="M274" t="s">
        <v>12</v>
      </c>
      <c r="N274" t="s">
        <v>612</v>
      </c>
      <c r="T274">
        <v>1</v>
      </c>
      <c r="W274">
        <v>7800</v>
      </c>
      <c r="X274" t="s">
        <v>184</v>
      </c>
      <c r="AA274" s="13">
        <v>1</v>
      </c>
      <c r="AB274">
        <v>36</v>
      </c>
      <c r="AC274">
        <v>3.02</v>
      </c>
      <c r="AD274" s="11">
        <f t="shared" si="55"/>
        <v>5.5555555555555554</v>
      </c>
      <c r="AE274" s="11">
        <f>_xlfn.RANK.AVG(Tableau8[[#This Row],[EE ( MJ/m²)]],AD274:AD1429)</f>
        <v>516</v>
      </c>
      <c r="AF274" s="11">
        <f t="shared" si="64"/>
        <v>0.7407407407407407</v>
      </c>
      <c r="AG274" s="11">
        <f t="shared" si="65"/>
        <v>0.46604938271604934</v>
      </c>
      <c r="AH274" s="11">
        <f t="shared" si="57"/>
        <v>0.46604938271604934</v>
      </c>
      <c r="AI274" s="11">
        <f t="shared" si="66"/>
        <v>6.2139917695473244E-2</v>
      </c>
      <c r="AJ274" s="11">
        <f t="shared" si="67"/>
        <v>6.2139917695473244E-2</v>
      </c>
    </row>
    <row r="275" spans="1:36" x14ac:dyDescent="0.25">
      <c r="A275" s="4" t="s">
        <v>945</v>
      </c>
      <c r="B275" s="4" t="s">
        <v>950</v>
      </c>
      <c r="C275" s="4" t="s">
        <v>15</v>
      </c>
      <c r="D275" s="4" t="s">
        <v>941</v>
      </c>
      <c r="E275" t="s">
        <v>637</v>
      </c>
      <c r="F275" t="s">
        <v>360</v>
      </c>
      <c r="G275" t="s">
        <v>616</v>
      </c>
      <c r="H275">
        <f t="shared" si="61"/>
        <v>6.48</v>
      </c>
      <c r="I275">
        <v>7.5</v>
      </c>
      <c r="J275" t="s">
        <v>44</v>
      </c>
      <c r="K275" t="s">
        <v>17</v>
      </c>
      <c r="L275" t="s">
        <v>653</v>
      </c>
      <c r="M275" t="s">
        <v>12</v>
      </c>
      <c r="N275" t="s">
        <v>12</v>
      </c>
      <c r="T275">
        <v>1</v>
      </c>
      <c r="W275">
        <v>7800</v>
      </c>
      <c r="X275" t="s">
        <v>184</v>
      </c>
      <c r="AA275" s="13">
        <f>1.26*27.3</f>
        <v>34.398000000000003</v>
      </c>
      <c r="AB275">
        <v>25.3</v>
      </c>
      <c r="AC275">
        <v>1.95</v>
      </c>
      <c r="AD275" s="11">
        <f t="shared" si="55"/>
        <v>134.30083333333334</v>
      </c>
      <c r="AE275" s="11">
        <f>_xlfn.RANK.AVG(Tableau8[[#This Row],[EE ( MJ/m²)]],AD275:AD1430)</f>
        <v>91</v>
      </c>
      <c r="AF275" s="11">
        <f t="shared" si="64"/>
        <v>17.90677777777778</v>
      </c>
      <c r="AG275" s="11">
        <f t="shared" si="65"/>
        <v>10.35125</v>
      </c>
      <c r="AH275" s="11">
        <f t="shared" si="57"/>
        <v>10.35125</v>
      </c>
      <c r="AI275" s="11">
        <f t="shared" si="66"/>
        <v>1.3801666666666668</v>
      </c>
      <c r="AJ275" s="11">
        <f t="shared" si="67"/>
        <v>1.3801666666666668</v>
      </c>
    </row>
    <row r="276" spans="1:36" x14ac:dyDescent="0.25">
      <c r="A276" s="4" t="s">
        <v>945</v>
      </c>
      <c r="B276" s="4" t="s">
        <v>950</v>
      </c>
      <c r="C276" s="4" t="s">
        <v>15</v>
      </c>
      <c r="D276" s="4" t="s">
        <v>941</v>
      </c>
      <c r="E276" t="s">
        <v>637</v>
      </c>
      <c r="F276" t="s">
        <v>360</v>
      </c>
      <c r="G276" t="s">
        <v>616</v>
      </c>
      <c r="H276">
        <f t="shared" si="61"/>
        <v>6.48</v>
      </c>
      <c r="I276">
        <v>7.5</v>
      </c>
      <c r="J276" t="s">
        <v>13</v>
      </c>
      <c r="K276" t="s">
        <v>29</v>
      </c>
      <c r="L276" t="s">
        <v>364</v>
      </c>
      <c r="M276" t="s">
        <v>364</v>
      </c>
      <c r="N276" t="s">
        <v>432</v>
      </c>
      <c r="P276">
        <v>0.8</v>
      </c>
      <c r="Q276" t="s">
        <v>180</v>
      </c>
      <c r="T276">
        <v>1</v>
      </c>
      <c r="W276">
        <v>2240</v>
      </c>
      <c r="X276" t="s">
        <v>184</v>
      </c>
      <c r="AA276" s="13">
        <f>Tableau8[[#This Row],[density (kg/m2) or specific weight (kg/m2)]]*Tableau8[[#This Row],[nb of item used ]]*Tableau8[[#This Row],[volume or area]]</f>
        <v>1792</v>
      </c>
      <c r="AB276">
        <v>8.0999999999999996E-3</v>
      </c>
      <c r="AC276">
        <v>5.1000000000000004E-3</v>
      </c>
      <c r="AD276" s="11">
        <f t="shared" si="55"/>
        <v>2.2399999999999998</v>
      </c>
      <c r="AE276" s="11">
        <f>_xlfn.RANK.AVG(Tableau8[[#This Row],[EE ( MJ/m²)]],AD276:AD1431)</f>
        <v>619.5</v>
      </c>
      <c r="AF276" s="11">
        <f t="shared" si="64"/>
        <v>0.29866666666666664</v>
      </c>
      <c r="AG276" s="11">
        <f t="shared" si="65"/>
        <v>1.4103703703703703</v>
      </c>
      <c r="AH276" s="11">
        <f t="shared" si="57"/>
        <v>1.4103703703703703</v>
      </c>
      <c r="AI276" s="11">
        <f t="shared" si="66"/>
        <v>0.18804938271604937</v>
      </c>
      <c r="AJ276" s="11">
        <f t="shared" si="67"/>
        <v>0.18804938271604937</v>
      </c>
    </row>
    <row r="277" spans="1:36" x14ac:dyDescent="0.25">
      <c r="A277" s="4" t="s">
        <v>945</v>
      </c>
      <c r="B277" s="4" t="s">
        <v>950</v>
      </c>
      <c r="C277" s="4" t="s">
        <v>15</v>
      </c>
      <c r="D277" s="4" t="s">
        <v>941</v>
      </c>
      <c r="E277" t="s">
        <v>637</v>
      </c>
      <c r="F277" t="s">
        <v>360</v>
      </c>
      <c r="G277" t="s">
        <v>616</v>
      </c>
      <c r="H277">
        <f t="shared" si="61"/>
        <v>6.48</v>
      </c>
      <c r="I277">
        <v>7.5</v>
      </c>
      <c r="J277" t="s">
        <v>56</v>
      </c>
      <c r="K277" t="s">
        <v>17</v>
      </c>
      <c r="L277" t="s">
        <v>628</v>
      </c>
      <c r="M277" t="s">
        <v>236</v>
      </c>
      <c r="N277" t="s">
        <v>59</v>
      </c>
      <c r="P277">
        <f>0.8*2.4*0.00035</f>
        <v>6.7199999999999996E-4</v>
      </c>
      <c r="Q277" t="s">
        <v>180</v>
      </c>
      <c r="R277" t="s">
        <v>175</v>
      </c>
      <c r="T277">
        <v>18</v>
      </c>
      <c r="W277">
        <v>7870</v>
      </c>
      <c r="X277" t="s">
        <v>184</v>
      </c>
      <c r="AA277" s="13">
        <f>Tableau8[[#This Row],[density (kg/m2) or specific weight (kg/m2)]]*Tableau8[[#This Row],[nb of item used ]]*Tableau8[[#This Row],[volume or area]]</f>
        <v>95.195519999999988</v>
      </c>
      <c r="AB277">
        <v>25</v>
      </c>
      <c r="AC277">
        <v>2.0299999999999998</v>
      </c>
      <c r="AD277" s="11">
        <f t="shared" si="55"/>
        <v>367.26666666666665</v>
      </c>
      <c r="AE277" s="11">
        <f>_xlfn.RANK.AVG(Tableau8[[#This Row],[EE ( MJ/m²)]],AD277:AD1432)</f>
        <v>32</v>
      </c>
      <c r="AF277" s="11">
        <f t="shared" si="64"/>
        <v>48.968888888888884</v>
      </c>
      <c r="AG277" s="11">
        <f t="shared" si="65"/>
        <v>29.822053333333326</v>
      </c>
      <c r="AH277" s="11">
        <f t="shared" si="57"/>
        <v>29.822053333333326</v>
      </c>
      <c r="AI277" s="11">
        <f t="shared" si="66"/>
        <v>3.9762737777777768</v>
      </c>
      <c r="AJ277" s="11">
        <f t="shared" si="67"/>
        <v>3.9762737777777768</v>
      </c>
    </row>
    <row r="278" spans="1:36" x14ac:dyDescent="0.25">
      <c r="A278" s="4" t="s">
        <v>945</v>
      </c>
      <c r="B278" s="4" t="s">
        <v>950</v>
      </c>
      <c r="C278" s="4" t="s">
        <v>15</v>
      </c>
      <c r="D278" s="4" t="s">
        <v>941</v>
      </c>
      <c r="E278" t="s">
        <v>637</v>
      </c>
      <c r="F278" t="s">
        <v>360</v>
      </c>
      <c r="G278" t="s">
        <v>616</v>
      </c>
      <c r="H278">
        <f t="shared" si="61"/>
        <v>6.48</v>
      </c>
      <c r="I278">
        <v>7.5</v>
      </c>
      <c r="J278" t="s">
        <v>13</v>
      </c>
      <c r="K278" t="s">
        <v>29</v>
      </c>
      <c r="L278" t="s">
        <v>607</v>
      </c>
      <c r="M278" t="s">
        <v>607</v>
      </c>
      <c r="N278" t="s">
        <v>433</v>
      </c>
      <c r="P278">
        <v>1.5</v>
      </c>
      <c r="Q278" t="s">
        <v>180</v>
      </c>
      <c r="T278">
        <v>1</v>
      </c>
      <c r="W278">
        <v>2240</v>
      </c>
      <c r="X278" t="s">
        <v>184</v>
      </c>
      <c r="AA278" s="13">
        <f>Tableau8[[#This Row],[density (kg/m2) or specific weight (kg/m2)]]*Tableau8[[#This Row],[nb of item used ]]*Tableau8[[#This Row],[volume or area]]</f>
        <v>3360</v>
      </c>
      <c r="AB278">
        <v>8.3000000000000004E-2</v>
      </c>
      <c r="AC278">
        <v>5.1999999999999998E-3</v>
      </c>
      <c r="AD278" s="11">
        <f t="shared" si="55"/>
        <v>43.037037037037031</v>
      </c>
      <c r="AE278" s="11">
        <f>_xlfn.RANK.AVG(Tableau8[[#This Row],[EE ( MJ/m²)]],AD278:AD1433)</f>
        <v>201</v>
      </c>
      <c r="AF278" s="11">
        <f t="shared" si="64"/>
        <v>5.7382716049382712</v>
      </c>
      <c r="AG278" s="11">
        <f t="shared" si="65"/>
        <v>2.6962962962962957</v>
      </c>
      <c r="AH278" s="11">
        <f t="shared" si="57"/>
        <v>2.6962962962962957</v>
      </c>
      <c r="AI278" s="11">
        <f t="shared" si="66"/>
        <v>0.35950617283950609</v>
      </c>
      <c r="AJ278" s="11">
        <f t="shared" si="67"/>
        <v>0.35950617283950609</v>
      </c>
    </row>
    <row r="279" spans="1:36" x14ac:dyDescent="0.25">
      <c r="A279" s="4" t="s">
        <v>945</v>
      </c>
      <c r="B279" s="4" t="s">
        <v>950</v>
      </c>
      <c r="C279" s="4" t="s">
        <v>15</v>
      </c>
      <c r="D279" s="4" t="s">
        <v>941</v>
      </c>
      <c r="E279" t="s">
        <v>637</v>
      </c>
      <c r="F279" t="s">
        <v>360</v>
      </c>
      <c r="G279" t="s">
        <v>616</v>
      </c>
      <c r="H279">
        <f t="shared" si="61"/>
        <v>6.48</v>
      </c>
      <c r="I279">
        <v>7.5</v>
      </c>
      <c r="J279" t="s">
        <v>13</v>
      </c>
      <c r="K279" t="s">
        <v>18</v>
      </c>
      <c r="L279" t="s">
        <v>638</v>
      </c>
      <c r="M279" t="s">
        <v>18</v>
      </c>
      <c r="N279" t="s">
        <v>414</v>
      </c>
      <c r="P279">
        <f>30*0.425*0.215*0.15</f>
        <v>0.41118749999999998</v>
      </c>
      <c r="Q279" t="s">
        <v>639</v>
      </c>
      <c r="T279">
        <v>1</v>
      </c>
      <c r="W279">
        <v>2400</v>
      </c>
      <c r="X279" t="s">
        <v>184</v>
      </c>
      <c r="AA279" s="13">
        <f>Tableau8[[#This Row],[density (kg/m2) or specific weight (kg/m2)]]*Tableau8[[#This Row],[nb of item used ]]*Tableau8[[#This Row],[volume or area]]</f>
        <v>986.84999999999991</v>
      </c>
      <c r="AB279">
        <v>0.72</v>
      </c>
      <c r="AC279">
        <v>0.88</v>
      </c>
      <c r="AD279" s="11">
        <f t="shared" si="55"/>
        <v>109.64999999999998</v>
      </c>
      <c r="AE279" s="11">
        <f>_xlfn.RANK.AVG(Tableau8[[#This Row],[EE ( MJ/m²)]],AD279:AD1434)</f>
        <v>107</v>
      </c>
      <c r="AF279" s="11">
        <f t="shared" si="64"/>
        <v>14.619999999999997</v>
      </c>
      <c r="AG279" s="11">
        <f t="shared" si="65"/>
        <v>134.01666666666665</v>
      </c>
      <c r="AH279" s="11">
        <f t="shared" si="57"/>
        <v>134.01666666666665</v>
      </c>
      <c r="AI279" s="11">
        <f t="shared" si="66"/>
        <v>17.868888888888886</v>
      </c>
      <c r="AJ279" s="11">
        <f t="shared" si="67"/>
        <v>17.868888888888886</v>
      </c>
    </row>
    <row r="280" spans="1:36" x14ac:dyDescent="0.25">
      <c r="A280" s="4" t="s">
        <v>945</v>
      </c>
      <c r="B280" s="4" t="s">
        <v>950</v>
      </c>
      <c r="C280" s="4" t="s">
        <v>15</v>
      </c>
      <c r="D280" s="4" t="s">
        <v>941</v>
      </c>
      <c r="E280" t="s">
        <v>637</v>
      </c>
      <c r="F280" t="s">
        <v>360</v>
      </c>
      <c r="G280" t="s">
        <v>616</v>
      </c>
      <c r="H280">
        <f t="shared" si="61"/>
        <v>6.48</v>
      </c>
      <c r="I280">
        <v>7.5</v>
      </c>
      <c r="J280" t="s">
        <v>13</v>
      </c>
      <c r="K280" t="s">
        <v>18</v>
      </c>
      <c r="L280" t="s">
        <v>606</v>
      </c>
      <c r="M280" t="s">
        <v>363</v>
      </c>
      <c r="N280" t="s">
        <v>431</v>
      </c>
      <c r="T280">
        <v>1</v>
      </c>
      <c r="W280">
        <v>1860</v>
      </c>
      <c r="X280" t="s">
        <v>184</v>
      </c>
      <c r="AA280" s="13">
        <f>5*42.5</f>
        <v>212.5</v>
      </c>
      <c r="AB280">
        <v>4.51</v>
      </c>
      <c r="AC280">
        <v>0.74</v>
      </c>
      <c r="AD280" s="11">
        <f t="shared" si="55"/>
        <v>147.89737654320987</v>
      </c>
      <c r="AE280" s="11">
        <f>_xlfn.RANK.AVG(Tableau8[[#This Row],[EE ( MJ/m²)]],AD280:AD1435)</f>
        <v>80</v>
      </c>
      <c r="AF280" s="11">
        <f t="shared" si="64"/>
        <v>19.719650205761315</v>
      </c>
      <c r="AG280" s="11">
        <f t="shared" si="65"/>
        <v>24.266975308641975</v>
      </c>
      <c r="AH280" s="11">
        <f t="shared" si="57"/>
        <v>24.266975308641975</v>
      </c>
      <c r="AI280" s="11">
        <f t="shared" si="66"/>
        <v>3.2355967078189298</v>
      </c>
      <c r="AJ280" s="11">
        <f t="shared" si="67"/>
        <v>3.2355967078189298</v>
      </c>
    </row>
    <row r="281" spans="1:36" x14ac:dyDescent="0.25">
      <c r="A281" s="4" t="s">
        <v>945</v>
      </c>
      <c r="B281" s="4" t="s">
        <v>951</v>
      </c>
      <c r="C281" s="4" t="s">
        <v>15</v>
      </c>
      <c r="D281" s="4" t="s">
        <v>941</v>
      </c>
      <c r="E281" t="s">
        <v>654</v>
      </c>
      <c r="F281" t="s">
        <v>360</v>
      </c>
      <c r="G281" t="s">
        <v>616</v>
      </c>
      <c r="H281">
        <f t="shared" ref="H281:H301" si="68">1.8*3.7</f>
        <v>6.66</v>
      </c>
      <c r="I281">
        <v>4.5</v>
      </c>
      <c r="J281" t="s">
        <v>42</v>
      </c>
      <c r="K281" t="s">
        <v>15</v>
      </c>
      <c r="L281" t="s">
        <v>622</v>
      </c>
      <c r="M281" t="s">
        <v>15</v>
      </c>
      <c r="N281" t="s">
        <v>15</v>
      </c>
      <c r="P281">
        <f>0.038*0.089*4.3</f>
        <v>1.4542599999999998E-2</v>
      </c>
      <c r="Q281" t="s">
        <v>180</v>
      </c>
      <c r="T281">
        <v>105</v>
      </c>
      <c r="W281">
        <v>510</v>
      </c>
      <c r="X281" t="s">
        <v>184</v>
      </c>
      <c r="AA281" s="13">
        <f>Tableau8[[#This Row],[nb of item used ]]*Tableau8[[#This Row],[density (kg/m2) or specific weight (kg/m2)]]*Tableau8[[#This Row],[volume or area]]</f>
        <v>778.75622999999985</v>
      </c>
      <c r="AB281">
        <f>10-4.4</f>
        <v>5.6</v>
      </c>
      <c r="AC281">
        <f>0.31+0.41</f>
        <v>0.72</v>
      </c>
      <c r="AD281" s="11">
        <f t="shared" si="55"/>
        <v>654.81004324324306</v>
      </c>
      <c r="AE281" s="11">
        <f>_xlfn.RANK.AVG(Tableau8[[#This Row],[EE ( MJ/m²)]],AD281:AD1436)</f>
        <v>18</v>
      </c>
      <c r="AF281" s="11">
        <f t="shared" si="64"/>
        <v>145.5133429429429</v>
      </c>
      <c r="AG281" s="11">
        <f>(AC281-0.41)*AA281/H281</f>
        <v>36.248413108108103</v>
      </c>
      <c r="AH281" s="11">
        <f t="shared" si="57"/>
        <v>84.189862702702683</v>
      </c>
      <c r="AI281" s="11">
        <f>(AC281-0.41)*AA281/H281/I281</f>
        <v>8.055202912912911</v>
      </c>
      <c r="AJ281" s="11">
        <f t="shared" si="67"/>
        <v>18.708858378378373</v>
      </c>
    </row>
    <row r="282" spans="1:36" x14ac:dyDescent="0.25">
      <c r="A282" s="4" t="s">
        <v>945</v>
      </c>
      <c r="B282" s="4" t="s">
        <v>951</v>
      </c>
      <c r="C282" s="4" t="s">
        <v>15</v>
      </c>
      <c r="D282" s="4" t="s">
        <v>941</v>
      </c>
      <c r="E282" t="s">
        <v>654</v>
      </c>
      <c r="F282" t="s">
        <v>360</v>
      </c>
      <c r="G282" t="s">
        <v>616</v>
      </c>
      <c r="H282">
        <f t="shared" si="68"/>
        <v>6.66</v>
      </c>
      <c r="I282">
        <v>4.5</v>
      </c>
      <c r="J282" t="s">
        <v>42</v>
      </c>
      <c r="K282" t="s">
        <v>15</v>
      </c>
      <c r="L282" t="s">
        <v>625</v>
      </c>
      <c r="M282" t="s">
        <v>15</v>
      </c>
      <c r="N282" t="s">
        <v>15</v>
      </c>
      <c r="P282">
        <f>0.038*0.038*4.3</f>
        <v>6.2091999999999998E-3</v>
      </c>
      <c r="Q282" t="s">
        <v>180</v>
      </c>
      <c r="T282">
        <v>5</v>
      </c>
      <c r="W282">
        <v>510</v>
      </c>
      <c r="X282" t="s">
        <v>184</v>
      </c>
      <c r="AA282" s="13">
        <f>Tableau8[[#This Row],[nb of item used ]]*Tableau8[[#This Row],[density (kg/m2) or specific weight (kg/m2)]]*Tableau8[[#This Row],[volume or area]]</f>
        <v>15.833459999999999</v>
      </c>
      <c r="AB282">
        <f>10-4.4</f>
        <v>5.6</v>
      </c>
      <c r="AC282">
        <f>0.31+0.41</f>
        <v>0.72</v>
      </c>
      <c r="AD282" s="11">
        <f t="shared" si="55"/>
        <v>13.313419819819819</v>
      </c>
      <c r="AE282" s="11">
        <f>_xlfn.RANK.AVG(Tableau8[[#This Row],[EE ( MJ/m²)]],AD282:AD1437)</f>
        <v>376</v>
      </c>
      <c r="AF282" s="11">
        <f t="shared" si="64"/>
        <v>2.9585377377377373</v>
      </c>
      <c r="AG282" s="11">
        <f>(AC282-0.41)*AA282/H282</f>
        <v>0.73699288288288289</v>
      </c>
      <c r="AH282" s="11">
        <f t="shared" si="57"/>
        <v>1.7117254054054052</v>
      </c>
      <c r="AI282" s="11">
        <f>(AC282-0.41)*AA282/H282/I282</f>
        <v>0.16377619619619621</v>
      </c>
      <c r="AJ282" s="11">
        <f t="shared" si="67"/>
        <v>0.38038342342342335</v>
      </c>
    </row>
    <row r="283" spans="1:36" x14ac:dyDescent="0.25">
      <c r="A283" s="4" t="s">
        <v>945</v>
      </c>
      <c r="B283" s="4" t="s">
        <v>951</v>
      </c>
      <c r="C283" s="4" t="s">
        <v>15</v>
      </c>
      <c r="D283" s="4" t="s">
        <v>941</v>
      </c>
      <c r="E283" t="s">
        <v>654</v>
      </c>
      <c r="F283" t="s">
        <v>360</v>
      </c>
      <c r="G283" t="s">
        <v>616</v>
      </c>
      <c r="H283">
        <f t="shared" si="68"/>
        <v>6.66</v>
      </c>
      <c r="I283">
        <v>4.5</v>
      </c>
      <c r="J283" t="s">
        <v>42</v>
      </c>
      <c r="K283" t="s">
        <v>15</v>
      </c>
      <c r="L283" t="s">
        <v>655</v>
      </c>
      <c r="M283" t="s">
        <v>15</v>
      </c>
      <c r="N283" t="s">
        <v>15</v>
      </c>
      <c r="P283">
        <f>0.019*0.152*4.3</f>
        <v>1.24184E-2</v>
      </c>
      <c r="Q283" t="s">
        <v>180</v>
      </c>
      <c r="T283">
        <v>2</v>
      </c>
      <c r="W283">
        <v>510</v>
      </c>
      <c r="X283" t="s">
        <v>184</v>
      </c>
      <c r="AA283" s="13">
        <f>Tableau8[[#This Row],[nb of item used ]]*Tableau8[[#This Row],[density (kg/m2) or specific weight (kg/m2)]]*Tableau8[[#This Row],[volume or area]]</f>
        <v>12.666767999999999</v>
      </c>
      <c r="AB283">
        <f>10-4.4</f>
        <v>5.6</v>
      </c>
      <c r="AC283">
        <f>0.31+0.41</f>
        <v>0.72</v>
      </c>
      <c r="AD283" s="11">
        <f t="shared" si="55"/>
        <v>10.650735855855855</v>
      </c>
      <c r="AE283" s="11">
        <f>_xlfn.RANK.AVG(Tableau8[[#This Row],[EE ( MJ/m²)]],AD283:AD1438)</f>
        <v>411</v>
      </c>
      <c r="AF283" s="11">
        <f t="shared" si="64"/>
        <v>2.36683019019019</v>
      </c>
      <c r="AG283" s="11">
        <f>(AC283-0.41)*AA283/H283</f>
        <v>0.58959430630630627</v>
      </c>
      <c r="AH283" s="11">
        <f t="shared" si="57"/>
        <v>1.3693803243243243</v>
      </c>
      <c r="AI283" s="11">
        <f>(AC283-0.41)*AA283/H283/I283</f>
        <v>0.13102095695695695</v>
      </c>
      <c r="AJ283" s="11">
        <f t="shared" si="67"/>
        <v>0.30430673873873876</v>
      </c>
    </row>
    <row r="284" spans="1:36" x14ac:dyDescent="0.25">
      <c r="A284" s="4" t="s">
        <v>945</v>
      </c>
      <c r="B284" s="4" t="s">
        <v>951</v>
      </c>
      <c r="C284" s="4" t="s">
        <v>15</v>
      </c>
      <c r="D284" s="4" t="s">
        <v>941</v>
      </c>
      <c r="E284" t="s">
        <v>654</v>
      </c>
      <c r="F284" t="s">
        <v>360</v>
      </c>
      <c r="G284" t="s">
        <v>616</v>
      </c>
      <c r="H284">
        <f t="shared" si="68"/>
        <v>6.66</v>
      </c>
      <c r="I284">
        <v>4.5</v>
      </c>
      <c r="J284" t="s">
        <v>42</v>
      </c>
      <c r="K284" t="s">
        <v>15</v>
      </c>
      <c r="L284" t="s">
        <v>656</v>
      </c>
      <c r="M284" t="s">
        <v>15</v>
      </c>
      <c r="N284" t="s">
        <v>15</v>
      </c>
      <c r="P284">
        <f>0.019*0.089*4.3</f>
        <v>7.2712999999999988E-3</v>
      </c>
      <c r="Q284" t="s">
        <v>180</v>
      </c>
      <c r="T284">
        <v>29</v>
      </c>
      <c r="W284">
        <v>510</v>
      </c>
      <c r="X284" t="s">
        <v>184</v>
      </c>
      <c r="AA284" s="13">
        <f>Tableau8[[#This Row],[nb of item used ]]*Tableau8[[#This Row],[density (kg/m2) or specific weight (kg/m2)]]*Tableau8[[#This Row],[volume or area]]</f>
        <v>107.54252699999998</v>
      </c>
      <c r="AB284">
        <f>10-4.4</f>
        <v>5.6</v>
      </c>
      <c r="AC284">
        <f>0.31+0.41</f>
        <v>0.72</v>
      </c>
      <c r="AD284" s="11">
        <f t="shared" si="55"/>
        <v>90.426148828828801</v>
      </c>
      <c r="AE284" s="11">
        <f>_xlfn.RANK.AVG(Tableau8[[#This Row],[EE ( MJ/m²)]],AD284:AD1439)</f>
        <v>121</v>
      </c>
      <c r="AF284" s="11">
        <f t="shared" si="64"/>
        <v>20.094699739739735</v>
      </c>
      <c r="AG284" s="11">
        <f>(AC284-0.41)*AA284/H284</f>
        <v>5.0057332387387383</v>
      </c>
      <c r="AH284" s="11">
        <f t="shared" si="57"/>
        <v>11.626219135135132</v>
      </c>
      <c r="AI284" s="11">
        <f>(AC284-0.41)*AA284/H284/I284</f>
        <v>1.112385164164164</v>
      </c>
      <c r="AJ284" s="11">
        <f t="shared" si="67"/>
        <v>2.5836042522522518</v>
      </c>
    </row>
    <row r="285" spans="1:36" x14ac:dyDescent="0.25">
      <c r="A285" s="4" t="s">
        <v>945</v>
      </c>
      <c r="B285" s="4" t="s">
        <v>951</v>
      </c>
      <c r="C285" s="4" t="s">
        <v>15</v>
      </c>
      <c r="D285" s="4" t="s">
        <v>941</v>
      </c>
      <c r="E285" t="s">
        <v>654</v>
      </c>
      <c r="F285" t="s">
        <v>360</v>
      </c>
      <c r="G285" t="s">
        <v>616</v>
      </c>
      <c r="H285">
        <f t="shared" si="68"/>
        <v>6.66</v>
      </c>
      <c r="I285">
        <v>4.5</v>
      </c>
      <c r="J285" t="s">
        <v>56</v>
      </c>
      <c r="K285" t="s">
        <v>17</v>
      </c>
      <c r="L285" t="s">
        <v>629</v>
      </c>
      <c r="M285" t="s">
        <v>12</v>
      </c>
      <c r="N285" t="s">
        <v>12</v>
      </c>
      <c r="P285">
        <f>0.3*0.00035*8</f>
        <v>8.3999999999999993E-4</v>
      </c>
      <c r="Q285" t="s">
        <v>180</v>
      </c>
      <c r="T285">
        <v>1</v>
      </c>
      <c r="W285">
        <v>7800</v>
      </c>
      <c r="X285" t="s">
        <v>184</v>
      </c>
      <c r="AA285" s="13">
        <f>Tableau8[[#This Row],[density (kg/m2) or specific weight (kg/m2)]]*Tableau8[[#This Row],[nb of item used ]]*Tableau8[[#This Row],[volume or area]]</f>
        <v>6.5519999999999996</v>
      </c>
      <c r="AB285">
        <v>25.3</v>
      </c>
      <c r="AC285">
        <v>1.95</v>
      </c>
      <c r="AD285" s="11">
        <f t="shared" si="55"/>
        <v>24.88972972972973</v>
      </c>
      <c r="AE285" s="11">
        <f>_xlfn.RANK.AVG(Tableau8[[#This Row],[EE ( MJ/m²)]],AD285:AD1440)</f>
        <v>276</v>
      </c>
      <c r="AF285" s="11">
        <f t="shared" si="64"/>
        <v>5.5310510510510511</v>
      </c>
      <c r="AG285" s="11">
        <f t="shared" ref="AG285:AG301" si="69">(AC285)*AA285/H285</f>
        <v>1.9183783783783781</v>
      </c>
      <c r="AH285" s="11">
        <f t="shared" si="57"/>
        <v>1.9183783783783781</v>
      </c>
      <c r="AI285" s="11">
        <f t="shared" ref="AI285:AI301" si="70">(AC285)*AA285/H285/I285</f>
        <v>0.42630630630630623</v>
      </c>
      <c r="AJ285" s="11">
        <f t="shared" si="67"/>
        <v>0.42630630630630623</v>
      </c>
    </row>
    <row r="286" spans="1:36" x14ac:dyDescent="0.25">
      <c r="A286" s="4" t="s">
        <v>945</v>
      </c>
      <c r="B286" s="4" t="s">
        <v>951</v>
      </c>
      <c r="C286" s="4" t="s">
        <v>15</v>
      </c>
      <c r="D286" s="4" t="s">
        <v>941</v>
      </c>
      <c r="E286" t="s">
        <v>654</v>
      </c>
      <c r="F286" t="s">
        <v>360</v>
      </c>
      <c r="G286" t="s">
        <v>616</v>
      </c>
      <c r="H286">
        <f t="shared" si="68"/>
        <v>6.66</v>
      </c>
      <c r="I286">
        <v>4.5</v>
      </c>
      <c r="J286" t="s">
        <v>44</v>
      </c>
      <c r="K286" t="s">
        <v>17</v>
      </c>
      <c r="L286" t="s">
        <v>659</v>
      </c>
      <c r="M286" t="s">
        <v>12</v>
      </c>
      <c r="N286" t="s">
        <v>12</v>
      </c>
      <c r="P286">
        <f>0.014*0.1*0.05</f>
        <v>7.0000000000000007E-5</v>
      </c>
      <c r="Q286" t="s">
        <v>180</v>
      </c>
      <c r="R286" t="s">
        <v>187</v>
      </c>
      <c r="T286">
        <v>2</v>
      </c>
      <c r="W286">
        <v>7800</v>
      </c>
      <c r="X286" t="s">
        <v>184</v>
      </c>
      <c r="AA286" s="13">
        <f>Tableau8[[#This Row],[density (kg/m2) or specific weight (kg/m2)]]*Tableau8[[#This Row],[nb of item used ]]*Tableau8[[#This Row],[volume or area]]</f>
        <v>1.0920000000000001</v>
      </c>
      <c r="AB286">
        <v>25.3</v>
      </c>
      <c r="AC286">
        <v>1.95</v>
      </c>
      <c r="AD286" s="11">
        <f t="shared" si="55"/>
        <v>4.1482882882882892</v>
      </c>
      <c r="AE286" s="11">
        <f>_xlfn.RANK.AVG(Tableau8[[#This Row],[EE ( MJ/m²)]],AD286:AD1441)</f>
        <v>540</v>
      </c>
      <c r="AF286" s="11">
        <f t="shared" si="64"/>
        <v>0.92184184184184204</v>
      </c>
      <c r="AG286" s="11">
        <f t="shared" si="69"/>
        <v>0.31972972972972974</v>
      </c>
      <c r="AH286" s="11">
        <f t="shared" si="57"/>
        <v>0.31972972972972974</v>
      </c>
      <c r="AI286" s="11">
        <f t="shared" si="70"/>
        <v>7.1051051051051056E-2</v>
      </c>
      <c r="AJ286" s="11">
        <f t="shared" si="67"/>
        <v>7.1051051051051056E-2</v>
      </c>
    </row>
    <row r="287" spans="1:36" x14ac:dyDescent="0.25">
      <c r="A287" s="4" t="s">
        <v>945</v>
      </c>
      <c r="B287" s="4" t="s">
        <v>951</v>
      </c>
      <c r="C287" s="4" t="s">
        <v>15</v>
      </c>
      <c r="D287" s="4" t="s">
        <v>941</v>
      </c>
      <c r="E287" t="s">
        <v>654</v>
      </c>
      <c r="F287" t="s">
        <v>360</v>
      </c>
      <c r="G287" t="s">
        <v>616</v>
      </c>
      <c r="H287">
        <f t="shared" si="68"/>
        <v>6.66</v>
      </c>
      <c r="I287">
        <v>4.5</v>
      </c>
      <c r="J287" t="s">
        <v>44</v>
      </c>
      <c r="K287" t="s">
        <v>17</v>
      </c>
      <c r="L287" t="s">
        <v>660</v>
      </c>
      <c r="M287" t="s">
        <v>12</v>
      </c>
      <c r="N287" t="s">
        <v>12</v>
      </c>
      <c r="P287">
        <f>0.014*0.1*0.05</f>
        <v>7.0000000000000007E-5</v>
      </c>
      <c r="Q287" t="s">
        <v>180</v>
      </c>
      <c r="R287" t="s">
        <v>187</v>
      </c>
      <c r="T287">
        <v>6</v>
      </c>
      <c r="W287">
        <v>7800</v>
      </c>
      <c r="X287" t="s">
        <v>184</v>
      </c>
      <c r="AA287" s="13">
        <f>Tableau8[[#This Row],[density (kg/m2) or specific weight (kg/m2)]]*Tableau8[[#This Row],[nb of item used ]]*Tableau8[[#This Row],[volume or area]]</f>
        <v>3.2760000000000002</v>
      </c>
      <c r="AB287">
        <v>25.3</v>
      </c>
      <c r="AC287">
        <v>1.95</v>
      </c>
      <c r="AD287" s="11">
        <f t="shared" si="55"/>
        <v>12.444864864864865</v>
      </c>
      <c r="AE287" s="11">
        <f>_xlfn.RANK.AVG(Tableau8[[#This Row],[EE ( MJ/m²)]],AD287:AD1442)</f>
        <v>386</v>
      </c>
      <c r="AF287" s="11">
        <f t="shared" si="64"/>
        <v>2.7655255255255256</v>
      </c>
      <c r="AG287" s="11">
        <f t="shared" si="69"/>
        <v>0.95918918918918916</v>
      </c>
      <c r="AH287" s="11">
        <f t="shared" si="57"/>
        <v>0.95918918918918916</v>
      </c>
      <c r="AI287" s="11">
        <f t="shared" si="70"/>
        <v>0.21315315315315314</v>
      </c>
      <c r="AJ287" s="11">
        <f t="shared" si="67"/>
        <v>0.21315315315315314</v>
      </c>
    </row>
    <row r="288" spans="1:36" x14ac:dyDescent="0.25">
      <c r="A288" s="4" t="s">
        <v>945</v>
      </c>
      <c r="B288" s="4" t="s">
        <v>951</v>
      </c>
      <c r="C288" s="4" t="s">
        <v>15</v>
      </c>
      <c r="D288" s="4" t="s">
        <v>941</v>
      </c>
      <c r="E288" t="s">
        <v>654</v>
      </c>
      <c r="F288" t="s">
        <v>360</v>
      </c>
      <c r="G288" t="s">
        <v>616</v>
      </c>
      <c r="H288">
        <f t="shared" si="68"/>
        <v>6.66</v>
      </c>
      <c r="I288">
        <v>4.5</v>
      </c>
      <c r="J288" t="s">
        <v>44</v>
      </c>
      <c r="K288" t="s">
        <v>17</v>
      </c>
      <c r="L288" t="s">
        <v>278</v>
      </c>
      <c r="M288" t="s">
        <v>12</v>
      </c>
      <c r="N288" t="s">
        <v>12</v>
      </c>
      <c r="T288">
        <v>1</v>
      </c>
      <c r="W288">
        <v>7800</v>
      </c>
      <c r="X288" t="s">
        <v>184</v>
      </c>
      <c r="AA288" s="13">
        <f>1*0.538</f>
        <v>0.53800000000000003</v>
      </c>
      <c r="AB288">
        <v>25.3</v>
      </c>
      <c r="AC288">
        <v>1.95</v>
      </c>
      <c r="AD288" s="11">
        <f t="shared" si="55"/>
        <v>2.0437537537537538</v>
      </c>
      <c r="AE288" s="11">
        <f>_xlfn.RANK.AVG(Tableau8[[#This Row],[EE ( MJ/m²)]],AD288:AD1443)</f>
        <v>618</v>
      </c>
      <c r="AF288" s="11">
        <f t="shared" si="64"/>
        <v>0.45416750083416751</v>
      </c>
      <c r="AG288" s="11">
        <f t="shared" si="69"/>
        <v>0.15752252252252255</v>
      </c>
      <c r="AH288" s="11">
        <f t="shared" si="57"/>
        <v>0.15752252252252255</v>
      </c>
      <c r="AI288" s="11">
        <f t="shared" si="70"/>
        <v>3.5005005005005009E-2</v>
      </c>
      <c r="AJ288" s="11">
        <f t="shared" si="67"/>
        <v>3.5005005005005009E-2</v>
      </c>
    </row>
    <row r="289" spans="1:36" x14ac:dyDescent="0.25">
      <c r="A289" s="4" t="s">
        <v>945</v>
      </c>
      <c r="B289" s="4" t="s">
        <v>951</v>
      </c>
      <c r="C289" s="4" t="s">
        <v>15</v>
      </c>
      <c r="D289" s="4" t="s">
        <v>941</v>
      </c>
      <c r="E289" t="s">
        <v>654</v>
      </c>
      <c r="F289" t="s">
        <v>360</v>
      </c>
      <c r="G289" t="s">
        <v>616</v>
      </c>
      <c r="H289">
        <f t="shared" si="68"/>
        <v>6.66</v>
      </c>
      <c r="I289">
        <v>4.5</v>
      </c>
      <c r="J289" t="s">
        <v>44</v>
      </c>
      <c r="K289" t="s">
        <v>17</v>
      </c>
      <c r="L289" t="s">
        <v>278</v>
      </c>
      <c r="M289" t="s">
        <v>12</v>
      </c>
      <c r="N289" t="s">
        <v>12</v>
      </c>
      <c r="T289">
        <v>1</v>
      </c>
      <c r="W289">
        <v>7800</v>
      </c>
      <c r="X289" t="s">
        <v>184</v>
      </c>
      <c r="AA289" s="13">
        <f>3*0.538</f>
        <v>1.6140000000000001</v>
      </c>
      <c r="AB289">
        <v>25.3</v>
      </c>
      <c r="AC289">
        <v>1.95</v>
      </c>
      <c r="AD289" s="11">
        <f t="shared" si="55"/>
        <v>6.1312612612612618</v>
      </c>
      <c r="AE289" s="11">
        <f>_xlfn.RANK.AVG(Tableau8[[#This Row],[EE ( MJ/m²)]],AD289:AD1444)</f>
        <v>492</v>
      </c>
      <c r="AF289" s="11">
        <f t="shared" si="64"/>
        <v>1.3625025025025026</v>
      </c>
      <c r="AG289" s="11">
        <f t="shared" si="69"/>
        <v>0.47256756756756757</v>
      </c>
      <c r="AH289" s="11">
        <f t="shared" si="57"/>
        <v>0.47256756756756757</v>
      </c>
      <c r="AI289" s="11">
        <f t="shared" si="70"/>
        <v>0.10501501501501502</v>
      </c>
      <c r="AJ289" s="11">
        <f t="shared" si="67"/>
        <v>0.10501501501501502</v>
      </c>
    </row>
    <row r="290" spans="1:36" x14ac:dyDescent="0.25">
      <c r="A290" s="4" t="s">
        <v>945</v>
      </c>
      <c r="B290" s="4" t="s">
        <v>951</v>
      </c>
      <c r="C290" s="4" t="s">
        <v>15</v>
      </c>
      <c r="D290" s="4" t="s">
        <v>941</v>
      </c>
      <c r="E290" t="s">
        <v>654</v>
      </c>
      <c r="F290" t="s">
        <v>360</v>
      </c>
      <c r="G290" t="s">
        <v>616</v>
      </c>
      <c r="H290">
        <f t="shared" si="68"/>
        <v>6.66</v>
      </c>
      <c r="I290">
        <v>4.5</v>
      </c>
      <c r="J290" t="s">
        <v>44</v>
      </c>
      <c r="K290" t="s">
        <v>17</v>
      </c>
      <c r="L290" t="s">
        <v>661</v>
      </c>
      <c r="M290" t="s">
        <v>12</v>
      </c>
      <c r="N290" t="s">
        <v>12</v>
      </c>
      <c r="T290">
        <v>30</v>
      </c>
      <c r="W290">
        <v>7800</v>
      </c>
      <c r="X290" t="s">
        <v>184</v>
      </c>
      <c r="AA290" s="13">
        <v>3</v>
      </c>
      <c r="AB290">
        <v>25.3</v>
      </c>
      <c r="AC290">
        <v>1.95</v>
      </c>
      <c r="AD290" s="11">
        <f t="shared" si="55"/>
        <v>11.396396396396398</v>
      </c>
      <c r="AE290" s="11">
        <f>_xlfn.RANK.AVG(Tableau8[[#This Row],[EE ( MJ/m²)]],AD290:AD1445)</f>
        <v>394</v>
      </c>
      <c r="AF290" s="11">
        <f t="shared" si="64"/>
        <v>2.532532532532533</v>
      </c>
      <c r="AG290" s="11">
        <f t="shared" si="69"/>
        <v>0.87837837837837829</v>
      </c>
      <c r="AH290" s="11">
        <f t="shared" si="57"/>
        <v>0.87837837837837829</v>
      </c>
      <c r="AI290" s="11">
        <f t="shared" si="70"/>
        <v>0.19519519519519518</v>
      </c>
      <c r="AJ290" s="11">
        <f t="shared" si="67"/>
        <v>0.19519519519519518</v>
      </c>
    </row>
    <row r="291" spans="1:36" x14ac:dyDescent="0.25">
      <c r="A291" s="4" t="s">
        <v>945</v>
      </c>
      <c r="B291" s="4" t="s">
        <v>951</v>
      </c>
      <c r="C291" s="4" t="s">
        <v>15</v>
      </c>
      <c r="D291" s="4" t="s">
        <v>941</v>
      </c>
      <c r="E291" t="s">
        <v>654</v>
      </c>
      <c r="F291" t="s">
        <v>360</v>
      </c>
      <c r="G291" t="s">
        <v>616</v>
      </c>
      <c r="H291">
        <f t="shared" si="68"/>
        <v>6.66</v>
      </c>
      <c r="I291">
        <v>4.5</v>
      </c>
      <c r="J291" t="s">
        <v>44</v>
      </c>
      <c r="K291" t="s">
        <v>17</v>
      </c>
      <c r="L291" t="s">
        <v>9</v>
      </c>
      <c r="M291" t="s">
        <v>12</v>
      </c>
      <c r="N291" t="s">
        <v>12</v>
      </c>
      <c r="T291">
        <v>1</v>
      </c>
      <c r="W291">
        <v>7800</v>
      </c>
      <c r="X291" t="s">
        <v>184</v>
      </c>
      <c r="AA291" s="13">
        <f>1.8+8.3+5.2+1.4+2.6+1.8+0.5+6.4</f>
        <v>28</v>
      </c>
      <c r="AB291">
        <v>25.3</v>
      </c>
      <c r="AC291">
        <v>1.95</v>
      </c>
      <c r="AD291" s="11">
        <f t="shared" si="55"/>
        <v>106.36636636636636</v>
      </c>
      <c r="AE291" s="11">
        <f>_xlfn.RANK.AVG(Tableau8[[#This Row],[EE ( MJ/m²)]],AD291:AD1446)</f>
        <v>105</v>
      </c>
      <c r="AF291" s="11">
        <f t="shared" si="64"/>
        <v>23.636970303636971</v>
      </c>
      <c r="AG291" s="11">
        <f t="shared" si="69"/>
        <v>8.1981981981981988</v>
      </c>
      <c r="AH291" s="11">
        <f t="shared" si="57"/>
        <v>8.1981981981981988</v>
      </c>
      <c r="AI291" s="11">
        <f t="shared" si="70"/>
        <v>1.8218218218218221</v>
      </c>
      <c r="AJ291" s="11">
        <f t="shared" si="67"/>
        <v>1.8218218218218221</v>
      </c>
    </row>
    <row r="292" spans="1:36" x14ac:dyDescent="0.25">
      <c r="A292" s="4" t="s">
        <v>945</v>
      </c>
      <c r="B292" s="4" t="s">
        <v>951</v>
      </c>
      <c r="C292" s="4" t="s">
        <v>15</v>
      </c>
      <c r="D292" s="4" t="s">
        <v>941</v>
      </c>
      <c r="E292" t="s">
        <v>654</v>
      </c>
      <c r="F292" t="s">
        <v>360</v>
      </c>
      <c r="G292" t="s">
        <v>616</v>
      </c>
      <c r="H292">
        <f t="shared" si="68"/>
        <v>6.66</v>
      </c>
      <c r="I292">
        <v>4.5</v>
      </c>
      <c r="J292" t="s">
        <v>44</v>
      </c>
      <c r="K292" t="s">
        <v>17</v>
      </c>
      <c r="L292" t="s">
        <v>662</v>
      </c>
      <c r="M292" t="s">
        <v>12</v>
      </c>
      <c r="N292" t="s">
        <v>923</v>
      </c>
      <c r="P292">
        <f>PI()*(0.00475^2)*2</f>
        <v>1.417643684932394E-4</v>
      </c>
      <c r="Q292" t="s">
        <v>180</v>
      </c>
      <c r="T292">
        <f>5</f>
        <v>5</v>
      </c>
      <c r="W292">
        <v>7800</v>
      </c>
      <c r="X292" t="s">
        <v>184</v>
      </c>
      <c r="AA292" s="13">
        <f>Tableau8[[#This Row],[density (kg/m2) or specific weight (kg/m2)]]*Tableau8[[#This Row],[nb of item used ]]*Tableau8[[#This Row],[volume or area]]</f>
        <v>5.5288103712363368</v>
      </c>
      <c r="AB292">
        <v>36</v>
      </c>
      <c r="AC292">
        <v>3.02</v>
      </c>
      <c r="AD292" s="11">
        <f t="shared" si="55"/>
        <v>29.885461466142363</v>
      </c>
      <c r="AE292" s="11">
        <f>_xlfn.RANK.AVG(Tableau8[[#This Row],[EE ( MJ/m²)]],AD292:AD1447)</f>
        <v>255</v>
      </c>
      <c r="AF292" s="11">
        <f t="shared" si="64"/>
        <v>6.6412136591427471</v>
      </c>
      <c r="AG292" s="11">
        <f t="shared" si="69"/>
        <v>2.5070581563263867</v>
      </c>
      <c r="AH292" s="11">
        <f t="shared" si="57"/>
        <v>2.5070581563263867</v>
      </c>
      <c r="AI292" s="11">
        <f t="shared" si="70"/>
        <v>0.55712403473919703</v>
      </c>
      <c r="AJ292" s="11">
        <f t="shared" si="67"/>
        <v>0.55712403473919703</v>
      </c>
    </row>
    <row r="293" spans="1:36" x14ac:dyDescent="0.25">
      <c r="A293" s="4" t="s">
        <v>945</v>
      </c>
      <c r="B293" s="4" t="s">
        <v>951</v>
      </c>
      <c r="C293" s="4" t="s">
        <v>15</v>
      </c>
      <c r="D293" s="4" t="s">
        <v>941</v>
      </c>
      <c r="E293" t="s">
        <v>654</v>
      </c>
      <c r="F293" t="s">
        <v>360</v>
      </c>
      <c r="G293" t="s">
        <v>616</v>
      </c>
      <c r="H293">
        <f t="shared" si="68"/>
        <v>6.66</v>
      </c>
      <c r="I293">
        <v>4.5</v>
      </c>
      <c r="J293" t="s">
        <v>44</v>
      </c>
      <c r="K293" t="s">
        <v>17</v>
      </c>
      <c r="L293" t="s">
        <v>663</v>
      </c>
      <c r="M293" t="s">
        <v>12</v>
      </c>
      <c r="N293" t="s">
        <v>12</v>
      </c>
      <c r="P293">
        <f>0.089*PI()*(0.005^2)</f>
        <v>6.9900436542372897E-6</v>
      </c>
      <c r="Q293" t="s">
        <v>180</v>
      </c>
      <c r="T293">
        <v>40</v>
      </c>
      <c r="W293">
        <v>7800</v>
      </c>
      <c r="X293" t="s">
        <v>184</v>
      </c>
      <c r="AA293" s="13">
        <f>Tableau8[[#This Row],[density (kg/m2) or specific weight (kg/m2)]]*Tableau8[[#This Row],[nb of item used ]]*Tableau8[[#This Row],[volume or area]]</f>
        <v>2.1808936201220344</v>
      </c>
      <c r="AB293">
        <v>25.3</v>
      </c>
      <c r="AC293">
        <v>1.95</v>
      </c>
      <c r="AD293" s="11">
        <f t="shared" si="55"/>
        <v>8.2847760644275485</v>
      </c>
      <c r="AE293" s="11">
        <f>_xlfn.RANK.AVG(Tableau8[[#This Row],[EE ( MJ/m²)]],AD293:AD1448)</f>
        <v>434</v>
      </c>
      <c r="AF293" s="11">
        <f t="shared" si="64"/>
        <v>1.8410613476505664</v>
      </c>
      <c r="AG293" s="11">
        <f t="shared" si="69"/>
        <v>0.63854993381951453</v>
      </c>
      <c r="AH293" s="11">
        <f t="shared" si="57"/>
        <v>0.63854993381951453</v>
      </c>
      <c r="AI293" s="11">
        <f t="shared" si="70"/>
        <v>0.14189998529322545</v>
      </c>
      <c r="AJ293" s="11">
        <f t="shared" si="67"/>
        <v>0.14189998529322545</v>
      </c>
    </row>
    <row r="294" spans="1:36" x14ac:dyDescent="0.25">
      <c r="A294" s="4" t="s">
        <v>945</v>
      </c>
      <c r="B294" s="4" t="s">
        <v>951</v>
      </c>
      <c r="C294" s="4" t="s">
        <v>15</v>
      </c>
      <c r="D294" s="4" t="s">
        <v>941</v>
      </c>
      <c r="E294" t="s">
        <v>654</v>
      </c>
      <c r="F294" t="s">
        <v>360</v>
      </c>
      <c r="G294" t="s">
        <v>616</v>
      </c>
      <c r="H294">
        <f t="shared" si="68"/>
        <v>6.66</v>
      </c>
      <c r="I294">
        <v>4.5</v>
      </c>
      <c r="J294" t="s">
        <v>44</v>
      </c>
      <c r="K294" t="s">
        <v>17</v>
      </c>
      <c r="L294" t="s">
        <v>321</v>
      </c>
      <c r="M294" t="s">
        <v>12</v>
      </c>
      <c r="N294" t="s">
        <v>12</v>
      </c>
      <c r="T294">
        <v>1</v>
      </c>
      <c r="W294">
        <v>7800</v>
      </c>
      <c r="X294" t="s">
        <v>184</v>
      </c>
      <c r="AA294" s="13">
        <v>0.25</v>
      </c>
      <c r="AB294">
        <v>25.3</v>
      </c>
      <c r="AC294">
        <v>1.95</v>
      </c>
      <c r="AD294" s="11">
        <f t="shared" si="55"/>
        <v>0.9496996996996997</v>
      </c>
      <c r="AE294" s="11">
        <f>_xlfn.RANK.AVG(Tableau8[[#This Row],[EE ( MJ/m²)]],AD294:AD1449)</f>
        <v>688</v>
      </c>
      <c r="AF294" s="11">
        <f t="shared" si="64"/>
        <v>0.21104437771104437</v>
      </c>
      <c r="AG294" s="11">
        <f t="shared" si="69"/>
        <v>7.31981981981982E-2</v>
      </c>
      <c r="AH294" s="11">
        <f t="shared" si="57"/>
        <v>7.31981981981982E-2</v>
      </c>
      <c r="AI294" s="11">
        <f t="shared" si="70"/>
        <v>1.6266266266266267E-2</v>
      </c>
      <c r="AJ294" s="11">
        <f t="shared" si="67"/>
        <v>1.6266266266266267E-2</v>
      </c>
    </row>
    <row r="295" spans="1:36" x14ac:dyDescent="0.25">
      <c r="A295" s="4" t="s">
        <v>945</v>
      </c>
      <c r="B295" s="4" t="s">
        <v>951</v>
      </c>
      <c r="C295" s="4" t="s">
        <v>15</v>
      </c>
      <c r="D295" s="4" t="s">
        <v>941</v>
      </c>
      <c r="E295" t="s">
        <v>654</v>
      </c>
      <c r="F295" t="s">
        <v>360</v>
      </c>
      <c r="G295" t="s">
        <v>616</v>
      </c>
      <c r="H295">
        <f t="shared" si="68"/>
        <v>6.66</v>
      </c>
      <c r="I295">
        <v>4.5</v>
      </c>
      <c r="J295" t="s">
        <v>13</v>
      </c>
      <c r="K295" t="s">
        <v>29</v>
      </c>
      <c r="L295" t="s">
        <v>364</v>
      </c>
      <c r="M295" t="s">
        <v>364</v>
      </c>
      <c r="N295" t="s">
        <v>432</v>
      </c>
      <c r="P295">
        <f>4</f>
        <v>4</v>
      </c>
      <c r="Q295" t="s">
        <v>180</v>
      </c>
      <c r="T295">
        <v>1</v>
      </c>
      <c r="W295">
        <v>2240</v>
      </c>
      <c r="X295" t="s">
        <v>184</v>
      </c>
      <c r="AA295" s="13">
        <f>Tableau8[[#This Row],[density (kg/m2) or specific weight (kg/m2)]]*Tableau8[[#This Row],[nb of item used ]]*Tableau8[[#This Row],[volume or area]]</f>
        <v>8960</v>
      </c>
      <c r="AB295">
        <v>8.0999999999999996E-3</v>
      </c>
      <c r="AC295">
        <v>5.1000000000000004E-3</v>
      </c>
      <c r="AD295" s="11">
        <f t="shared" si="55"/>
        <v>10.897297297297296</v>
      </c>
      <c r="AE295" s="11">
        <f>_xlfn.RANK.AVG(Tableau8[[#This Row],[EE ( MJ/m²)]],AD295:AD1450)</f>
        <v>399</v>
      </c>
      <c r="AF295" s="11">
        <f t="shared" si="64"/>
        <v>2.4216216216216213</v>
      </c>
      <c r="AG295" s="11">
        <f t="shared" si="69"/>
        <v>6.8612612612612622</v>
      </c>
      <c r="AH295" s="11">
        <f t="shared" si="57"/>
        <v>6.8612612612612622</v>
      </c>
      <c r="AI295" s="11">
        <f t="shared" si="70"/>
        <v>1.5247247247247249</v>
      </c>
      <c r="AJ295" s="11">
        <f t="shared" si="67"/>
        <v>1.5247247247247249</v>
      </c>
    </row>
    <row r="296" spans="1:36" x14ac:dyDescent="0.25">
      <c r="A296" s="4" t="s">
        <v>945</v>
      </c>
      <c r="B296" s="4" t="s">
        <v>951</v>
      </c>
      <c r="C296" s="4" t="s">
        <v>15</v>
      </c>
      <c r="D296" s="4" t="s">
        <v>941</v>
      </c>
      <c r="E296" t="s">
        <v>654</v>
      </c>
      <c r="F296" t="s">
        <v>360</v>
      </c>
      <c r="G296" t="s">
        <v>616</v>
      </c>
      <c r="H296">
        <f t="shared" si="68"/>
        <v>6.66</v>
      </c>
      <c r="I296">
        <v>4.5</v>
      </c>
      <c r="J296" t="s">
        <v>40</v>
      </c>
      <c r="K296" t="s">
        <v>14</v>
      </c>
      <c r="L296" t="s">
        <v>657</v>
      </c>
      <c r="M296" t="s">
        <v>595</v>
      </c>
      <c r="N296" t="s">
        <v>595</v>
      </c>
      <c r="P296">
        <f>1.2*30.5</f>
        <v>36.6</v>
      </c>
      <c r="Q296" t="s">
        <v>179</v>
      </c>
      <c r="T296">
        <v>1</v>
      </c>
      <c r="W296" s="15">
        <v>3.7999999999999999E-2</v>
      </c>
      <c r="X296" t="s">
        <v>183</v>
      </c>
      <c r="AA296" s="13">
        <f>Tableau8[[#This Row],[nb of item used ]]*Tableau8[[#This Row],[density (kg/m2) or specific weight (kg/m2)]]*Tableau8[[#This Row],[volume or area]]</f>
        <v>1.3908</v>
      </c>
      <c r="AB296">
        <v>54.4</v>
      </c>
      <c r="AC296">
        <v>2.54</v>
      </c>
      <c r="AD296" s="11">
        <f t="shared" si="55"/>
        <v>11.360288288288288</v>
      </c>
      <c r="AE296" s="11">
        <f>_xlfn.RANK.AVG(Tableau8[[#This Row],[EE ( MJ/m²)]],AD296:AD1451)</f>
        <v>392</v>
      </c>
      <c r="AF296" s="11">
        <f t="shared" si="64"/>
        <v>2.5245085085085086</v>
      </c>
      <c r="AG296" s="11">
        <f t="shared" si="69"/>
        <v>0.53042522522522517</v>
      </c>
      <c r="AH296" s="11">
        <f t="shared" si="57"/>
        <v>0.53042522522522517</v>
      </c>
      <c r="AI296" s="11">
        <f t="shared" si="70"/>
        <v>0.11787227227227226</v>
      </c>
      <c r="AJ296" s="11">
        <f t="shared" si="67"/>
        <v>0.11787227227227226</v>
      </c>
    </row>
    <row r="297" spans="1:36" x14ac:dyDescent="0.25">
      <c r="A297" s="4" t="s">
        <v>945</v>
      </c>
      <c r="B297" s="4" t="s">
        <v>951</v>
      </c>
      <c r="C297" s="4" t="s">
        <v>15</v>
      </c>
      <c r="D297" s="4" t="s">
        <v>941</v>
      </c>
      <c r="E297" t="s">
        <v>654</v>
      </c>
      <c r="F297" t="s">
        <v>360</v>
      </c>
      <c r="G297" t="s">
        <v>616</v>
      </c>
      <c r="H297">
        <f t="shared" si="68"/>
        <v>6.66</v>
      </c>
      <c r="I297">
        <v>4.5</v>
      </c>
      <c r="J297" t="s">
        <v>40</v>
      </c>
      <c r="K297" t="s">
        <v>15</v>
      </c>
      <c r="L297" t="s">
        <v>627</v>
      </c>
      <c r="M297" t="s">
        <v>252</v>
      </c>
      <c r="N297" t="s">
        <v>252</v>
      </c>
      <c r="P297">
        <f>1.2*2.4*0.013</f>
        <v>3.7439999999999994E-2</v>
      </c>
      <c r="Q297" t="s">
        <v>180</v>
      </c>
      <c r="T297">
        <v>3</v>
      </c>
      <c r="W297">
        <v>540</v>
      </c>
      <c r="X297" t="s">
        <v>184</v>
      </c>
      <c r="AA297" s="13">
        <f>Tableau8[[#This Row],[nb of item used ]]*Tableau8[[#This Row],[density (kg/m2) or specific weight (kg/m2)]]*Tableau8[[#This Row],[volume or area]]</f>
        <v>60.652799999999992</v>
      </c>
      <c r="AB297">
        <f>15-7.1</f>
        <v>7.9</v>
      </c>
      <c r="AC297">
        <f>0.45+0.65</f>
        <v>1.1000000000000001</v>
      </c>
      <c r="AD297" s="11">
        <f t="shared" si="55"/>
        <v>71.945513513513504</v>
      </c>
      <c r="AE297" s="11">
        <f>_xlfn.RANK.AVG(Tableau8[[#This Row],[EE ( MJ/m²)]],AD297:AD1452)</f>
        <v>143.5</v>
      </c>
      <c r="AF297" s="11">
        <f t="shared" si="64"/>
        <v>15.98789189189189</v>
      </c>
      <c r="AG297" s="11">
        <f t="shared" si="69"/>
        <v>10.01772972972973</v>
      </c>
      <c r="AH297" s="11">
        <f t="shared" si="57"/>
        <v>10.01772972972973</v>
      </c>
      <c r="AI297" s="11">
        <f t="shared" si="70"/>
        <v>2.2261621621621623</v>
      </c>
      <c r="AJ297" s="11">
        <f t="shared" si="67"/>
        <v>2.2261621621621623</v>
      </c>
    </row>
    <row r="298" spans="1:36" x14ac:dyDescent="0.25">
      <c r="A298" s="4" t="s">
        <v>945</v>
      </c>
      <c r="B298" s="4" t="s">
        <v>951</v>
      </c>
      <c r="C298" s="4" t="s">
        <v>15</v>
      </c>
      <c r="D298" s="4" t="s">
        <v>941</v>
      </c>
      <c r="E298" t="s">
        <v>654</v>
      </c>
      <c r="F298" t="s">
        <v>360</v>
      </c>
      <c r="G298" t="s">
        <v>616</v>
      </c>
      <c r="H298">
        <f t="shared" si="68"/>
        <v>6.66</v>
      </c>
      <c r="I298">
        <v>4.5</v>
      </c>
      <c r="J298" t="s">
        <v>56</v>
      </c>
      <c r="K298" t="s">
        <v>17</v>
      </c>
      <c r="L298" t="s">
        <v>658</v>
      </c>
      <c r="M298" t="s">
        <v>236</v>
      </c>
      <c r="N298" t="s">
        <v>59</v>
      </c>
      <c r="P298">
        <f>0.95*5*0.00035</f>
        <v>1.6624999999999999E-3</v>
      </c>
      <c r="Q298" t="s">
        <v>180</v>
      </c>
      <c r="T298">
        <v>24</v>
      </c>
      <c r="W298">
        <v>7870</v>
      </c>
      <c r="X298" t="s">
        <v>184</v>
      </c>
      <c r="AA298" s="13">
        <f>Tableau8[[#This Row],[density (kg/m2) or specific weight (kg/m2)]]*Tableau8[[#This Row],[nb of item used ]]*Tableau8[[#This Row],[volume or area]]</f>
        <v>314.01299999999998</v>
      </c>
      <c r="AB298">
        <v>25</v>
      </c>
      <c r="AC298">
        <v>2.0299999999999998</v>
      </c>
      <c r="AD298" s="11">
        <f t="shared" ref="AD298:AD361" si="71">AB298*AA298/H298</f>
        <v>1178.7274774774774</v>
      </c>
      <c r="AE298" s="11">
        <f>_xlfn.RANK.AVG(Tableau8[[#This Row],[EE ( MJ/m²)]],AD298:AD1453)</f>
        <v>4</v>
      </c>
      <c r="AF298" s="11">
        <f t="shared" ref="AF298:AF328" si="72">AB298*AA298/H298/I298</f>
        <v>261.93943943943941</v>
      </c>
      <c r="AG298" s="11">
        <f t="shared" si="69"/>
        <v>95.712671171171138</v>
      </c>
      <c r="AH298" s="11">
        <f t="shared" ref="AH298:AH361" si="73">AC298*AA298/H298</f>
        <v>95.712671171171138</v>
      </c>
      <c r="AI298" s="11">
        <f t="shared" si="70"/>
        <v>21.269482482482474</v>
      </c>
      <c r="AJ298" s="11">
        <f t="shared" ref="AJ298:AJ328" si="74">AC298*AA298/H298/I298</f>
        <v>21.269482482482474</v>
      </c>
    </row>
    <row r="299" spans="1:36" x14ac:dyDescent="0.25">
      <c r="A299" s="4" t="s">
        <v>945</v>
      </c>
      <c r="B299" s="4" t="s">
        <v>951</v>
      </c>
      <c r="C299" s="4" t="s">
        <v>15</v>
      </c>
      <c r="D299" s="4" t="s">
        <v>941</v>
      </c>
      <c r="E299" t="s">
        <v>654</v>
      </c>
      <c r="F299" t="s">
        <v>360</v>
      </c>
      <c r="G299" t="s">
        <v>616</v>
      </c>
      <c r="H299">
        <f t="shared" si="68"/>
        <v>6.66</v>
      </c>
      <c r="I299">
        <v>4.5</v>
      </c>
      <c r="J299" t="s">
        <v>13</v>
      </c>
      <c r="K299" t="s">
        <v>29</v>
      </c>
      <c r="L299" t="s">
        <v>607</v>
      </c>
      <c r="M299" t="s">
        <v>607</v>
      </c>
      <c r="N299" t="s">
        <v>433</v>
      </c>
      <c r="P299">
        <v>6</v>
      </c>
      <c r="Q299" t="s">
        <v>180</v>
      </c>
      <c r="T299">
        <v>1</v>
      </c>
      <c r="W299">
        <v>2240</v>
      </c>
      <c r="X299" t="s">
        <v>184</v>
      </c>
      <c r="AA299" s="13">
        <f>Tableau8[[#This Row],[density (kg/m2) or specific weight (kg/m2)]]*Tableau8[[#This Row],[nb of item used ]]*Tableau8[[#This Row],[volume or area]]</f>
        <v>13440</v>
      </c>
      <c r="AB299">
        <v>8.3000000000000004E-2</v>
      </c>
      <c r="AC299">
        <v>5.1999999999999998E-3</v>
      </c>
      <c r="AD299" s="11">
        <f t="shared" si="71"/>
        <v>167.49549549549548</v>
      </c>
      <c r="AE299" s="11">
        <f>_xlfn.RANK.AVG(Tableau8[[#This Row],[EE ( MJ/m²)]],AD299:AD1454)</f>
        <v>64</v>
      </c>
      <c r="AF299" s="11">
        <f t="shared" si="72"/>
        <v>37.221221221221214</v>
      </c>
      <c r="AG299" s="11">
        <f t="shared" si="69"/>
        <v>10.493693693693691</v>
      </c>
      <c r="AH299" s="11">
        <f t="shared" si="73"/>
        <v>10.493693693693691</v>
      </c>
      <c r="AI299" s="11">
        <f t="shared" si="70"/>
        <v>2.3319319319319316</v>
      </c>
      <c r="AJ299" s="11">
        <f t="shared" si="74"/>
        <v>2.3319319319319316</v>
      </c>
    </row>
    <row r="300" spans="1:36" x14ac:dyDescent="0.25">
      <c r="A300" s="4" t="s">
        <v>945</v>
      </c>
      <c r="B300" s="4" t="s">
        <v>951</v>
      </c>
      <c r="C300" s="4" t="s">
        <v>15</v>
      </c>
      <c r="D300" s="4" t="s">
        <v>941</v>
      </c>
      <c r="E300" t="s">
        <v>654</v>
      </c>
      <c r="F300" t="s">
        <v>360</v>
      </c>
      <c r="G300" t="s">
        <v>616</v>
      </c>
      <c r="H300">
        <f t="shared" si="68"/>
        <v>6.66</v>
      </c>
      <c r="I300">
        <v>4.5</v>
      </c>
      <c r="J300" t="s">
        <v>13</v>
      </c>
      <c r="K300" t="s">
        <v>18</v>
      </c>
      <c r="L300" t="s">
        <v>638</v>
      </c>
      <c r="M300" t="s">
        <v>18</v>
      </c>
      <c r="N300" t="s">
        <v>414</v>
      </c>
      <c r="P300">
        <f>90*0.215*0.425*0.1</f>
        <v>0.82237500000000008</v>
      </c>
      <c r="Q300" t="s">
        <v>180</v>
      </c>
      <c r="T300">
        <v>1</v>
      </c>
      <c r="W300">
        <v>2400</v>
      </c>
      <c r="X300" t="s">
        <v>184</v>
      </c>
      <c r="AA300" s="13">
        <f>Tableau8[[#This Row],[density (kg/m2) or specific weight (kg/m2)]]*Tableau8[[#This Row],[nb of item used ]]*Tableau8[[#This Row],[volume or area]]</f>
        <v>1973.7000000000003</v>
      </c>
      <c r="AB300">
        <v>0.72</v>
      </c>
      <c r="AC300">
        <v>0.88</v>
      </c>
      <c r="AD300" s="11">
        <f t="shared" si="71"/>
        <v>213.37297297297297</v>
      </c>
      <c r="AE300" s="11">
        <f>_xlfn.RANK.AVG(Tableau8[[#This Row],[EE ( MJ/m²)]],AD300:AD1455)</f>
        <v>48</v>
      </c>
      <c r="AF300" s="11">
        <f t="shared" si="72"/>
        <v>47.416216216216213</v>
      </c>
      <c r="AG300" s="11">
        <f t="shared" si="69"/>
        <v>260.78918918918924</v>
      </c>
      <c r="AH300" s="11">
        <f t="shared" si="73"/>
        <v>260.78918918918924</v>
      </c>
      <c r="AI300" s="11">
        <f t="shared" si="70"/>
        <v>57.953153153153167</v>
      </c>
      <c r="AJ300" s="11">
        <f t="shared" si="74"/>
        <v>57.953153153153167</v>
      </c>
    </row>
    <row r="301" spans="1:36" s="20" customFormat="1" x14ac:dyDescent="0.25">
      <c r="A301" s="4" t="s">
        <v>945</v>
      </c>
      <c r="B301" s="4" t="s">
        <v>951</v>
      </c>
      <c r="C301" s="4" t="s">
        <v>15</v>
      </c>
      <c r="D301" s="4" t="s">
        <v>941</v>
      </c>
      <c r="E301" t="s">
        <v>654</v>
      </c>
      <c r="F301" t="s">
        <v>360</v>
      </c>
      <c r="G301" t="s">
        <v>616</v>
      </c>
      <c r="H301">
        <f t="shared" si="68"/>
        <v>6.66</v>
      </c>
      <c r="I301">
        <v>4.5</v>
      </c>
      <c r="J301" t="s">
        <v>13</v>
      </c>
      <c r="K301" t="s">
        <v>18</v>
      </c>
      <c r="L301" t="s">
        <v>606</v>
      </c>
      <c r="M301" t="s">
        <v>363</v>
      </c>
      <c r="N301" t="s">
        <v>431</v>
      </c>
      <c r="O301"/>
      <c r="P301"/>
      <c r="Q301"/>
      <c r="R301"/>
      <c r="S301"/>
      <c r="T301">
        <v>1</v>
      </c>
      <c r="U301"/>
      <c r="V301"/>
      <c r="W301">
        <v>1860</v>
      </c>
      <c r="X301" t="s">
        <v>184</v>
      </c>
      <c r="Y301"/>
      <c r="Z301"/>
      <c r="AA301" s="13">
        <f>18*42.5</f>
        <v>765</v>
      </c>
      <c r="AB301">
        <v>4.51</v>
      </c>
      <c r="AC301">
        <v>0.74</v>
      </c>
      <c r="AD301" s="11">
        <f t="shared" si="71"/>
        <v>518.04054054054052</v>
      </c>
      <c r="AE301" s="11">
        <f>_xlfn.RANK.AVG(Tableau8[[#This Row],[EE ( MJ/m²)]],AD301:AD1456)</f>
        <v>21</v>
      </c>
      <c r="AF301" s="11">
        <f t="shared" si="72"/>
        <v>115.12012012012012</v>
      </c>
      <c r="AG301" s="11">
        <f t="shared" si="69"/>
        <v>85</v>
      </c>
      <c r="AH301" s="11">
        <f t="shared" si="73"/>
        <v>85</v>
      </c>
      <c r="AI301" s="11">
        <f t="shared" si="70"/>
        <v>18.888888888888889</v>
      </c>
      <c r="AJ301" s="11">
        <f t="shared" si="74"/>
        <v>18.888888888888889</v>
      </c>
    </row>
    <row r="302" spans="1:36" s="20" customFormat="1" x14ac:dyDescent="0.25">
      <c r="A302" s="4" t="s">
        <v>944</v>
      </c>
      <c r="B302" s="4" t="s">
        <v>964</v>
      </c>
      <c r="C302" s="4" t="s">
        <v>15</v>
      </c>
      <c r="D302" s="4" t="s">
        <v>939</v>
      </c>
      <c r="E302" t="s">
        <v>567</v>
      </c>
      <c r="F302" t="s">
        <v>360</v>
      </c>
      <c r="G302" t="s">
        <v>568</v>
      </c>
      <c r="H302">
        <v>44</v>
      </c>
      <c r="I302">
        <v>10</v>
      </c>
      <c r="J302" t="s">
        <v>40</v>
      </c>
      <c r="K302" t="s">
        <v>15</v>
      </c>
      <c r="L302" t="s">
        <v>570</v>
      </c>
      <c r="M302" t="s">
        <v>15</v>
      </c>
      <c r="N302" t="s">
        <v>15</v>
      </c>
      <c r="O302"/>
      <c r="P302">
        <v>0.64</v>
      </c>
      <c r="Q302" t="s">
        <v>180</v>
      </c>
      <c r="R302"/>
      <c r="S302"/>
      <c r="T302">
        <v>1</v>
      </c>
      <c r="U302"/>
      <c r="V302"/>
      <c r="W302">
        <v>510</v>
      </c>
      <c r="X302" t="s">
        <v>184</v>
      </c>
      <c r="Y302"/>
      <c r="Z302"/>
      <c r="AA302" s="13">
        <f>Tableau8[[#This Row],[density (kg/m2) or specific weight (kg/m2)]]*Tableau8[[#This Row],[nb of item used ]]*Tableau8[[#This Row],[volume or area]]</f>
        <v>326.40000000000003</v>
      </c>
      <c r="AB302">
        <f>10-4.4</f>
        <v>5.6</v>
      </c>
      <c r="AC302">
        <f>0.31+0.41</f>
        <v>0.72</v>
      </c>
      <c r="AD302" s="11">
        <f t="shared" si="71"/>
        <v>41.541818181818186</v>
      </c>
      <c r="AE302" s="11">
        <f>_xlfn.RANK.AVG(Tableau8[[#This Row],[EE ( MJ/m²)]],AD302:AD1457)</f>
        <v>194</v>
      </c>
      <c r="AF302" s="11">
        <f t="shared" si="72"/>
        <v>4.1541818181818186</v>
      </c>
      <c r="AG302" s="11">
        <f>(AC302-0.41)*AA302/H302</f>
        <v>2.2996363636363637</v>
      </c>
      <c r="AH302" s="11">
        <f t="shared" si="73"/>
        <v>5.3410909090909096</v>
      </c>
      <c r="AI302" s="11">
        <f>(AC302-0.41)*AA302/H302/I302</f>
        <v>0.22996363636363637</v>
      </c>
      <c r="AJ302" s="11">
        <f t="shared" si="74"/>
        <v>0.53410909090909098</v>
      </c>
    </row>
    <row r="303" spans="1:36" s="20" customFormat="1" x14ac:dyDescent="0.25">
      <c r="A303" s="4" t="s">
        <v>944</v>
      </c>
      <c r="B303" s="4" t="s">
        <v>964</v>
      </c>
      <c r="C303" s="4" t="s">
        <v>15</v>
      </c>
      <c r="D303" s="4" t="s">
        <v>939</v>
      </c>
      <c r="E303" t="s">
        <v>567</v>
      </c>
      <c r="F303" t="s">
        <v>360</v>
      </c>
      <c r="G303" t="s">
        <v>568</v>
      </c>
      <c r="H303">
        <v>44</v>
      </c>
      <c r="I303">
        <v>10</v>
      </c>
      <c r="J303" t="s">
        <v>40</v>
      </c>
      <c r="K303" t="s">
        <v>15</v>
      </c>
      <c r="L303" t="s">
        <v>572</v>
      </c>
      <c r="M303" t="s">
        <v>15</v>
      </c>
      <c r="N303" t="s">
        <v>15</v>
      </c>
      <c r="O303"/>
      <c r="P303">
        <v>0.128</v>
      </c>
      <c r="Q303" t="s">
        <v>180</v>
      </c>
      <c r="R303"/>
      <c r="S303"/>
      <c r="T303">
        <v>1</v>
      </c>
      <c r="U303"/>
      <c r="V303"/>
      <c r="W303">
        <v>510</v>
      </c>
      <c r="X303" t="s">
        <v>184</v>
      </c>
      <c r="Y303"/>
      <c r="Z303"/>
      <c r="AA303" s="13">
        <f>Tableau8[[#This Row],[density (kg/m2) or specific weight (kg/m2)]]*Tableau8[[#This Row],[nb of item used ]]*Tableau8[[#This Row],[volume or area]]</f>
        <v>65.28</v>
      </c>
      <c r="AB303">
        <f>10-4.4</f>
        <v>5.6</v>
      </c>
      <c r="AC303">
        <f>0.31+0.41</f>
        <v>0.72</v>
      </c>
      <c r="AD303" s="11">
        <f t="shared" si="71"/>
        <v>8.3083636363636355</v>
      </c>
      <c r="AE303" s="11">
        <f>_xlfn.RANK.AVG(Tableau8[[#This Row],[EE ( MJ/m²)]],AD303:AD1458)</f>
        <v>425</v>
      </c>
      <c r="AF303" s="11">
        <f t="shared" si="72"/>
        <v>0.8308363636363636</v>
      </c>
      <c r="AG303" s="11">
        <f>(AC303-0.41)*AA303/H303</f>
        <v>0.45992727272727268</v>
      </c>
      <c r="AH303" s="11">
        <f t="shared" si="73"/>
        <v>1.0682181818181817</v>
      </c>
      <c r="AI303" s="11">
        <f>(AC303-0.41)*AA303/H303/I303</f>
        <v>4.5992727272727268E-2</v>
      </c>
      <c r="AJ303" s="11">
        <f t="shared" si="74"/>
        <v>0.10682181818181817</v>
      </c>
    </row>
    <row r="304" spans="1:36" s="20" customFormat="1" x14ac:dyDescent="0.25">
      <c r="A304" s="4" t="s">
        <v>944</v>
      </c>
      <c r="B304" s="4" t="s">
        <v>964</v>
      </c>
      <c r="C304" s="4" t="s">
        <v>15</v>
      </c>
      <c r="D304" s="4" t="s">
        <v>939</v>
      </c>
      <c r="E304" t="s">
        <v>567</v>
      </c>
      <c r="F304" t="s">
        <v>360</v>
      </c>
      <c r="G304" t="s">
        <v>568</v>
      </c>
      <c r="H304">
        <v>44</v>
      </c>
      <c r="I304">
        <v>10</v>
      </c>
      <c r="J304" t="s">
        <v>56</v>
      </c>
      <c r="K304" t="s">
        <v>15</v>
      </c>
      <c r="L304" t="s">
        <v>573</v>
      </c>
      <c r="M304" t="s">
        <v>15</v>
      </c>
      <c r="N304" t="s">
        <v>15</v>
      </c>
      <c r="O304"/>
      <c r="P304">
        <v>0.12</v>
      </c>
      <c r="Q304" t="s">
        <v>180</v>
      </c>
      <c r="R304"/>
      <c r="S304"/>
      <c r="T304">
        <v>1</v>
      </c>
      <c r="U304"/>
      <c r="V304"/>
      <c r="W304">
        <v>510</v>
      </c>
      <c r="X304" t="s">
        <v>184</v>
      </c>
      <c r="Y304"/>
      <c r="Z304"/>
      <c r="AA304" s="13">
        <f>Tableau8[[#This Row],[density (kg/m2) or specific weight (kg/m2)]]*Tableau8[[#This Row],[nb of item used ]]*Tableau8[[#This Row],[volume or area]]</f>
        <v>61.199999999999996</v>
      </c>
      <c r="AB304">
        <f>10-4.4</f>
        <v>5.6</v>
      </c>
      <c r="AC304">
        <f>0.31+0.41</f>
        <v>0.72</v>
      </c>
      <c r="AD304" s="11">
        <f t="shared" si="71"/>
        <v>7.7890909090909082</v>
      </c>
      <c r="AE304" s="11">
        <f>_xlfn.RANK.AVG(Tableau8[[#This Row],[EE ( MJ/m²)]],AD304:AD1459)</f>
        <v>429</v>
      </c>
      <c r="AF304" s="11">
        <f t="shared" si="72"/>
        <v>0.77890909090909077</v>
      </c>
      <c r="AG304" s="11">
        <f>(AC304-0.41)*AA304/H304</f>
        <v>0.43118181818181811</v>
      </c>
      <c r="AH304" s="11">
        <f t="shared" si="73"/>
        <v>1.0014545454545454</v>
      </c>
      <c r="AI304" s="11">
        <f>(AC304-0.41)*AA304/H304/I304</f>
        <v>4.3118181818181812E-2</v>
      </c>
      <c r="AJ304" s="11">
        <f t="shared" si="74"/>
        <v>0.10014545454545454</v>
      </c>
    </row>
    <row r="305" spans="1:36" s="20" customFormat="1" x14ac:dyDescent="0.25">
      <c r="A305" s="4" t="s">
        <v>944</v>
      </c>
      <c r="B305" s="4" t="s">
        <v>964</v>
      </c>
      <c r="C305" s="4" t="s">
        <v>15</v>
      </c>
      <c r="D305" s="4" t="s">
        <v>939</v>
      </c>
      <c r="E305" t="s">
        <v>567</v>
      </c>
      <c r="F305" t="s">
        <v>360</v>
      </c>
      <c r="G305" t="s">
        <v>568</v>
      </c>
      <c r="H305">
        <v>44</v>
      </c>
      <c r="I305">
        <v>10</v>
      </c>
      <c r="J305" t="s">
        <v>44</v>
      </c>
      <c r="K305" t="s">
        <v>17</v>
      </c>
      <c r="L305" t="s">
        <v>462</v>
      </c>
      <c r="M305" t="s">
        <v>12</v>
      </c>
      <c r="N305" t="s">
        <v>12</v>
      </c>
      <c r="O305"/>
      <c r="P305"/>
      <c r="Q305"/>
      <c r="R305"/>
      <c r="S305"/>
      <c r="T305">
        <v>1</v>
      </c>
      <c r="U305"/>
      <c r="V305"/>
      <c r="W305">
        <v>7800</v>
      </c>
      <c r="X305" t="s">
        <v>184</v>
      </c>
      <c r="Y305"/>
      <c r="Z305"/>
      <c r="AA305" s="13">
        <v>21.5</v>
      </c>
      <c r="AB305">
        <v>25.3</v>
      </c>
      <c r="AC305">
        <v>1.95</v>
      </c>
      <c r="AD305" s="11">
        <f t="shared" si="71"/>
        <v>12.362500000000001</v>
      </c>
      <c r="AE305" s="11">
        <f>_xlfn.RANK.AVG(Tableau8[[#This Row],[EE ( MJ/m²)]],AD305:AD1460)</f>
        <v>378</v>
      </c>
      <c r="AF305" s="11">
        <f t="shared" si="72"/>
        <v>1.2362500000000001</v>
      </c>
      <c r="AG305" s="11">
        <f t="shared" ref="AG305:AG311" si="75">(AC305)*AA305/H305</f>
        <v>0.95284090909090902</v>
      </c>
      <c r="AH305" s="11">
        <f t="shared" si="73"/>
        <v>0.95284090909090902</v>
      </c>
      <c r="AI305" s="11">
        <f t="shared" ref="AI305:AI311" si="76">(AC305)*AA305/H305/I305</f>
        <v>9.5284090909090902E-2</v>
      </c>
      <c r="AJ305" s="11">
        <f t="shared" si="74"/>
        <v>9.5284090909090902E-2</v>
      </c>
    </row>
    <row r="306" spans="1:36" x14ac:dyDescent="0.25">
      <c r="A306" s="4" t="s">
        <v>944</v>
      </c>
      <c r="B306" s="4" t="s">
        <v>964</v>
      </c>
      <c r="C306" s="4" t="s">
        <v>15</v>
      </c>
      <c r="D306" s="4" t="s">
        <v>939</v>
      </c>
      <c r="E306" t="s">
        <v>567</v>
      </c>
      <c r="F306" t="s">
        <v>360</v>
      </c>
      <c r="G306" t="s">
        <v>568</v>
      </c>
      <c r="H306">
        <v>44</v>
      </c>
      <c r="I306">
        <v>10</v>
      </c>
      <c r="J306" t="s">
        <v>57</v>
      </c>
      <c r="K306" t="s">
        <v>15</v>
      </c>
      <c r="L306" t="s">
        <v>574</v>
      </c>
      <c r="M306" t="s">
        <v>252</v>
      </c>
      <c r="N306" t="s">
        <v>252</v>
      </c>
      <c r="P306">
        <v>0.79200000000000004</v>
      </c>
      <c r="Q306" t="s">
        <v>180</v>
      </c>
      <c r="T306">
        <v>1</v>
      </c>
      <c r="W306">
        <v>540</v>
      </c>
      <c r="X306" t="s">
        <v>184</v>
      </c>
      <c r="AA306" s="13">
        <f>Tableau8[[#This Row],[density (kg/m2) or specific weight (kg/m2)]]*Tableau8[[#This Row],[nb of item used ]]*Tableau8[[#This Row],[volume or area]]</f>
        <v>427.68</v>
      </c>
      <c r="AB306">
        <f>15-7.1</f>
        <v>7.9</v>
      </c>
      <c r="AC306">
        <f>0.45+0.65</f>
        <v>1.1000000000000001</v>
      </c>
      <c r="AD306" s="11">
        <f t="shared" si="71"/>
        <v>76.787999999999997</v>
      </c>
      <c r="AE306" s="11">
        <f>_xlfn.RANK.AVG(Tableau8[[#This Row],[EE ( MJ/m²)]],AD306:AD1461)</f>
        <v>134</v>
      </c>
      <c r="AF306" s="11">
        <f t="shared" si="72"/>
        <v>7.6787999999999998</v>
      </c>
      <c r="AG306" s="11">
        <f t="shared" si="75"/>
        <v>10.692</v>
      </c>
      <c r="AH306" s="11">
        <f t="shared" si="73"/>
        <v>10.692</v>
      </c>
      <c r="AI306" s="11">
        <f t="shared" si="76"/>
        <v>1.0691999999999999</v>
      </c>
      <c r="AJ306" s="11">
        <f t="shared" si="74"/>
        <v>1.0691999999999999</v>
      </c>
    </row>
    <row r="307" spans="1:36" x14ac:dyDescent="0.25">
      <c r="A307" s="4" t="s">
        <v>944</v>
      </c>
      <c r="B307" s="4" t="s">
        <v>964</v>
      </c>
      <c r="C307" s="4" t="s">
        <v>15</v>
      </c>
      <c r="D307" s="4" t="s">
        <v>939</v>
      </c>
      <c r="E307" t="s">
        <v>567</v>
      </c>
      <c r="F307" t="s">
        <v>360</v>
      </c>
      <c r="G307" t="s">
        <v>568</v>
      </c>
      <c r="H307">
        <v>44</v>
      </c>
      <c r="I307">
        <v>10</v>
      </c>
      <c r="J307" t="s">
        <v>40</v>
      </c>
      <c r="K307" t="s">
        <v>41</v>
      </c>
      <c r="L307" t="s">
        <v>575</v>
      </c>
      <c r="M307" t="s">
        <v>576</v>
      </c>
      <c r="N307" t="s">
        <v>577</v>
      </c>
      <c r="P307">
        <v>0.64</v>
      </c>
      <c r="Q307" t="s">
        <v>180</v>
      </c>
      <c r="T307">
        <v>1</v>
      </c>
      <c r="W307">
        <v>800</v>
      </c>
      <c r="X307" t="s">
        <v>184</v>
      </c>
      <c r="AA307" s="13">
        <f>Tableau8[[#This Row],[density (kg/m2) or specific weight (kg/m2)]]*Tableau8[[#This Row],[nb of item used ]]*Tableau8[[#This Row],[volume or area]]</f>
        <v>512</v>
      </c>
      <c r="AB307">
        <v>6.75</v>
      </c>
      <c r="AC307">
        <v>0.39</v>
      </c>
      <c r="AD307" s="11">
        <f t="shared" si="71"/>
        <v>78.545454545454547</v>
      </c>
      <c r="AE307" s="11">
        <f>_xlfn.RANK.AVG(Tableau8[[#This Row],[EE ( MJ/m²)]],AD307:AD1462)</f>
        <v>129</v>
      </c>
      <c r="AF307" s="11">
        <f t="shared" si="72"/>
        <v>7.8545454545454545</v>
      </c>
      <c r="AG307" s="11">
        <f t="shared" si="75"/>
        <v>4.5381818181818181</v>
      </c>
      <c r="AH307" s="11">
        <f t="shared" si="73"/>
        <v>4.5381818181818181</v>
      </c>
      <c r="AI307" s="11">
        <f t="shared" si="76"/>
        <v>0.45381818181818179</v>
      </c>
      <c r="AJ307" s="11">
        <f t="shared" si="74"/>
        <v>0.45381818181818179</v>
      </c>
    </row>
    <row r="308" spans="1:36" x14ac:dyDescent="0.25">
      <c r="A308" s="4" t="s">
        <v>944</v>
      </c>
      <c r="B308" s="4" t="s">
        <v>964</v>
      </c>
      <c r="C308" s="4" t="s">
        <v>15</v>
      </c>
      <c r="D308" s="4" t="s">
        <v>939</v>
      </c>
      <c r="E308" t="s">
        <v>567</v>
      </c>
      <c r="F308" t="s">
        <v>256</v>
      </c>
      <c r="G308" t="s">
        <v>568</v>
      </c>
      <c r="H308">
        <v>44</v>
      </c>
      <c r="I308">
        <v>10</v>
      </c>
      <c r="J308" t="s">
        <v>13</v>
      </c>
      <c r="K308" t="s">
        <v>18</v>
      </c>
      <c r="L308" t="s">
        <v>569</v>
      </c>
      <c r="M308" t="s">
        <v>18</v>
      </c>
      <c r="N308" t="s">
        <v>39</v>
      </c>
      <c r="P308">
        <v>1.0629999999999999</v>
      </c>
      <c r="Q308" t="s">
        <v>180</v>
      </c>
      <c r="T308">
        <v>1</v>
      </c>
      <c r="W308">
        <v>2400</v>
      </c>
      <c r="X308" t="s">
        <v>184</v>
      </c>
      <c r="AA308" s="13">
        <f>Tableau8[[#This Row],[density (kg/m2) or specific weight (kg/m2)]]*Tableau8[[#This Row],[nb of item used ]]*Tableau8[[#This Row],[volume or area]]</f>
        <v>2551.1999999999998</v>
      </c>
      <c r="AB308">
        <v>0.75</v>
      </c>
      <c r="AC308">
        <v>0.105</v>
      </c>
      <c r="AD308" s="11">
        <f t="shared" si="71"/>
        <v>43.486363636363635</v>
      </c>
      <c r="AE308" s="11">
        <f>_xlfn.RANK.AVG(Tableau8[[#This Row],[EE ( MJ/m²)]],AD308:AD1463)</f>
        <v>188</v>
      </c>
      <c r="AF308" s="11">
        <f t="shared" si="72"/>
        <v>4.3486363636363636</v>
      </c>
      <c r="AG308" s="11">
        <f t="shared" si="75"/>
        <v>6.0880909090909086</v>
      </c>
      <c r="AH308" s="11">
        <f t="shared" si="73"/>
        <v>6.0880909090909086</v>
      </c>
      <c r="AI308" s="11">
        <f t="shared" si="76"/>
        <v>0.60880909090909086</v>
      </c>
      <c r="AJ308" s="11">
        <f t="shared" si="74"/>
        <v>0.60880909090909086</v>
      </c>
    </row>
    <row r="309" spans="1:36" x14ac:dyDescent="0.25">
      <c r="A309" s="4" t="s">
        <v>944</v>
      </c>
      <c r="B309" s="4" t="s">
        <v>964</v>
      </c>
      <c r="C309" s="4" t="s">
        <v>15</v>
      </c>
      <c r="D309" s="4" t="s">
        <v>939</v>
      </c>
      <c r="E309" t="s">
        <v>567</v>
      </c>
      <c r="F309" t="s">
        <v>360</v>
      </c>
      <c r="G309" t="s">
        <v>568</v>
      </c>
      <c r="H309">
        <v>44</v>
      </c>
      <c r="I309">
        <v>10</v>
      </c>
      <c r="J309" t="s">
        <v>56</v>
      </c>
      <c r="K309" t="s">
        <v>17</v>
      </c>
      <c r="L309" t="s">
        <v>571</v>
      </c>
      <c r="M309" t="s">
        <v>468</v>
      </c>
      <c r="N309" t="s">
        <v>469</v>
      </c>
      <c r="P309">
        <v>1.6E-2</v>
      </c>
      <c r="Q309" t="s">
        <v>180</v>
      </c>
      <c r="T309">
        <v>1</v>
      </c>
      <c r="W309">
        <v>2700</v>
      </c>
      <c r="X309" t="s">
        <v>184</v>
      </c>
      <c r="AA309" s="13">
        <f>Tableau8[[#This Row],[density (kg/m2) or specific weight (kg/m2)]]*Tableau8[[#This Row],[nb of item used ]]*Tableau8[[#This Row],[volume or area]]</f>
        <v>43.2</v>
      </c>
      <c r="AB309">
        <v>155</v>
      </c>
      <c r="AC309">
        <v>9.16</v>
      </c>
      <c r="AD309" s="11">
        <f t="shared" si="71"/>
        <v>152.18181818181819</v>
      </c>
      <c r="AE309" s="11">
        <f>_xlfn.RANK.AVG(Tableau8[[#This Row],[EE ( MJ/m²)]],AD309:AD1464)</f>
        <v>70</v>
      </c>
      <c r="AF309" s="11">
        <f t="shared" si="72"/>
        <v>15.218181818181819</v>
      </c>
      <c r="AG309" s="11">
        <f t="shared" si="75"/>
        <v>8.9934545454545471</v>
      </c>
      <c r="AH309" s="11">
        <f t="shared" si="73"/>
        <v>8.9934545454545471</v>
      </c>
      <c r="AI309" s="11">
        <f t="shared" si="76"/>
        <v>0.89934545454545467</v>
      </c>
      <c r="AJ309" s="11">
        <f t="shared" si="74"/>
        <v>0.89934545454545467</v>
      </c>
    </row>
    <row r="310" spans="1:36" x14ac:dyDescent="0.25">
      <c r="A310" s="4" t="s">
        <v>944</v>
      </c>
      <c r="B310" s="4" t="s">
        <v>964</v>
      </c>
      <c r="C310" s="4" t="s">
        <v>15</v>
      </c>
      <c r="D310" s="4" t="s">
        <v>939</v>
      </c>
      <c r="E310" t="s">
        <v>567</v>
      </c>
      <c r="F310" t="s">
        <v>360</v>
      </c>
      <c r="G310" t="s">
        <v>568</v>
      </c>
      <c r="H310">
        <v>44</v>
      </c>
      <c r="I310">
        <v>10</v>
      </c>
      <c r="J310" t="s">
        <v>40</v>
      </c>
      <c r="K310" t="s">
        <v>17</v>
      </c>
      <c r="L310" t="s">
        <v>578</v>
      </c>
      <c r="M310" t="s">
        <v>469</v>
      </c>
      <c r="N310" t="s">
        <v>469</v>
      </c>
      <c r="P310">
        <f>2*1*0.03</f>
        <v>0.06</v>
      </c>
      <c r="Q310" t="s">
        <v>180</v>
      </c>
      <c r="T310">
        <v>2</v>
      </c>
      <c r="W310">
        <v>2700</v>
      </c>
      <c r="X310" t="s">
        <v>184</v>
      </c>
      <c r="AA310" s="13">
        <f>Tableau8[[#This Row],[density (kg/m2) or specific weight (kg/m2)]]*Tableau8[[#This Row],[nb of item used ]]*Tableau8[[#This Row],[volume or area]]</f>
        <v>324</v>
      </c>
      <c r="AB310">
        <v>155</v>
      </c>
      <c r="AC310">
        <v>9.16</v>
      </c>
      <c r="AD310" s="11">
        <f t="shared" si="71"/>
        <v>1141.3636363636363</v>
      </c>
      <c r="AE310" s="11">
        <f>_xlfn.RANK.AVG(Tableau8[[#This Row],[EE ( MJ/m²)]],AD310:AD1465)</f>
        <v>4</v>
      </c>
      <c r="AF310" s="11">
        <f t="shared" si="72"/>
        <v>114.13636363636363</v>
      </c>
      <c r="AG310" s="11">
        <f t="shared" si="75"/>
        <v>67.450909090909093</v>
      </c>
      <c r="AH310" s="11">
        <f t="shared" si="73"/>
        <v>67.450909090909093</v>
      </c>
      <c r="AI310" s="11">
        <f t="shared" si="76"/>
        <v>6.7450909090909095</v>
      </c>
      <c r="AJ310" s="11">
        <f t="shared" si="74"/>
        <v>6.7450909090909095</v>
      </c>
    </row>
    <row r="311" spans="1:36" x14ac:dyDescent="0.25">
      <c r="A311" s="4" t="s">
        <v>944</v>
      </c>
      <c r="B311" s="4" t="s">
        <v>964</v>
      </c>
      <c r="C311" s="4" t="s">
        <v>15</v>
      </c>
      <c r="D311" s="4" t="s">
        <v>939</v>
      </c>
      <c r="E311" t="s">
        <v>567</v>
      </c>
      <c r="F311" t="s">
        <v>360</v>
      </c>
      <c r="G311" t="s">
        <v>568</v>
      </c>
      <c r="H311">
        <v>44</v>
      </c>
      <c r="I311">
        <v>10</v>
      </c>
      <c r="J311" t="s">
        <v>40</v>
      </c>
      <c r="K311" t="s">
        <v>17</v>
      </c>
      <c r="L311" t="s">
        <v>579</v>
      </c>
      <c r="M311" t="s">
        <v>504</v>
      </c>
      <c r="N311" t="s">
        <v>469</v>
      </c>
      <c r="P311">
        <f>0.89*1*0.03</f>
        <v>2.6699999999999998E-2</v>
      </c>
      <c r="Q311" t="s">
        <v>180</v>
      </c>
      <c r="T311">
        <v>1</v>
      </c>
      <c r="W311">
        <v>2700</v>
      </c>
      <c r="X311" t="s">
        <v>184</v>
      </c>
      <c r="AA311" s="13">
        <f>Tableau8[[#This Row],[density (kg/m2) or specific weight (kg/m2)]]*Tableau8[[#This Row],[nb of item used ]]*Tableau8[[#This Row],[volume or area]]</f>
        <v>72.089999999999989</v>
      </c>
      <c r="AB311">
        <v>155</v>
      </c>
      <c r="AC311">
        <v>9.16</v>
      </c>
      <c r="AD311" s="11">
        <f t="shared" si="71"/>
        <v>253.95340909090908</v>
      </c>
      <c r="AE311" s="11">
        <f>_xlfn.RANK.AVG(Tableau8[[#This Row],[EE ( MJ/m²)]],AD311:AD1466)</f>
        <v>42</v>
      </c>
      <c r="AF311" s="11">
        <f t="shared" si="72"/>
        <v>25.395340909090908</v>
      </c>
      <c r="AG311" s="11">
        <f t="shared" si="75"/>
        <v>15.007827272727271</v>
      </c>
      <c r="AH311" s="11">
        <f t="shared" si="73"/>
        <v>15.007827272727271</v>
      </c>
      <c r="AI311" s="11">
        <f t="shared" si="76"/>
        <v>1.500782727272727</v>
      </c>
      <c r="AJ311" s="11">
        <f t="shared" si="74"/>
        <v>1.500782727272727</v>
      </c>
    </row>
    <row r="312" spans="1:36" x14ac:dyDescent="0.25">
      <c r="A312" s="4" t="s">
        <v>944</v>
      </c>
      <c r="B312" s="4" t="s">
        <v>965</v>
      </c>
      <c r="C312" s="4" t="s">
        <v>998</v>
      </c>
      <c r="D312" s="4" t="s">
        <v>939</v>
      </c>
      <c r="E312" t="s">
        <v>541</v>
      </c>
      <c r="F312" t="s">
        <v>360</v>
      </c>
      <c r="G312" t="s">
        <v>542</v>
      </c>
      <c r="H312">
        <f t="shared" ref="H312:H332" si="77">4*3</f>
        <v>12</v>
      </c>
      <c r="I312">
        <v>10</v>
      </c>
      <c r="J312" t="s">
        <v>56</v>
      </c>
      <c r="K312" t="s">
        <v>15</v>
      </c>
      <c r="L312" t="s">
        <v>549</v>
      </c>
      <c r="M312" t="s">
        <v>15</v>
      </c>
      <c r="N312" t="s">
        <v>15</v>
      </c>
      <c r="P312">
        <v>0.21</v>
      </c>
      <c r="Q312" t="s">
        <v>180</v>
      </c>
      <c r="T312">
        <v>1</v>
      </c>
      <c r="W312">
        <v>510</v>
      </c>
      <c r="X312" t="s">
        <v>184</v>
      </c>
      <c r="AA312" s="13">
        <f>Tableau8[[#This Row],[density (kg/m2) or specific weight (kg/m2)]]*Tableau8[[#This Row],[nb of item used ]]*Tableau8[[#This Row],[volume or area]]</f>
        <v>107.1</v>
      </c>
      <c r="AB312">
        <f>10-4.4</f>
        <v>5.6</v>
      </c>
      <c r="AC312">
        <f>0.31+0.41</f>
        <v>0.72</v>
      </c>
      <c r="AD312" s="11">
        <f t="shared" si="71"/>
        <v>49.97999999999999</v>
      </c>
      <c r="AE312" s="11">
        <f>_xlfn.RANK.AVG(Tableau8[[#This Row],[EE ( MJ/m²)]],AD312:AD1467)</f>
        <v>167</v>
      </c>
      <c r="AF312" s="11">
        <f t="shared" si="72"/>
        <v>4.9979999999999993</v>
      </c>
      <c r="AG312" s="11">
        <f>(AC312-0.41)*AA312/H312</f>
        <v>2.76675</v>
      </c>
      <c r="AH312" s="11">
        <f t="shared" si="73"/>
        <v>6.4259999999999993</v>
      </c>
      <c r="AI312" s="11">
        <f>(AC312-0.41)*AA312/H312/I312</f>
        <v>0.276675</v>
      </c>
      <c r="AJ312" s="11">
        <f t="shared" si="74"/>
        <v>0.64259999999999995</v>
      </c>
    </row>
    <row r="313" spans="1:36" x14ac:dyDescent="0.25">
      <c r="A313" s="4" t="s">
        <v>944</v>
      </c>
      <c r="B313" s="4" t="s">
        <v>965</v>
      </c>
      <c r="C313" s="4" t="s">
        <v>998</v>
      </c>
      <c r="D313" s="4" t="s">
        <v>939</v>
      </c>
      <c r="E313" t="s">
        <v>541</v>
      </c>
      <c r="F313" t="s">
        <v>360</v>
      </c>
      <c r="G313" t="s">
        <v>542</v>
      </c>
      <c r="H313">
        <f t="shared" si="77"/>
        <v>12</v>
      </c>
      <c r="I313">
        <v>10</v>
      </c>
      <c r="J313" t="s">
        <v>40</v>
      </c>
      <c r="K313" t="s">
        <v>15</v>
      </c>
      <c r="L313" t="s">
        <v>551</v>
      </c>
      <c r="M313" t="s">
        <v>15</v>
      </c>
      <c r="N313" t="s">
        <v>15</v>
      </c>
      <c r="P313">
        <f>3.9*0.025*0.15</f>
        <v>1.4624999999999999E-2</v>
      </c>
      <c r="T313">
        <v>1</v>
      </c>
      <c r="W313">
        <v>510</v>
      </c>
      <c r="X313" t="s">
        <v>184</v>
      </c>
      <c r="AA313" s="13">
        <f>Tableau8[[#This Row],[density (kg/m2) or specific weight (kg/m2)]]*Tableau8[[#This Row],[nb of item used ]]*Tableau8[[#This Row],[volume or area]]</f>
        <v>7.4587499999999993</v>
      </c>
      <c r="AB313">
        <f>10-4.4</f>
        <v>5.6</v>
      </c>
      <c r="AC313">
        <f>0.31+0.41</f>
        <v>0.72</v>
      </c>
      <c r="AD313" s="11">
        <f t="shared" si="71"/>
        <v>3.4807499999999991</v>
      </c>
      <c r="AE313" s="11">
        <f>_xlfn.RANK.AVG(Tableau8[[#This Row],[EE ( MJ/m²)]],AD313:AD1468)</f>
        <v>536</v>
      </c>
      <c r="AF313" s="11">
        <f t="shared" si="72"/>
        <v>0.34807499999999991</v>
      </c>
      <c r="AG313" s="11">
        <f>(AC313-0.41)*AA313/H313</f>
        <v>0.19268437499999999</v>
      </c>
      <c r="AH313" s="11">
        <f t="shared" si="73"/>
        <v>0.44752499999999995</v>
      </c>
      <c r="AI313" s="11">
        <f>(AC313-0.41)*AA313/H313/I313</f>
        <v>1.9268437499999999E-2</v>
      </c>
      <c r="AJ313" s="11">
        <f t="shared" si="74"/>
        <v>4.4752499999999994E-2</v>
      </c>
    </row>
    <row r="314" spans="1:36" x14ac:dyDescent="0.25">
      <c r="A314" s="4" t="s">
        <v>944</v>
      </c>
      <c r="B314" s="4" t="s">
        <v>965</v>
      </c>
      <c r="C314" s="4" t="s">
        <v>998</v>
      </c>
      <c r="D314" s="4" t="s">
        <v>939</v>
      </c>
      <c r="E314" t="s">
        <v>541</v>
      </c>
      <c r="F314" t="s">
        <v>360</v>
      </c>
      <c r="G314" t="s">
        <v>542</v>
      </c>
      <c r="H314">
        <f t="shared" si="77"/>
        <v>12</v>
      </c>
      <c r="I314">
        <v>10</v>
      </c>
      <c r="J314" t="s">
        <v>40</v>
      </c>
      <c r="K314" t="s">
        <v>15</v>
      </c>
      <c r="L314" t="s">
        <v>552</v>
      </c>
      <c r="M314" t="s">
        <v>15</v>
      </c>
      <c r="N314" t="s">
        <v>15</v>
      </c>
      <c r="P314">
        <f>3.9*0.025*0.051</f>
        <v>4.9724999999999995E-3</v>
      </c>
      <c r="T314">
        <v>2</v>
      </c>
      <c r="W314">
        <v>510</v>
      </c>
      <c r="X314" t="s">
        <v>184</v>
      </c>
      <c r="AA314" s="13">
        <f>Tableau8[[#This Row],[density (kg/m2) or specific weight (kg/m2)]]*Tableau8[[#This Row],[nb of item used ]]*Tableau8[[#This Row],[volume or area]]</f>
        <v>5.0719499999999993</v>
      </c>
      <c r="AB314">
        <f>10-4.4</f>
        <v>5.6</v>
      </c>
      <c r="AC314">
        <f>0.31+0.41</f>
        <v>0.72</v>
      </c>
      <c r="AD314" s="11">
        <f t="shared" si="71"/>
        <v>2.3669099999999994</v>
      </c>
      <c r="AE314" s="11">
        <f>_xlfn.RANK.AVG(Tableau8[[#This Row],[EE ( MJ/m²)]],AD314:AD1469)</f>
        <v>573</v>
      </c>
      <c r="AF314" s="11">
        <f t="shared" si="72"/>
        <v>0.23669099999999993</v>
      </c>
      <c r="AG314" s="11">
        <f>(AC314-0.41)*AA314/H314</f>
        <v>0.13102537499999997</v>
      </c>
      <c r="AH314" s="11">
        <f t="shared" si="73"/>
        <v>0.30431699999999995</v>
      </c>
      <c r="AI314" s="11">
        <f>(AC314-0.41)*AA314/H314/I314</f>
        <v>1.3102537499999997E-2</v>
      </c>
      <c r="AJ314" s="11">
        <f t="shared" si="74"/>
        <v>3.0431699999999996E-2</v>
      </c>
    </row>
    <row r="315" spans="1:36" x14ac:dyDescent="0.25">
      <c r="A315" s="4" t="s">
        <v>944</v>
      </c>
      <c r="B315" s="4" t="s">
        <v>965</v>
      </c>
      <c r="C315" s="4" t="s">
        <v>998</v>
      </c>
      <c r="D315" s="4" t="s">
        <v>939</v>
      </c>
      <c r="E315" t="s">
        <v>541</v>
      </c>
      <c r="F315" t="s">
        <v>360</v>
      </c>
      <c r="G315" t="s">
        <v>542</v>
      </c>
      <c r="H315">
        <f t="shared" si="77"/>
        <v>12</v>
      </c>
      <c r="I315">
        <v>10</v>
      </c>
      <c r="J315" t="s">
        <v>40</v>
      </c>
      <c r="K315" t="s">
        <v>17</v>
      </c>
      <c r="L315" t="s">
        <v>276</v>
      </c>
      <c r="M315" t="s">
        <v>12</v>
      </c>
      <c r="N315" t="s">
        <v>12</v>
      </c>
      <c r="P315">
        <f>0.08*0.16*0.002</f>
        <v>2.5600000000000002E-5</v>
      </c>
      <c r="Q315" t="s">
        <v>180</v>
      </c>
      <c r="R315" t="s">
        <v>175</v>
      </c>
      <c r="T315">
        <v>2</v>
      </c>
      <c r="W315">
        <v>7800</v>
      </c>
      <c r="X315" t="s">
        <v>184</v>
      </c>
      <c r="Y315" t="s">
        <v>185</v>
      </c>
      <c r="AA315" s="13">
        <f>Tableau8[[#This Row],[density (kg/m2) or specific weight (kg/m2)]]*Tableau8[[#This Row],[nb of item used ]]*Tableau8[[#This Row],[volume or area]]</f>
        <v>0.39936000000000005</v>
      </c>
      <c r="AB315">
        <v>25.3</v>
      </c>
      <c r="AC315">
        <v>1.95</v>
      </c>
      <c r="AD315" s="11">
        <f t="shared" si="71"/>
        <v>0.84198400000000007</v>
      </c>
      <c r="AE315" s="11">
        <f>_xlfn.RANK.AVG(Tableau8[[#This Row],[EE ( MJ/m²)]],AD315:AD1470)</f>
        <v>676</v>
      </c>
      <c r="AF315" s="11">
        <f t="shared" si="72"/>
        <v>8.4198400000000007E-2</v>
      </c>
      <c r="AG315" s="11">
        <f t="shared" ref="AG315:AG332" si="78">(AC315)*AA315/H315</f>
        <v>6.4896000000000009E-2</v>
      </c>
      <c r="AH315" s="11">
        <f t="shared" si="73"/>
        <v>6.4896000000000009E-2</v>
      </c>
      <c r="AI315" s="11">
        <f t="shared" ref="AI315:AI332" si="79">(AC315)*AA315/H315/I315</f>
        <v>6.4896000000000007E-3</v>
      </c>
      <c r="AJ315" s="11">
        <f t="shared" si="74"/>
        <v>6.4896000000000007E-3</v>
      </c>
    </row>
    <row r="316" spans="1:36" x14ac:dyDescent="0.25">
      <c r="A316" s="4" t="s">
        <v>944</v>
      </c>
      <c r="B316" s="4" t="s">
        <v>965</v>
      </c>
      <c r="C316" s="4" t="s">
        <v>998</v>
      </c>
      <c r="D316" s="4" t="s">
        <v>939</v>
      </c>
      <c r="E316" t="s">
        <v>541</v>
      </c>
      <c r="F316" t="s">
        <v>360</v>
      </c>
      <c r="G316" t="s">
        <v>542</v>
      </c>
      <c r="H316">
        <f t="shared" si="77"/>
        <v>12</v>
      </c>
      <c r="I316">
        <v>10</v>
      </c>
      <c r="J316" t="s">
        <v>40</v>
      </c>
      <c r="K316" t="s">
        <v>17</v>
      </c>
      <c r="L316" t="s">
        <v>277</v>
      </c>
      <c r="M316" t="s">
        <v>12</v>
      </c>
      <c r="N316" t="s">
        <v>12</v>
      </c>
      <c r="P316">
        <f>0.04*0.04*0.02</f>
        <v>3.2000000000000005E-5</v>
      </c>
      <c r="Q316" t="s">
        <v>180</v>
      </c>
      <c r="R316" t="s">
        <v>175</v>
      </c>
      <c r="T316">
        <v>1</v>
      </c>
      <c r="W316">
        <v>7800</v>
      </c>
      <c r="X316" t="s">
        <v>184</v>
      </c>
      <c r="Y316" t="s">
        <v>185</v>
      </c>
      <c r="AA316" s="13">
        <f>Tableau8[[#This Row],[density (kg/m2) or specific weight (kg/m2)]]*Tableau8[[#This Row],[nb of item used ]]*Tableau8[[#This Row],[volume or area]]</f>
        <v>0.24960000000000004</v>
      </c>
      <c r="AB316">
        <v>25.3</v>
      </c>
      <c r="AC316">
        <v>1.95</v>
      </c>
      <c r="AD316" s="11">
        <f t="shared" si="71"/>
        <v>0.52624000000000015</v>
      </c>
      <c r="AE316" s="11">
        <f>_xlfn.RANK.AVG(Tableau8[[#This Row],[EE ( MJ/m²)]],AD316:AD1471)</f>
        <v>707</v>
      </c>
      <c r="AF316" s="11">
        <f t="shared" si="72"/>
        <v>5.2624000000000018E-2</v>
      </c>
      <c r="AG316" s="11">
        <f t="shared" si="78"/>
        <v>4.0560000000000006E-2</v>
      </c>
      <c r="AH316" s="11">
        <f t="shared" si="73"/>
        <v>4.0560000000000006E-2</v>
      </c>
      <c r="AI316" s="11">
        <f t="shared" si="79"/>
        <v>4.0560000000000006E-3</v>
      </c>
      <c r="AJ316" s="11">
        <f t="shared" si="74"/>
        <v>4.0560000000000006E-3</v>
      </c>
    </row>
    <row r="317" spans="1:36" x14ac:dyDescent="0.25">
      <c r="A317" s="4" t="s">
        <v>944</v>
      </c>
      <c r="B317" s="4" t="s">
        <v>965</v>
      </c>
      <c r="C317" s="4" t="s">
        <v>998</v>
      </c>
      <c r="D317" s="4" t="s">
        <v>939</v>
      </c>
      <c r="E317" t="s">
        <v>541</v>
      </c>
      <c r="F317" t="s">
        <v>360</v>
      </c>
      <c r="G317" t="s">
        <v>542</v>
      </c>
      <c r="H317">
        <f t="shared" si="77"/>
        <v>12</v>
      </c>
      <c r="I317">
        <v>10</v>
      </c>
      <c r="J317" t="s">
        <v>40</v>
      </c>
      <c r="K317" t="s">
        <v>17</v>
      </c>
      <c r="L317" t="s">
        <v>278</v>
      </c>
      <c r="M317" t="s">
        <v>12</v>
      </c>
      <c r="N317" t="s">
        <v>12</v>
      </c>
      <c r="R317" t="s">
        <v>187</v>
      </c>
      <c r="T317">
        <v>1</v>
      </c>
      <c r="W317">
        <v>7800</v>
      </c>
      <c r="X317" t="s">
        <v>184</v>
      </c>
      <c r="Y317" t="s">
        <v>185</v>
      </c>
      <c r="Z317" t="s">
        <v>281</v>
      </c>
      <c r="AA317" s="13">
        <v>0.53800000000000003</v>
      </c>
      <c r="AB317">
        <v>25.3</v>
      </c>
      <c r="AC317">
        <v>1.95</v>
      </c>
      <c r="AD317" s="11">
        <f t="shared" si="71"/>
        <v>1.1342833333333335</v>
      </c>
      <c r="AE317" s="11">
        <f>_xlfn.RANK.AVG(Tableau8[[#This Row],[EE ( MJ/m²)]],AD317:AD1472)</f>
        <v>652.5</v>
      </c>
      <c r="AF317" s="11">
        <f t="shared" si="72"/>
        <v>0.11342833333333335</v>
      </c>
      <c r="AG317" s="11">
        <f t="shared" si="78"/>
        <v>8.7425000000000017E-2</v>
      </c>
      <c r="AH317" s="11">
        <f t="shared" si="73"/>
        <v>8.7425000000000017E-2</v>
      </c>
      <c r="AI317" s="11">
        <f t="shared" si="79"/>
        <v>8.742500000000002E-3</v>
      </c>
      <c r="AJ317" s="11">
        <f t="shared" si="74"/>
        <v>8.742500000000002E-3</v>
      </c>
    </row>
    <row r="318" spans="1:36" x14ac:dyDescent="0.25">
      <c r="A318" s="4" t="s">
        <v>944</v>
      </c>
      <c r="B318" s="4" t="s">
        <v>965</v>
      </c>
      <c r="C318" s="4" t="s">
        <v>998</v>
      </c>
      <c r="D318" s="4" t="s">
        <v>939</v>
      </c>
      <c r="E318" t="s">
        <v>541</v>
      </c>
      <c r="F318" t="s">
        <v>360</v>
      </c>
      <c r="G318" t="s">
        <v>542</v>
      </c>
      <c r="H318">
        <f t="shared" si="77"/>
        <v>12</v>
      </c>
      <c r="I318">
        <v>10</v>
      </c>
      <c r="J318" t="s">
        <v>40</v>
      </c>
      <c r="K318" t="s">
        <v>17</v>
      </c>
      <c r="L318" t="s">
        <v>279</v>
      </c>
      <c r="M318" t="s">
        <v>12</v>
      </c>
      <c r="N318" t="s">
        <v>12</v>
      </c>
      <c r="P318">
        <f>0.1*PI()*(0.0025^2)</f>
        <v>1.9634954084936209E-6</v>
      </c>
      <c r="R318" t="s">
        <v>175</v>
      </c>
      <c r="T318">
        <v>2</v>
      </c>
      <c r="W318">
        <v>7800</v>
      </c>
      <c r="X318" t="s">
        <v>184</v>
      </c>
      <c r="Y318" t="s">
        <v>185</v>
      </c>
      <c r="AA318" s="13">
        <f>Tableau8[[#This Row],[density (kg/m2) or specific weight (kg/m2)]]*Tableau8[[#This Row],[nb of item used ]]*Tableau8[[#This Row],[volume or area]]</f>
        <v>3.0630528372500486E-2</v>
      </c>
      <c r="AB318">
        <v>25.3</v>
      </c>
      <c r="AC318">
        <v>1.95</v>
      </c>
      <c r="AD318" s="11">
        <f t="shared" si="71"/>
        <v>6.4579363985355201E-2</v>
      </c>
      <c r="AE318" s="11">
        <f>_xlfn.RANK.AVG(Tableau8[[#This Row],[EE ( MJ/m²)]],AD318:AD1473)</f>
        <v>775</v>
      </c>
      <c r="AF318" s="11">
        <f t="shared" si="72"/>
        <v>6.4579363985355197E-3</v>
      </c>
      <c r="AG318" s="11">
        <f t="shared" si="78"/>
        <v>4.9774608605313289E-3</v>
      </c>
      <c r="AH318" s="11">
        <f t="shared" si="73"/>
        <v>4.9774608605313289E-3</v>
      </c>
      <c r="AI318" s="11">
        <f t="shared" si="79"/>
        <v>4.9774608605313291E-4</v>
      </c>
      <c r="AJ318" s="11">
        <f t="shared" si="74"/>
        <v>4.9774608605313291E-4</v>
      </c>
    </row>
    <row r="319" spans="1:36" x14ac:dyDescent="0.25">
      <c r="A319" s="4" t="s">
        <v>944</v>
      </c>
      <c r="B319" s="4" t="s">
        <v>965</v>
      </c>
      <c r="C319" s="4" t="s">
        <v>998</v>
      </c>
      <c r="D319" s="4" t="s">
        <v>939</v>
      </c>
      <c r="E319" t="s">
        <v>541</v>
      </c>
      <c r="F319" t="s">
        <v>360</v>
      </c>
      <c r="G319" t="s">
        <v>542</v>
      </c>
      <c r="H319">
        <f t="shared" si="77"/>
        <v>12</v>
      </c>
      <c r="I319">
        <v>10</v>
      </c>
      <c r="J319" t="s">
        <v>40</v>
      </c>
      <c r="K319" t="s">
        <v>17</v>
      </c>
      <c r="L319" t="s">
        <v>280</v>
      </c>
      <c r="M319" t="s">
        <v>12</v>
      </c>
      <c r="N319" t="s">
        <v>12</v>
      </c>
      <c r="P319">
        <f>0.2*1.1*0.0004</f>
        <v>8.8000000000000011E-5</v>
      </c>
      <c r="Q319" t="s">
        <v>180</v>
      </c>
      <c r="R319" t="s">
        <v>175</v>
      </c>
      <c r="T319">
        <v>2</v>
      </c>
      <c r="W319">
        <v>7800</v>
      </c>
      <c r="X319" t="s">
        <v>184</v>
      </c>
      <c r="Y319" t="s">
        <v>185</v>
      </c>
      <c r="AA319" s="13">
        <f>Tableau8[[#This Row],[density (kg/m2) or specific weight (kg/m2)]]*Tableau8[[#This Row],[nb of item used ]]*Tableau8[[#This Row],[volume or area]]</f>
        <v>1.3728000000000002</v>
      </c>
      <c r="AB319">
        <v>25.3</v>
      </c>
      <c r="AC319">
        <v>1.95</v>
      </c>
      <c r="AD319" s="11">
        <f t="shared" si="71"/>
        <v>2.8943200000000004</v>
      </c>
      <c r="AE319" s="11">
        <f>_xlfn.RANK.AVG(Tableau8[[#This Row],[EE ( MJ/m²)]],AD319:AD1474)</f>
        <v>552</v>
      </c>
      <c r="AF319" s="11">
        <f t="shared" si="72"/>
        <v>0.28943200000000002</v>
      </c>
      <c r="AG319" s="11">
        <f t="shared" si="78"/>
        <v>0.22308000000000003</v>
      </c>
      <c r="AH319" s="11">
        <f t="shared" si="73"/>
        <v>0.22308000000000003</v>
      </c>
      <c r="AI319" s="11">
        <f t="shared" si="79"/>
        <v>2.2308000000000001E-2</v>
      </c>
      <c r="AJ319" s="11">
        <f t="shared" si="74"/>
        <v>2.2308000000000001E-2</v>
      </c>
    </row>
    <row r="320" spans="1:36" x14ac:dyDescent="0.25">
      <c r="A320" s="4" t="s">
        <v>944</v>
      </c>
      <c r="B320" s="4" t="s">
        <v>965</v>
      </c>
      <c r="C320" s="4" t="s">
        <v>998</v>
      </c>
      <c r="D320" s="4" t="s">
        <v>939</v>
      </c>
      <c r="E320" t="s">
        <v>541</v>
      </c>
      <c r="F320" t="s">
        <v>360</v>
      </c>
      <c r="G320" t="s">
        <v>542</v>
      </c>
      <c r="H320">
        <f t="shared" si="77"/>
        <v>12</v>
      </c>
      <c r="I320">
        <v>10</v>
      </c>
      <c r="J320" t="s">
        <v>44</v>
      </c>
      <c r="K320" t="s">
        <v>17</v>
      </c>
      <c r="L320" t="s">
        <v>284</v>
      </c>
      <c r="M320" t="s">
        <v>12</v>
      </c>
      <c r="N320" t="s">
        <v>12</v>
      </c>
      <c r="P320">
        <f>0.014*0.1*0.05</f>
        <v>7.0000000000000007E-5</v>
      </c>
      <c r="Q320" t="s">
        <v>180</v>
      </c>
      <c r="R320" t="s">
        <v>187</v>
      </c>
      <c r="T320">
        <v>4</v>
      </c>
      <c r="W320">
        <v>7800</v>
      </c>
      <c r="X320" t="s">
        <v>184</v>
      </c>
      <c r="Y320" t="s">
        <v>185</v>
      </c>
      <c r="AA320" s="13">
        <f>Tableau8[[#This Row],[density (kg/m2) or specific weight (kg/m2)]]*Tableau8[[#This Row],[nb of item used ]]*Tableau8[[#This Row],[volume or area]]</f>
        <v>2.1840000000000002</v>
      </c>
      <c r="AB320">
        <v>25.3</v>
      </c>
      <c r="AC320">
        <v>1.95</v>
      </c>
      <c r="AD320" s="11">
        <f t="shared" si="71"/>
        <v>4.6046000000000005</v>
      </c>
      <c r="AE320" s="11">
        <f>_xlfn.RANK.AVG(Tableau8[[#This Row],[EE ( MJ/m²)]],AD320:AD1475)</f>
        <v>507</v>
      </c>
      <c r="AF320" s="11">
        <f t="shared" si="72"/>
        <v>0.46046000000000004</v>
      </c>
      <c r="AG320" s="11">
        <f t="shared" si="78"/>
        <v>0.35489999999999999</v>
      </c>
      <c r="AH320" s="11">
        <f t="shared" si="73"/>
        <v>0.35489999999999999</v>
      </c>
      <c r="AI320" s="11">
        <f t="shared" si="79"/>
        <v>3.5490000000000001E-2</v>
      </c>
      <c r="AJ320" s="11">
        <f t="shared" si="74"/>
        <v>3.5490000000000001E-2</v>
      </c>
    </row>
    <row r="321" spans="1:36" x14ac:dyDescent="0.25">
      <c r="A321" s="4" t="s">
        <v>944</v>
      </c>
      <c r="B321" s="4" t="s">
        <v>965</v>
      </c>
      <c r="C321" s="4" t="s">
        <v>998</v>
      </c>
      <c r="D321" s="4" t="s">
        <v>939</v>
      </c>
      <c r="E321" t="s">
        <v>541</v>
      </c>
      <c r="F321" t="s">
        <v>360</v>
      </c>
      <c r="G321" t="s">
        <v>542</v>
      </c>
      <c r="H321">
        <f t="shared" si="77"/>
        <v>12</v>
      </c>
      <c r="I321">
        <v>10</v>
      </c>
      <c r="J321" t="s">
        <v>44</v>
      </c>
      <c r="K321" t="s">
        <v>17</v>
      </c>
      <c r="L321" t="s">
        <v>285</v>
      </c>
      <c r="M321" t="s">
        <v>12</v>
      </c>
      <c r="N321" t="s">
        <v>12</v>
      </c>
      <c r="R321" t="s">
        <v>175</v>
      </c>
      <c r="T321">
        <v>2</v>
      </c>
      <c r="W321">
        <v>7800</v>
      </c>
      <c r="X321" t="s">
        <v>184</v>
      </c>
      <c r="Y321" t="s">
        <v>185</v>
      </c>
      <c r="AA321" s="13">
        <f>2*0.538</f>
        <v>1.0760000000000001</v>
      </c>
      <c r="AB321">
        <v>25.3</v>
      </c>
      <c r="AC321">
        <v>1.95</v>
      </c>
      <c r="AD321" s="11">
        <f t="shared" si="71"/>
        <v>2.2685666666666671</v>
      </c>
      <c r="AE321" s="11">
        <f>_xlfn.RANK.AVG(Tableau8[[#This Row],[EE ( MJ/m²)]],AD321:AD1476)</f>
        <v>578</v>
      </c>
      <c r="AF321" s="11">
        <f t="shared" si="72"/>
        <v>0.22685666666666671</v>
      </c>
      <c r="AG321" s="11">
        <f t="shared" si="78"/>
        <v>0.17485000000000003</v>
      </c>
      <c r="AH321" s="11">
        <f t="shared" si="73"/>
        <v>0.17485000000000003</v>
      </c>
      <c r="AI321" s="11">
        <f t="shared" si="79"/>
        <v>1.7485000000000004E-2</v>
      </c>
      <c r="AJ321" s="11">
        <f t="shared" si="74"/>
        <v>1.7485000000000004E-2</v>
      </c>
    </row>
    <row r="322" spans="1:36" x14ac:dyDescent="0.25">
      <c r="A322" s="4" t="s">
        <v>944</v>
      </c>
      <c r="B322" s="4" t="s">
        <v>965</v>
      </c>
      <c r="C322" s="4" t="s">
        <v>998</v>
      </c>
      <c r="D322" s="4" t="s">
        <v>939</v>
      </c>
      <c r="E322" t="s">
        <v>541</v>
      </c>
      <c r="F322" t="s">
        <v>360</v>
      </c>
      <c r="G322" t="s">
        <v>542</v>
      </c>
      <c r="H322">
        <f t="shared" si="77"/>
        <v>12</v>
      </c>
      <c r="I322">
        <v>10</v>
      </c>
      <c r="J322" t="s">
        <v>44</v>
      </c>
      <c r="K322" t="s">
        <v>17</v>
      </c>
      <c r="L322" t="s">
        <v>312</v>
      </c>
      <c r="M322" t="s">
        <v>12</v>
      </c>
      <c r="N322" t="s">
        <v>99</v>
      </c>
      <c r="P322">
        <f>6*12*PI()*(0.005^2)</f>
        <v>5.6548667764616282E-3</v>
      </c>
      <c r="Q322" t="s">
        <v>180</v>
      </c>
      <c r="R322" t="s">
        <v>175</v>
      </c>
      <c r="T322">
        <v>1</v>
      </c>
      <c r="W322">
        <v>7800</v>
      </c>
      <c r="X322" t="s">
        <v>184</v>
      </c>
      <c r="AA322" s="13">
        <f>Tableau8[[#This Row],[density (kg/m2) or specific weight (kg/m2)]]*Tableau8[[#This Row],[nb of item used ]]*Tableau8[[#This Row],[volume or area]]</f>
        <v>44.107960856400702</v>
      </c>
      <c r="AB322">
        <v>21.6</v>
      </c>
      <c r="AC322">
        <v>1.86</v>
      </c>
      <c r="AD322" s="11">
        <f t="shared" si="71"/>
        <v>79.394329541521273</v>
      </c>
      <c r="AE322" s="11">
        <f>_xlfn.RANK.AVG(Tableau8[[#This Row],[EE ( MJ/m²)]],AD322:AD1477)</f>
        <v>122</v>
      </c>
      <c r="AF322" s="11">
        <f t="shared" si="72"/>
        <v>7.9394329541521271</v>
      </c>
      <c r="AG322" s="11">
        <f t="shared" si="78"/>
        <v>6.8367339327421091</v>
      </c>
      <c r="AH322" s="11">
        <f t="shared" si="73"/>
        <v>6.8367339327421091</v>
      </c>
      <c r="AI322" s="11">
        <f t="shared" si="79"/>
        <v>0.68367339327421095</v>
      </c>
      <c r="AJ322" s="11">
        <f t="shared" si="74"/>
        <v>0.68367339327421095</v>
      </c>
    </row>
    <row r="323" spans="1:36" x14ac:dyDescent="0.25">
      <c r="A323" s="4" t="s">
        <v>944</v>
      </c>
      <c r="B323" s="4" t="s">
        <v>965</v>
      </c>
      <c r="C323" s="4" t="s">
        <v>998</v>
      </c>
      <c r="D323" s="4" t="s">
        <v>939</v>
      </c>
      <c r="E323" t="s">
        <v>541</v>
      </c>
      <c r="F323" t="s">
        <v>360</v>
      </c>
      <c r="G323" t="s">
        <v>542</v>
      </c>
      <c r="H323">
        <f t="shared" si="77"/>
        <v>12</v>
      </c>
      <c r="I323">
        <v>10</v>
      </c>
      <c r="J323" t="s">
        <v>44</v>
      </c>
      <c r="K323" t="s">
        <v>17</v>
      </c>
      <c r="L323" t="s">
        <v>548</v>
      </c>
      <c r="M323" t="s">
        <v>12</v>
      </c>
      <c r="N323" t="s">
        <v>12</v>
      </c>
      <c r="T323">
        <v>1</v>
      </c>
      <c r="W323">
        <v>7800</v>
      </c>
      <c r="X323" t="s">
        <v>184</v>
      </c>
      <c r="AA323" s="13">
        <v>9</v>
      </c>
      <c r="AB323">
        <v>25.3</v>
      </c>
      <c r="AC323">
        <v>1.95</v>
      </c>
      <c r="AD323" s="11">
        <f t="shared" si="71"/>
        <v>18.975000000000001</v>
      </c>
      <c r="AE323" s="11">
        <f>_xlfn.RANK.AVG(Tableau8[[#This Row],[EE ( MJ/m²)]],AD323:AD1478)</f>
        <v>302</v>
      </c>
      <c r="AF323" s="11">
        <f t="shared" si="72"/>
        <v>1.8975000000000002</v>
      </c>
      <c r="AG323" s="11">
        <f t="shared" si="78"/>
        <v>1.4625000000000001</v>
      </c>
      <c r="AH323" s="11">
        <f t="shared" si="73"/>
        <v>1.4625000000000001</v>
      </c>
      <c r="AI323" s="11">
        <f t="shared" si="79"/>
        <v>0.14625000000000002</v>
      </c>
      <c r="AJ323" s="11">
        <f t="shared" si="74"/>
        <v>0.14625000000000002</v>
      </c>
    </row>
    <row r="324" spans="1:36" x14ac:dyDescent="0.25">
      <c r="A324" s="4" t="s">
        <v>944</v>
      </c>
      <c r="B324" s="4" t="s">
        <v>965</v>
      </c>
      <c r="C324" s="4" t="s">
        <v>998</v>
      </c>
      <c r="D324" s="4" t="s">
        <v>939</v>
      </c>
      <c r="E324" t="s">
        <v>541</v>
      </c>
      <c r="F324" t="s">
        <v>360</v>
      </c>
      <c r="G324" t="s">
        <v>542</v>
      </c>
      <c r="H324">
        <f t="shared" si="77"/>
        <v>12</v>
      </c>
      <c r="I324">
        <v>10</v>
      </c>
      <c r="J324" t="s">
        <v>40</v>
      </c>
      <c r="K324" t="s">
        <v>17</v>
      </c>
      <c r="L324" t="s">
        <v>550</v>
      </c>
      <c r="M324" t="s">
        <v>12</v>
      </c>
      <c r="N324" t="s">
        <v>12</v>
      </c>
      <c r="P324">
        <f>8*6*PI()*(0.003^2)</f>
        <v>1.3571680263507906E-3</v>
      </c>
      <c r="Q324" t="s">
        <v>180</v>
      </c>
      <c r="T324">
        <v>1</v>
      </c>
      <c r="W324">
        <v>7800</v>
      </c>
      <c r="X324" t="s">
        <v>184</v>
      </c>
      <c r="AA324" s="13">
        <f>Tableau8[[#This Row],[density (kg/m2) or specific weight (kg/m2)]]*Tableau8[[#This Row],[nb of item used ]]*Tableau8[[#This Row],[volume or area]]</f>
        <v>10.585910605536167</v>
      </c>
      <c r="AB324">
        <v>25.3</v>
      </c>
      <c r="AC324">
        <v>1.95</v>
      </c>
      <c r="AD324" s="11">
        <f t="shared" si="71"/>
        <v>22.318628193338753</v>
      </c>
      <c r="AE324" s="11">
        <f>_xlfn.RANK.AVG(Tableau8[[#This Row],[EE ( MJ/m²)]],AD324:AD1479)</f>
        <v>277</v>
      </c>
      <c r="AF324" s="11">
        <f t="shared" si="72"/>
        <v>2.2318628193338754</v>
      </c>
      <c r="AG324" s="11">
        <f t="shared" si="78"/>
        <v>1.7202104733996271</v>
      </c>
      <c r="AH324" s="11">
        <f t="shared" si="73"/>
        <v>1.7202104733996271</v>
      </c>
      <c r="AI324" s="11">
        <f t="shared" si="79"/>
        <v>0.17202104733996271</v>
      </c>
      <c r="AJ324" s="11">
        <f t="shared" si="74"/>
        <v>0.17202104733996271</v>
      </c>
    </row>
    <row r="325" spans="1:36" x14ac:dyDescent="0.25">
      <c r="A325" s="4" t="s">
        <v>944</v>
      </c>
      <c r="B325" s="4" t="s">
        <v>965</v>
      </c>
      <c r="C325" s="4" t="s">
        <v>998</v>
      </c>
      <c r="D325" s="4" t="s">
        <v>939</v>
      </c>
      <c r="E325" t="s">
        <v>541</v>
      </c>
      <c r="F325" t="s">
        <v>360</v>
      </c>
      <c r="G325" t="s">
        <v>542</v>
      </c>
      <c r="H325">
        <f t="shared" si="77"/>
        <v>12</v>
      </c>
      <c r="I325">
        <v>10</v>
      </c>
      <c r="J325" t="s">
        <v>13</v>
      </c>
      <c r="K325" t="s">
        <v>29</v>
      </c>
      <c r="L325" t="s">
        <v>545</v>
      </c>
      <c r="M325" t="s">
        <v>368</v>
      </c>
      <c r="N325" t="s">
        <v>432</v>
      </c>
      <c r="T325">
        <v>1</v>
      </c>
      <c r="W325">
        <v>2240</v>
      </c>
      <c r="X325" t="s">
        <v>184</v>
      </c>
      <c r="AA325" s="13">
        <v>510</v>
      </c>
      <c r="AB325">
        <v>8.0999999999999996E-3</v>
      </c>
      <c r="AC325">
        <v>5.1000000000000004E-3</v>
      </c>
      <c r="AD325" s="11">
        <f t="shared" si="71"/>
        <v>0.34424999999999994</v>
      </c>
      <c r="AE325" s="11">
        <f>_xlfn.RANK.AVG(Tableau8[[#This Row],[EE ( MJ/m²)]],AD325:AD1480)</f>
        <v>729</v>
      </c>
      <c r="AF325" s="11">
        <f t="shared" si="72"/>
        <v>3.4424999999999997E-2</v>
      </c>
      <c r="AG325" s="11">
        <f t="shared" si="78"/>
        <v>0.21675</v>
      </c>
      <c r="AH325" s="11">
        <f t="shared" si="73"/>
        <v>0.21675</v>
      </c>
      <c r="AI325" s="11">
        <f t="shared" si="79"/>
        <v>2.1675E-2</v>
      </c>
      <c r="AJ325" s="11">
        <f t="shared" si="74"/>
        <v>2.1675E-2</v>
      </c>
    </row>
    <row r="326" spans="1:36" x14ac:dyDescent="0.25">
      <c r="A326" s="4" t="s">
        <v>944</v>
      </c>
      <c r="B326" s="4" t="s">
        <v>965</v>
      </c>
      <c r="C326" s="4" t="s">
        <v>998</v>
      </c>
      <c r="D326" s="4" t="s">
        <v>939</v>
      </c>
      <c r="E326" t="s">
        <v>541</v>
      </c>
      <c r="F326" t="s">
        <v>360</v>
      </c>
      <c r="G326" t="s">
        <v>542</v>
      </c>
      <c r="H326">
        <f t="shared" si="77"/>
        <v>12</v>
      </c>
      <c r="I326">
        <v>10</v>
      </c>
      <c r="J326" t="s">
        <v>40</v>
      </c>
      <c r="K326" t="s">
        <v>17</v>
      </c>
      <c r="L326" t="s">
        <v>274</v>
      </c>
      <c r="M326" t="s">
        <v>236</v>
      </c>
      <c r="N326" t="s">
        <v>59</v>
      </c>
      <c r="P326">
        <f>2*1.1*0.0016</f>
        <v>3.5200000000000006E-3</v>
      </c>
      <c r="Q326" t="s">
        <v>180</v>
      </c>
      <c r="R326" t="s">
        <v>175</v>
      </c>
      <c r="T326">
        <v>1</v>
      </c>
      <c r="W326">
        <v>7870</v>
      </c>
      <c r="X326" t="s">
        <v>184</v>
      </c>
      <c r="Y326" t="s">
        <v>185</v>
      </c>
      <c r="AA326" s="13">
        <f>Tableau8[[#This Row],[density (kg/m2) or specific weight (kg/m2)]]*Tableau8[[#This Row],[nb of item used ]]*Tableau8[[#This Row],[volume or area]]</f>
        <v>27.702400000000004</v>
      </c>
      <c r="AB326">
        <v>25</v>
      </c>
      <c r="AC326">
        <v>2.0299999999999998</v>
      </c>
      <c r="AD326" s="11">
        <f t="shared" si="71"/>
        <v>57.713333333333338</v>
      </c>
      <c r="AE326" s="11">
        <f>_xlfn.RANK.AVG(Tableau8[[#This Row],[EE ( MJ/m²)]],AD326:AD1481)</f>
        <v>152</v>
      </c>
      <c r="AF326" s="11">
        <f t="shared" si="72"/>
        <v>5.7713333333333336</v>
      </c>
      <c r="AG326" s="11">
        <f t="shared" si="78"/>
        <v>4.6863226666666664</v>
      </c>
      <c r="AH326" s="11">
        <f t="shared" si="73"/>
        <v>4.6863226666666664</v>
      </c>
      <c r="AI326" s="11">
        <f t="shared" si="79"/>
        <v>0.46863226666666663</v>
      </c>
      <c r="AJ326" s="11">
        <f t="shared" si="74"/>
        <v>0.46863226666666663</v>
      </c>
    </row>
    <row r="327" spans="1:36" x14ac:dyDescent="0.25">
      <c r="A327" s="4" t="s">
        <v>944</v>
      </c>
      <c r="B327" s="4" t="s">
        <v>965</v>
      </c>
      <c r="C327" s="4" t="s">
        <v>998</v>
      </c>
      <c r="D327" s="4" t="s">
        <v>939</v>
      </c>
      <c r="E327" t="s">
        <v>541</v>
      </c>
      <c r="F327" t="s">
        <v>360</v>
      </c>
      <c r="G327" t="s">
        <v>542</v>
      </c>
      <c r="H327">
        <f t="shared" si="77"/>
        <v>12</v>
      </c>
      <c r="I327">
        <v>10</v>
      </c>
      <c r="J327" t="s">
        <v>40</v>
      </c>
      <c r="K327" t="s">
        <v>17</v>
      </c>
      <c r="L327" t="s">
        <v>274</v>
      </c>
      <c r="M327" t="s">
        <v>236</v>
      </c>
      <c r="N327" t="s">
        <v>59</v>
      </c>
      <c r="P327">
        <f>0.89*1*0.0016</f>
        <v>1.4240000000000001E-3</v>
      </c>
      <c r="Q327" t="s">
        <v>180</v>
      </c>
      <c r="R327" t="s">
        <v>175</v>
      </c>
      <c r="T327">
        <v>2</v>
      </c>
      <c r="W327">
        <v>7870</v>
      </c>
      <c r="X327" t="s">
        <v>184</v>
      </c>
      <c r="Y327" t="s">
        <v>185</v>
      </c>
      <c r="AA327" s="13">
        <f>Tableau8[[#This Row],[density (kg/m2) or specific weight (kg/m2)]]*Tableau8[[#This Row],[nb of item used ]]*Tableau8[[#This Row],[volume or area]]</f>
        <v>22.413760000000003</v>
      </c>
      <c r="AB327">
        <v>25</v>
      </c>
      <c r="AC327">
        <v>2.0299999999999998</v>
      </c>
      <c r="AD327" s="11">
        <f t="shared" si="71"/>
        <v>46.695333333333338</v>
      </c>
      <c r="AE327" s="11">
        <f>_xlfn.RANK.AVG(Tableau8[[#This Row],[EE ( MJ/m²)]],AD327:AD1482)</f>
        <v>174</v>
      </c>
      <c r="AF327" s="11">
        <f t="shared" si="72"/>
        <v>4.6695333333333338</v>
      </c>
      <c r="AG327" s="11">
        <f t="shared" si="78"/>
        <v>3.7916610666666668</v>
      </c>
      <c r="AH327" s="11">
        <f t="shared" si="73"/>
        <v>3.7916610666666668</v>
      </c>
      <c r="AI327" s="11">
        <f t="shared" si="79"/>
        <v>0.37916610666666667</v>
      </c>
      <c r="AJ327" s="11">
        <f t="shared" si="74"/>
        <v>0.37916610666666667</v>
      </c>
    </row>
    <row r="328" spans="1:36" x14ac:dyDescent="0.25">
      <c r="A328" s="4" t="s">
        <v>944</v>
      </c>
      <c r="B328" s="4" t="s">
        <v>965</v>
      </c>
      <c r="C328" s="4" t="s">
        <v>998</v>
      </c>
      <c r="D328" s="4" t="s">
        <v>939</v>
      </c>
      <c r="E328" t="s">
        <v>541</v>
      </c>
      <c r="F328" t="s">
        <v>360</v>
      </c>
      <c r="G328" t="s">
        <v>542</v>
      </c>
      <c r="H328">
        <f t="shared" si="77"/>
        <v>12</v>
      </c>
      <c r="I328">
        <v>10</v>
      </c>
      <c r="J328" t="s">
        <v>40</v>
      </c>
      <c r="K328" t="s">
        <v>1000</v>
      </c>
      <c r="L328" t="s">
        <v>275</v>
      </c>
      <c r="M328" t="s">
        <v>308</v>
      </c>
      <c r="N328" t="s">
        <v>307</v>
      </c>
      <c r="P328">
        <f>2*1.1*0.015</f>
        <v>3.3000000000000002E-2</v>
      </c>
      <c r="Q328" t="s">
        <v>180</v>
      </c>
      <c r="R328" t="s">
        <v>175</v>
      </c>
      <c r="T328">
        <v>1</v>
      </c>
      <c r="W328">
        <v>50</v>
      </c>
      <c r="X328" t="s">
        <v>184</v>
      </c>
      <c r="Y328" t="s">
        <v>194</v>
      </c>
      <c r="Z328" t="s">
        <v>446</v>
      </c>
      <c r="AA328" s="13">
        <f>Tableau8[[#This Row],[density (kg/m2) or specific weight (kg/m2)]]*Tableau8[[#This Row],[volume or area]]</f>
        <v>1.6500000000000001</v>
      </c>
      <c r="AB328">
        <v>45</v>
      </c>
      <c r="AC328">
        <v>16.5</v>
      </c>
      <c r="AD328" s="11">
        <f t="shared" si="71"/>
        <v>6.1875</v>
      </c>
      <c r="AE328" s="11">
        <f>_xlfn.RANK.AVG(Tableau8[[#This Row],[EE ( MJ/m²)]],AD328:AD1483)</f>
        <v>462</v>
      </c>
      <c r="AF328" s="11">
        <f t="shared" si="72"/>
        <v>0.61875000000000002</v>
      </c>
      <c r="AG328" s="11">
        <f t="shared" si="78"/>
        <v>2.2687500000000003</v>
      </c>
      <c r="AH328" s="11">
        <f t="shared" si="73"/>
        <v>2.2687500000000003</v>
      </c>
      <c r="AI328" s="11">
        <f t="shared" si="79"/>
        <v>0.22687500000000002</v>
      </c>
      <c r="AJ328" s="11">
        <f t="shared" si="74"/>
        <v>0.22687500000000002</v>
      </c>
    </row>
    <row r="329" spans="1:36" x14ac:dyDescent="0.25">
      <c r="A329" s="4" t="s">
        <v>944</v>
      </c>
      <c r="B329" s="4" t="s">
        <v>965</v>
      </c>
      <c r="C329" s="4" t="s">
        <v>998</v>
      </c>
      <c r="D329" s="4" t="s">
        <v>939</v>
      </c>
      <c r="E329" t="s">
        <v>541</v>
      </c>
      <c r="F329" t="s">
        <v>360</v>
      </c>
      <c r="G329" t="s">
        <v>542</v>
      </c>
      <c r="H329">
        <f t="shared" si="77"/>
        <v>12</v>
      </c>
      <c r="I329">
        <v>10</v>
      </c>
      <c r="J329" t="s">
        <v>40</v>
      </c>
      <c r="K329" t="s">
        <v>18</v>
      </c>
      <c r="L329" t="s">
        <v>543</v>
      </c>
      <c r="M329" t="s">
        <v>18</v>
      </c>
      <c r="N329" t="s">
        <v>414</v>
      </c>
      <c r="P329">
        <v>4.2</v>
      </c>
      <c r="Q329" t="s">
        <v>180</v>
      </c>
      <c r="R329" t="s">
        <v>187</v>
      </c>
      <c r="T329">
        <v>1</v>
      </c>
      <c r="W329">
        <v>2400</v>
      </c>
      <c r="X329" t="s">
        <v>184</v>
      </c>
      <c r="AA329" s="13">
        <f>Tableau8[[#This Row],[density (kg/m2) or specific weight (kg/m2)]]*Tableau8[[#This Row],[nb of item used ]]*Tableau8[[#This Row],[volume or area]]</f>
        <v>10080</v>
      </c>
      <c r="AB329">
        <v>0.72</v>
      </c>
      <c r="AC329">
        <v>0.88</v>
      </c>
      <c r="AD329" s="11">
        <f t="shared" si="71"/>
        <v>604.79999999999995</v>
      </c>
      <c r="AE329" s="11">
        <f>_xlfn.RANK.AVG(Tableau8[[#This Row],[EE ( MJ/m²)]],AD329:AD1484)</f>
        <v>18</v>
      </c>
      <c r="AF329" s="11">
        <f>Tableau8[[#This Row],[EE (MJ /kg) COEF]]*AA329/H329/I329</f>
        <v>60.48</v>
      </c>
      <c r="AG329" s="11">
        <f t="shared" si="78"/>
        <v>739.19999999999993</v>
      </c>
      <c r="AH329" s="11">
        <f t="shared" si="73"/>
        <v>739.19999999999993</v>
      </c>
      <c r="AI329" s="11">
        <f t="shared" si="79"/>
        <v>73.919999999999987</v>
      </c>
      <c r="AJ329" s="11">
        <f>Tableau8[[#This Row],[EC(kgCO2e/kg) COEF]]*AA329/H329/I329</f>
        <v>73.919999999999987</v>
      </c>
    </row>
    <row r="330" spans="1:36" x14ac:dyDescent="0.25">
      <c r="A330" s="4" t="s">
        <v>944</v>
      </c>
      <c r="B330" s="4" t="s">
        <v>965</v>
      </c>
      <c r="C330" s="4" t="s">
        <v>998</v>
      </c>
      <c r="D330" s="4" t="s">
        <v>939</v>
      </c>
      <c r="E330" t="s">
        <v>541</v>
      </c>
      <c r="F330" t="s">
        <v>360</v>
      </c>
      <c r="G330" t="s">
        <v>542</v>
      </c>
      <c r="H330">
        <f t="shared" si="77"/>
        <v>12</v>
      </c>
      <c r="I330">
        <v>10</v>
      </c>
      <c r="J330" t="s">
        <v>57</v>
      </c>
      <c r="K330" t="s">
        <v>18</v>
      </c>
      <c r="L330" t="s">
        <v>553</v>
      </c>
      <c r="M330" t="s">
        <v>18</v>
      </c>
      <c r="N330" t="s">
        <v>39</v>
      </c>
      <c r="P330">
        <f>0.2*12</f>
        <v>2.4000000000000004</v>
      </c>
      <c r="Q330" t="s">
        <v>180</v>
      </c>
      <c r="T330">
        <v>1</v>
      </c>
      <c r="W330">
        <v>2400</v>
      </c>
      <c r="X330" t="s">
        <v>184</v>
      </c>
      <c r="AA330" s="13">
        <f>Tableau8[[#This Row],[density (kg/m2) or specific weight (kg/m2)]]*Tableau8[[#This Row],[nb of item used ]]*Tableau8[[#This Row],[volume or area]]</f>
        <v>5760.0000000000009</v>
      </c>
      <c r="AB330">
        <v>0.75</v>
      </c>
      <c r="AC330">
        <v>0.105</v>
      </c>
      <c r="AD330" s="11">
        <f t="shared" si="71"/>
        <v>360.00000000000006</v>
      </c>
      <c r="AE330" s="11">
        <f>_xlfn.RANK.AVG(Tableau8[[#This Row],[EE ( MJ/m²)]],AD330:AD1485)</f>
        <v>27</v>
      </c>
      <c r="AF330" s="11">
        <f t="shared" ref="AF330:AF343" si="80">AB330*AA330/H330/I330</f>
        <v>36.000000000000007</v>
      </c>
      <c r="AG330" s="11">
        <f t="shared" si="78"/>
        <v>50.400000000000006</v>
      </c>
      <c r="AH330" s="11">
        <f t="shared" si="73"/>
        <v>50.400000000000006</v>
      </c>
      <c r="AI330" s="11">
        <f t="shared" si="79"/>
        <v>5.0400000000000009</v>
      </c>
      <c r="AJ330" s="11">
        <f t="shared" ref="AJ330:AJ343" si="81">AC330*AA330/H330/I330</f>
        <v>5.0400000000000009</v>
      </c>
    </row>
    <row r="331" spans="1:36" x14ac:dyDescent="0.25">
      <c r="A331" s="4" t="s">
        <v>944</v>
      </c>
      <c r="B331" s="4" t="s">
        <v>965</v>
      </c>
      <c r="C331" s="4" t="s">
        <v>998</v>
      </c>
      <c r="D331" s="4" t="s">
        <v>939</v>
      </c>
      <c r="E331" t="s">
        <v>541</v>
      </c>
      <c r="F331" t="s">
        <v>360</v>
      </c>
      <c r="G331" t="s">
        <v>542</v>
      </c>
      <c r="H331">
        <f t="shared" si="77"/>
        <v>12</v>
      </c>
      <c r="I331">
        <v>10</v>
      </c>
      <c r="J331" t="s">
        <v>13</v>
      </c>
      <c r="K331" t="s">
        <v>18</v>
      </c>
      <c r="L331" t="s">
        <v>544</v>
      </c>
      <c r="M331" t="s">
        <v>363</v>
      </c>
      <c r="N331" t="s">
        <v>431</v>
      </c>
      <c r="T331">
        <v>1</v>
      </c>
      <c r="W331">
        <v>1860</v>
      </c>
      <c r="X331" t="s">
        <v>184</v>
      </c>
      <c r="AA331" s="13">
        <v>255</v>
      </c>
      <c r="AB331">
        <v>4.51</v>
      </c>
      <c r="AC331">
        <v>0.74</v>
      </c>
      <c r="AD331" s="11">
        <f t="shared" si="71"/>
        <v>95.837499999999991</v>
      </c>
      <c r="AE331" s="11">
        <f>_xlfn.RANK.AVG(Tableau8[[#This Row],[EE ( MJ/m²)]],AD331:AD1486)</f>
        <v>106</v>
      </c>
      <c r="AF331" s="11">
        <f t="shared" si="80"/>
        <v>9.5837499999999984</v>
      </c>
      <c r="AG331" s="11">
        <f t="shared" si="78"/>
        <v>15.725</v>
      </c>
      <c r="AH331" s="11">
        <f t="shared" si="73"/>
        <v>15.725</v>
      </c>
      <c r="AI331" s="11">
        <f t="shared" si="79"/>
        <v>1.5725</v>
      </c>
      <c r="AJ331" s="11">
        <f t="shared" si="81"/>
        <v>1.5725</v>
      </c>
    </row>
    <row r="332" spans="1:36" x14ac:dyDescent="0.25">
      <c r="A332" s="4" t="s">
        <v>944</v>
      </c>
      <c r="B332" s="4" t="s">
        <v>965</v>
      </c>
      <c r="C332" s="4" t="s">
        <v>998</v>
      </c>
      <c r="D332" s="4" t="s">
        <v>939</v>
      </c>
      <c r="E332" t="s">
        <v>541</v>
      </c>
      <c r="F332" t="s">
        <v>360</v>
      </c>
      <c r="G332" t="s">
        <v>542</v>
      </c>
      <c r="H332">
        <f t="shared" si="77"/>
        <v>12</v>
      </c>
      <c r="I332">
        <v>10</v>
      </c>
      <c r="J332" t="s">
        <v>547</v>
      </c>
      <c r="K332" t="s">
        <v>17</v>
      </c>
      <c r="L332" t="s">
        <v>546</v>
      </c>
      <c r="M332" t="s">
        <v>469</v>
      </c>
      <c r="N332" t="s">
        <v>469</v>
      </c>
      <c r="P332">
        <v>5.4000000000000003E-3</v>
      </c>
      <c r="Q332" t="s">
        <v>180</v>
      </c>
      <c r="R332" t="s">
        <v>187</v>
      </c>
      <c r="T332">
        <v>1</v>
      </c>
      <c r="W332">
        <v>2700</v>
      </c>
      <c r="X332" t="s">
        <v>184</v>
      </c>
      <c r="AA332" s="13">
        <f>Tableau8[[#This Row],[density (kg/m2) or specific weight (kg/m2)]]*Tableau8[[#This Row],[nb of item used ]]*Tableau8[[#This Row],[volume or area]]</f>
        <v>14.58</v>
      </c>
      <c r="AB332">
        <v>155</v>
      </c>
      <c r="AC332">
        <v>9.16</v>
      </c>
      <c r="AD332" s="11">
        <f t="shared" si="71"/>
        <v>188.32500000000002</v>
      </c>
      <c r="AE332" s="11">
        <f>_xlfn.RANK.AVG(Tableau8[[#This Row],[EE ( MJ/m²)]],AD332:AD1487)</f>
        <v>51.5</v>
      </c>
      <c r="AF332" s="11">
        <f t="shared" si="80"/>
        <v>18.832500000000003</v>
      </c>
      <c r="AG332" s="11">
        <f t="shared" si="78"/>
        <v>11.129399999999999</v>
      </c>
      <c r="AH332" s="11">
        <f t="shared" si="73"/>
        <v>11.129399999999999</v>
      </c>
      <c r="AI332" s="11">
        <f t="shared" si="79"/>
        <v>1.1129399999999998</v>
      </c>
      <c r="AJ332" s="11">
        <f t="shared" si="81"/>
        <v>1.1129399999999998</v>
      </c>
    </row>
    <row r="333" spans="1:36" x14ac:dyDescent="0.25">
      <c r="A333" s="4" t="s">
        <v>944</v>
      </c>
      <c r="B333" s="4" t="s">
        <v>966</v>
      </c>
      <c r="C333" s="4" t="s">
        <v>15</v>
      </c>
      <c r="D333" s="4" t="s">
        <v>939</v>
      </c>
      <c r="E333" t="s">
        <v>532</v>
      </c>
      <c r="F333" t="s">
        <v>360</v>
      </c>
      <c r="G333" t="s">
        <v>533</v>
      </c>
      <c r="H333">
        <v>12.2</v>
      </c>
      <c r="I333">
        <v>5</v>
      </c>
      <c r="J333" t="s">
        <v>56</v>
      </c>
      <c r="K333" t="s">
        <v>15</v>
      </c>
      <c r="L333" t="s">
        <v>537</v>
      </c>
      <c r="M333" t="s">
        <v>15</v>
      </c>
      <c r="N333" t="s">
        <v>15</v>
      </c>
      <c r="P333">
        <v>0.1004</v>
      </c>
      <c r="Q333" t="s">
        <v>180</v>
      </c>
      <c r="R333" t="s">
        <v>187</v>
      </c>
      <c r="T333">
        <v>1</v>
      </c>
      <c r="W333">
        <v>510</v>
      </c>
      <c r="X333" t="s">
        <v>184</v>
      </c>
      <c r="AA333" s="13">
        <f>Tableau8[[#This Row],[density (kg/m2) or specific weight (kg/m2)]]*Tableau8[[#This Row],[nb of item used ]]*Tableau8[[#This Row],[volume or area]]</f>
        <v>51.204000000000001</v>
      </c>
      <c r="AB333">
        <f>10-4.4</f>
        <v>5.6</v>
      </c>
      <c r="AC333">
        <f>0.31+0.41</f>
        <v>0.72</v>
      </c>
      <c r="AD333" s="11">
        <f t="shared" si="71"/>
        <v>23.503475409836064</v>
      </c>
      <c r="AE333" s="11">
        <f>_xlfn.RANK.AVG(Tableau8[[#This Row],[EE ( MJ/m²)]],AD333:AD1488)</f>
        <v>262</v>
      </c>
      <c r="AF333" s="11">
        <f t="shared" si="80"/>
        <v>4.7006950819672131</v>
      </c>
      <c r="AG333" s="11">
        <f>(AC333-0.41)*AA333/H333</f>
        <v>1.3010852459016395</v>
      </c>
      <c r="AH333" s="11">
        <f t="shared" si="73"/>
        <v>3.0218754098360661</v>
      </c>
      <c r="AI333" s="11">
        <f>(AC333-0.41)*AA333/H333/I333</f>
        <v>0.2602170491803279</v>
      </c>
      <c r="AJ333" s="11">
        <f t="shared" si="81"/>
        <v>0.60437508196721323</v>
      </c>
    </row>
    <row r="334" spans="1:36" x14ac:dyDescent="0.25">
      <c r="A334" s="4" t="s">
        <v>944</v>
      </c>
      <c r="B334" s="4" t="s">
        <v>966</v>
      </c>
      <c r="C334" s="4" t="s">
        <v>15</v>
      </c>
      <c r="D334" s="4" t="s">
        <v>939</v>
      </c>
      <c r="E334" t="s">
        <v>532</v>
      </c>
      <c r="F334" t="s">
        <v>360</v>
      </c>
      <c r="G334" t="s">
        <v>533</v>
      </c>
      <c r="H334">
        <v>12.2</v>
      </c>
      <c r="I334">
        <v>5</v>
      </c>
      <c r="J334" t="s">
        <v>57</v>
      </c>
      <c r="K334" t="s">
        <v>15</v>
      </c>
      <c r="L334" t="s">
        <v>538</v>
      </c>
      <c r="M334" t="s">
        <v>15</v>
      </c>
      <c r="N334" t="s">
        <v>15</v>
      </c>
      <c r="P334">
        <v>0.16</v>
      </c>
      <c r="Q334" t="s">
        <v>180</v>
      </c>
      <c r="R334" t="s">
        <v>187</v>
      </c>
      <c r="T334">
        <v>1</v>
      </c>
      <c r="W334">
        <v>510</v>
      </c>
      <c r="X334" t="s">
        <v>184</v>
      </c>
      <c r="AA334" s="13">
        <f>Tableau8[[#This Row],[density (kg/m2) or specific weight (kg/m2)]]*Tableau8[[#This Row],[nb of item used ]]*Tableau8[[#This Row],[volume or area]]</f>
        <v>81.600000000000009</v>
      </c>
      <c r="AB334">
        <f>10-4.4</f>
        <v>5.6</v>
      </c>
      <c r="AC334">
        <f>0.31+0.41</f>
        <v>0.72</v>
      </c>
      <c r="AD334" s="11">
        <f t="shared" si="71"/>
        <v>37.455737704918036</v>
      </c>
      <c r="AE334" s="11">
        <f>_xlfn.RANK.AVG(Tableau8[[#This Row],[EE ( MJ/m²)]],AD334:AD1489)</f>
        <v>191</v>
      </c>
      <c r="AF334" s="11">
        <f t="shared" si="80"/>
        <v>7.491147540983607</v>
      </c>
      <c r="AG334" s="11">
        <f>(AC334-0.41)*AA334/H334</f>
        <v>2.0734426229508198</v>
      </c>
      <c r="AH334" s="11">
        <f t="shared" si="73"/>
        <v>4.8157377049180337</v>
      </c>
      <c r="AI334" s="11">
        <f>(AC334-0.41)*AA334/H334/I334</f>
        <v>0.41468852459016398</v>
      </c>
      <c r="AJ334" s="11">
        <f t="shared" si="81"/>
        <v>0.96314754098360678</v>
      </c>
    </row>
    <row r="335" spans="1:36" x14ac:dyDescent="0.25">
      <c r="A335" s="4" t="s">
        <v>944</v>
      </c>
      <c r="B335" s="4" t="s">
        <v>966</v>
      </c>
      <c r="C335" s="4" t="s">
        <v>15</v>
      </c>
      <c r="D335" s="4" t="s">
        <v>939</v>
      </c>
      <c r="E335" t="s">
        <v>532</v>
      </c>
      <c r="F335" t="s">
        <v>360</v>
      </c>
      <c r="G335" t="s">
        <v>533</v>
      </c>
      <c r="H335">
        <v>12.2</v>
      </c>
      <c r="I335">
        <v>5</v>
      </c>
      <c r="J335" t="s">
        <v>40</v>
      </c>
      <c r="K335" t="s">
        <v>15</v>
      </c>
      <c r="L335" t="s">
        <v>539</v>
      </c>
      <c r="M335" t="s">
        <v>15</v>
      </c>
      <c r="N335" t="s">
        <v>15</v>
      </c>
      <c r="P335">
        <v>0.04</v>
      </c>
      <c r="Q335" t="s">
        <v>180</v>
      </c>
      <c r="R335" t="s">
        <v>187</v>
      </c>
      <c r="T335">
        <v>1</v>
      </c>
      <c r="W335">
        <v>510</v>
      </c>
      <c r="X335" t="s">
        <v>184</v>
      </c>
      <c r="AA335" s="13">
        <f>Tableau8[[#This Row],[density (kg/m2) or specific weight (kg/m2)]]*Tableau8[[#This Row],[nb of item used ]]*Tableau8[[#This Row],[volume or area]]</f>
        <v>20.400000000000002</v>
      </c>
      <c r="AB335">
        <f>10-4.4</f>
        <v>5.6</v>
      </c>
      <c r="AC335">
        <f>0.31+0.41</f>
        <v>0.72</v>
      </c>
      <c r="AD335" s="11">
        <f t="shared" si="71"/>
        <v>9.363934426229509</v>
      </c>
      <c r="AE335" s="11">
        <f>_xlfn.RANK.AVG(Tableau8[[#This Row],[EE ( MJ/m²)]],AD335:AD1490)</f>
        <v>390</v>
      </c>
      <c r="AF335" s="11">
        <f t="shared" si="80"/>
        <v>1.8727868852459018</v>
      </c>
      <c r="AG335" s="11">
        <f>(AC335-0.41)*AA335/H335</f>
        <v>0.51836065573770496</v>
      </c>
      <c r="AH335" s="11">
        <f t="shared" si="73"/>
        <v>1.2039344262295084</v>
      </c>
      <c r="AI335" s="11">
        <f>(AC335-0.41)*AA335/H335/I335</f>
        <v>0.10367213114754099</v>
      </c>
      <c r="AJ335" s="11">
        <f t="shared" si="81"/>
        <v>0.24078688524590169</v>
      </c>
    </row>
    <row r="336" spans="1:36" x14ac:dyDescent="0.25">
      <c r="A336" s="4" t="s">
        <v>944</v>
      </c>
      <c r="B336" s="4" t="s">
        <v>966</v>
      </c>
      <c r="C336" s="4" t="s">
        <v>15</v>
      </c>
      <c r="D336" s="4" t="s">
        <v>939</v>
      </c>
      <c r="E336" t="s">
        <v>532</v>
      </c>
      <c r="F336" t="s">
        <v>360</v>
      </c>
      <c r="G336" t="s">
        <v>533</v>
      </c>
      <c r="H336">
        <v>12.2</v>
      </c>
      <c r="I336">
        <v>5</v>
      </c>
      <c r="J336" t="s">
        <v>40</v>
      </c>
      <c r="K336" t="s">
        <v>15</v>
      </c>
      <c r="L336" t="s">
        <v>540</v>
      </c>
      <c r="M336" t="s">
        <v>15</v>
      </c>
      <c r="N336" t="s">
        <v>15</v>
      </c>
      <c r="P336">
        <v>0.02</v>
      </c>
      <c r="Q336" t="s">
        <v>180</v>
      </c>
      <c r="R336" t="s">
        <v>187</v>
      </c>
      <c r="T336">
        <v>1</v>
      </c>
      <c r="W336">
        <v>510</v>
      </c>
      <c r="X336" t="s">
        <v>184</v>
      </c>
      <c r="AA336" s="13">
        <f>Tableau8[[#This Row],[density (kg/m2) or specific weight (kg/m2)]]*Tableau8[[#This Row],[nb of item used ]]*Tableau8[[#This Row],[volume or area]]</f>
        <v>10.200000000000001</v>
      </c>
      <c r="AB336">
        <f>10-4.4</f>
        <v>5.6</v>
      </c>
      <c r="AC336">
        <f>0.31+0.41</f>
        <v>0.72</v>
      </c>
      <c r="AD336" s="11">
        <f t="shared" si="71"/>
        <v>4.6819672131147545</v>
      </c>
      <c r="AE336" s="11">
        <f>_xlfn.RANK.AVG(Tableau8[[#This Row],[EE ( MJ/m²)]],AD336:AD1491)</f>
        <v>493</v>
      </c>
      <c r="AF336" s="11">
        <f t="shared" si="80"/>
        <v>0.93639344262295088</v>
      </c>
      <c r="AG336" s="11">
        <f>(AC336-0.41)*AA336/H336</f>
        <v>0.25918032786885248</v>
      </c>
      <c r="AH336" s="11">
        <f t="shared" si="73"/>
        <v>0.60196721311475421</v>
      </c>
      <c r="AI336" s="11">
        <f>(AC336-0.41)*AA336/H336/I336</f>
        <v>5.1836065573770497E-2</v>
      </c>
      <c r="AJ336" s="11">
        <f t="shared" si="81"/>
        <v>0.12039344262295085</v>
      </c>
    </row>
    <row r="337" spans="1:36" x14ac:dyDescent="0.25">
      <c r="A337" s="4" t="s">
        <v>944</v>
      </c>
      <c r="B337" s="4" t="s">
        <v>966</v>
      </c>
      <c r="C337" s="4" t="s">
        <v>15</v>
      </c>
      <c r="D337" s="4" t="s">
        <v>939</v>
      </c>
      <c r="E337" t="s">
        <v>532</v>
      </c>
      <c r="F337" t="s">
        <v>360</v>
      </c>
      <c r="G337" t="s">
        <v>533</v>
      </c>
      <c r="H337">
        <v>12.2</v>
      </c>
      <c r="I337">
        <v>5</v>
      </c>
      <c r="J337" t="s">
        <v>56</v>
      </c>
      <c r="K337" t="s">
        <v>15</v>
      </c>
      <c r="L337" t="s">
        <v>536</v>
      </c>
      <c r="M337" t="s">
        <v>52</v>
      </c>
      <c r="N337" t="s">
        <v>223</v>
      </c>
      <c r="P337">
        <f>30*0.3</f>
        <v>9</v>
      </c>
      <c r="Q337" t="s">
        <v>180</v>
      </c>
      <c r="R337" t="s">
        <v>187</v>
      </c>
      <c r="T337">
        <v>1</v>
      </c>
      <c r="W337">
        <v>15</v>
      </c>
      <c r="X337" t="s">
        <v>184</v>
      </c>
      <c r="AA337" s="13">
        <f>Tableau8[[#This Row],[nb of item used ]]*Tableau8[[#This Row],[density (kg/m2) or specific weight (kg/m2)]]*Tableau8[[#This Row],[volume or area]]</f>
        <v>135</v>
      </c>
      <c r="AB337">
        <v>0.24</v>
      </c>
      <c r="AC337">
        <v>0.1</v>
      </c>
      <c r="AD337" s="11">
        <f t="shared" si="71"/>
        <v>2.6557377049180326</v>
      </c>
      <c r="AE337" s="11">
        <f>_xlfn.RANK.AVG(Tableau8[[#This Row],[EE ( MJ/m²)]],AD337:AD1492)</f>
        <v>546</v>
      </c>
      <c r="AF337" s="11">
        <f t="shared" si="80"/>
        <v>0.5311475409836065</v>
      </c>
      <c r="AG337" s="11">
        <f>(AC337)*AA337/H337</f>
        <v>1.1065573770491803</v>
      </c>
      <c r="AH337" s="11">
        <f t="shared" si="73"/>
        <v>1.1065573770491803</v>
      </c>
      <c r="AI337" s="11">
        <f>(AC337)*AA337/H337/I337</f>
        <v>0.22131147540983606</v>
      </c>
      <c r="AJ337" s="11">
        <f t="shared" si="81"/>
        <v>0.22131147540983606</v>
      </c>
    </row>
    <row r="338" spans="1:36" x14ac:dyDescent="0.25">
      <c r="A338" s="4" t="s">
        <v>944</v>
      </c>
      <c r="B338" s="4" t="s">
        <v>966</v>
      </c>
      <c r="C338" s="4" t="s">
        <v>15</v>
      </c>
      <c r="D338" s="4" t="s">
        <v>939</v>
      </c>
      <c r="E338" t="s">
        <v>532</v>
      </c>
      <c r="F338" t="s">
        <v>360</v>
      </c>
      <c r="G338" t="s">
        <v>533</v>
      </c>
      <c r="H338">
        <v>12.2</v>
      </c>
      <c r="I338">
        <v>5</v>
      </c>
      <c r="J338" t="s">
        <v>232</v>
      </c>
      <c r="K338" t="s">
        <v>17</v>
      </c>
      <c r="L338" t="s">
        <v>462</v>
      </c>
      <c r="M338" t="s">
        <v>12</v>
      </c>
      <c r="N338" t="s">
        <v>12</v>
      </c>
      <c r="T338">
        <v>1</v>
      </c>
      <c r="W338">
        <v>7800</v>
      </c>
      <c r="X338" t="s">
        <v>184</v>
      </c>
      <c r="AA338" s="13">
        <v>12.5</v>
      </c>
      <c r="AB338">
        <v>25.3</v>
      </c>
      <c r="AC338">
        <v>1.95</v>
      </c>
      <c r="AD338" s="11">
        <f t="shared" si="71"/>
        <v>25.922131147540984</v>
      </c>
      <c r="AE338" s="11">
        <f>_xlfn.RANK.AVG(Tableau8[[#This Row],[EE ( MJ/m²)]],AD338:AD1493)</f>
        <v>249</v>
      </c>
      <c r="AF338" s="11">
        <f t="shared" si="80"/>
        <v>5.1844262295081966</v>
      </c>
      <c r="AG338" s="11">
        <f>(AC338)*AA338/H338</f>
        <v>1.9979508196721312</v>
      </c>
      <c r="AH338" s="11">
        <f t="shared" si="73"/>
        <v>1.9979508196721312</v>
      </c>
      <c r="AI338" s="11">
        <f>(AC338)*AA338/H338/I338</f>
        <v>0.39959016393442626</v>
      </c>
      <c r="AJ338" s="11">
        <f t="shared" si="81"/>
        <v>0.39959016393442626</v>
      </c>
    </row>
    <row r="339" spans="1:36" x14ac:dyDescent="0.25">
      <c r="A339" s="4" t="s">
        <v>944</v>
      </c>
      <c r="B339" s="4" t="s">
        <v>966</v>
      </c>
      <c r="C339" s="4" t="s">
        <v>15</v>
      </c>
      <c r="D339" s="4" t="s">
        <v>939</v>
      </c>
      <c r="E339" t="s">
        <v>532</v>
      </c>
      <c r="F339" t="s">
        <v>360</v>
      </c>
      <c r="G339" t="s">
        <v>533</v>
      </c>
      <c r="H339">
        <v>12.2</v>
      </c>
      <c r="I339">
        <v>5</v>
      </c>
      <c r="J339" t="s">
        <v>40</v>
      </c>
      <c r="K339" t="s">
        <v>29</v>
      </c>
      <c r="L339" t="s">
        <v>534</v>
      </c>
      <c r="M339" t="s">
        <v>535</v>
      </c>
      <c r="N339" t="s">
        <v>69</v>
      </c>
      <c r="P339">
        <v>2.8</v>
      </c>
      <c r="Q339" t="s">
        <v>180</v>
      </c>
      <c r="R339" t="s">
        <v>187</v>
      </c>
      <c r="T339">
        <v>1</v>
      </c>
      <c r="W339">
        <v>1460</v>
      </c>
      <c r="X339" t="s">
        <v>184</v>
      </c>
      <c r="AA339" s="13">
        <f>Tableau8[[#This Row],[density (kg/m2) or specific weight (kg/m2)]]*Tableau8[[#This Row],[volume or area]]</f>
        <v>4087.9999999999995</v>
      </c>
      <c r="AB339">
        <v>0.45</v>
      </c>
      <c r="AC339">
        <v>2.4E-2</v>
      </c>
      <c r="AD339" s="11">
        <f t="shared" si="71"/>
        <v>150.78688524590163</v>
      </c>
      <c r="AE339" s="11">
        <f>_xlfn.RANK.AVG(Tableau8[[#This Row],[EE ( MJ/m²)]],AD339:AD1494)</f>
        <v>67</v>
      </c>
      <c r="AF339" s="11">
        <f t="shared" si="80"/>
        <v>30.157377049180326</v>
      </c>
      <c r="AG339" s="11">
        <f>(AC339)*AA339/H339</f>
        <v>8.0419672131147539</v>
      </c>
      <c r="AH339" s="11">
        <f t="shared" si="73"/>
        <v>8.0419672131147539</v>
      </c>
      <c r="AI339" s="11">
        <f>(AC339)*AA339/H339/I339</f>
        <v>1.6083934426229507</v>
      </c>
      <c r="AJ339" s="11">
        <f t="shared" si="81"/>
        <v>1.6083934426229507</v>
      </c>
    </row>
    <row r="340" spans="1:36" x14ac:dyDescent="0.25">
      <c r="A340" s="4" t="s">
        <v>944</v>
      </c>
      <c r="B340" s="4" t="s">
        <v>949</v>
      </c>
      <c r="C340" s="4" t="s">
        <v>15</v>
      </c>
      <c r="D340" s="4" t="s">
        <v>939</v>
      </c>
      <c r="E340" t="s">
        <v>511</v>
      </c>
      <c r="F340" t="s">
        <v>360</v>
      </c>
      <c r="G340" t="s">
        <v>512</v>
      </c>
      <c r="H340">
        <v>16</v>
      </c>
      <c r="I340">
        <v>2</v>
      </c>
      <c r="J340" t="s">
        <v>42</v>
      </c>
      <c r="K340" t="s">
        <v>15</v>
      </c>
      <c r="L340" t="s">
        <v>515</v>
      </c>
      <c r="M340" t="s">
        <v>15</v>
      </c>
      <c r="N340" t="s">
        <v>15</v>
      </c>
      <c r="P340">
        <v>0.06</v>
      </c>
      <c r="Q340" t="s">
        <v>180</v>
      </c>
      <c r="R340" t="s">
        <v>187</v>
      </c>
      <c r="T340">
        <v>1</v>
      </c>
      <c r="W340">
        <v>510</v>
      </c>
      <c r="X340" t="s">
        <v>184</v>
      </c>
      <c r="AA340" s="13">
        <f>Tableau8[[#This Row],[density (kg/m2) or specific weight (kg/m2)]]*Tableau8[[#This Row],[nb of item used ]]*Tableau8[[#This Row],[volume or area]]</f>
        <v>30.599999999999998</v>
      </c>
      <c r="AB340">
        <f>10-4.4</f>
        <v>5.6</v>
      </c>
      <c r="AC340">
        <f>0.31+0.41</f>
        <v>0.72</v>
      </c>
      <c r="AD340" s="11">
        <f t="shared" si="71"/>
        <v>10.709999999999999</v>
      </c>
      <c r="AE340" s="11">
        <f>_xlfn.RANK.AVG(Tableau8[[#This Row],[EE ( MJ/m²)]],AD340:AD1495)</f>
        <v>374</v>
      </c>
      <c r="AF340" s="11">
        <f t="shared" si="80"/>
        <v>5.3549999999999995</v>
      </c>
      <c r="AG340" s="11">
        <f>(AC340-0.41)*AA340/H340</f>
        <v>0.59287499999999993</v>
      </c>
      <c r="AH340" s="11">
        <f t="shared" si="73"/>
        <v>1.3769999999999998</v>
      </c>
      <c r="AI340" s="11">
        <f>(AC340-0.41)*AA340/H340/I340</f>
        <v>0.29643749999999996</v>
      </c>
      <c r="AJ340" s="11">
        <f t="shared" si="81"/>
        <v>0.68849999999999989</v>
      </c>
    </row>
    <row r="341" spans="1:36" x14ac:dyDescent="0.25">
      <c r="A341" s="4" t="s">
        <v>944</v>
      </c>
      <c r="B341" s="4" t="s">
        <v>949</v>
      </c>
      <c r="C341" s="4" t="s">
        <v>15</v>
      </c>
      <c r="D341" s="4" t="s">
        <v>939</v>
      </c>
      <c r="E341" t="s">
        <v>511</v>
      </c>
      <c r="F341" t="s">
        <v>360</v>
      </c>
      <c r="G341" t="s">
        <v>512</v>
      </c>
      <c r="H341">
        <v>16</v>
      </c>
      <c r="I341">
        <v>2</v>
      </c>
      <c r="J341" t="s">
        <v>56</v>
      </c>
      <c r="K341" t="s">
        <v>15</v>
      </c>
      <c r="L341" t="s">
        <v>516</v>
      </c>
      <c r="M341" t="s">
        <v>15</v>
      </c>
      <c r="N341" t="s">
        <v>15</v>
      </c>
      <c r="P341">
        <v>3.1399999999999997E-2</v>
      </c>
      <c r="Q341" t="s">
        <v>180</v>
      </c>
      <c r="R341" t="s">
        <v>187</v>
      </c>
      <c r="T341">
        <v>1</v>
      </c>
      <c r="W341">
        <v>510</v>
      </c>
      <c r="X341" t="s">
        <v>184</v>
      </c>
      <c r="AA341" s="13">
        <f>Tableau8[[#This Row],[density (kg/m2) or specific weight (kg/m2)]]*Tableau8[[#This Row],[nb of item used ]]*Tableau8[[#This Row],[volume or area]]</f>
        <v>16.013999999999999</v>
      </c>
      <c r="AB341">
        <f>10-4.4</f>
        <v>5.6</v>
      </c>
      <c r="AC341">
        <f>0.31+0.41</f>
        <v>0.72</v>
      </c>
      <c r="AD341" s="11">
        <f t="shared" si="71"/>
        <v>5.6048999999999998</v>
      </c>
      <c r="AE341" s="11">
        <f>_xlfn.RANK.AVG(Tableau8[[#This Row],[EE ( MJ/m²)]],AD341:AD1496)</f>
        <v>465</v>
      </c>
      <c r="AF341" s="11">
        <f t="shared" si="80"/>
        <v>2.8024499999999999</v>
      </c>
      <c r="AG341" s="11">
        <f>(AC341-0.41)*AA341/H341</f>
        <v>0.31027125</v>
      </c>
      <c r="AH341" s="11">
        <f t="shared" si="73"/>
        <v>0.72062999999999999</v>
      </c>
      <c r="AI341" s="11">
        <f>(AC341-0.41)*AA341/H341/I341</f>
        <v>0.155135625</v>
      </c>
      <c r="AJ341" s="11">
        <f t="shared" si="81"/>
        <v>0.360315</v>
      </c>
    </row>
    <row r="342" spans="1:36" x14ac:dyDescent="0.25">
      <c r="A342" s="4" t="s">
        <v>944</v>
      </c>
      <c r="B342" s="4" t="s">
        <v>949</v>
      </c>
      <c r="C342" s="4" t="s">
        <v>15</v>
      </c>
      <c r="D342" s="4" t="s">
        <v>939</v>
      </c>
      <c r="E342" t="s">
        <v>511</v>
      </c>
      <c r="F342" t="s">
        <v>360</v>
      </c>
      <c r="G342" t="s">
        <v>512</v>
      </c>
      <c r="H342">
        <v>16</v>
      </c>
      <c r="I342">
        <v>2</v>
      </c>
      <c r="J342" t="s">
        <v>56</v>
      </c>
      <c r="K342" t="s">
        <v>15</v>
      </c>
      <c r="L342" t="s">
        <v>514</v>
      </c>
      <c r="M342" t="s">
        <v>52</v>
      </c>
      <c r="N342" t="s">
        <v>223</v>
      </c>
      <c r="P342">
        <f>2.8*4.5*0.3</f>
        <v>3.78</v>
      </c>
      <c r="Q342" t="s">
        <v>180</v>
      </c>
      <c r="R342" t="s">
        <v>187</v>
      </c>
      <c r="T342">
        <v>1</v>
      </c>
      <c r="W342" s="1">
        <v>15</v>
      </c>
      <c r="X342" t="s">
        <v>184</v>
      </c>
      <c r="AA342" s="13">
        <f>Tableau8[[#This Row],[nb of item used ]]*Tableau8[[#This Row],[density (kg/m2) or specific weight (kg/m2)]]*Tableau8[[#This Row],[volume or area]]</f>
        <v>56.699999999999996</v>
      </c>
      <c r="AB342">
        <v>0.24</v>
      </c>
      <c r="AC342">
        <v>0.1</v>
      </c>
      <c r="AD342" s="11">
        <f t="shared" si="71"/>
        <v>0.85049999999999992</v>
      </c>
      <c r="AE342" s="11">
        <f>_xlfn.RANK.AVG(Tableau8[[#This Row],[EE ( MJ/m²)]],AD342:AD1497)</f>
        <v>652</v>
      </c>
      <c r="AF342" s="11">
        <f t="shared" si="80"/>
        <v>0.42524999999999996</v>
      </c>
      <c r="AG342" s="11">
        <f>(AC342)*AA342/H342</f>
        <v>0.354375</v>
      </c>
      <c r="AH342" s="11">
        <f t="shared" si="73"/>
        <v>0.354375</v>
      </c>
      <c r="AI342" s="11">
        <f>(AC342)*AA342/H342/I342</f>
        <v>0.1771875</v>
      </c>
      <c r="AJ342" s="11">
        <f t="shared" si="81"/>
        <v>0.1771875</v>
      </c>
    </row>
    <row r="343" spans="1:36" x14ac:dyDescent="0.25">
      <c r="A343" s="4" t="s">
        <v>944</v>
      </c>
      <c r="B343" s="4" t="s">
        <v>949</v>
      </c>
      <c r="C343" s="4" t="s">
        <v>15</v>
      </c>
      <c r="D343" s="4" t="s">
        <v>939</v>
      </c>
      <c r="E343" t="s">
        <v>511</v>
      </c>
      <c r="F343" t="s">
        <v>360</v>
      </c>
      <c r="G343" t="s">
        <v>512</v>
      </c>
      <c r="H343">
        <v>16</v>
      </c>
      <c r="I343">
        <v>2</v>
      </c>
      <c r="J343" t="s">
        <v>44</v>
      </c>
      <c r="K343" t="s">
        <v>17</v>
      </c>
      <c r="L343" t="s">
        <v>462</v>
      </c>
      <c r="M343" t="s">
        <v>12</v>
      </c>
      <c r="N343" t="s">
        <v>12</v>
      </c>
      <c r="T343">
        <v>1</v>
      </c>
      <c r="W343">
        <v>7800</v>
      </c>
      <c r="X343" t="s">
        <v>184</v>
      </c>
      <c r="AA343" s="13">
        <v>8.4</v>
      </c>
      <c r="AB343">
        <v>25.3</v>
      </c>
      <c r="AC343">
        <v>1.95</v>
      </c>
      <c r="AD343" s="11">
        <f t="shared" si="71"/>
        <v>13.282500000000001</v>
      </c>
      <c r="AE343" s="11">
        <f>_xlfn.RANK.AVG(Tableau8[[#This Row],[EE ( MJ/m²)]],AD343:AD1498)</f>
        <v>346</v>
      </c>
      <c r="AF343" s="11">
        <f t="shared" si="80"/>
        <v>6.6412500000000003</v>
      </c>
      <c r="AG343" s="11">
        <f>(AC343)*AA343/H343</f>
        <v>1.0237499999999999</v>
      </c>
      <c r="AH343" s="11">
        <f t="shared" si="73"/>
        <v>1.0237499999999999</v>
      </c>
      <c r="AI343" s="11">
        <f>(AC343)*AA343/H343/I343</f>
        <v>0.51187499999999997</v>
      </c>
      <c r="AJ343" s="11">
        <f t="shared" si="81"/>
        <v>0.51187499999999997</v>
      </c>
    </row>
    <row r="344" spans="1:36" x14ac:dyDescent="0.25">
      <c r="A344" s="4" t="s">
        <v>944</v>
      </c>
      <c r="B344" s="4" t="s">
        <v>949</v>
      </c>
      <c r="C344" s="4" t="s">
        <v>15</v>
      </c>
      <c r="D344" s="4" t="s">
        <v>939</v>
      </c>
      <c r="E344" t="s">
        <v>511</v>
      </c>
      <c r="F344" t="s">
        <v>360</v>
      </c>
      <c r="G344" t="s">
        <v>512</v>
      </c>
      <c r="H344">
        <v>16</v>
      </c>
      <c r="I344">
        <v>2</v>
      </c>
      <c r="J344" t="s">
        <v>56</v>
      </c>
      <c r="K344" t="s">
        <v>14</v>
      </c>
      <c r="L344" t="s">
        <v>0</v>
      </c>
      <c r="M344" t="s">
        <v>35</v>
      </c>
      <c r="N344" t="s">
        <v>35</v>
      </c>
      <c r="P344">
        <f>2*4.5*2.8</f>
        <v>25.2</v>
      </c>
      <c r="Q344" t="s">
        <v>179</v>
      </c>
      <c r="T344">
        <v>1</v>
      </c>
      <c r="W344">
        <v>0.18</v>
      </c>
      <c r="X344" t="s">
        <v>183</v>
      </c>
      <c r="AA344" s="13">
        <f>Tableau8[[#This Row],[nb of item used ]]*Tableau8[[#This Row],[density (kg/m2) or specific weight (kg/m2)]]*Tableau8[[#This Row],[volume or area]]</f>
        <v>4.5359999999999996</v>
      </c>
      <c r="AB344">
        <v>54.3</v>
      </c>
      <c r="AC344">
        <v>1.93</v>
      </c>
      <c r="AD344" s="11">
        <f t="shared" si="71"/>
        <v>15.394049999999998</v>
      </c>
      <c r="AE344" s="11">
        <f>_xlfn.RANK.AVG(Tableau8[[#This Row],[EE ( MJ/m²)]],AD344:AD1499)</f>
        <v>323</v>
      </c>
      <c r="AF344" s="11">
        <f>AB344*AA344/H345/I345</f>
        <v>7.6970249999999991</v>
      </c>
      <c r="AG344" s="11">
        <f>(AC344)*AA344/H344</f>
        <v>0.54715499999999995</v>
      </c>
      <c r="AH344" s="11">
        <f t="shared" si="73"/>
        <v>0.54715499999999995</v>
      </c>
      <c r="AI344" s="11">
        <f>(AC344)*AA344/H344/I344</f>
        <v>0.27357749999999997</v>
      </c>
      <c r="AJ344" s="11">
        <f>AC344*AA344/H345/I345</f>
        <v>0.27357749999999997</v>
      </c>
    </row>
    <row r="345" spans="1:36" x14ac:dyDescent="0.25">
      <c r="A345" s="4" t="s">
        <v>944</v>
      </c>
      <c r="B345" s="4" t="s">
        <v>949</v>
      </c>
      <c r="C345" s="4" t="s">
        <v>15</v>
      </c>
      <c r="D345" s="4" t="s">
        <v>939</v>
      </c>
      <c r="E345" t="s">
        <v>511</v>
      </c>
      <c r="F345" t="s">
        <v>360</v>
      </c>
      <c r="G345" t="s">
        <v>512</v>
      </c>
      <c r="H345">
        <v>16</v>
      </c>
      <c r="I345">
        <v>2</v>
      </c>
      <c r="J345" t="s">
        <v>40</v>
      </c>
      <c r="K345" t="s">
        <v>17</v>
      </c>
      <c r="L345" t="s">
        <v>513</v>
      </c>
      <c r="M345" t="s">
        <v>468</v>
      </c>
      <c r="N345" t="s">
        <v>469</v>
      </c>
      <c r="P345">
        <v>2.8E-3</v>
      </c>
      <c r="Q345" t="s">
        <v>180</v>
      </c>
      <c r="R345" t="s">
        <v>187</v>
      </c>
      <c r="T345">
        <v>1</v>
      </c>
      <c r="W345">
        <v>2700</v>
      </c>
      <c r="X345" t="s">
        <v>184</v>
      </c>
      <c r="AA345" s="13">
        <f>Tableau8[[#This Row],[density (kg/m2) or specific weight (kg/m2)]]*Tableau8[[#This Row],[nb of item used ]]*Tableau8[[#This Row],[volume or area]]</f>
        <v>7.56</v>
      </c>
      <c r="AB345">
        <v>155</v>
      </c>
      <c r="AC345">
        <v>9.16</v>
      </c>
      <c r="AD345" s="11">
        <f t="shared" si="71"/>
        <v>73.237499999999997</v>
      </c>
      <c r="AE345" s="11">
        <f>_xlfn.RANK.AVG(Tableau8[[#This Row],[EE ( MJ/m²)]],AD345:AD1500)</f>
        <v>126</v>
      </c>
      <c r="AF345" s="11">
        <f t="shared" ref="AF345:AF368" si="82">AB345*AA345/H345/I345</f>
        <v>36.618749999999999</v>
      </c>
      <c r="AG345" s="11">
        <f>(AC345)*AA345/H345</f>
        <v>4.3281000000000001</v>
      </c>
      <c r="AH345" s="11">
        <f t="shared" si="73"/>
        <v>4.3281000000000001</v>
      </c>
      <c r="AI345" s="11">
        <f>(AC345)*AA345/H345/I345</f>
        <v>2.16405</v>
      </c>
      <c r="AJ345" s="11">
        <f t="shared" ref="AJ345:AJ368" si="83">AC345*AA345/H345/I345</f>
        <v>2.16405</v>
      </c>
    </row>
    <row r="346" spans="1:36" x14ac:dyDescent="0.25">
      <c r="A346" s="4" t="s">
        <v>945</v>
      </c>
      <c r="B346" s="4" t="s">
        <v>978</v>
      </c>
      <c r="C346" s="4" t="s">
        <v>998</v>
      </c>
      <c r="D346" s="4" t="s">
        <v>938</v>
      </c>
      <c r="E346" t="s">
        <v>404</v>
      </c>
      <c r="F346" t="s">
        <v>360</v>
      </c>
      <c r="G346" t="s">
        <v>405</v>
      </c>
      <c r="H346">
        <v>40</v>
      </c>
      <c r="I346">
        <v>10</v>
      </c>
      <c r="J346" t="s">
        <v>40</v>
      </c>
      <c r="K346" t="s">
        <v>15</v>
      </c>
      <c r="L346" t="s">
        <v>384</v>
      </c>
      <c r="M346" t="s">
        <v>15</v>
      </c>
      <c r="N346" t="s">
        <v>15</v>
      </c>
      <c r="P346">
        <f>(0.03*0.03*1*3)+(0.03*0.03*2*2)+(2*1*0.01)</f>
        <v>2.63E-2</v>
      </c>
      <c r="Q346" t="s">
        <v>180</v>
      </c>
      <c r="R346" t="s">
        <v>187</v>
      </c>
      <c r="T346">
        <v>2</v>
      </c>
      <c r="W346">
        <v>510</v>
      </c>
      <c r="X346" t="s">
        <v>184</v>
      </c>
      <c r="Y346" t="s">
        <v>185</v>
      </c>
      <c r="AA346" s="13">
        <f>W346*T346*P346</f>
        <v>26.826000000000001</v>
      </c>
      <c r="AB346">
        <f>10-4.4</f>
        <v>5.6</v>
      </c>
      <c r="AC346">
        <f>0.31+0.41</f>
        <v>0.72</v>
      </c>
      <c r="AD346" s="11">
        <f t="shared" si="71"/>
        <v>3.7556399999999996</v>
      </c>
      <c r="AE346" s="11">
        <f>_xlfn.RANK.AVG(Tableau8[[#This Row],[EE ( MJ/m²)]],AD346:AD1501)</f>
        <v>502</v>
      </c>
      <c r="AF346" s="11">
        <f t="shared" si="82"/>
        <v>0.37556399999999995</v>
      </c>
      <c r="AG346" s="11">
        <f>(AC346-0.41)*AA346/H346</f>
        <v>0.20790150000000002</v>
      </c>
      <c r="AH346" s="11">
        <f t="shared" si="73"/>
        <v>0.48286800000000002</v>
      </c>
      <c r="AI346" s="11">
        <f>(AC346-0.41)*AA346/H346/I346</f>
        <v>2.079015E-2</v>
      </c>
      <c r="AJ346" s="11">
        <f t="shared" si="83"/>
        <v>4.8286800000000005E-2</v>
      </c>
    </row>
    <row r="347" spans="1:36" x14ac:dyDescent="0.25">
      <c r="A347" s="4" t="s">
        <v>945</v>
      </c>
      <c r="B347" s="4" t="s">
        <v>978</v>
      </c>
      <c r="C347" s="4" t="s">
        <v>998</v>
      </c>
      <c r="D347" s="4" t="s">
        <v>938</v>
      </c>
      <c r="E347" t="s">
        <v>404</v>
      </c>
      <c r="F347" t="s">
        <v>360</v>
      </c>
      <c r="G347" t="s">
        <v>405</v>
      </c>
      <c r="H347">
        <v>40</v>
      </c>
      <c r="I347">
        <v>10</v>
      </c>
      <c r="J347" t="s">
        <v>56</v>
      </c>
      <c r="K347" t="s">
        <v>17</v>
      </c>
      <c r="L347" t="s">
        <v>424</v>
      </c>
      <c r="M347" t="s">
        <v>12</v>
      </c>
      <c r="N347" t="s">
        <v>12</v>
      </c>
      <c r="P347">
        <v>55.9</v>
      </c>
      <c r="Q347" t="s">
        <v>238</v>
      </c>
      <c r="R347" t="s">
        <v>187</v>
      </c>
      <c r="S347" t="s">
        <v>425</v>
      </c>
      <c r="T347">
        <v>1</v>
      </c>
      <c r="W347">
        <v>10.42</v>
      </c>
      <c r="X347" t="s">
        <v>246</v>
      </c>
      <c r="Y347" t="s">
        <v>187</v>
      </c>
      <c r="Z347" t="s">
        <v>426</v>
      </c>
      <c r="AA347" s="13">
        <f>Tableau8[[#This Row],[density (kg/m2) or specific weight (kg/m2)]]*Tableau8[[#This Row],[nb of item used ]]*Tableau8[[#This Row],[volume or area]]</f>
        <v>582.47799999999995</v>
      </c>
      <c r="AB347">
        <v>25.3</v>
      </c>
      <c r="AC347">
        <v>1.95</v>
      </c>
      <c r="AD347" s="11">
        <f t="shared" si="71"/>
        <v>368.41733499999998</v>
      </c>
      <c r="AE347" s="11">
        <f>_xlfn.RANK.AVG(Tableau8[[#This Row],[EE ( MJ/m²)]],AD347:AD1502)</f>
        <v>26</v>
      </c>
      <c r="AF347" s="11">
        <f t="shared" si="82"/>
        <v>36.841733499999997</v>
      </c>
      <c r="AG347" s="11">
        <f t="shared" ref="AG347:AG388" si="84">(AC347)*AA347/H347</f>
        <v>28.395802499999995</v>
      </c>
      <c r="AH347" s="11">
        <f t="shared" si="73"/>
        <v>28.395802499999995</v>
      </c>
      <c r="AI347" s="11">
        <f t="shared" ref="AI347:AI388" si="85">(AC347)*AA347/H347/I347</f>
        <v>2.8395802499999996</v>
      </c>
      <c r="AJ347" s="11">
        <f t="shared" si="83"/>
        <v>2.8395802499999996</v>
      </c>
    </row>
    <row r="348" spans="1:36" x14ac:dyDescent="0.25">
      <c r="A348" s="4" t="s">
        <v>945</v>
      </c>
      <c r="B348" s="4" t="s">
        <v>978</v>
      </c>
      <c r="C348" s="4" t="s">
        <v>998</v>
      </c>
      <c r="D348" s="4" t="s">
        <v>938</v>
      </c>
      <c r="E348" t="s">
        <v>404</v>
      </c>
      <c r="F348" t="s">
        <v>360</v>
      </c>
      <c r="G348" t="s">
        <v>405</v>
      </c>
      <c r="H348">
        <v>40</v>
      </c>
      <c r="I348">
        <v>10</v>
      </c>
      <c r="J348" t="s">
        <v>44</v>
      </c>
      <c r="K348" t="s">
        <v>17</v>
      </c>
      <c r="L348" t="s">
        <v>270</v>
      </c>
      <c r="M348" t="s">
        <v>12</v>
      </c>
      <c r="N348" t="s">
        <v>12</v>
      </c>
      <c r="P348">
        <f>0.03*0.02*0.002*0.95</f>
        <v>1.1399999999999999E-6</v>
      </c>
      <c r="Q348" t="s">
        <v>180</v>
      </c>
      <c r="R348" t="s">
        <v>175</v>
      </c>
      <c r="T348">
        <v>8</v>
      </c>
      <c r="W348" s="1">
        <v>7800</v>
      </c>
      <c r="X348" t="s">
        <v>184</v>
      </c>
      <c r="Y348" t="s">
        <v>185</v>
      </c>
      <c r="AA348" s="13">
        <f>Tableau8[[#This Row],[density (kg/m2) or specific weight (kg/m2)]]*Tableau8[[#This Row],[nb of item used ]]*Tableau8[[#This Row],[volume or area]]</f>
        <v>7.1135999999999991E-2</v>
      </c>
      <c r="AB348">
        <v>25.3</v>
      </c>
      <c r="AC348">
        <v>1.95</v>
      </c>
      <c r="AD348" s="11">
        <f t="shared" si="71"/>
        <v>4.4993519999999995E-2</v>
      </c>
      <c r="AE348" s="11">
        <f>_xlfn.RANK.AVG(Tableau8[[#This Row],[EE ( MJ/m²)]],AD348:AD1503)</f>
        <v>752</v>
      </c>
      <c r="AF348" s="11">
        <f t="shared" si="82"/>
        <v>4.4993519999999999E-3</v>
      </c>
      <c r="AG348" s="11">
        <f t="shared" si="84"/>
        <v>3.4678799999999996E-3</v>
      </c>
      <c r="AH348" s="11">
        <f t="shared" si="73"/>
        <v>3.4678799999999996E-3</v>
      </c>
      <c r="AI348" s="11">
        <f t="shared" si="85"/>
        <v>3.4678799999999995E-4</v>
      </c>
      <c r="AJ348" s="11">
        <f t="shared" si="83"/>
        <v>3.4678799999999995E-4</v>
      </c>
    </row>
    <row r="349" spans="1:36" x14ac:dyDescent="0.25">
      <c r="A349" s="4" t="s">
        <v>945</v>
      </c>
      <c r="B349" s="4" t="s">
        <v>978</v>
      </c>
      <c r="C349" s="4" t="s">
        <v>998</v>
      </c>
      <c r="D349" s="4" t="s">
        <v>938</v>
      </c>
      <c r="E349" t="s">
        <v>404</v>
      </c>
      <c r="F349" t="s">
        <v>360</v>
      </c>
      <c r="G349" t="s">
        <v>405</v>
      </c>
      <c r="H349">
        <v>40</v>
      </c>
      <c r="I349">
        <v>10</v>
      </c>
      <c r="J349" t="s">
        <v>44</v>
      </c>
      <c r="K349" t="s">
        <v>17</v>
      </c>
      <c r="L349" t="s">
        <v>306</v>
      </c>
      <c r="M349" t="s">
        <v>12</v>
      </c>
      <c r="N349" t="s">
        <v>12</v>
      </c>
      <c r="P349">
        <f>0.03*0.02*0.002*0.05</f>
        <v>5.9999999999999995E-8</v>
      </c>
      <c r="Q349" t="s">
        <v>180</v>
      </c>
      <c r="R349" t="s">
        <v>175</v>
      </c>
      <c r="T349">
        <v>4</v>
      </c>
      <c r="W349" s="1">
        <v>7800</v>
      </c>
      <c r="X349" t="s">
        <v>184</v>
      </c>
      <c r="Y349" t="s">
        <v>185</v>
      </c>
      <c r="AA349" s="13">
        <f>Tableau8[[#This Row],[density (kg/m2) or specific weight (kg/m2)]]*Tableau8[[#This Row],[nb of item used ]]*Tableau8[[#This Row],[volume or area]]</f>
        <v>1.8719999999999997E-3</v>
      </c>
      <c r="AB349">
        <v>25.3</v>
      </c>
      <c r="AC349">
        <v>1.95</v>
      </c>
      <c r="AD349" s="11">
        <f t="shared" si="71"/>
        <v>1.1840399999999999E-3</v>
      </c>
      <c r="AE349" s="11">
        <f>_xlfn.RANK.AVG(Tableau8[[#This Row],[EE ( MJ/m²)]],AD349:AD1504)</f>
        <v>805</v>
      </c>
      <c r="AF349" s="11">
        <f t="shared" si="82"/>
        <v>1.1840399999999999E-4</v>
      </c>
      <c r="AG349" s="11">
        <f t="shared" si="84"/>
        <v>9.125999999999999E-5</v>
      </c>
      <c r="AH349" s="11">
        <f t="shared" si="73"/>
        <v>9.125999999999999E-5</v>
      </c>
      <c r="AI349" s="11">
        <f t="shared" si="85"/>
        <v>9.1259999999999987E-6</v>
      </c>
      <c r="AJ349" s="11">
        <f t="shared" si="83"/>
        <v>9.1259999999999987E-6</v>
      </c>
    </row>
    <row r="350" spans="1:36" x14ac:dyDescent="0.25">
      <c r="A350" s="4" t="s">
        <v>945</v>
      </c>
      <c r="B350" s="4" t="s">
        <v>978</v>
      </c>
      <c r="C350" s="4" t="s">
        <v>998</v>
      </c>
      <c r="D350" s="4" t="s">
        <v>938</v>
      </c>
      <c r="E350" t="s">
        <v>404</v>
      </c>
      <c r="F350" t="s">
        <v>360</v>
      </c>
      <c r="G350" t="s">
        <v>405</v>
      </c>
      <c r="H350">
        <v>40</v>
      </c>
      <c r="I350">
        <v>10</v>
      </c>
      <c r="J350" t="s">
        <v>40</v>
      </c>
      <c r="K350" t="s">
        <v>17</v>
      </c>
      <c r="L350" t="s">
        <v>271</v>
      </c>
      <c r="M350" t="s">
        <v>12</v>
      </c>
      <c r="N350" t="s">
        <v>91</v>
      </c>
      <c r="P350">
        <f>(0.03*0.03*2)-(0.0276*0.0276*2)</f>
        <v>2.7647999999999995E-4</v>
      </c>
      <c r="Q350" t="s">
        <v>180</v>
      </c>
      <c r="R350" t="s">
        <v>175</v>
      </c>
      <c r="T350">
        <v>4</v>
      </c>
      <c r="W350">
        <v>7800</v>
      </c>
      <c r="X350" t="s">
        <v>184</v>
      </c>
      <c r="Y350" t="s">
        <v>185</v>
      </c>
      <c r="AA350" s="13">
        <f>Tableau8[[#This Row],[density (kg/m2) or specific weight (kg/m2)]]*Tableau8[[#This Row],[nb of item used ]]*Tableau8[[#This Row],[volume or area]]</f>
        <v>8.6261759999999992</v>
      </c>
      <c r="AB350">
        <v>24.9</v>
      </c>
      <c r="AC350">
        <v>1.94</v>
      </c>
      <c r="AD350" s="11">
        <f t="shared" si="71"/>
        <v>5.369794559999999</v>
      </c>
      <c r="AE350" s="11">
        <f>_xlfn.RANK.AVG(Tableau8[[#This Row],[EE ( MJ/m²)]],AD350:AD1505)</f>
        <v>468</v>
      </c>
      <c r="AF350" s="11">
        <f t="shared" si="82"/>
        <v>0.53697945599999986</v>
      </c>
      <c r="AG350" s="11">
        <f t="shared" si="84"/>
        <v>0.41836953599999999</v>
      </c>
      <c r="AH350" s="11">
        <f t="shared" si="73"/>
        <v>0.41836953599999999</v>
      </c>
      <c r="AI350" s="11">
        <f t="shared" si="85"/>
        <v>4.1836953599999997E-2</v>
      </c>
      <c r="AJ350" s="11">
        <f t="shared" si="83"/>
        <v>4.1836953599999997E-2</v>
      </c>
    </row>
    <row r="351" spans="1:36" x14ac:dyDescent="0.25">
      <c r="A351" s="4" t="s">
        <v>945</v>
      </c>
      <c r="B351" s="4" t="s">
        <v>978</v>
      </c>
      <c r="C351" s="4" t="s">
        <v>998</v>
      </c>
      <c r="D351" s="4" t="s">
        <v>938</v>
      </c>
      <c r="E351" t="s">
        <v>404</v>
      </c>
      <c r="F351" t="s">
        <v>360</v>
      </c>
      <c r="G351" t="s">
        <v>405</v>
      </c>
      <c r="H351">
        <v>40</v>
      </c>
      <c r="I351">
        <v>10</v>
      </c>
      <c r="J351" t="s">
        <v>40</v>
      </c>
      <c r="K351" t="s">
        <v>17</v>
      </c>
      <c r="L351" t="s">
        <v>272</v>
      </c>
      <c r="M351" t="s">
        <v>12</v>
      </c>
      <c r="N351" t="s">
        <v>91</v>
      </c>
      <c r="P351">
        <f>(0.03*0.03*1.2)-(0.0276*0.0276*1.2)</f>
        <v>1.658880000000001E-4</v>
      </c>
      <c r="Q351" t="s">
        <v>180</v>
      </c>
      <c r="R351" t="s">
        <v>175</v>
      </c>
      <c r="T351">
        <v>6</v>
      </c>
      <c r="W351">
        <v>7800</v>
      </c>
      <c r="X351" t="s">
        <v>184</v>
      </c>
      <c r="Y351" t="s">
        <v>185</v>
      </c>
      <c r="AA351" s="13">
        <f>Tableau8[[#This Row],[density (kg/m2) or specific weight (kg/m2)]]*Tableau8[[#This Row],[nb of item used ]]*Tableau8[[#This Row],[volume or area]]</f>
        <v>7.7635584000000044</v>
      </c>
      <c r="AB351">
        <v>24.9</v>
      </c>
      <c r="AC351">
        <v>1.94</v>
      </c>
      <c r="AD351" s="11">
        <f t="shared" si="71"/>
        <v>4.8328151040000025</v>
      </c>
      <c r="AE351" s="11">
        <f>_xlfn.RANK.AVG(Tableau8[[#This Row],[EE ( MJ/m²)]],AD351:AD1506)</f>
        <v>478</v>
      </c>
      <c r="AF351" s="11">
        <f t="shared" si="82"/>
        <v>0.48328151040000022</v>
      </c>
      <c r="AG351" s="11">
        <f t="shared" si="84"/>
        <v>0.3765325824000002</v>
      </c>
      <c r="AH351" s="11">
        <f t="shared" si="73"/>
        <v>0.3765325824000002</v>
      </c>
      <c r="AI351" s="11">
        <f t="shared" si="85"/>
        <v>3.7653258240000022E-2</v>
      </c>
      <c r="AJ351" s="11">
        <f t="shared" si="83"/>
        <v>3.7653258240000022E-2</v>
      </c>
    </row>
    <row r="352" spans="1:36" x14ac:dyDescent="0.25">
      <c r="A352" s="4" t="s">
        <v>945</v>
      </c>
      <c r="B352" s="4" t="s">
        <v>978</v>
      </c>
      <c r="C352" s="4" t="s">
        <v>998</v>
      </c>
      <c r="D352" s="4" t="s">
        <v>938</v>
      </c>
      <c r="E352" t="s">
        <v>404</v>
      </c>
      <c r="F352" t="s">
        <v>360</v>
      </c>
      <c r="G352" t="s">
        <v>405</v>
      </c>
      <c r="H352">
        <v>40</v>
      </c>
      <c r="I352">
        <v>10</v>
      </c>
      <c r="J352" t="s">
        <v>40</v>
      </c>
      <c r="K352" t="s">
        <v>17</v>
      </c>
      <c r="L352" t="s">
        <v>273</v>
      </c>
      <c r="M352" t="s">
        <v>12</v>
      </c>
      <c r="N352" t="s">
        <v>91</v>
      </c>
      <c r="P352">
        <f>((0.03*0.03)-(0.0276*0.0276))*(SQRT((2^2)+(1.2^2)))</f>
        <v>3.2242831597736567E-4</v>
      </c>
      <c r="Q352" t="s">
        <v>180</v>
      </c>
      <c r="R352" t="s">
        <v>175</v>
      </c>
      <c r="T352">
        <v>2</v>
      </c>
      <c r="W352">
        <v>7800</v>
      </c>
      <c r="X352" t="s">
        <v>184</v>
      </c>
      <c r="Y352" t="s">
        <v>185</v>
      </c>
      <c r="AA352" s="13">
        <f>Tableau8[[#This Row],[density (kg/m2) or specific weight (kg/m2)]]*Tableau8[[#This Row],[nb of item used ]]*Tableau8[[#This Row],[volume or area]]</f>
        <v>5.0298817292469042</v>
      </c>
      <c r="AB352">
        <v>24.9</v>
      </c>
      <c r="AC352">
        <v>1.94</v>
      </c>
      <c r="AD352" s="11">
        <f t="shared" si="71"/>
        <v>3.1311013764561979</v>
      </c>
      <c r="AE352" s="11">
        <f>_xlfn.RANK.AVG(Tableau8[[#This Row],[EE ( MJ/m²)]],AD352:AD1507)</f>
        <v>518</v>
      </c>
      <c r="AF352" s="11">
        <f t="shared" si="82"/>
        <v>0.31311013764561979</v>
      </c>
      <c r="AG352" s="11">
        <f t="shared" si="84"/>
        <v>0.24394926386847487</v>
      </c>
      <c r="AH352" s="11">
        <f t="shared" si="73"/>
        <v>0.24394926386847487</v>
      </c>
      <c r="AI352" s="11">
        <f t="shared" si="85"/>
        <v>2.4394926386847489E-2</v>
      </c>
      <c r="AJ352" s="11">
        <f t="shared" si="83"/>
        <v>2.4394926386847489E-2</v>
      </c>
    </row>
    <row r="353" spans="1:36" x14ac:dyDescent="0.25">
      <c r="A353" s="4" t="s">
        <v>945</v>
      </c>
      <c r="B353" s="4" t="s">
        <v>978</v>
      </c>
      <c r="C353" s="4" t="s">
        <v>998</v>
      </c>
      <c r="D353" s="4" t="s">
        <v>938</v>
      </c>
      <c r="E353" t="s">
        <v>404</v>
      </c>
      <c r="F353" t="s">
        <v>360</v>
      </c>
      <c r="G353" t="s">
        <v>405</v>
      </c>
      <c r="H353">
        <v>40</v>
      </c>
      <c r="I353">
        <v>10</v>
      </c>
      <c r="J353" t="s">
        <v>44</v>
      </c>
      <c r="K353" t="s">
        <v>17</v>
      </c>
      <c r="L353" t="s">
        <v>276</v>
      </c>
      <c r="M353" t="s">
        <v>12</v>
      </c>
      <c r="N353" t="s">
        <v>12</v>
      </c>
      <c r="P353">
        <f>0.08*0.16*0.002</f>
        <v>2.5600000000000002E-5</v>
      </c>
      <c r="Q353" t="s">
        <v>180</v>
      </c>
      <c r="R353" t="s">
        <v>175</v>
      </c>
      <c r="T353">
        <v>4</v>
      </c>
      <c r="W353">
        <v>7800</v>
      </c>
      <c r="X353" t="s">
        <v>184</v>
      </c>
      <c r="Y353" t="s">
        <v>185</v>
      </c>
      <c r="AA353" s="13">
        <f>Tableau8[[#This Row],[density (kg/m2) or specific weight (kg/m2)]]*Tableau8[[#This Row],[nb of item used ]]*Tableau8[[#This Row],[volume or area]]</f>
        <v>0.7987200000000001</v>
      </c>
      <c r="AB353">
        <v>25.3</v>
      </c>
      <c r="AC353">
        <v>1.95</v>
      </c>
      <c r="AD353" s="11">
        <f t="shared" si="71"/>
        <v>0.50519040000000004</v>
      </c>
      <c r="AE353" s="11">
        <f>_xlfn.RANK.AVG(Tableau8[[#This Row],[EE ( MJ/m²)]],AD353:AD1508)</f>
        <v>677</v>
      </c>
      <c r="AF353" s="11">
        <f t="shared" si="82"/>
        <v>5.0519040000000001E-2</v>
      </c>
      <c r="AG353" s="11">
        <f t="shared" si="84"/>
        <v>3.8937600000000003E-2</v>
      </c>
      <c r="AH353" s="11">
        <f t="shared" si="73"/>
        <v>3.8937600000000003E-2</v>
      </c>
      <c r="AI353" s="11">
        <f t="shared" si="85"/>
        <v>3.8937600000000004E-3</v>
      </c>
      <c r="AJ353" s="11">
        <f t="shared" si="83"/>
        <v>3.8937600000000004E-3</v>
      </c>
    </row>
    <row r="354" spans="1:36" x14ac:dyDescent="0.25">
      <c r="A354" s="4" t="s">
        <v>945</v>
      </c>
      <c r="B354" s="4" t="s">
        <v>978</v>
      </c>
      <c r="C354" s="4" t="s">
        <v>998</v>
      </c>
      <c r="D354" s="4" t="s">
        <v>938</v>
      </c>
      <c r="E354" t="s">
        <v>404</v>
      </c>
      <c r="F354" t="s">
        <v>360</v>
      </c>
      <c r="G354" t="s">
        <v>405</v>
      </c>
      <c r="H354">
        <v>40</v>
      </c>
      <c r="I354">
        <v>10</v>
      </c>
      <c r="J354" t="s">
        <v>44</v>
      </c>
      <c r="K354" t="s">
        <v>17</v>
      </c>
      <c r="L354" t="s">
        <v>277</v>
      </c>
      <c r="M354" t="s">
        <v>12</v>
      </c>
      <c r="N354" t="s">
        <v>12</v>
      </c>
      <c r="P354">
        <f>0.04*0.04*0.02</f>
        <v>3.2000000000000005E-5</v>
      </c>
      <c r="Q354" t="s">
        <v>180</v>
      </c>
      <c r="R354" t="s">
        <v>175</v>
      </c>
      <c r="T354">
        <v>2</v>
      </c>
      <c r="W354">
        <v>7800</v>
      </c>
      <c r="X354" t="s">
        <v>184</v>
      </c>
      <c r="Y354" t="s">
        <v>185</v>
      </c>
      <c r="AA354" s="13">
        <f>Tableau8[[#This Row],[density (kg/m2) or specific weight (kg/m2)]]*Tableau8[[#This Row],[nb of item used ]]*Tableau8[[#This Row],[volume or area]]</f>
        <v>0.49920000000000009</v>
      </c>
      <c r="AB354">
        <v>25.3</v>
      </c>
      <c r="AC354">
        <v>1.95</v>
      </c>
      <c r="AD354" s="11">
        <f t="shared" si="71"/>
        <v>0.31574400000000008</v>
      </c>
      <c r="AE354" s="11">
        <f>_xlfn.RANK.AVG(Tableau8[[#This Row],[EE ( MJ/m²)]],AD354:AD1509)</f>
        <v>711</v>
      </c>
      <c r="AF354" s="11">
        <f t="shared" si="82"/>
        <v>3.1574400000000009E-2</v>
      </c>
      <c r="AG354" s="11">
        <f t="shared" si="84"/>
        <v>2.4336000000000003E-2</v>
      </c>
      <c r="AH354" s="11">
        <f t="shared" si="73"/>
        <v>2.4336000000000003E-2</v>
      </c>
      <c r="AI354" s="11">
        <f t="shared" si="85"/>
        <v>2.4336000000000002E-3</v>
      </c>
      <c r="AJ354" s="11">
        <f t="shared" si="83"/>
        <v>2.4336000000000002E-3</v>
      </c>
    </row>
    <row r="355" spans="1:36" x14ac:dyDescent="0.25">
      <c r="A355" s="4" t="s">
        <v>945</v>
      </c>
      <c r="B355" s="4" t="s">
        <v>978</v>
      </c>
      <c r="C355" s="4" t="s">
        <v>998</v>
      </c>
      <c r="D355" s="4" t="s">
        <v>938</v>
      </c>
      <c r="E355" t="s">
        <v>404</v>
      </c>
      <c r="F355" t="s">
        <v>360</v>
      </c>
      <c r="G355" t="s">
        <v>405</v>
      </c>
      <c r="H355">
        <v>40</v>
      </c>
      <c r="I355">
        <v>10</v>
      </c>
      <c r="J355" t="s">
        <v>44</v>
      </c>
      <c r="K355" t="s">
        <v>17</v>
      </c>
      <c r="L355" t="s">
        <v>278</v>
      </c>
      <c r="M355" t="s">
        <v>12</v>
      </c>
      <c r="N355" t="s">
        <v>12</v>
      </c>
      <c r="R355" t="s">
        <v>187</v>
      </c>
      <c r="T355">
        <v>2</v>
      </c>
      <c r="W355">
        <v>7800</v>
      </c>
      <c r="X355" t="s">
        <v>184</v>
      </c>
      <c r="Y355" t="s">
        <v>185</v>
      </c>
      <c r="Z355" t="s">
        <v>427</v>
      </c>
      <c r="AA355" s="13">
        <v>1.0760000000000001</v>
      </c>
      <c r="AB355">
        <v>25.3</v>
      </c>
      <c r="AC355">
        <v>1.95</v>
      </c>
      <c r="AD355" s="11">
        <f t="shared" si="71"/>
        <v>0.68057000000000012</v>
      </c>
      <c r="AE355" s="11">
        <f>_xlfn.RANK.AVG(Tableau8[[#This Row],[EE ( MJ/m²)]],AD355:AD1510)</f>
        <v>662.5</v>
      </c>
      <c r="AF355" s="11">
        <f t="shared" si="82"/>
        <v>6.8057000000000006E-2</v>
      </c>
      <c r="AG355" s="11">
        <f t="shared" si="84"/>
        <v>5.2455000000000009E-2</v>
      </c>
      <c r="AH355" s="11">
        <f t="shared" si="73"/>
        <v>5.2455000000000009E-2</v>
      </c>
      <c r="AI355" s="11">
        <f t="shared" si="85"/>
        <v>5.245500000000001E-3</v>
      </c>
      <c r="AJ355" s="11">
        <f t="shared" si="83"/>
        <v>5.245500000000001E-3</v>
      </c>
    </row>
    <row r="356" spans="1:36" x14ac:dyDescent="0.25">
      <c r="A356" s="4" t="s">
        <v>945</v>
      </c>
      <c r="B356" s="4" t="s">
        <v>978</v>
      </c>
      <c r="C356" s="4" t="s">
        <v>998</v>
      </c>
      <c r="D356" s="4" t="s">
        <v>938</v>
      </c>
      <c r="E356" t="s">
        <v>404</v>
      </c>
      <c r="F356" t="s">
        <v>360</v>
      </c>
      <c r="G356" t="s">
        <v>405</v>
      </c>
      <c r="H356">
        <v>40</v>
      </c>
      <c r="I356">
        <v>10</v>
      </c>
      <c r="J356" t="s">
        <v>44</v>
      </c>
      <c r="K356" t="s">
        <v>17</v>
      </c>
      <c r="L356" t="s">
        <v>279</v>
      </c>
      <c r="M356" t="s">
        <v>12</v>
      </c>
      <c r="N356" t="s">
        <v>12</v>
      </c>
      <c r="P356">
        <f>0.1*PI()*(0.0025^2)</f>
        <v>1.9634954084936209E-6</v>
      </c>
      <c r="R356" t="s">
        <v>175</v>
      </c>
      <c r="T356">
        <v>4</v>
      </c>
      <c r="W356">
        <v>7800</v>
      </c>
      <c r="X356" t="s">
        <v>184</v>
      </c>
      <c r="Y356" t="s">
        <v>185</v>
      </c>
      <c r="AA356" s="13">
        <f>Tableau8[[#This Row],[density (kg/m2) or specific weight (kg/m2)]]*Tableau8[[#This Row],[nb of item used ]]*Tableau8[[#This Row],[volume or area]]</f>
        <v>6.1261056745000972E-2</v>
      </c>
      <c r="AB356">
        <v>25.3</v>
      </c>
      <c r="AC356">
        <v>1.95</v>
      </c>
      <c r="AD356" s="11">
        <f t="shared" si="71"/>
        <v>3.8747618391213115E-2</v>
      </c>
      <c r="AE356" s="11">
        <f>_xlfn.RANK.AVG(Tableau8[[#This Row],[EE ( MJ/m²)]],AD356:AD1511)</f>
        <v>747</v>
      </c>
      <c r="AF356" s="11">
        <f t="shared" si="82"/>
        <v>3.8747618391213115E-3</v>
      </c>
      <c r="AG356" s="11">
        <f t="shared" si="84"/>
        <v>2.9864765163187972E-3</v>
      </c>
      <c r="AH356" s="11">
        <f t="shared" si="73"/>
        <v>2.9864765163187972E-3</v>
      </c>
      <c r="AI356" s="11">
        <f t="shared" si="85"/>
        <v>2.9864765163187972E-4</v>
      </c>
      <c r="AJ356" s="11">
        <f t="shared" si="83"/>
        <v>2.9864765163187972E-4</v>
      </c>
    </row>
    <row r="357" spans="1:36" x14ac:dyDescent="0.25">
      <c r="A357" s="4" t="s">
        <v>945</v>
      </c>
      <c r="B357" s="4" t="s">
        <v>978</v>
      </c>
      <c r="C357" s="4" t="s">
        <v>998</v>
      </c>
      <c r="D357" s="4" t="s">
        <v>938</v>
      </c>
      <c r="E357" t="s">
        <v>404</v>
      </c>
      <c r="F357" t="s">
        <v>360</v>
      </c>
      <c r="G357" t="s">
        <v>405</v>
      </c>
      <c r="H357">
        <v>40</v>
      </c>
      <c r="I357">
        <v>10</v>
      </c>
      <c r="J357" t="s">
        <v>56</v>
      </c>
      <c r="K357" t="s">
        <v>17</v>
      </c>
      <c r="L357" t="s">
        <v>428</v>
      </c>
      <c r="M357" t="s">
        <v>12</v>
      </c>
      <c r="N357" t="s">
        <v>12</v>
      </c>
      <c r="P357">
        <v>48</v>
      </c>
      <c r="Q357" t="s">
        <v>179</v>
      </c>
      <c r="R357" t="s">
        <v>175</v>
      </c>
      <c r="T357">
        <v>1</v>
      </c>
      <c r="W357">
        <v>12.26</v>
      </c>
      <c r="X357" t="s">
        <v>183</v>
      </c>
      <c r="Y357" t="s">
        <v>194</v>
      </c>
      <c r="Z357" t="s">
        <v>429</v>
      </c>
      <c r="AA357" s="13">
        <f>Tableau8[[#This Row],[density (kg/m2) or specific weight (kg/m2)]]*Tableau8[[#This Row],[nb of item used ]]*Tableau8[[#This Row],[volume or area]]</f>
        <v>588.48</v>
      </c>
      <c r="AB357">
        <v>25.3</v>
      </c>
      <c r="AC357">
        <v>1.95</v>
      </c>
      <c r="AD357" s="11">
        <f t="shared" si="71"/>
        <v>372.21360000000004</v>
      </c>
      <c r="AE357" s="11">
        <f>_xlfn.RANK.AVG(Tableau8[[#This Row],[EE ( MJ/m²)]],AD357:AD1512)</f>
        <v>25</v>
      </c>
      <c r="AF357" s="11">
        <f t="shared" si="82"/>
        <v>37.221360000000004</v>
      </c>
      <c r="AG357" s="11">
        <f t="shared" si="84"/>
        <v>28.688400000000001</v>
      </c>
      <c r="AH357" s="11">
        <f t="shared" si="73"/>
        <v>28.688400000000001</v>
      </c>
      <c r="AI357" s="11">
        <f t="shared" si="85"/>
        <v>2.8688400000000001</v>
      </c>
      <c r="AJ357" s="11">
        <f t="shared" si="83"/>
        <v>2.8688400000000001</v>
      </c>
    </row>
    <row r="358" spans="1:36" x14ac:dyDescent="0.25">
      <c r="A358" s="4" t="s">
        <v>945</v>
      </c>
      <c r="B358" s="4" t="s">
        <v>978</v>
      </c>
      <c r="C358" s="4" t="s">
        <v>998</v>
      </c>
      <c r="D358" s="4" t="s">
        <v>938</v>
      </c>
      <c r="E358" t="s">
        <v>404</v>
      </c>
      <c r="F358" t="s">
        <v>360</v>
      </c>
      <c r="G358" t="s">
        <v>405</v>
      </c>
      <c r="H358">
        <v>40</v>
      </c>
      <c r="I358">
        <v>10</v>
      </c>
      <c r="J358" t="s">
        <v>40</v>
      </c>
      <c r="K358" t="s">
        <v>17</v>
      </c>
      <c r="L358" t="s">
        <v>387</v>
      </c>
      <c r="M358" t="s">
        <v>12</v>
      </c>
      <c r="N358" t="s">
        <v>12</v>
      </c>
      <c r="R358" t="s">
        <v>187</v>
      </c>
      <c r="T358">
        <v>1</v>
      </c>
      <c r="U358" t="s">
        <v>175</v>
      </c>
      <c r="W358">
        <v>7800</v>
      </c>
      <c r="X358" t="s">
        <v>184</v>
      </c>
      <c r="Y358" t="s">
        <v>185</v>
      </c>
      <c r="Z358" t="s">
        <v>326</v>
      </c>
      <c r="AA358" s="13">
        <f>1.8*2</f>
        <v>3.6</v>
      </c>
      <c r="AB358">
        <v>25.3</v>
      </c>
      <c r="AC358">
        <v>1.95</v>
      </c>
      <c r="AD358" s="11">
        <f t="shared" si="71"/>
        <v>2.2770000000000001</v>
      </c>
      <c r="AE358" s="11">
        <f>_xlfn.RANK.AVG(Tableau8[[#This Row],[EE ( MJ/m²)]],AD358:AD1513)</f>
        <v>549</v>
      </c>
      <c r="AF358" s="11">
        <f t="shared" si="82"/>
        <v>0.22770000000000001</v>
      </c>
      <c r="AG358" s="11">
        <f t="shared" si="84"/>
        <v>0.17549999999999999</v>
      </c>
      <c r="AH358" s="11">
        <f t="shared" si="73"/>
        <v>0.17549999999999999</v>
      </c>
      <c r="AI358" s="11">
        <f t="shared" si="85"/>
        <v>1.755E-2</v>
      </c>
      <c r="AJ358" s="11">
        <f t="shared" si="83"/>
        <v>1.755E-2</v>
      </c>
    </row>
    <row r="359" spans="1:36" x14ac:dyDescent="0.25">
      <c r="A359" s="4" t="s">
        <v>945</v>
      </c>
      <c r="B359" s="4" t="s">
        <v>978</v>
      </c>
      <c r="C359" s="4" t="s">
        <v>998</v>
      </c>
      <c r="D359" s="4" t="s">
        <v>938</v>
      </c>
      <c r="E359" t="s">
        <v>404</v>
      </c>
      <c r="F359" t="s">
        <v>360</v>
      </c>
      <c r="G359" t="s">
        <v>405</v>
      </c>
      <c r="H359">
        <v>40</v>
      </c>
      <c r="I359">
        <v>10</v>
      </c>
      <c r="J359" t="s">
        <v>40</v>
      </c>
      <c r="K359" t="s">
        <v>17</v>
      </c>
      <c r="L359" t="s">
        <v>388</v>
      </c>
      <c r="M359" t="s">
        <v>12</v>
      </c>
      <c r="N359" t="s">
        <v>12</v>
      </c>
      <c r="R359" t="s">
        <v>187</v>
      </c>
      <c r="T359">
        <v>1</v>
      </c>
      <c r="U359" t="s">
        <v>175</v>
      </c>
      <c r="W359" s="16">
        <v>7800</v>
      </c>
      <c r="X359" t="s">
        <v>184</v>
      </c>
      <c r="Y359" t="s">
        <v>185</v>
      </c>
      <c r="Z359" t="s">
        <v>281</v>
      </c>
      <c r="AA359" s="13">
        <f>2*0.538</f>
        <v>1.0760000000000001</v>
      </c>
      <c r="AB359">
        <v>25.3</v>
      </c>
      <c r="AC359">
        <v>1.95</v>
      </c>
      <c r="AD359" s="11">
        <f t="shared" si="71"/>
        <v>0.68057000000000012</v>
      </c>
      <c r="AE359" s="11">
        <f>_xlfn.RANK.AVG(Tableau8[[#This Row],[EE ( MJ/m²)]],AD359:AD1514)</f>
        <v>660</v>
      </c>
      <c r="AF359" s="11">
        <f t="shared" si="82"/>
        <v>6.8057000000000006E-2</v>
      </c>
      <c r="AG359" s="11">
        <f t="shared" si="84"/>
        <v>5.2455000000000009E-2</v>
      </c>
      <c r="AH359" s="11">
        <f t="shared" si="73"/>
        <v>5.2455000000000009E-2</v>
      </c>
      <c r="AI359" s="11">
        <f t="shared" si="85"/>
        <v>5.245500000000001E-3</v>
      </c>
      <c r="AJ359" s="11">
        <f t="shared" si="83"/>
        <v>5.245500000000001E-3</v>
      </c>
    </row>
    <row r="360" spans="1:36" x14ac:dyDescent="0.25">
      <c r="A360" s="4" t="s">
        <v>945</v>
      </c>
      <c r="B360" s="4" t="s">
        <v>978</v>
      </c>
      <c r="C360" s="4" t="s">
        <v>998</v>
      </c>
      <c r="D360" s="4" t="s">
        <v>938</v>
      </c>
      <c r="E360" t="s">
        <v>404</v>
      </c>
      <c r="F360" t="s">
        <v>360</v>
      </c>
      <c r="G360" t="s">
        <v>405</v>
      </c>
      <c r="H360">
        <v>40</v>
      </c>
      <c r="I360">
        <v>10</v>
      </c>
      <c r="J360" t="s">
        <v>40</v>
      </c>
      <c r="K360" t="s">
        <v>17</v>
      </c>
      <c r="L360" t="s">
        <v>282</v>
      </c>
      <c r="M360" t="s">
        <v>12</v>
      </c>
      <c r="N360" t="s">
        <v>91</v>
      </c>
      <c r="P360">
        <f>(0.03*0.03*0.9)-(0.0276*0.0276*0.9)</f>
        <v>1.2441599999999991E-4</v>
      </c>
      <c r="Q360" t="s">
        <v>180</v>
      </c>
      <c r="R360" t="s">
        <v>187</v>
      </c>
      <c r="T360">
        <v>8</v>
      </c>
      <c r="W360">
        <v>7800</v>
      </c>
      <c r="X360" t="s">
        <v>184</v>
      </c>
      <c r="Y360" t="s">
        <v>185</v>
      </c>
      <c r="AA360" s="13">
        <f>Tableau8[[#This Row],[density (kg/m2) or specific weight (kg/m2)]]*Tableau8[[#This Row],[nb of item used ]]*Tableau8[[#This Row],[volume or area]]</f>
        <v>7.7635583999999946</v>
      </c>
      <c r="AB360">
        <v>24.9</v>
      </c>
      <c r="AC360">
        <v>1.94</v>
      </c>
      <c r="AD360" s="11">
        <f t="shared" si="71"/>
        <v>4.8328151039999963</v>
      </c>
      <c r="AE360" s="11">
        <f>_xlfn.RANK.AVG(Tableau8[[#This Row],[EE ( MJ/m²)]],AD360:AD1515)</f>
        <v>477</v>
      </c>
      <c r="AF360" s="11">
        <f t="shared" si="82"/>
        <v>0.48328151039999961</v>
      </c>
      <c r="AG360" s="11">
        <f t="shared" si="84"/>
        <v>0.37653258239999976</v>
      </c>
      <c r="AH360" s="11">
        <f t="shared" si="73"/>
        <v>0.37653258239999976</v>
      </c>
      <c r="AI360" s="11">
        <f t="shared" si="85"/>
        <v>3.7653258239999973E-2</v>
      </c>
      <c r="AJ360" s="11">
        <f t="shared" si="83"/>
        <v>3.7653258239999973E-2</v>
      </c>
    </row>
    <row r="361" spans="1:36" x14ac:dyDescent="0.25">
      <c r="A361" s="4" t="s">
        <v>945</v>
      </c>
      <c r="B361" s="4" t="s">
        <v>978</v>
      </c>
      <c r="C361" s="4" t="s">
        <v>998</v>
      </c>
      <c r="D361" s="4" t="s">
        <v>938</v>
      </c>
      <c r="E361" t="s">
        <v>404</v>
      </c>
      <c r="F361" t="s">
        <v>360</v>
      </c>
      <c r="G361" t="s">
        <v>405</v>
      </c>
      <c r="H361">
        <v>40</v>
      </c>
      <c r="I361">
        <v>10</v>
      </c>
      <c r="J361" t="s">
        <v>40</v>
      </c>
      <c r="K361" t="s">
        <v>17</v>
      </c>
      <c r="L361" t="s">
        <v>283</v>
      </c>
      <c r="M361" t="s">
        <v>12</v>
      </c>
      <c r="N361" t="s">
        <v>91</v>
      </c>
      <c r="P361">
        <f>(0.03*0.03*0.89)-(0.0276*0.0276*0.89)</f>
        <v>1.2303359999999992E-4</v>
      </c>
      <c r="Q361" t="s">
        <v>180</v>
      </c>
      <c r="R361" t="s">
        <v>187</v>
      </c>
      <c r="T361">
        <v>12</v>
      </c>
      <c r="W361">
        <v>7800</v>
      </c>
      <c r="X361" t="s">
        <v>184</v>
      </c>
      <c r="Y361" t="s">
        <v>185</v>
      </c>
      <c r="AA361" s="13">
        <f>Tableau8[[#This Row],[density (kg/m2) or specific weight (kg/m2)]]*Tableau8[[#This Row],[nb of item used ]]*Tableau8[[#This Row],[volume or area]]</f>
        <v>11.515944959999992</v>
      </c>
      <c r="AB361">
        <v>24.9</v>
      </c>
      <c r="AC361">
        <v>1.94</v>
      </c>
      <c r="AD361" s="11">
        <f t="shared" si="71"/>
        <v>7.1686757375999948</v>
      </c>
      <c r="AE361" s="11">
        <f>_xlfn.RANK.AVG(Tableau8[[#This Row],[EE ( MJ/m²)]],AD361:AD1516)</f>
        <v>411</v>
      </c>
      <c r="AF361" s="11">
        <f t="shared" si="82"/>
        <v>0.71686757375999943</v>
      </c>
      <c r="AG361" s="11">
        <f t="shared" si="84"/>
        <v>0.55852333055999959</v>
      </c>
      <c r="AH361" s="11">
        <f t="shared" si="73"/>
        <v>0.55852333055999959</v>
      </c>
      <c r="AI361" s="11">
        <f t="shared" si="85"/>
        <v>5.5852333055999959E-2</v>
      </c>
      <c r="AJ361" s="11">
        <f t="shared" si="83"/>
        <v>5.5852333055999959E-2</v>
      </c>
    </row>
    <row r="362" spans="1:36" x14ac:dyDescent="0.25">
      <c r="A362" s="4" t="s">
        <v>945</v>
      </c>
      <c r="B362" s="4" t="s">
        <v>978</v>
      </c>
      <c r="C362" s="4" t="s">
        <v>998</v>
      </c>
      <c r="D362" s="4" t="s">
        <v>938</v>
      </c>
      <c r="E362" t="s">
        <v>404</v>
      </c>
      <c r="F362" t="s">
        <v>360</v>
      </c>
      <c r="G362" t="s">
        <v>405</v>
      </c>
      <c r="H362">
        <v>40</v>
      </c>
      <c r="I362">
        <v>10</v>
      </c>
      <c r="J362" t="s">
        <v>44</v>
      </c>
      <c r="K362" t="s">
        <v>17</v>
      </c>
      <c r="L362" t="s">
        <v>284</v>
      </c>
      <c r="M362" t="s">
        <v>12</v>
      </c>
      <c r="N362" t="s">
        <v>12</v>
      </c>
      <c r="P362">
        <f>0.014*0.1*0.05</f>
        <v>7.0000000000000007E-5</v>
      </c>
      <c r="Q362" t="s">
        <v>180</v>
      </c>
      <c r="R362" t="s">
        <v>187</v>
      </c>
      <c r="T362">
        <v>16</v>
      </c>
      <c r="W362">
        <v>7800</v>
      </c>
      <c r="X362" t="s">
        <v>184</v>
      </c>
      <c r="Y362" t="s">
        <v>185</v>
      </c>
      <c r="AA362" s="13">
        <f>Tableau8[[#This Row],[density (kg/m2) or specific weight (kg/m2)]]*Tableau8[[#This Row],[nb of item used ]]*Tableau8[[#This Row],[volume or area]]</f>
        <v>8.7360000000000007</v>
      </c>
      <c r="AB362">
        <v>25.3</v>
      </c>
      <c r="AC362">
        <v>1.95</v>
      </c>
      <c r="AD362" s="11">
        <f t="shared" ref="AD362:AD425" si="86">AB362*AA362/H362</f>
        <v>5.5255200000000011</v>
      </c>
      <c r="AE362" s="11">
        <f>_xlfn.RANK.AVG(Tableau8[[#This Row],[EE ( MJ/m²)]],AD362:AD1517)</f>
        <v>459</v>
      </c>
      <c r="AF362" s="11">
        <f t="shared" si="82"/>
        <v>0.55255200000000015</v>
      </c>
      <c r="AG362" s="11">
        <f t="shared" si="84"/>
        <v>0.42587999999999998</v>
      </c>
      <c r="AH362" s="11">
        <f t="shared" ref="AH362:AH425" si="87">AC362*AA362/H362</f>
        <v>0.42587999999999998</v>
      </c>
      <c r="AI362" s="11">
        <f t="shared" si="85"/>
        <v>4.2588000000000001E-2</v>
      </c>
      <c r="AJ362" s="11">
        <f t="shared" si="83"/>
        <v>4.2588000000000001E-2</v>
      </c>
    </row>
    <row r="363" spans="1:36" x14ac:dyDescent="0.25">
      <c r="A363" s="4" t="s">
        <v>945</v>
      </c>
      <c r="B363" s="4" t="s">
        <v>978</v>
      </c>
      <c r="C363" s="4" t="s">
        <v>998</v>
      </c>
      <c r="D363" s="4" t="s">
        <v>938</v>
      </c>
      <c r="E363" t="s">
        <v>404</v>
      </c>
      <c r="F363" t="s">
        <v>360</v>
      </c>
      <c r="G363" t="s">
        <v>405</v>
      </c>
      <c r="H363">
        <v>40</v>
      </c>
      <c r="I363">
        <v>10</v>
      </c>
      <c r="J363" t="s">
        <v>44</v>
      </c>
      <c r="K363" t="s">
        <v>17</v>
      </c>
      <c r="L363" t="s">
        <v>285</v>
      </c>
      <c r="M363" t="s">
        <v>12</v>
      </c>
      <c r="N363" t="s">
        <v>12</v>
      </c>
      <c r="R363" t="s">
        <v>175</v>
      </c>
      <c r="T363">
        <v>8</v>
      </c>
      <c r="W363">
        <v>7800</v>
      </c>
      <c r="X363" t="s">
        <v>184</v>
      </c>
      <c r="Y363" t="s">
        <v>185</v>
      </c>
      <c r="AA363" s="13">
        <f>8*0.538</f>
        <v>4.3040000000000003</v>
      </c>
      <c r="AB363">
        <v>25.3</v>
      </c>
      <c r="AC363">
        <v>1.95</v>
      </c>
      <c r="AD363" s="11">
        <f t="shared" si="86"/>
        <v>2.7222800000000005</v>
      </c>
      <c r="AE363" s="11">
        <f>_xlfn.RANK.AVG(Tableau8[[#This Row],[EE ( MJ/m²)]],AD363:AD1518)</f>
        <v>527</v>
      </c>
      <c r="AF363" s="11">
        <f t="shared" si="82"/>
        <v>0.27222800000000003</v>
      </c>
      <c r="AG363" s="11">
        <f t="shared" si="84"/>
        <v>0.20982000000000003</v>
      </c>
      <c r="AH363" s="11">
        <f t="shared" si="87"/>
        <v>0.20982000000000003</v>
      </c>
      <c r="AI363" s="11">
        <f t="shared" si="85"/>
        <v>2.0982000000000004E-2</v>
      </c>
      <c r="AJ363" s="11">
        <f t="shared" si="83"/>
        <v>2.0982000000000004E-2</v>
      </c>
    </row>
    <row r="364" spans="1:36" x14ac:dyDescent="0.25">
      <c r="A364" s="4" t="s">
        <v>945</v>
      </c>
      <c r="B364" s="4" t="s">
        <v>978</v>
      </c>
      <c r="C364" s="4" t="s">
        <v>998</v>
      </c>
      <c r="D364" s="4" t="s">
        <v>938</v>
      </c>
      <c r="E364" t="s">
        <v>404</v>
      </c>
      <c r="F364" t="s">
        <v>360</v>
      </c>
      <c r="G364" t="s">
        <v>405</v>
      </c>
      <c r="H364">
        <v>40</v>
      </c>
      <c r="I364">
        <v>10</v>
      </c>
      <c r="J364" t="s">
        <v>40</v>
      </c>
      <c r="K364" t="s">
        <v>17</v>
      </c>
      <c r="L364" t="s">
        <v>286</v>
      </c>
      <c r="M364" t="s">
        <v>12</v>
      </c>
      <c r="N364" t="s">
        <v>12</v>
      </c>
      <c r="P364">
        <f>0.89*0.05*0.003</f>
        <v>1.3350000000000002E-4</v>
      </c>
      <c r="Q364" t="s">
        <v>180</v>
      </c>
      <c r="R364" t="s">
        <v>175</v>
      </c>
      <c r="T364">
        <v>8</v>
      </c>
      <c r="W364">
        <v>7800</v>
      </c>
      <c r="X364" t="s">
        <v>184</v>
      </c>
      <c r="Y364" t="s">
        <v>185</v>
      </c>
      <c r="AA364" s="13">
        <f>Tableau8[[#This Row],[density (kg/m2) or specific weight (kg/m2)]]*Tableau8[[#This Row],[nb of item used ]]*Tableau8[[#This Row],[volume or area]]</f>
        <v>8.3304000000000009</v>
      </c>
      <c r="AB364">
        <v>25.3</v>
      </c>
      <c r="AC364">
        <v>1.95</v>
      </c>
      <c r="AD364" s="11">
        <f t="shared" si="86"/>
        <v>5.2689780000000006</v>
      </c>
      <c r="AE364" s="11">
        <f>_xlfn.RANK.AVG(Tableau8[[#This Row],[EE ( MJ/m²)]],AD364:AD1519)</f>
        <v>467</v>
      </c>
      <c r="AF364" s="11">
        <f t="shared" si="82"/>
        <v>0.52689780000000008</v>
      </c>
      <c r="AG364" s="11">
        <f t="shared" si="84"/>
        <v>0.406107</v>
      </c>
      <c r="AH364" s="11">
        <f t="shared" si="87"/>
        <v>0.406107</v>
      </c>
      <c r="AI364" s="11">
        <f t="shared" si="85"/>
        <v>4.06107E-2</v>
      </c>
      <c r="AJ364" s="11">
        <f t="shared" si="83"/>
        <v>4.06107E-2</v>
      </c>
    </row>
    <row r="365" spans="1:36" x14ac:dyDescent="0.25">
      <c r="A365" s="4" t="s">
        <v>945</v>
      </c>
      <c r="B365" s="4" t="s">
        <v>978</v>
      </c>
      <c r="C365" s="4" t="s">
        <v>998</v>
      </c>
      <c r="D365" s="4" t="s">
        <v>938</v>
      </c>
      <c r="E365" t="s">
        <v>404</v>
      </c>
      <c r="F365" t="s">
        <v>360</v>
      </c>
      <c r="G365" t="s">
        <v>405</v>
      </c>
      <c r="H365">
        <v>40</v>
      </c>
      <c r="I365">
        <v>10</v>
      </c>
      <c r="J365" t="s">
        <v>44</v>
      </c>
      <c r="K365" t="s">
        <v>17</v>
      </c>
      <c r="L365" t="s">
        <v>288</v>
      </c>
      <c r="M365" t="s">
        <v>12</v>
      </c>
      <c r="N365" t="s">
        <v>12</v>
      </c>
      <c r="P365">
        <f>0.2*1*0.0004</f>
        <v>8.0000000000000007E-5</v>
      </c>
      <c r="Q365" t="s">
        <v>180</v>
      </c>
      <c r="R365" t="s">
        <v>175</v>
      </c>
      <c r="T365">
        <v>16</v>
      </c>
      <c r="W365">
        <v>7800</v>
      </c>
      <c r="X365" t="s">
        <v>184</v>
      </c>
      <c r="Y365" t="s">
        <v>185</v>
      </c>
      <c r="AA365" s="13">
        <f>Tableau8[[#This Row],[density (kg/m2) or specific weight (kg/m2)]]*Tableau8[[#This Row],[nb of item used ]]*Tableau8[[#This Row],[volume or area]]</f>
        <v>9.984</v>
      </c>
      <c r="AB365">
        <v>25.3</v>
      </c>
      <c r="AC365">
        <v>1.95</v>
      </c>
      <c r="AD365" s="11">
        <f t="shared" si="86"/>
        <v>6.3148800000000005</v>
      </c>
      <c r="AE365" s="11">
        <f>_xlfn.RANK.AVG(Tableau8[[#This Row],[EE ( MJ/m²)]],AD365:AD1520)</f>
        <v>445</v>
      </c>
      <c r="AF365" s="11">
        <f t="shared" si="82"/>
        <v>0.63148800000000005</v>
      </c>
      <c r="AG365" s="11">
        <f t="shared" si="84"/>
        <v>0.48671999999999993</v>
      </c>
      <c r="AH365" s="11">
        <f t="shared" si="87"/>
        <v>0.48671999999999993</v>
      </c>
      <c r="AI365" s="11">
        <f t="shared" si="85"/>
        <v>4.8671999999999993E-2</v>
      </c>
      <c r="AJ365" s="11">
        <f t="shared" si="83"/>
        <v>4.8671999999999993E-2</v>
      </c>
    </row>
    <row r="366" spans="1:36" x14ac:dyDescent="0.25">
      <c r="A366" s="4" t="s">
        <v>945</v>
      </c>
      <c r="B366" s="4" t="s">
        <v>978</v>
      </c>
      <c r="C366" s="4" t="s">
        <v>998</v>
      </c>
      <c r="D366" s="4" t="s">
        <v>938</v>
      </c>
      <c r="E366" t="s">
        <v>404</v>
      </c>
      <c r="F366" t="s">
        <v>360</v>
      </c>
      <c r="G366" t="s">
        <v>405</v>
      </c>
      <c r="H366">
        <v>40</v>
      </c>
      <c r="I366">
        <v>10</v>
      </c>
      <c r="J366" t="s">
        <v>40</v>
      </c>
      <c r="K366" t="s">
        <v>18</v>
      </c>
      <c r="L366" t="s">
        <v>415</v>
      </c>
      <c r="M366" t="s">
        <v>416</v>
      </c>
      <c r="N366" t="s">
        <v>431</v>
      </c>
      <c r="P366">
        <f>72*0.022</f>
        <v>1.5839999999999999</v>
      </c>
      <c r="Q366" t="s">
        <v>180</v>
      </c>
      <c r="R366" t="s">
        <v>187</v>
      </c>
      <c r="S366" t="s">
        <v>417</v>
      </c>
      <c r="T366">
        <v>1</v>
      </c>
      <c r="W366">
        <v>1860</v>
      </c>
      <c r="X366" t="s">
        <v>184</v>
      </c>
      <c r="AA366" s="13">
        <f>W366*T366*P366</f>
        <v>2946.24</v>
      </c>
      <c r="AB366">
        <v>4.51</v>
      </c>
      <c r="AC366">
        <v>0.74</v>
      </c>
      <c r="AD366" s="11">
        <f t="shared" si="86"/>
        <v>332.18855999999994</v>
      </c>
      <c r="AE366" s="11">
        <f>_xlfn.RANK.AVG(Tableau8[[#This Row],[EE ( MJ/m²)]],AD366:AD1521)</f>
        <v>28</v>
      </c>
      <c r="AF366" s="11">
        <f t="shared" si="82"/>
        <v>33.218855999999995</v>
      </c>
      <c r="AG366" s="11">
        <f t="shared" si="84"/>
        <v>54.50544</v>
      </c>
      <c r="AH366" s="11">
        <f t="shared" si="87"/>
        <v>54.50544</v>
      </c>
      <c r="AI366" s="11">
        <f t="shared" si="85"/>
        <v>5.4505439999999998</v>
      </c>
      <c r="AJ366" s="11">
        <f t="shared" si="83"/>
        <v>5.4505439999999998</v>
      </c>
    </row>
    <row r="367" spans="1:36" x14ac:dyDescent="0.25">
      <c r="A367" s="4" t="s">
        <v>945</v>
      </c>
      <c r="B367" s="4" t="s">
        <v>978</v>
      </c>
      <c r="C367" s="4" t="s">
        <v>998</v>
      </c>
      <c r="D367" s="4" t="s">
        <v>938</v>
      </c>
      <c r="E367" t="s">
        <v>404</v>
      </c>
      <c r="F367" t="s">
        <v>360</v>
      </c>
      <c r="G367" t="s">
        <v>405</v>
      </c>
      <c r="H367">
        <v>40</v>
      </c>
      <c r="I367">
        <v>10</v>
      </c>
      <c r="J367" t="s">
        <v>40</v>
      </c>
      <c r="K367" t="s">
        <v>18</v>
      </c>
      <c r="L367" t="s">
        <v>418</v>
      </c>
      <c r="M367" t="s">
        <v>416</v>
      </c>
      <c r="N367" t="s">
        <v>431</v>
      </c>
      <c r="P367">
        <f>44.5*0.022</f>
        <v>0.97899999999999998</v>
      </c>
      <c r="Q367" t="s">
        <v>180</v>
      </c>
      <c r="R367" t="s">
        <v>187</v>
      </c>
      <c r="S367" t="s">
        <v>417</v>
      </c>
      <c r="T367">
        <v>1</v>
      </c>
      <c r="W367">
        <v>1861</v>
      </c>
      <c r="X367" t="s">
        <v>204</v>
      </c>
      <c r="AA367" s="13">
        <f>W367*T367*P367</f>
        <v>1821.9189999999999</v>
      </c>
      <c r="AB367">
        <v>4.51</v>
      </c>
      <c r="AC367">
        <v>0.74</v>
      </c>
      <c r="AD367" s="11">
        <f t="shared" si="86"/>
        <v>205.42136724999995</v>
      </c>
      <c r="AE367" s="11">
        <f>_xlfn.RANK.AVG(Tableau8[[#This Row],[EE ( MJ/m²)]],AD367:AD1522)</f>
        <v>42</v>
      </c>
      <c r="AF367" s="11">
        <f t="shared" si="82"/>
        <v>20.542136724999995</v>
      </c>
      <c r="AG367" s="11">
        <f t="shared" si="84"/>
        <v>33.705501499999997</v>
      </c>
      <c r="AH367" s="11">
        <f t="shared" si="87"/>
        <v>33.705501499999997</v>
      </c>
      <c r="AI367" s="11">
        <f t="shared" si="85"/>
        <v>3.3705501499999997</v>
      </c>
      <c r="AJ367" s="11">
        <f t="shared" si="83"/>
        <v>3.3705501499999997</v>
      </c>
    </row>
    <row r="368" spans="1:36" x14ac:dyDescent="0.25">
      <c r="A368" s="4" t="s">
        <v>945</v>
      </c>
      <c r="B368" s="4" t="s">
        <v>978</v>
      </c>
      <c r="C368" s="4" t="s">
        <v>998</v>
      </c>
      <c r="D368" s="4" t="s">
        <v>938</v>
      </c>
      <c r="E368" t="s">
        <v>404</v>
      </c>
      <c r="F368" t="s">
        <v>360</v>
      </c>
      <c r="G368" t="s">
        <v>405</v>
      </c>
      <c r="H368">
        <v>40</v>
      </c>
      <c r="I368">
        <v>10</v>
      </c>
      <c r="J368" t="s">
        <v>40</v>
      </c>
      <c r="K368" t="s">
        <v>14</v>
      </c>
      <c r="L368" t="s">
        <v>287</v>
      </c>
      <c r="M368" t="s">
        <v>309</v>
      </c>
      <c r="N368" t="s">
        <v>79</v>
      </c>
      <c r="P368">
        <f>0.84*0.85</f>
        <v>0.71399999999999997</v>
      </c>
      <c r="Q368" t="s">
        <v>179</v>
      </c>
      <c r="R368" t="s">
        <v>175</v>
      </c>
      <c r="T368">
        <v>2</v>
      </c>
      <c r="W368" s="15">
        <v>3.7999999999999999E-2</v>
      </c>
      <c r="X368" t="s">
        <v>183</v>
      </c>
      <c r="AA368" s="13">
        <f>W368*T368*P368</f>
        <v>5.4263999999999993E-2</v>
      </c>
      <c r="AB368">
        <v>54.4</v>
      </c>
      <c r="AC368">
        <v>2.54</v>
      </c>
      <c r="AD368" s="11">
        <f t="shared" si="86"/>
        <v>7.3799039999999996E-2</v>
      </c>
      <c r="AE368" s="11">
        <f>_xlfn.RANK.AVG(Tableau8[[#This Row],[EE ( MJ/m²)]],AD368:AD1523)</f>
        <v>725</v>
      </c>
      <c r="AF368" s="11">
        <f t="shared" si="82"/>
        <v>7.3799039999999996E-3</v>
      </c>
      <c r="AG368" s="11">
        <f t="shared" si="84"/>
        <v>3.4457639999999996E-3</v>
      </c>
      <c r="AH368" s="11">
        <f t="shared" si="87"/>
        <v>3.4457639999999996E-3</v>
      </c>
      <c r="AI368" s="11">
        <f t="shared" si="85"/>
        <v>3.4457639999999995E-4</v>
      </c>
      <c r="AJ368" s="11">
        <f t="shared" si="83"/>
        <v>3.4457639999999995E-4</v>
      </c>
    </row>
    <row r="369" spans="1:36" x14ac:dyDescent="0.25">
      <c r="A369" s="4" t="s">
        <v>945</v>
      </c>
      <c r="B369" s="4" t="s">
        <v>978</v>
      </c>
      <c r="C369" s="4" t="s">
        <v>998</v>
      </c>
      <c r="D369" s="4" t="s">
        <v>938</v>
      </c>
      <c r="E369" t="s">
        <v>404</v>
      </c>
      <c r="F369" t="s">
        <v>360</v>
      </c>
      <c r="G369" t="s">
        <v>405</v>
      </c>
      <c r="H369">
        <v>40</v>
      </c>
      <c r="I369">
        <v>10</v>
      </c>
      <c r="J369" t="s">
        <v>56</v>
      </c>
      <c r="K369" t="s">
        <v>17</v>
      </c>
      <c r="L369" t="s">
        <v>274</v>
      </c>
      <c r="M369" t="s">
        <v>236</v>
      </c>
      <c r="N369" t="s">
        <v>59</v>
      </c>
      <c r="P369">
        <f>2*1.1*0.0016</f>
        <v>3.5200000000000006E-3</v>
      </c>
      <c r="Q369" t="s">
        <v>180</v>
      </c>
      <c r="R369" t="s">
        <v>175</v>
      </c>
      <c r="T369">
        <v>2</v>
      </c>
      <c r="W369">
        <v>7870</v>
      </c>
      <c r="X369" t="s">
        <v>184</v>
      </c>
      <c r="Y369" t="s">
        <v>185</v>
      </c>
      <c r="AA369" s="13">
        <f>Tableau8[[#This Row],[density (kg/m2) or specific weight (kg/m2)]]*Tableau8[[#This Row],[nb of item used ]]*Tableau8[[#This Row],[volume or area]]</f>
        <v>55.404800000000009</v>
      </c>
      <c r="AB369">
        <v>25</v>
      </c>
      <c r="AC369">
        <v>2.0299999999999998</v>
      </c>
      <c r="AD369" s="11">
        <f t="shared" si="86"/>
        <v>34.628</v>
      </c>
      <c r="AE369" s="11">
        <f>_xlfn.RANK.AVG(Tableau8[[#This Row],[EE ( MJ/m²)]],AD369:AD1524)</f>
        <v>207</v>
      </c>
      <c r="AF369" s="11">
        <f>Tableau8[[#This Row],[EE (MJ /kg) COEF]]*Tableau8[[#This Row],[weight (kg )]]/Tableau8[[#This Row],[Footprint area (m2)]]/Tableau8[[#This Row],[life span (years)]]</f>
        <v>3.4628000000000001</v>
      </c>
      <c r="AG369" s="11">
        <f t="shared" si="84"/>
        <v>2.8117936000000001</v>
      </c>
      <c r="AH369" s="11">
        <f t="shared" si="87"/>
        <v>2.8117936000000001</v>
      </c>
      <c r="AI369" s="11">
        <f t="shared" si="85"/>
        <v>0.28117935999999999</v>
      </c>
      <c r="AJ369" s="11">
        <f>Tableau8[[#This Row],[EC(kgCO2e/kg) COEF]]*Tableau8[[#This Row],[weight (kg )]]/Tableau8[[#This Row],[Footprint area (m2)]]/Tableau8[[#This Row],[life span (years)]]</f>
        <v>0.28117935999999999</v>
      </c>
    </row>
    <row r="370" spans="1:36" x14ac:dyDescent="0.25">
      <c r="A370" s="4" t="s">
        <v>945</v>
      </c>
      <c r="B370" s="4" t="s">
        <v>978</v>
      </c>
      <c r="C370" s="4" t="s">
        <v>998</v>
      </c>
      <c r="D370" s="4" t="s">
        <v>938</v>
      </c>
      <c r="E370" t="s">
        <v>404</v>
      </c>
      <c r="F370" t="s">
        <v>360</v>
      </c>
      <c r="G370" t="s">
        <v>405</v>
      </c>
      <c r="H370">
        <v>40</v>
      </c>
      <c r="I370">
        <v>10</v>
      </c>
      <c r="J370" t="s">
        <v>40</v>
      </c>
      <c r="K370" t="s">
        <v>307</v>
      </c>
      <c r="L370" t="s">
        <v>275</v>
      </c>
      <c r="M370" t="s">
        <v>308</v>
      </c>
      <c r="N370" t="s">
        <v>307</v>
      </c>
      <c r="P370">
        <f>2*1.1*0.015</f>
        <v>3.3000000000000002E-2</v>
      </c>
      <c r="Q370" t="s">
        <v>180</v>
      </c>
      <c r="R370" t="s">
        <v>175</v>
      </c>
      <c r="T370">
        <v>2</v>
      </c>
      <c r="W370">
        <v>50</v>
      </c>
      <c r="X370" t="s">
        <v>184</v>
      </c>
      <c r="Y370" t="s">
        <v>194</v>
      </c>
      <c r="Z370" t="s">
        <v>446</v>
      </c>
      <c r="AA370" s="13">
        <f>Tableau8[[#This Row],[density (kg/m2) or specific weight (kg/m2)]]*Tableau8[[#This Row],[volume or area]]</f>
        <v>1.6500000000000001</v>
      </c>
      <c r="AB370">
        <v>45</v>
      </c>
      <c r="AC370">
        <v>16.5</v>
      </c>
      <c r="AD370" s="11">
        <f t="shared" si="86"/>
        <v>1.85625</v>
      </c>
      <c r="AE370" s="11">
        <f>_xlfn.RANK.AVG(Tableau8[[#This Row],[EE ( MJ/m²)]],AD370:AD1525)</f>
        <v>570</v>
      </c>
      <c r="AF370" s="11">
        <f>AB370*Tableau8[[#This Row],[weight (kg )]]/H370/I370</f>
        <v>0.18562499999999998</v>
      </c>
      <c r="AG370" s="11">
        <f t="shared" si="84"/>
        <v>0.68062500000000004</v>
      </c>
      <c r="AH370" s="11">
        <f t="shared" si="87"/>
        <v>0.68062500000000004</v>
      </c>
      <c r="AI370" s="11">
        <f t="shared" si="85"/>
        <v>6.8062499999999998E-2</v>
      </c>
      <c r="AJ370" s="11">
        <f>AC370*Tableau8[[#This Row],[weight (kg )]]/H370/I370</f>
        <v>6.8062499999999998E-2</v>
      </c>
    </row>
    <row r="371" spans="1:36" x14ac:dyDescent="0.25">
      <c r="A371" s="4" t="s">
        <v>945</v>
      </c>
      <c r="B371" s="4" t="s">
        <v>978</v>
      </c>
      <c r="C371" s="4" t="s">
        <v>998</v>
      </c>
      <c r="D371" s="4" t="s">
        <v>938</v>
      </c>
      <c r="E371" t="s">
        <v>404</v>
      </c>
      <c r="F371" t="s">
        <v>360</v>
      </c>
      <c r="G371" t="s">
        <v>405</v>
      </c>
      <c r="H371">
        <v>40</v>
      </c>
      <c r="I371">
        <v>10</v>
      </c>
      <c r="J371" t="s">
        <v>57</v>
      </c>
      <c r="K371" t="s">
        <v>18</v>
      </c>
      <c r="L371" t="s">
        <v>408</v>
      </c>
      <c r="M371" t="s">
        <v>409</v>
      </c>
      <c r="N371" t="s">
        <v>39</v>
      </c>
      <c r="P371">
        <f>0.1*35</f>
        <v>3.5</v>
      </c>
      <c r="Q371" t="s">
        <v>180</v>
      </c>
      <c r="R371" t="s">
        <v>175</v>
      </c>
      <c r="T371">
        <v>1</v>
      </c>
      <c r="W371">
        <v>2400</v>
      </c>
      <c r="X371" t="s">
        <v>184</v>
      </c>
      <c r="Y371" t="s">
        <v>185</v>
      </c>
      <c r="Z371" t="s">
        <v>48</v>
      </c>
      <c r="AA371" s="13">
        <f>W371*T371*P371</f>
        <v>8400</v>
      </c>
      <c r="AB371">
        <v>0.75</v>
      </c>
      <c r="AC371">
        <v>0.107</v>
      </c>
      <c r="AD371" s="11">
        <f t="shared" si="86"/>
        <v>157.5</v>
      </c>
      <c r="AE371" s="11">
        <f>_xlfn.RANK.AVG(Tableau8[[#This Row],[EE ( MJ/m²)]],AD371:AD1526)</f>
        <v>59</v>
      </c>
      <c r="AF371" s="11">
        <f t="shared" ref="AF371:AF402" si="88">AB371*AA371/H371/I371</f>
        <v>15.75</v>
      </c>
      <c r="AG371" s="11">
        <f t="shared" si="84"/>
        <v>22.47</v>
      </c>
      <c r="AH371" s="11">
        <f t="shared" si="87"/>
        <v>22.47</v>
      </c>
      <c r="AI371" s="11">
        <f t="shared" si="85"/>
        <v>2.2469999999999999</v>
      </c>
      <c r="AJ371" s="11">
        <f t="shared" ref="AJ371:AJ402" si="89">AC371*AA371/H371/I371</f>
        <v>2.2469999999999999</v>
      </c>
    </row>
    <row r="372" spans="1:36" x14ac:dyDescent="0.25">
      <c r="A372" s="4" t="s">
        <v>945</v>
      </c>
      <c r="B372" s="4" t="s">
        <v>978</v>
      </c>
      <c r="C372" s="4" t="s">
        <v>998</v>
      </c>
      <c r="D372" s="4" t="s">
        <v>938</v>
      </c>
      <c r="E372" t="s">
        <v>404</v>
      </c>
      <c r="F372" t="s">
        <v>360</v>
      </c>
      <c r="G372" t="s">
        <v>405</v>
      </c>
      <c r="H372">
        <v>40</v>
      </c>
      <c r="I372">
        <v>10</v>
      </c>
      <c r="J372" t="s">
        <v>13</v>
      </c>
      <c r="K372" t="s">
        <v>18</v>
      </c>
      <c r="L372" s="3" t="s">
        <v>406</v>
      </c>
      <c r="M372" t="s">
        <v>363</v>
      </c>
      <c r="N372" t="s">
        <v>431</v>
      </c>
      <c r="P372">
        <f>15*0.2</f>
        <v>3</v>
      </c>
      <c r="Q372" t="s">
        <v>180</v>
      </c>
      <c r="R372" t="s">
        <v>175</v>
      </c>
      <c r="T372">
        <v>1</v>
      </c>
      <c r="W372">
        <v>1860</v>
      </c>
      <c r="X372" t="s">
        <v>184</v>
      </c>
      <c r="AA372" s="13">
        <f>Tableau8[[#This Row],[density (kg/m2) or specific weight (kg/m2)]]*Tableau8[[#This Row],[volume or area]]*Tableau8[[#This Row],[nb of item used ]]</f>
        <v>5580</v>
      </c>
      <c r="AB372">
        <v>4.51</v>
      </c>
      <c r="AC372">
        <v>0.74</v>
      </c>
      <c r="AD372" s="11">
        <f t="shared" si="86"/>
        <v>629.14499999999998</v>
      </c>
      <c r="AE372" s="11">
        <f>_xlfn.RANK.AVG(Tableau8[[#This Row],[EE ( MJ/m²)]],AD372:AD1527)</f>
        <v>16</v>
      </c>
      <c r="AF372" s="11">
        <f t="shared" si="88"/>
        <v>62.914499999999997</v>
      </c>
      <c r="AG372" s="11">
        <f t="shared" si="84"/>
        <v>103.22999999999999</v>
      </c>
      <c r="AH372" s="11">
        <f t="shared" si="87"/>
        <v>103.22999999999999</v>
      </c>
      <c r="AI372" s="11">
        <f t="shared" si="85"/>
        <v>10.322999999999999</v>
      </c>
      <c r="AJ372" s="11">
        <f t="shared" si="89"/>
        <v>10.322999999999999</v>
      </c>
    </row>
    <row r="373" spans="1:36" x14ac:dyDescent="0.25">
      <c r="A373" s="4" t="s">
        <v>945</v>
      </c>
      <c r="B373" s="4" t="s">
        <v>978</v>
      </c>
      <c r="C373" s="4" t="s">
        <v>998</v>
      </c>
      <c r="D373" s="4" t="s">
        <v>938</v>
      </c>
      <c r="E373" t="s">
        <v>404</v>
      </c>
      <c r="F373" t="s">
        <v>360</v>
      </c>
      <c r="G373" t="s">
        <v>405</v>
      </c>
      <c r="H373">
        <v>40</v>
      </c>
      <c r="I373">
        <v>10</v>
      </c>
      <c r="J373" t="s">
        <v>13</v>
      </c>
      <c r="K373" t="s">
        <v>386</v>
      </c>
      <c r="L373" t="s">
        <v>407</v>
      </c>
      <c r="M373" t="s">
        <v>434</v>
      </c>
      <c r="N373" t="s">
        <v>435</v>
      </c>
      <c r="P373">
        <f>0.025*15</f>
        <v>0.375</v>
      </c>
      <c r="Q373" t="s">
        <v>180</v>
      </c>
      <c r="R373" t="s">
        <v>187</v>
      </c>
      <c r="T373">
        <v>1</v>
      </c>
      <c r="W373">
        <v>1920</v>
      </c>
      <c r="X373" t="s">
        <v>184</v>
      </c>
      <c r="Y373" t="s">
        <v>445</v>
      </c>
      <c r="AA373" s="13">
        <f>Tableau8[[#This Row],[density (kg/m2) or specific weight (kg/m2)]]*Tableau8[[#This Row],[nb of item used ]]*Tableau8[[#This Row],[volume or area]]</f>
        <v>720</v>
      </c>
      <c r="AB373">
        <v>3</v>
      </c>
      <c r="AC373">
        <v>0.24</v>
      </c>
      <c r="AD373" s="11">
        <f t="shared" si="86"/>
        <v>54</v>
      </c>
      <c r="AE373" s="11">
        <f>_xlfn.RANK.AVG(Tableau8[[#This Row],[EE ( MJ/m²)]],AD373:AD1528)</f>
        <v>146</v>
      </c>
      <c r="AF373" s="11">
        <f t="shared" si="88"/>
        <v>5.4</v>
      </c>
      <c r="AG373" s="11">
        <f t="shared" si="84"/>
        <v>4.3199999999999994</v>
      </c>
      <c r="AH373" s="11">
        <f t="shared" si="87"/>
        <v>4.3199999999999994</v>
      </c>
      <c r="AI373" s="11">
        <f t="shared" si="85"/>
        <v>0.43199999999999994</v>
      </c>
      <c r="AJ373" s="11">
        <f t="shared" si="89"/>
        <v>0.43199999999999994</v>
      </c>
    </row>
    <row r="374" spans="1:36" x14ac:dyDescent="0.25">
      <c r="A374" s="4" t="s">
        <v>945</v>
      </c>
      <c r="B374" s="4" t="s">
        <v>978</v>
      </c>
      <c r="C374" s="4" t="s">
        <v>998</v>
      </c>
      <c r="D374" s="4" t="s">
        <v>938</v>
      </c>
      <c r="E374" t="s">
        <v>404</v>
      </c>
      <c r="F374" t="s">
        <v>360</v>
      </c>
      <c r="G374" t="s">
        <v>405</v>
      </c>
      <c r="H374">
        <v>40</v>
      </c>
      <c r="I374">
        <v>10</v>
      </c>
      <c r="J374" t="s">
        <v>57</v>
      </c>
      <c r="K374" t="s">
        <v>386</v>
      </c>
      <c r="L374" t="s">
        <v>407</v>
      </c>
      <c r="M374" t="s">
        <v>434</v>
      </c>
      <c r="N374" t="s">
        <v>435</v>
      </c>
      <c r="P374">
        <f>0.025*35</f>
        <v>0.875</v>
      </c>
      <c r="Q374" t="s">
        <v>180</v>
      </c>
      <c r="R374" t="s">
        <v>187</v>
      </c>
      <c r="T374">
        <v>1</v>
      </c>
      <c r="W374" s="1">
        <v>1920</v>
      </c>
      <c r="X374" t="s">
        <v>184</v>
      </c>
      <c r="Y374" t="s">
        <v>445</v>
      </c>
      <c r="AA374" s="13">
        <f>Tableau8[[#This Row],[density (kg/m2) or specific weight (kg/m2)]]*Tableau8[[#This Row],[nb of item used ]]*Tableau8[[#This Row],[volume or area]]</f>
        <v>1680</v>
      </c>
      <c r="AB374">
        <v>3</v>
      </c>
      <c r="AC374">
        <v>0.24</v>
      </c>
      <c r="AD374" s="11">
        <f t="shared" si="86"/>
        <v>126</v>
      </c>
      <c r="AE374" s="11">
        <f>_xlfn.RANK.AVG(Tableau8[[#This Row],[EE ( MJ/m²)]],AD374:AD1529)</f>
        <v>74</v>
      </c>
      <c r="AF374" s="11">
        <f t="shared" si="88"/>
        <v>12.6</v>
      </c>
      <c r="AG374" s="11">
        <f t="shared" si="84"/>
        <v>10.08</v>
      </c>
      <c r="AH374" s="11">
        <f t="shared" si="87"/>
        <v>10.08</v>
      </c>
      <c r="AI374" s="11">
        <f t="shared" si="85"/>
        <v>1.008</v>
      </c>
      <c r="AJ374" s="11">
        <f t="shared" si="89"/>
        <v>1.008</v>
      </c>
    </row>
    <row r="375" spans="1:36" x14ac:dyDescent="0.25">
      <c r="A375" s="4" t="s">
        <v>945</v>
      </c>
      <c r="B375" s="4" t="s">
        <v>978</v>
      </c>
      <c r="C375" s="4" t="s">
        <v>998</v>
      </c>
      <c r="D375" s="4" t="s">
        <v>938</v>
      </c>
      <c r="E375" t="s">
        <v>404</v>
      </c>
      <c r="F375" t="s">
        <v>360</v>
      </c>
      <c r="G375" t="s">
        <v>405</v>
      </c>
      <c r="H375">
        <v>40</v>
      </c>
      <c r="I375">
        <v>10</v>
      </c>
      <c r="J375" t="s">
        <v>40</v>
      </c>
      <c r="K375" t="s">
        <v>18</v>
      </c>
      <c r="L375" t="s">
        <v>410</v>
      </c>
      <c r="N375" t="s">
        <v>414</v>
      </c>
      <c r="P375">
        <v>1.125E-2</v>
      </c>
      <c r="Q375" t="s">
        <v>180</v>
      </c>
      <c r="R375" t="s">
        <v>175</v>
      </c>
      <c r="S375" t="s">
        <v>411</v>
      </c>
      <c r="T375">
        <v>1125</v>
      </c>
      <c r="U375" t="s">
        <v>187</v>
      </c>
      <c r="W375">
        <v>27</v>
      </c>
      <c r="X375" t="s">
        <v>412</v>
      </c>
      <c r="AA375" s="13">
        <f>W375*T375*P375</f>
        <v>341.71875</v>
      </c>
      <c r="AB375">
        <v>0.72</v>
      </c>
      <c r="AC375">
        <v>0.88</v>
      </c>
      <c r="AD375" s="11">
        <f t="shared" si="86"/>
        <v>6.1509374999999995</v>
      </c>
      <c r="AE375" s="11">
        <f>_xlfn.RANK.AVG(Tableau8[[#This Row],[EE ( MJ/m²)]],AD375:AD1530)</f>
        <v>438</v>
      </c>
      <c r="AF375" s="11">
        <f t="shared" si="88"/>
        <v>0.61509374999999999</v>
      </c>
      <c r="AG375" s="11">
        <f t="shared" si="84"/>
        <v>7.5178124999999998</v>
      </c>
      <c r="AH375" s="11">
        <f t="shared" si="87"/>
        <v>7.5178124999999998</v>
      </c>
      <c r="AI375" s="11">
        <f t="shared" si="85"/>
        <v>0.75178124999999996</v>
      </c>
      <c r="AJ375" s="11">
        <f t="shared" si="89"/>
        <v>0.75178124999999996</v>
      </c>
    </row>
    <row r="376" spans="1:36" x14ac:dyDescent="0.25">
      <c r="A376" s="4" t="s">
        <v>945</v>
      </c>
      <c r="B376" s="4" t="s">
        <v>978</v>
      </c>
      <c r="C376" s="4" t="s">
        <v>998</v>
      </c>
      <c r="D376" s="4" t="s">
        <v>938</v>
      </c>
      <c r="E376" t="s">
        <v>404</v>
      </c>
      <c r="F376" t="s">
        <v>360</v>
      </c>
      <c r="G376" t="s">
        <v>405</v>
      </c>
      <c r="H376">
        <v>40</v>
      </c>
      <c r="I376">
        <v>10</v>
      </c>
      <c r="J376" t="s">
        <v>40</v>
      </c>
      <c r="K376" t="s">
        <v>18</v>
      </c>
      <c r="L376" t="s">
        <v>413</v>
      </c>
      <c r="M376" t="s">
        <v>18</v>
      </c>
      <c r="N376" t="s">
        <v>414</v>
      </c>
      <c r="P376">
        <v>5.8300000000000001E-3</v>
      </c>
      <c r="Q376" t="s">
        <v>180</v>
      </c>
      <c r="R376" t="s">
        <v>175</v>
      </c>
      <c r="S376" t="s">
        <v>411</v>
      </c>
      <c r="T376">
        <v>77.5</v>
      </c>
      <c r="U376" t="s">
        <v>346</v>
      </c>
      <c r="W376">
        <v>14</v>
      </c>
      <c r="X376" t="s">
        <v>412</v>
      </c>
      <c r="AA376" s="13">
        <f>W376*T376*P376</f>
        <v>6.3255499999999998</v>
      </c>
      <c r="AB376">
        <v>0.72</v>
      </c>
      <c r="AC376">
        <v>0.88</v>
      </c>
      <c r="AD376" s="11">
        <f t="shared" si="86"/>
        <v>0.11385989999999999</v>
      </c>
      <c r="AE376" s="11">
        <f>_xlfn.RANK.AVG(Tableau8[[#This Row],[EE ( MJ/m²)]],AD376:AD1531)</f>
        <v>713</v>
      </c>
      <c r="AF376" s="11">
        <f t="shared" si="88"/>
        <v>1.1385989999999999E-2</v>
      </c>
      <c r="AG376" s="11">
        <f t="shared" si="84"/>
        <v>0.13916210000000001</v>
      </c>
      <c r="AH376" s="11">
        <f t="shared" si="87"/>
        <v>0.13916210000000001</v>
      </c>
      <c r="AI376" s="11">
        <f t="shared" si="85"/>
        <v>1.3916210000000002E-2</v>
      </c>
      <c r="AJ376" s="11">
        <f t="shared" si="89"/>
        <v>1.3916210000000002E-2</v>
      </c>
    </row>
    <row r="377" spans="1:36" x14ac:dyDescent="0.25">
      <c r="A377" s="4" t="s">
        <v>945</v>
      </c>
      <c r="B377" s="4" t="s">
        <v>978</v>
      </c>
      <c r="C377" s="4" t="s">
        <v>998</v>
      </c>
      <c r="D377" s="4" t="s">
        <v>938</v>
      </c>
      <c r="E377" t="s">
        <v>404</v>
      </c>
      <c r="F377" t="s">
        <v>360</v>
      </c>
      <c r="G377" t="s">
        <v>405</v>
      </c>
      <c r="H377">
        <v>40</v>
      </c>
      <c r="I377">
        <v>10</v>
      </c>
      <c r="J377" t="s">
        <v>40</v>
      </c>
      <c r="K377" t="s">
        <v>18</v>
      </c>
      <c r="L377" t="s">
        <v>419</v>
      </c>
      <c r="N377" t="s">
        <v>431</v>
      </c>
      <c r="P377">
        <f>9.5*0.009</f>
        <v>8.5499999999999993E-2</v>
      </c>
      <c r="Q377" t="s">
        <v>180</v>
      </c>
      <c r="R377" t="s">
        <v>187</v>
      </c>
      <c r="T377">
        <v>1</v>
      </c>
      <c r="U377" t="s">
        <v>187</v>
      </c>
      <c r="W377">
        <v>1860</v>
      </c>
      <c r="X377" t="s">
        <v>184</v>
      </c>
      <c r="AA377" s="13">
        <f>W377*T377*P377</f>
        <v>159.02999999999997</v>
      </c>
      <c r="AB377">
        <v>4.51</v>
      </c>
      <c r="AC377">
        <v>0.74</v>
      </c>
      <c r="AD377" s="11">
        <f t="shared" si="86"/>
        <v>17.930632499999994</v>
      </c>
      <c r="AE377" s="11">
        <f>_xlfn.RANK.AVG(Tableau8[[#This Row],[EE ( MJ/m²)]],AD377:AD1532)</f>
        <v>289</v>
      </c>
      <c r="AF377" s="11">
        <f t="shared" si="88"/>
        <v>1.7930632499999994</v>
      </c>
      <c r="AG377" s="11">
        <f t="shared" si="84"/>
        <v>2.9420549999999994</v>
      </c>
      <c r="AH377" s="11">
        <f t="shared" si="87"/>
        <v>2.9420549999999994</v>
      </c>
      <c r="AI377" s="11">
        <f t="shared" si="85"/>
        <v>0.29420549999999995</v>
      </c>
      <c r="AJ377" s="11">
        <f t="shared" si="89"/>
        <v>0.29420549999999995</v>
      </c>
    </row>
    <row r="378" spans="1:36" x14ac:dyDescent="0.25">
      <c r="A378" s="4" t="s">
        <v>945</v>
      </c>
      <c r="B378" s="4" t="s">
        <v>978</v>
      </c>
      <c r="C378" s="4" t="s">
        <v>998</v>
      </c>
      <c r="D378" s="4" t="s">
        <v>938</v>
      </c>
      <c r="E378" t="s">
        <v>404</v>
      </c>
      <c r="F378" t="s">
        <v>360</v>
      </c>
      <c r="G378" t="s">
        <v>405</v>
      </c>
      <c r="H378">
        <v>40</v>
      </c>
      <c r="I378">
        <v>10</v>
      </c>
      <c r="J378" t="s">
        <v>40</v>
      </c>
      <c r="K378" t="s">
        <v>18</v>
      </c>
      <c r="L378" t="s">
        <v>420</v>
      </c>
      <c r="N378" t="s">
        <v>431</v>
      </c>
      <c r="P378">
        <f>70*0.003</f>
        <v>0.21</v>
      </c>
      <c r="Q378" t="s">
        <v>180</v>
      </c>
      <c r="R378" t="s">
        <v>187</v>
      </c>
      <c r="T378">
        <v>1</v>
      </c>
      <c r="U378" t="s">
        <v>187</v>
      </c>
      <c r="W378">
        <v>1860</v>
      </c>
      <c r="X378" t="s">
        <v>184</v>
      </c>
      <c r="AA378" s="13">
        <f>W378*T378*P378</f>
        <v>390.59999999999997</v>
      </c>
      <c r="AB378">
        <v>4.51</v>
      </c>
      <c r="AC378">
        <v>0.74</v>
      </c>
      <c r="AD378" s="11">
        <f t="shared" si="86"/>
        <v>44.040149999999997</v>
      </c>
      <c r="AE378" s="11">
        <f>_xlfn.RANK.AVG(Tableau8[[#This Row],[EE ( MJ/m²)]],AD378:AD1533)</f>
        <v>166</v>
      </c>
      <c r="AF378" s="11">
        <f t="shared" si="88"/>
        <v>4.4040149999999993</v>
      </c>
      <c r="AG378" s="11">
        <f t="shared" si="84"/>
        <v>7.2260999999999997</v>
      </c>
      <c r="AH378" s="11">
        <f t="shared" si="87"/>
        <v>7.2260999999999997</v>
      </c>
      <c r="AI378" s="11">
        <f t="shared" si="85"/>
        <v>0.72260999999999997</v>
      </c>
      <c r="AJ378" s="11">
        <f t="shared" si="89"/>
        <v>0.72260999999999997</v>
      </c>
    </row>
    <row r="379" spans="1:36" x14ac:dyDescent="0.25">
      <c r="A379" s="4" t="s">
        <v>945</v>
      </c>
      <c r="B379" s="4" t="s">
        <v>978</v>
      </c>
      <c r="C379" s="4" t="s">
        <v>998</v>
      </c>
      <c r="D379" s="4" t="s">
        <v>938</v>
      </c>
      <c r="E379" t="s">
        <v>404</v>
      </c>
      <c r="F379" t="s">
        <v>360</v>
      </c>
      <c r="G379" t="s">
        <v>405</v>
      </c>
      <c r="H379">
        <v>40</v>
      </c>
      <c r="I379">
        <v>10</v>
      </c>
      <c r="J379" t="s">
        <v>40</v>
      </c>
      <c r="K379" t="s">
        <v>41</v>
      </c>
      <c r="L379" t="s">
        <v>421</v>
      </c>
      <c r="N379" t="s">
        <v>423</v>
      </c>
      <c r="P379">
        <v>34</v>
      </c>
      <c r="Q379" t="s">
        <v>179</v>
      </c>
      <c r="T379">
        <v>1</v>
      </c>
      <c r="W379" s="1">
        <v>1864</v>
      </c>
      <c r="X379" t="s">
        <v>184</v>
      </c>
      <c r="Z379" t="s">
        <v>422</v>
      </c>
      <c r="AA379" s="13">
        <v>15.45</v>
      </c>
      <c r="AB379">
        <v>70</v>
      </c>
      <c r="AC379">
        <v>2.91</v>
      </c>
      <c r="AD379" s="11">
        <f t="shared" si="86"/>
        <v>27.037500000000001</v>
      </c>
      <c r="AE379" s="11">
        <f>_xlfn.RANK.AVG(Tableau8[[#This Row],[EE ( MJ/m²)]],AD379:AD1534)</f>
        <v>232</v>
      </c>
      <c r="AF379" s="11">
        <f t="shared" si="88"/>
        <v>2.7037500000000003</v>
      </c>
      <c r="AG379" s="11">
        <f t="shared" si="84"/>
        <v>1.1239874999999999</v>
      </c>
      <c r="AH379" s="11">
        <f t="shared" si="87"/>
        <v>1.1239874999999999</v>
      </c>
      <c r="AI379" s="11">
        <f t="shared" si="85"/>
        <v>0.11239874999999999</v>
      </c>
      <c r="AJ379" s="11">
        <f t="shared" si="89"/>
        <v>0.11239874999999999</v>
      </c>
    </row>
    <row r="380" spans="1:36" x14ac:dyDescent="0.25">
      <c r="A380" s="4" t="s">
        <v>945</v>
      </c>
      <c r="B380" s="4" t="s">
        <v>952</v>
      </c>
      <c r="C380" s="4" t="s">
        <v>15</v>
      </c>
      <c r="D380" s="4" t="s">
        <v>941</v>
      </c>
      <c r="E380" t="s">
        <v>605</v>
      </c>
      <c r="F380" t="s">
        <v>171</v>
      </c>
      <c r="G380" t="s">
        <v>206</v>
      </c>
      <c r="H380">
        <f t="shared" ref="H380:H388" si="90">2.7*1.8</f>
        <v>4.8600000000000003</v>
      </c>
      <c r="I380">
        <v>2</v>
      </c>
      <c r="J380" t="s">
        <v>44</v>
      </c>
      <c r="K380" t="s">
        <v>17</v>
      </c>
      <c r="L380" t="s">
        <v>612</v>
      </c>
      <c r="M380" t="s">
        <v>12</v>
      </c>
      <c r="N380" t="s">
        <v>612</v>
      </c>
      <c r="P380">
        <f>5*PI()*(0.00015^2)</f>
        <v>3.5342917352885166E-7</v>
      </c>
      <c r="Q380" t="s">
        <v>180</v>
      </c>
      <c r="T380">
        <v>3</v>
      </c>
      <c r="W380">
        <v>7800</v>
      </c>
      <c r="X380" t="s">
        <v>184</v>
      </c>
      <c r="AA380" s="9">
        <f>Tableau8[[#This Row],[density (kg/m2) or specific weight (kg/m2)]]*Tableau8[[#This Row],[nb of item used ]]*Tableau8[[#This Row],[volume or area]]</f>
        <v>8.2702426605751281E-3</v>
      </c>
      <c r="AB380">
        <v>36</v>
      </c>
      <c r="AC380">
        <v>3.02</v>
      </c>
      <c r="AD380" s="11">
        <f t="shared" si="86"/>
        <v>6.1261056745000951E-2</v>
      </c>
      <c r="AE380" s="11">
        <f>_xlfn.RANK.AVG(Tableau8[[#This Row],[EE ( MJ/m²)]],AD380:AD1535)</f>
        <v>718</v>
      </c>
      <c r="AF380" s="11">
        <f t="shared" si="88"/>
        <v>3.0630528372500476E-2</v>
      </c>
      <c r="AG380" s="11">
        <f t="shared" si="84"/>
        <v>5.1391219824973022E-3</v>
      </c>
      <c r="AH380" s="11">
        <f t="shared" si="87"/>
        <v>5.1391219824973022E-3</v>
      </c>
      <c r="AI380" s="11">
        <f t="shared" si="85"/>
        <v>2.5695609912486511E-3</v>
      </c>
      <c r="AJ380" s="11">
        <f t="shared" si="89"/>
        <v>2.5695609912486511E-3</v>
      </c>
    </row>
    <row r="381" spans="1:36" x14ac:dyDescent="0.25">
      <c r="A381" s="4" t="s">
        <v>945</v>
      </c>
      <c r="B381" s="4" t="s">
        <v>952</v>
      </c>
      <c r="C381" s="4" t="s">
        <v>15</v>
      </c>
      <c r="D381" s="4" t="s">
        <v>941</v>
      </c>
      <c r="E381" t="s">
        <v>605</v>
      </c>
      <c r="F381" t="s">
        <v>171</v>
      </c>
      <c r="G381" t="s">
        <v>206</v>
      </c>
      <c r="H381">
        <f t="shared" si="90"/>
        <v>4.8600000000000003</v>
      </c>
      <c r="I381">
        <v>2</v>
      </c>
      <c r="J381" t="s">
        <v>44</v>
      </c>
      <c r="K381" t="s">
        <v>17</v>
      </c>
      <c r="L381" t="s">
        <v>613</v>
      </c>
      <c r="M381" t="s">
        <v>12</v>
      </c>
      <c r="N381" t="s">
        <v>12</v>
      </c>
      <c r="T381">
        <v>1</v>
      </c>
      <c r="W381">
        <v>7800</v>
      </c>
      <c r="X381" t="s">
        <v>184</v>
      </c>
      <c r="AA381" s="11">
        <v>1.5</v>
      </c>
      <c r="AB381">
        <v>25.3</v>
      </c>
      <c r="AC381">
        <v>1.95</v>
      </c>
      <c r="AD381" s="11">
        <f t="shared" si="86"/>
        <v>7.8086419753086425</v>
      </c>
      <c r="AE381" s="11">
        <f>_xlfn.RANK.AVG(Tableau8[[#This Row],[EE ( MJ/m²)]],AD381:AD1536)</f>
        <v>389.5</v>
      </c>
      <c r="AF381" s="11">
        <f t="shared" si="88"/>
        <v>3.9043209876543212</v>
      </c>
      <c r="AG381" s="11">
        <f t="shared" si="84"/>
        <v>0.60185185185185175</v>
      </c>
      <c r="AH381" s="11">
        <f t="shared" si="87"/>
        <v>0.60185185185185175</v>
      </c>
      <c r="AI381" s="11">
        <f t="shared" si="85"/>
        <v>0.30092592592592587</v>
      </c>
      <c r="AJ381" s="11">
        <f t="shared" si="89"/>
        <v>0.30092592592592587</v>
      </c>
    </row>
    <row r="382" spans="1:36" x14ac:dyDescent="0.25">
      <c r="A382" s="4" t="s">
        <v>945</v>
      </c>
      <c r="B382" s="4" t="s">
        <v>952</v>
      </c>
      <c r="C382" s="4" t="s">
        <v>15</v>
      </c>
      <c r="D382" s="4" t="s">
        <v>941</v>
      </c>
      <c r="E382" t="s">
        <v>605</v>
      </c>
      <c r="F382" t="s">
        <v>171</v>
      </c>
      <c r="G382" t="s">
        <v>206</v>
      </c>
      <c r="H382">
        <f t="shared" si="90"/>
        <v>4.8600000000000003</v>
      </c>
      <c r="I382">
        <v>2</v>
      </c>
      <c r="J382" t="s">
        <v>44</v>
      </c>
      <c r="K382" t="s">
        <v>17</v>
      </c>
      <c r="L382" t="s">
        <v>614</v>
      </c>
      <c r="M382" t="s">
        <v>12</v>
      </c>
      <c r="N382" t="s">
        <v>12</v>
      </c>
      <c r="T382">
        <v>1</v>
      </c>
      <c r="W382">
        <v>7800</v>
      </c>
      <c r="X382" t="s">
        <v>184</v>
      </c>
      <c r="AA382" s="12">
        <v>1.5</v>
      </c>
      <c r="AB382">
        <v>25.3</v>
      </c>
      <c r="AC382">
        <v>1.95</v>
      </c>
      <c r="AD382" s="11">
        <f t="shared" si="86"/>
        <v>7.8086419753086425</v>
      </c>
      <c r="AE382" s="11">
        <f>_xlfn.RANK.AVG(Tableau8[[#This Row],[EE ( MJ/m²)]],AD382:AD1537)</f>
        <v>389</v>
      </c>
      <c r="AF382" s="11">
        <f t="shared" si="88"/>
        <v>3.9043209876543212</v>
      </c>
      <c r="AG382" s="11">
        <f t="shared" si="84"/>
        <v>0.60185185185185175</v>
      </c>
      <c r="AH382" s="11">
        <f t="shared" si="87"/>
        <v>0.60185185185185175</v>
      </c>
      <c r="AI382" s="11">
        <f t="shared" si="85"/>
        <v>0.30092592592592587</v>
      </c>
      <c r="AJ382" s="11">
        <f t="shared" si="89"/>
        <v>0.30092592592592587</v>
      </c>
    </row>
    <row r="383" spans="1:36" x14ac:dyDescent="0.25">
      <c r="A383" s="4" t="s">
        <v>945</v>
      </c>
      <c r="B383" s="4" t="s">
        <v>952</v>
      </c>
      <c r="C383" s="4" t="s">
        <v>15</v>
      </c>
      <c r="D383" s="4" t="s">
        <v>941</v>
      </c>
      <c r="E383" t="s">
        <v>605</v>
      </c>
      <c r="F383" t="s">
        <v>171</v>
      </c>
      <c r="G383" t="s">
        <v>206</v>
      </c>
      <c r="H383">
        <f t="shared" si="90"/>
        <v>4.8600000000000003</v>
      </c>
      <c r="I383">
        <v>2</v>
      </c>
      <c r="J383" t="s">
        <v>42</v>
      </c>
      <c r="K383" t="s">
        <v>15</v>
      </c>
      <c r="L383" t="s">
        <v>608</v>
      </c>
      <c r="M383" t="s">
        <v>610</v>
      </c>
      <c r="N383" t="s">
        <v>611</v>
      </c>
      <c r="P383">
        <v>7.5599999999999999E-3</v>
      </c>
      <c r="Q383" t="s">
        <v>180</v>
      </c>
      <c r="T383">
        <v>28</v>
      </c>
      <c r="W383">
        <v>510</v>
      </c>
      <c r="AA383" s="11">
        <f>Tableau8[[#This Row],[nb of item used ]]*Tableau8[[#This Row],[density (kg/m2) or specific weight (kg/m2)]]*Tableau8[[#This Row],[volume or area]]</f>
        <v>107.9568</v>
      </c>
      <c r="AB383">
        <v>7.4</v>
      </c>
      <c r="AC383">
        <f>0.2+0.39</f>
        <v>0.59000000000000008</v>
      </c>
      <c r="AD383" s="11">
        <f t="shared" si="86"/>
        <v>164.37866666666667</v>
      </c>
      <c r="AE383" s="11">
        <f>_xlfn.RANK.AVG(Tableau8[[#This Row],[EE ( MJ/m²)]],AD383:AD1538)</f>
        <v>54</v>
      </c>
      <c r="AF383" s="11">
        <f t="shared" si="88"/>
        <v>82.189333333333337</v>
      </c>
      <c r="AG383" s="11">
        <f t="shared" si="84"/>
        <v>13.105866666666667</v>
      </c>
      <c r="AH383" s="11">
        <f t="shared" si="87"/>
        <v>13.105866666666667</v>
      </c>
      <c r="AI383" s="11">
        <f t="shared" si="85"/>
        <v>6.5529333333333337</v>
      </c>
      <c r="AJ383" s="11">
        <f t="shared" si="89"/>
        <v>6.5529333333333337</v>
      </c>
    </row>
    <row r="384" spans="1:36" x14ac:dyDescent="0.25">
      <c r="A384" s="4" t="s">
        <v>945</v>
      </c>
      <c r="B384" s="4" t="s">
        <v>952</v>
      </c>
      <c r="C384" s="4" t="s">
        <v>15</v>
      </c>
      <c r="D384" s="4" t="s">
        <v>941</v>
      </c>
      <c r="E384" t="s">
        <v>605</v>
      </c>
      <c r="F384" t="s">
        <v>171</v>
      </c>
      <c r="G384" t="s">
        <v>206</v>
      </c>
      <c r="H384">
        <f t="shared" si="90"/>
        <v>4.8600000000000003</v>
      </c>
      <c r="I384">
        <v>2</v>
      </c>
      <c r="J384" t="s">
        <v>42</v>
      </c>
      <c r="K384" t="s">
        <v>15</v>
      </c>
      <c r="L384" t="s">
        <v>609</v>
      </c>
      <c r="M384" t="s">
        <v>610</v>
      </c>
      <c r="N384" t="s">
        <v>611</v>
      </c>
      <c r="P384">
        <v>1.728E-2</v>
      </c>
      <c r="Q384" t="s">
        <v>180</v>
      </c>
      <c r="T384">
        <v>3</v>
      </c>
      <c r="W384">
        <v>510</v>
      </c>
      <c r="AA384" s="10">
        <f>Tableau8[[#This Row],[nb of item used ]]*Tableau8[[#This Row],[density (kg/m2) or specific weight (kg/m2)]]*Tableau8[[#This Row],[volume or area]]</f>
        <v>26.438400000000001</v>
      </c>
      <c r="AB384">
        <v>7.4</v>
      </c>
      <c r="AC384">
        <f>0.2+0.39</f>
        <v>0.59000000000000008</v>
      </c>
      <c r="AD384" s="11">
        <f t="shared" si="86"/>
        <v>40.256</v>
      </c>
      <c r="AE384" s="11">
        <f>_xlfn.RANK.AVG(Tableau8[[#This Row],[EE ( MJ/m²)]],AD384:AD1539)</f>
        <v>170</v>
      </c>
      <c r="AF384" s="11">
        <f t="shared" si="88"/>
        <v>20.128</v>
      </c>
      <c r="AG384" s="11">
        <f t="shared" si="84"/>
        <v>3.2096000000000005</v>
      </c>
      <c r="AH384" s="11">
        <f t="shared" si="87"/>
        <v>3.2096000000000005</v>
      </c>
      <c r="AI384" s="11">
        <f t="shared" si="85"/>
        <v>1.6048000000000002</v>
      </c>
      <c r="AJ384" s="11">
        <f t="shared" si="89"/>
        <v>1.6048000000000002</v>
      </c>
    </row>
    <row r="385" spans="1:36" x14ac:dyDescent="0.25">
      <c r="A385" s="4" t="s">
        <v>945</v>
      </c>
      <c r="B385" s="4" t="s">
        <v>952</v>
      </c>
      <c r="C385" s="4" t="s">
        <v>15</v>
      </c>
      <c r="D385" s="4" t="s">
        <v>941</v>
      </c>
      <c r="E385" t="s">
        <v>605</v>
      </c>
      <c r="F385" t="s">
        <v>171</v>
      </c>
      <c r="G385" t="s">
        <v>206</v>
      </c>
      <c r="H385">
        <f t="shared" si="90"/>
        <v>4.8600000000000003</v>
      </c>
      <c r="I385">
        <v>2</v>
      </c>
      <c r="J385" t="s">
        <v>13</v>
      </c>
      <c r="K385" t="s">
        <v>29</v>
      </c>
      <c r="L385" t="s">
        <v>368</v>
      </c>
      <c r="M385" t="s">
        <v>364</v>
      </c>
      <c r="N385" t="s">
        <v>432</v>
      </c>
      <c r="P385">
        <v>0.6</v>
      </c>
      <c r="Q385" t="s">
        <v>180</v>
      </c>
      <c r="T385">
        <v>1</v>
      </c>
      <c r="W385" s="1">
        <v>2240</v>
      </c>
      <c r="X385" t="s">
        <v>184</v>
      </c>
      <c r="AA385" s="11">
        <f>Tableau8[[#This Row],[density (kg/m2) or specific weight (kg/m2)]]*Tableau8[[#This Row],[nb of item used ]]*Tableau8[[#This Row],[volume or area]]</f>
        <v>1344</v>
      </c>
      <c r="AB385">
        <v>8.0999999999999996E-3</v>
      </c>
      <c r="AC385">
        <v>5.1000000000000004E-3</v>
      </c>
      <c r="AD385" s="11">
        <f t="shared" si="86"/>
        <v>2.2399999999999998</v>
      </c>
      <c r="AE385" s="11">
        <f>_xlfn.RANK.AVG(Tableau8[[#This Row],[EE ( MJ/m²)]],AD385:AD1540)</f>
        <v>530</v>
      </c>
      <c r="AF385" s="11">
        <f t="shared" si="88"/>
        <v>1.1199999999999999</v>
      </c>
      <c r="AG385" s="11">
        <f t="shared" si="84"/>
        <v>1.4103703703703703</v>
      </c>
      <c r="AH385" s="11">
        <f t="shared" si="87"/>
        <v>1.4103703703703703</v>
      </c>
      <c r="AI385" s="11">
        <f t="shared" si="85"/>
        <v>0.70518518518518514</v>
      </c>
      <c r="AJ385" s="11">
        <f t="shared" si="89"/>
        <v>0.70518518518518514</v>
      </c>
    </row>
    <row r="386" spans="1:36" x14ac:dyDescent="0.25">
      <c r="A386" s="4" t="s">
        <v>945</v>
      </c>
      <c r="B386" s="4" t="s">
        <v>952</v>
      </c>
      <c r="C386" s="4" t="s">
        <v>15</v>
      </c>
      <c r="D386" s="4" t="s">
        <v>941</v>
      </c>
      <c r="E386" t="s">
        <v>605</v>
      </c>
      <c r="F386" t="s">
        <v>171</v>
      </c>
      <c r="G386" t="s">
        <v>206</v>
      </c>
      <c r="H386">
        <f t="shared" si="90"/>
        <v>4.8600000000000003</v>
      </c>
      <c r="I386">
        <v>2</v>
      </c>
      <c r="J386" t="s">
        <v>42</v>
      </c>
      <c r="K386" t="s">
        <v>14</v>
      </c>
      <c r="L386" t="s">
        <v>928</v>
      </c>
      <c r="M386" t="s">
        <v>35</v>
      </c>
      <c r="N386" t="s">
        <v>35</v>
      </c>
      <c r="P386">
        <f>6*6</f>
        <v>36</v>
      </c>
      <c r="Q386" t="s">
        <v>179</v>
      </c>
      <c r="T386">
        <v>3</v>
      </c>
      <c r="W386">
        <v>0.18</v>
      </c>
      <c r="X386" t="s">
        <v>183</v>
      </c>
      <c r="AA386" s="10">
        <f>Tableau8[[#This Row],[nb of item used ]]*Tableau8[[#This Row],[density (kg/m2) or specific weight (kg/m2)]]*Tableau8[[#This Row],[volume or area]]</f>
        <v>19.440000000000001</v>
      </c>
      <c r="AB386">
        <v>54.3</v>
      </c>
      <c r="AC386">
        <v>1.93</v>
      </c>
      <c r="AD386" s="11">
        <f t="shared" si="86"/>
        <v>217.20000000000002</v>
      </c>
      <c r="AE386" s="11">
        <f>_xlfn.RANK.AVG(Tableau8[[#This Row],[EE ( MJ/m²)]],AD386:AD1541)</f>
        <v>38</v>
      </c>
      <c r="AF386" s="11">
        <f t="shared" si="88"/>
        <v>108.60000000000001</v>
      </c>
      <c r="AG386" s="11">
        <f t="shared" si="84"/>
        <v>7.7199999999999989</v>
      </c>
      <c r="AH386" s="11">
        <f t="shared" si="87"/>
        <v>7.7199999999999989</v>
      </c>
      <c r="AI386" s="11">
        <f t="shared" si="85"/>
        <v>3.8599999999999994</v>
      </c>
      <c r="AJ386" s="11">
        <f t="shared" si="89"/>
        <v>3.8599999999999994</v>
      </c>
    </row>
    <row r="387" spans="1:36" x14ac:dyDescent="0.25">
      <c r="A387" s="4" t="s">
        <v>945</v>
      </c>
      <c r="B387" s="4" t="s">
        <v>952</v>
      </c>
      <c r="C387" s="4" t="s">
        <v>15</v>
      </c>
      <c r="D387" s="4" t="s">
        <v>941</v>
      </c>
      <c r="E387" t="s">
        <v>605</v>
      </c>
      <c r="F387" t="s">
        <v>171</v>
      </c>
      <c r="G387" t="s">
        <v>206</v>
      </c>
      <c r="H387">
        <f t="shared" si="90"/>
        <v>4.8600000000000003</v>
      </c>
      <c r="I387">
        <v>2</v>
      </c>
      <c r="J387" t="s">
        <v>13</v>
      </c>
      <c r="K387" t="s">
        <v>29</v>
      </c>
      <c r="L387" t="s">
        <v>607</v>
      </c>
      <c r="M387" t="s">
        <v>607</v>
      </c>
      <c r="N387" t="s">
        <v>433</v>
      </c>
      <c r="P387">
        <v>0.8</v>
      </c>
      <c r="Q387" t="s">
        <v>180</v>
      </c>
      <c r="T387">
        <v>1</v>
      </c>
      <c r="W387">
        <v>2240</v>
      </c>
      <c r="X387" t="s">
        <v>184</v>
      </c>
      <c r="AA387" s="13">
        <f>Tableau8[[#This Row],[density (kg/m2) or specific weight (kg/m2)]]*Tableau8[[#This Row],[nb of item used ]]*Tableau8[[#This Row],[volume or area]]</f>
        <v>1792</v>
      </c>
      <c r="AB387">
        <v>8.3000000000000004E-2</v>
      </c>
      <c r="AC387">
        <v>5.1999999999999998E-3</v>
      </c>
      <c r="AD387" s="11">
        <f t="shared" si="86"/>
        <v>30.604115226337452</v>
      </c>
      <c r="AE387" s="11">
        <f>_xlfn.RANK.AVG(Tableau8[[#This Row],[EE ( MJ/m²)]],AD387:AD1542)</f>
        <v>217</v>
      </c>
      <c r="AF387" s="11">
        <f t="shared" si="88"/>
        <v>15.302057613168726</v>
      </c>
      <c r="AG387" s="11">
        <f t="shared" si="84"/>
        <v>1.9173662551440329</v>
      </c>
      <c r="AH387" s="11">
        <f t="shared" si="87"/>
        <v>1.9173662551440329</v>
      </c>
      <c r="AI387" s="11">
        <f t="shared" si="85"/>
        <v>0.95868312757201646</v>
      </c>
      <c r="AJ387" s="11">
        <f t="shared" si="89"/>
        <v>0.95868312757201646</v>
      </c>
    </row>
    <row r="388" spans="1:36" x14ac:dyDescent="0.25">
      <c r="A388" s="4" t="s">
        <v>945</v>
      </c>
      <c r="B388" s="4" t="s">
        <v>952</v>
      </c>
      <c r="C388" s="4" t="s">
        <v>15</v>
      </c>
      <c r="D388" s="4" t="s">
        <v>941</v>
      </c>
      <c r="E388" t="s">
        <v>605</v>
      </c>
      <c r="F388" t="s">
        <v>171</v>
      </c>
      <c r="G388" t="s">
        <v>206</v>
      </c>
      <c r="H388">
        <f t="shared" si="90"/>
        <v>4.8600000000000003</v>
      </c>
      <c r="I388">
        <v>2</v>
      </c>
      <c r="J388" t="s">
        <v>13</v>
      </c>
      <c r="K388" t="s">
        <v>18</v>
      </c>
      <c r="L388" t="s">
        <v>606</v>
      </c>
      <c r="M388" t="s">
        <v>363</v>
      </c>
      <c r="N388" t="s">
        <v>431</v>
      </c>
      <c r="T388">
        <v>1</v>
      </c>
      <c r="W388">
        <v>1860</v>
      </c>
      <c r="X388" t="s">
        <v>184</v>
      </c>
      <c r="AA388" s="9">
        <v>85</v>
      </c>
      <c r="AB388">
        <v>4.51</v>
      </c>
      <c r="AC388">
        <v>0.74</v>
      </c>
      <c r="AD388" s="11">
        <f t="shared" si="86"/>
        <v>78.878600823045261</v>
      </c>
      <c r="AE388" s="11">
        <f>_xlfn.RANK.AVG(Tableau8[[#This Row],[EE ( MJ/m²)]],AD388:AD1543)</f>
        <v>108</v>
      </c>
      <c r="AF388" s="11">
        <f t="shared" si="88"/>
        <v>39.43930041152263</v>
      </c>
      <c r="AG388" s="11">
        <f t="shared" si="84"/>
        <v>12.942386831275719</v>
      </c>
      <c r="AH388" s="11">
        <f t="shared" si="87"/>
        <v>12.942386831275719</v>
      </c>
      <c r="AI388" s="11">
        <f t="shared" si="85"/>
        <v>6.4711934156378597</v>
      </c>
      <c r="AJ388" s="11">
        <f t="shared" si="89"/>
        <v>6.4711934156378597</v>
      </c>
    </row>
    <row r="389" spans="1:36" x14ac:dyDescent="0.25">
      <c r="A389" s="4" t="s">
        <v>945</v>
      </c>
      <c r="B389" s="4" t="s">
        <v>993</v>
      </c>
      <c r="C389" s="4" t="s">
        <v>15</v>
      </c>
      <c r="D389" s="4" t="s">
        <v>938</v>
      </c>
      <c r="E389" t="s">
        <v>186</v>
      </c>
      <c r="F389" t="s">
        <v>171</v>
      </c>
      <c r="G389" t="s">
        <v>172</v>
      </c>
      <c r="H389">
        <v>12</v>
      </c>
      <c r="I389">
        <v>1.5</v>
      </c>
      <c r="J389" t="s">
        <v>42</v>
      </c>
      <c r="K389" t="s">
        <v>15</v>
      </c>
      <c r="L389" t="s">
        <v>4</v>
      </c>
      <c r="M389" t="s">
        <v>2</v>
      </c>
      <c r="N389" t="s">
        <v>15</v>
      </c>
      <c r="O389" t="s">
        <v>37</v>
      </c>
      <c r="P389">
        <f>2*((PI()*((4+7.5)*(10^(-2))/2)^2))</f>
        <v>2.0773781421862508E-2</v>
      </c>
      <c r="Q389" t="s">
        <v>180</v>
      </c>
      <c r="R389" s="3" t="s">
        <v>176</v>
      </c>
      <c r="T389">
        <v>8</v>
      </c>
      <c r="U389" t="s">
        <v>175</v>
      </c>
      <c r="W389">
        <v>480</v>
      </c>
      <c r="X389" t="s">
        <v>184</v>
      </c>
      <c r="Y389" t="s">
        <v>185</v>
      </c>
      <c r="Z389" t="s">
        <v>45</v>
      </c>
      <c r="AA389" s="13">
        <f t="shared" ref="AA389:AA395" si="91">W389*T389*P389</f>
        <v>79.771320659952039</v>
      </c>
      <c r="AB389">
        <f>10-4.4</f>
        <v>5.6</v>
      </c>
      <c r="AC389">
        <f>0.31+0.41</f>
        <v>0.72</v>
      </c>
      <c r="AD389" s="11">
        <f t="shared" si="86"/>
        <v>37.226616307977615</v>
      </c>
      <c r="AE389" s="11">
        <f>_xlfn.RANK.AVG(Tableau8[[#This Row],[EE ( MJ/m²)]],AD389:AD1544)</f>
        <v>180</v>
      </c>
      <c r="AF389" s="11">
        <f t="shared" si="88"/>
        <v>24.817744205318409</v>
      </c>
      <c r="AG389" s="11">
        <f>(AC389-0.41)*AA389/H389</f>
        <v>2.0607591170487609</v>
      </c>
      <c r="AH389" s="11">
        <f t="shared" si="87"/>
        <v>4.7862792395971221</v>
      </c>
      <c r="AI389" s="11">
        <f>(AC389-0.41)*AA389/H389/I389</f>
        <v>1.3738394113658405</v>
      </c>
      <c r="AJ389" s="11">
        <f t="shared" si="89"/>
        <v>3.1908528263980815</v>
      </c>
    </row>
    <row r="390" spans="1:36" x14ac:dyDescent="0.25">
      <c r="A390" s="4" t="s">
        <v>945</v>
      </c>
      <c r="B390" s="4" t="s">
        <v>993</v>
      </c>
      <c r="C390" s="4" t="s">
        <v>15</v>
      </c>
      <c r="D390" s="4" t="s">
        <v>938</v>
      </c>
      <c r="E390" t="s">
        <v>186</v>
      </c>
      <c r="F390" t="s">
        <v>171</v>
      </c>
      <c r="G390" t="s">
        <v>172</v>
      </c>
      <c r="H390">
        <v>12</v>
      </c>
      <c r="I390">
        <v>1.5</v>
      </c>
      <c r="J390" t="s">
        <v>42</v>
      </c>
      <c r="K390" t="s">
        <v>15</v>
      </c>
      <c r="L390" t="s">
        <v>4</v>
      </c>
      <c r="M390" t="s">
        <v>2</v>
      </c>
      <c r="N390" t="s">
        <v>15</v>
      </c>
      <c r="O390" t="s">
        <v>37</v>
      </c>
      <c r="P390">
        <f>3*((PI()*((4+7.5)*(10^(-2))/2)^2))</f>
        <v>3.1160672132793762E-2</v>
      </c>
      <c r="Q390" t="s">
        <v>180</v>
      </c>
      <c r="R390" s="3" t="s">
        <v>176</v>
      </c>
      <c r="T390">
        <v>2</v>
      </c>
      <c r="U390" t="s">
        <v>175</v>
      </c>
      <c r="W390">
        <v>480</v>
      </c>
      <c r="X390" t="s">
        <v>184</v>
      </c>
      <c r="Y390" t="s">
        <v>185</v>
      </c>
      <c r="Z390" t="s">
        <v>45</v>
      </c>
      <c r="AA390" s="13">
        <f t="shared" si="91"/>
        <v>29.914245247482011</v>
      </c>
      <c r="AB390">
        <f>10-4.4</f>
        <v>5.6</v>
      </c>
      <c r="AC390">
        <f>0.31+0.41</f>
        <v>0.72</v>
      </c>
      <c r="AD390" s="11">
        <f t="shared" si="86"/>
        <v>13.959981115491603</v>
      </c>
      <c r="AE390" s="11">
        <f>_xlfn.RANK.AVG(Tableau8[[#This Row],[EE ( MJ/m²)]],AD390:AD1545)</f>
        <v>321</v>
      </c>
      <c r="AF390" s="11">
        <f t="shared" si="88"/>
        <v>9.3066540769944019</v>
      </c>
      <c r="AG390" s="11">
        <f>(AC390-0.41)*AA390/H390</f>
        <v>0.77278466889328534</v>
      </c>
      <c r="AH390" s="11">
        <f t="shared" si="87"/>
        <v>1.7948547148489205</v>
      </c>
      <c r="AI390" s="11">
        <f>(AC390-0.41)*AA390/H390/I390</f>
        <v>0.51518977926219023</v>
      </c>
      <c r="AJ390" s="11">
        <f t="shared" si="89"/>
        <v>1.1965698098992803</v>
      </c>
    </row>
    <row r="391" spans="1:36" x14ac:dyDescent="0.25">
      <c r="A391" s="4" t="s">
        <v>945</v>
      </c>
      <c r="B391" s="4" t="s">
        <v>993</v>
      </c>
      <c r="C391" s="4" t="s">
        <v>15</v>
      </c>
      <c r="D391" s="4" t="s">
        <v>938</v>
      </c>
      <c r="E391" t="s">
        <v>186</v>
      </c>
      <c r="F391" t="s">
        <v>171</v>
      </c>
      <c r="G391" t="s">
        <v>172</v>
      </c>
      <c r="H391">
        <v>12</v>
      </c>
      <c r="I391">
        <v>1.5</v>
      </c>
      <c r="J391" t="s">
        <v>42</v>
      </c>
      <c r="K391" t="s">
        <v>15</v>
      </c>
      <c r="L391" t="s">
        <v>3</v>
      </c>
      <c r="M391" t="s">
        <v>2</v>
      </c>
      <c r="N391" t="s">
        <v>15</v>
      </c>
      <c r="O391" t="s">
        <v>37</v>
      </c>
      <c r="P391">
        <f>4.2*((PI()*((4+7.5)*(10^(-2))/2)^2))</f>
        <v>4.362494098591127E-2</v>
      </c>
      <c r="Q391" t="s">
        <v>180</v>
      </c>
      <c r="R391" s="3" t="s">
        <v>176</v>
      </c>
      <c r="T391">
        <v>2</v>
      </c>
      <c r="U391" t="s">
        <v>175</v>
      </c>
      <c r="W391">
        <v>480</v>
      </c>
      <c r="X391" t="s">
        <v>184</v>
      </c>
      <c r="Y391" t="s">
        <v>185</v>
      </c>
      <c r="Z391" t="s">
        <v>45</v>
      </c>
      <c r="AA391" s="13">
        <f t="shared" si="91"/>
        <v>41.879943346474818</v>
      </c>
      <c r="AB391">
        <f>10-4.4</f>
        <v>5.6</v>
      </c>
      <c r="AC391">
        <f>0.31+0.41</f>
        <v>0.72</v>
      </c>
      <c r="AD391" s="11">
        <f t="shared" si="86"/>
        <v>19.543973561688247</v>
      </c>
      <c r="AE391" s="11">
        <f>_xlfn.RANK.AVG(Tableau8[[#This Row],[EE ( MJ/m²)]],AD391:AD1546)</f>
        <v>269</v>
      </c>
      <c r="AF391" s="11">
        <f t="shared" si="88"/>
        <v>13.029315707792165</v>
      </c>
      <c r="AG391" s="11">
        <f>(AC391-0.41)*AA391/H391</f>
        <v>1.0818985364505995</v>
      </c>
      <c r="AH391" s="11">
        <f t="shared" si="87"/>
        <v>2.512796600788489</v>
      </c>
      <c r="AI391" s="11">
        <f>(AC391-0.41)*AA391/H391/I391</f>
        <v>0.72126569096706639</v>
      </c>
      <c r="AJ391" s="11">
        <f t="shared" si="89"/>
        <v>1.6751977338589927</v>
      </c>
    </row>
    <row r="392" spans="1:36" x14ac:dyDescent="0.25">
      <c r="A392" s="4" t="s">
        <v>945</v>
      </c>
      <c r="B392" s="4" t="s">
        <v>993</v>
      </c>
      <c r="C392" s="4" t="s">
        <v>15</v>
      </c>
      <c r="D392" s="4" t="s">
        <v>938</v>
      </c>
      <c r="E392" t="s">
        <v>186</v>
      </c>
      <c r="F392" t="s">
        <v>171</v>
      </c>
      <c r="G392" t="s">
        <v>172</v>
      </c>
      <c r="H392">
        <v>12</v>
      </c>
      <c r="I392">
        <v>1.5</v>
      </c>
      <c r="J392" t="s">
        <v>56</v>
      </c>
      <c r="K392" t="s">
        <v>15</v>
      </c>
      <c r="L392" t="s">
        <v>5</v>
      </c>
      <c r="M392" t="s">
        <v>2</v>
      </c>
      <c r="N392" t="s">
        <v>15</v>
      </c>
      <c r="O392" t="s">
        <v>37</v>
      </c>
      <c r="P392">
        <f>2.2*((PI()*((4+7.5)*(10^(-2))/2)^2))</f>
        <v>2.2851159564048762E-2</v>
      </c>
      <c r="Q392" t="s">
        <v>180</v>
      </c>
      <c r="R392" s="3" t="s">
        <v>176</v>
      </c>
      <c r="T392">
        <v>6</v>
      </c>
      <c r="U392" t="s">
        <v>175</v>
      </c>
      <c r="W392">
        <v>480</v>
      </c>
      <c r="X392" t="s">
        <v>184</v>
      </c>
      <c r="Y392" t="s">
        <v>185</v>
      </c>
      <c r="Z392" t="s">
        <v>45</v>
      </c>
      <c r="AA392" s="13">
        <f t="shared" si="91"/>
        <v>65.811339544460438</v>
      </c>
      <c r="AB392">
        <f>10-4.4</f>
        <v>5.6</v>
      </c>
      <c r="AC392">
        <f>0.31+0.41</f>
        <v>0.72</v>
      </c>
      <c r="AD392" s="11">
        <f t="shared" si="86"/>
        <v>30.711958454081536</v>
      </c>
      <c r="AE392" s="11">
        <f>_xlfn.RANK.AVG(Tableau8[[#This Row],[EE ( MJ/m²)]],AD392:AD1547)</f>
        <v>212</v>
      </c>
      <c r="AF392" s="11">
        <f t="shared" si="88"/>
        <v>20.474638969387691</v>
      </c>
      <c r="AG392" s="11">
        <f>(AC392-0.41)*AA392/H392</f>
        <v>1.7001262715652281</v>
      </c>
      <c r="AH392" s="11">
        <f t="shared" si="87"/>
        <v>3.9486803726676261</v>
      </c>
      <c r="AI392" s="11">
        <f>(AC392-0.41)*AA392/H392/I392</f>
        <v>1.1334175143768188</v>
      </c>
      <c r="AJ392" s="11">
        <f t="shared" si="89"/>
        <v>2.6324535817784174</v>
      </c>
    </row>
    <row r="393" spans="1:36" x14ac:dyDescent="0.25">
      <c r="A393" s="4" t="s">
        <v>945</v>
      </c>
      <c r="B393" s="4" t="s">
        <v>993</v>
      </c>
      <c r="C393" s="4" t="s">
        <v>15</v>
      </c>
      <c r="D393" s="4" t="s">
        <v>938</v>
      </c>
      <c r="E393" t="s">
        <v>186</v>
      </c>
      <c r="F393" t="s">
        <v>171</v>
      </c>
      <c r="G393" t="s">
        <v>172</v>
      </c>
      <c r="H393">
        <v>12</v>
      </c>
      <c r="I393">
        <v>1.5</v>
      </c>
      <c r="J393" t="s">
        <v>56</v>
      </c>
      <c r="K393" t="s">
        <v>15</v>
      </c>
      <c r="L393" t="s">
        <v>6</v>
      </c>
      <c r="M393" t="s">
        <v>2</v>
      </c>
      <c r="N393" t="s">
        <v>15</v>
      </c>
      <c r="O393" t="s">
        <v>37</v>
      </c>
      <c r="P393">
        <f>0.8*((PI()*((2+4)*(10^(-2))/2)^2))</f>
        <v>2.2619467105846509E-3</v>
      </c>
      <c r="Q393" t="s">
        <v>180</v>
      </c>
      <c r="R393" s="3" t="s">
        <v>176</v>
      </c>
      <c r="T393">
        <v>4</v>
      </c>
      <c r="U393" t="s">
        <v>175</v>
      </c>
      <c r="W393">
        <v>480</v>
      </c>
      <c r="X393" t="s">
        <v>184</v>
      </c>
      <c r="Y393" t="s">
        <v>185</v>
      </c>
      <c r="Z393" t="s">
        <v>45</v>
      </c>
      <c r="AA393" s="13">
        <f t="shared" si="91"/>
        <v>4.3429376843225302</v>
      </c>
      <c r="AB393">
        <f>10-4.4</f>
        <v>5.6</v>
      </c>
      <c r="AC393">
        <f>0.31+0.41</f>
        <v>0.72</v>
      </c>
      <c r="AD393" s="11">
        <f t="shared" si="86"/>
        <v>2.0267042526838472</v>
      </c>
      <c r="AE393" s="11">
        <f>_xlfn.RANK.AVG(Tableau8[[#This Row],[EE ( MJ/m²)]],AD393:AD1548)</f>
        <v>534</v>
      </c>
      <c r="AF393" s="11">
        <f t="shared" si="88"/>
        <v>1.3511361684558982</v>
      </c>
      <c r="AG393" s="11">
        <f>(AC393-0.41)*AA393/H393</f>
        <v>0.11219255684499869</v>
      </c>
      <c r="AH393" s="11">
        <f t="shared" si="87"/>
        <v>0.26057626105935178</v>
      </c>
      <c r="AI393" s="11">
        <f>(AC393-0.41)*AA393/H393/I393</f>
        <v>7.4795037896665792E-2</v>
      </c>
      <c r="AJ393" s="11">
        <f t="shared" si="89"/>
        <v>0.17371750737290118</v>
      </c>
    </row>
    <row r="394" spans="1:36" x14ac:dyDescent="0.25">
      <c r="A394" s="4" t="s">
        <v>945</v>
      </c>
      <c r="B394" s="4" t="s">
        <v>993</v>
      </c>
      <c r="C394" s="4" t="s">
        <v>15</v>
      </c>
      <c r="D394" s="4" t="s">
        <v>938</v>
      </c>
      <c r="E394" t="s">
        <v>186</v>
      </c>
      <c r="F394" t="s">
        <v>171</v>
      </c>
      <c r="G394" t="s">
        <v>172</v>
      </c>
      <c r="H394">
        <v>12</v>
      </c>
      <c r="I394">
        <v>1.5</v>
      </c>
      <c r="J394" t="s">
        <v>40</v>
      </c>
      <c r="K394" t="s">
        <v>15</v>
      </c>
      <c r="L394" t="s">
        <v>53</v>
      </c>
      <c r="M394" t="s">
        <v>52</v>
      </c>
      <c r="N394" t="s">
        <v>223</v>
      </c>
      <c r="O394" t="s">
        <v>38</v>
      </c>
      <c r="P394">
        <f>2*((PI()*((50)*(10^(-2))/2)^2))</f>
        <v>0.39269908169872414</v>
      </c>
      <c r="Q394" t="s">
        <v>180</v>
      </c>
      <c r="R394" s="3" t="s">
        <v>187</v>
      </c>
      <c r="S394" t="s">
        <v>54</v>
      </c>
      <c r="T394">
        <v>14</v>
      </c>
      <c r="U394" t="s">
        <v>175</v>
      </c>
      <c r="W394">
        <v>17</v>
      </c>
      <c r="X394" t="s">
        <v>184</v>
      </c>
      <c r="Y394" t="s">
        <v>185</v>
      </c>
      <c r="Z394" t="s">
        <v>46</v>
      </c>
      <c r="AA394" s="13">
        <f t="shared" si="91"/>
        <v>93.462381444296341</v>
      </c>
      <c r="AB394">
        <v>0.24</v>
      </c>
      <c r="AC394">
        <v>0.01</v>
      </c>
      <c r="AD394" s="11">
        <f t="shared" si="86"/>
        <v>1.8692476288859268</v>
      </c>
      <c r="AE394" s="11">
        <f>_xlfn.RANK.AVG(Tableau8[[#This Row],[EE ( MJ/m²)]],AD394:AD1549)</f>
        <v>546.5</v>
      </c>
      <c r="AF394" s="11">
        <f t="shared" si="88"/>
        <v>1.2461650859239513</v>
      </c>
      <c r="AG394" s="11">
        <f t="shared" ref="AG394:AG399" si="92">(AC394)*AA394/H394</f>
        <v>7.7885317870246953E-2</v>
      </c>
      <c r="AH394" s="11">
        <f t="shared" si="87"/>
        <v>7.7885317870246953E-2</v>
      </c>
      <c r="AI394" s="11">
        <f t="shared" ref="AI394:AI399" si="93">(AC394)*AA394/H394/I394</f>
        <v>5.19235452468313E-2</v>
      </c>
      <c r="AJ394" s="11">
        <f t="shared" si="89"/>
        <v>5.19235452468313E-2</v>
      </c>
    </row>
    <row r="395" spans="1:36" x14ac:dyDescent="0.25">
      <c r="A395" s="4" t="s">
        <v>945</v>
      </c>
      <c r="B395" s="4" t="s">
        <v>993</v>
      </c>
      <c r="C395" s="4" t="s">
        <v>15</v>
      </c>
      <c r="D395" s="4" t="s">
        <v>938</v>
      </c>
      <c r="E395" t="s">
        <v>186</v>
      </c>
      <c r="F395" t="s">
        <v>171</v>
      </c>
      <c r="G395" t="s">
        <v>172</v>
      </c>
      <c r="H395">
        <v>12</v>
      </c>
      <c r="I395">
        <v>1.5</v>
      </c>
      <c r="J395" t="s">
        <v>58</v>
      </c>
      <c r="K395" t="s">
        <v>14</v>
      </c>
      <c r="L395" t="s">
        <v>0</v>
      </c>
      <c r="M395" t="s">
        <v>32</v>
      </c>
      <c r="N395" t="s">
        <v>35</v>
      </c>
      <c r="O395" t="s">
        <v>36</v>
      </c>
      <c r="P395">
        <f>4*5</f>
        <v>20</v>
      </c>
      <c r="Q395" t="s">
        <v>179</v>
      </c>
      <c r="R395" s="3" t="s">
        <v>176</v>
      </c>
      <c r="S395" t="s">
        <v>31</v>
      </c>
      <c r="T395">
        <v>3</v>
      </c>
      <c r="U395" t="s">
        <v>175</v>
      </c>
      <c r="W395">
        <v>0.19</v>
      </c>
      <c r="X395" t="s">
        <v>183</v>
      </c>
      <c r="Y395" t="s">
        <v>175</v>
      </c>
      <c r="AA395" s="13">
        <f t="shared" si="91"/>
        <v>11.400000000000002</v>
      </c>
      <c r="AB395">
        <v>54.3</v>
      </c>
      <c r="AC395">
        <v>1.93</v>
      </c>
      <c r="AD395" s="11">
        <f t="shared" si="86"/>
        <v>51.585000000000008</v>
      </c>
      <c r="AE395" s="11">
        <f>_xlfn.RANK.AVG(Tableau8[[#This Row],[EE ( MJ/m²)]],AD395:AD1550)</f>
        <v>147</v>
      </c>
      <c r="AF395" s="11">
        <f t="shared" si="88"/>
        <v>34.390000000000008</v>
      </c>
      <c r="AG395" s="11">
        <f t="shared" si="92"/>
        <v>1.8335000000000001</v>
      </c>
      <c r="AH395" s="11">
        <f t="shared" si="87"/>
        <v>1.8335000000000001</v>
      </c>
      <c r="AI395" s="11">
        <f t="shared" si="93"/>
        <v>1.2223333333333335</v>
      </c>
      <c r="AJ395" s="11">
        <f t="shared" si="89"/>
        <v>1.2223333333333335</v>
      </c>
    </row>
    <row r="396" spans="1:36" x14ac:dyDescent="0.25">
      <c r="A396" s="4" t="s">
        <v>945</v>
      </c>
      <c r="B396" s="4" t="s">
        <v>993</v>
      </c>
      <c r="C396" s="4" t="s">
        <v>15</v>
      </c>
      <c r="D396" s="4" t="s">
        <v>938</v>
      </c>
      <c r="E396" t="s">
        <v>186</v>
      </c>
      <c r="F396" t="s">
        <v>171</v>
      </c>
      <c r="G396" t="s">
        <v>172</v>
      </c>
      <c r="H396">
        <v>12</v>
      </c>
      <c r="I396">
        <v>1.5</v>
      </c>
      <c r="J396" t="s">
        <v>44</v>
      </c>
      <c r="K396" t="s">
        <v>17</v>
      </c>
      <c r="L396" t="s">
        <v>9</v>
      </c>
      <c r="M396" t="s">
        <v>12</v>
      </c>
      <c r="N396" t="s">
        <v>12</v>
      </c>
      <c r="W396">
        <v>7800</v>
      </c>
      <c r="X396" t="s">
        <v>184</v>
      </c>
      <c r="Y396" t="s">
        <v>185</v>
      </c>
      <c r="Z396" t="s">
        <v>47</v>
      </c>
      <c r="AA396" s="13">
        <v>3</v>
      </c>
      <c r="AB396">
        <v>25.3</v>
      </c>
      <c r="AC396">
        <v>1.95</v>
      </c>
      <c r="AD396" s="11">
        <f t="shared" si="86"/>
        <v>6.3250000000000002</v>
      </c>
      <c r="AE396" s="11">
        <f>_xlfn.RANK.AVG(Tableau8[[#This Row],[EE ( MJ/m²)]],AD396:AD1551)</f>
        <v>416</v>
      </c>
      <c r="AF396" s="11">
        <f t="shared" si="88"/>
        <v>4.2166666666666668</v>
      </c>
      <c r="AG396" s="11">
        <f t="shared" si="92"/>
        <v>0.48749999999999999</v>
      </c>
      <c r="AH396" s="11">
        <f t="shared" si="87"/>
        <v>0.48749999999999999</v>
      </c>
      <c r="AI396" s="11">
        <f t="shared" si="93"/>
        <v>0.32500000000000001</v>
      </c>
      <c r="AJ396" s="11">
        <f t="shared" si="89"/>
        <v>0.32500000000000001</v>
      </c>
    </row>
    <row r="397" spans="1:36" x14ac:dyDescent="0.25">
      <c r="A397" s="4" t="s">
        <v>945</v>
      </c>
      <c r="B397" s="4" t="s">
        <v>993</v>
      </c>
      <c r="C397" s="4" t="s">
        <v>15</v>
      </c>
      <c r="D397" s="4" t="s">
        <v>938</v>
      </c>
      <c r="E397" t="s">
        <v>186</v>
      </c>
      <c r="F397" t="s">
        <v>171</v>
      </c>
      <c r="G397" t="s">
        <v>172</v>
      </c>
      <c r="H397">
        <v>12</v>
      </c>
      <c r="I397">
        <v>1.5</v>
      </c>
      <c r="J397" t="s">
        <v>44</v>
      </c>
      <c r="K397" t="s">
        <v>17</v>
      </c>
      <c r="L397" t="s">
        <v>9</v>
      </c>
      <c r="M397" t="s">
        <v>12</v>
      </c>
      <c r="N397" t="s">
        <v>12</v>
      </c>
      <c r="W397">
        <v>7800</v>
      </c>
      <c r="X397" t="s">
        <v>184</v>
      </c>
      <c r="Y397" t="s">
        <v>185</v>
      </c>
      <c r="Z397" t="s">
        <v>47</v>
      </c>
      <c r="AA397" s="13">
        <v>3</v>
      </c>
      <c r="AB397">
        <v>25.3</v>
      </c>
      <c r="AC397">
        <v>1.95</v>
      </c>
      <c r="AD397" s="11">
        <f t="shared" si="86"/>
        <v>6.3250000000000002</v>
      </c>
      <c r="AE397" s="11">
        <f>_xlfn.RANK.AVG(Tableau8[[#This Row],[EE ( MJ/m²)]],AD397:AD1552)</f>
        <v>415.5</v>
      </c>
      <c r="AF397" s="11">
        <f t="shared" si="88"/>
        <v>4.2166666666666668</v>
      </c>
      <c r="AG397" s="11">
        <f t="shared" si="92"/>
        <v>0.48749999999999999</v>
      </c>
      <c r="AH397" s="11">
        <f t="shared" si="87"/>
        <v>0.48749999999999999</v>
      </c>
      <c r="AI397" s="11">
        <f t="shared" si="93"/>
        <v>0.32500000000000001</v>
      </c>
      <c r="AJ397" s="11">
        <f t="shared" si="89"/>
        <v>0.32500000000000001</v>
      </c>
    </row>
    <row r="398" spans="1:36" x14ac:dyDescent="0.25">
      <c r="A398" s="4" t="s">
        <v>945</v>
      </c>
      <c r="B398" s="4" t="s">
        <v>993</v>
      </c>
      <c r="C398" s="4" t="s">
        <v>15</v>
      </c>
      <c r="D398" s="4" t="s">
        <v>938</v>
      </c>
      <c r="E398" t="s">
        <v>186</v>
      </c>
      <c r="F398" t="s">
        <v>171</v>
      </c>
      <c r="G398" t="s">
        <v>172</v>
      </c>
      <c r="H398">
        <v>12</v>
      </c>
      <c r="I398">
        <v>1.5</v>
      </c>
      <c r="J398" t="s">
        <v>44</v>
      </c>
      <c r="K398" t="s">
        <v>41</v>
      </c>
      <c r="L398" t="s">
        <v>8</v>
      </c>
      <c r="M398" t="s">
        <v>16</v>
      </c>
      <c r="N398" t="s">
        <v>111</v>
      </c>
      <c r="P398">
        <f>(PI()*(0.004^2))*5</f>
        <v>2.5132741228718343E-4</v>
      </c>
      <c r="Q398" t="s">
        <v>180</v>
      </c>
      <c r="R398" t="s">
        <v>176</v>
      </c>
      <c r="T398">
        <v>5</v>
      </c>
      <c r="U398" t="s">
        <v>175</v>
      </c>
      <c r="W398">
        <v>1500</v>
      </c>
      <c r="X398" t="s">
        <v>184</v>
      </c>
      <c r="AA398" s="13">
        <f t="shared" ref="AA398:AA404" si="94">W398*T398*P398</f>
        <v>1.8849555921538756</v>
      </c>
      <c r="AB398">
        <v>91</v>
      </c>
      <c r="AC398">
        <v>2.66</v>
      </c>
      <c r="AD398" s="11">
        <f t="shared" si="86"/>
        <v>14.294246573833556</v>
      </c>
      <c r="AE398" s="11">
        <f>_xlfn.RANK.AVG(Tableau8[[#This Row],[EE ( MJ/m²)]],AD398:AD1553)</f>
        <v>309</v>
      </c>
      <c r="AF398" s="11">
        <f t="shared" si="88"/>
        <v>9.5294977158890379</v>
      </c>
      <c r="AG398" s="11">
        <f t="shared" si="92"/>
        <v>0.41783182292744248</v>
      </c>
      <c r="AH398" s="11">
        <f t="shared" si="87"/>
        <v>0.41783182292744248</v>
      </c>
      <c r="AI398" s="11">
        <f t="shared" si="93"/>
        <v>0.27855454861829498</v>
      </c>
      <c r="AJ398" s="11">
        <f t="shared" si="89"/>
        <v>0.27855454861829498</v>
      </c>
    </row>
    <row r="399" spans="1:36" x14ac:dyDescent="0.25">
      <c r="A399" s="4" t="s">
        <v>945</v>
      </c>
      <c r="B399" s="4" t="s">
        <v>993</v>
      </c>
      <c r="C399" s="4" t="s">
        <v>15</v>
      </c>
      <c r="D399" s="4" t="s">
        <v>938</v>
      </c>
      <c r="E399" t="s">
        <v>186</v>
      </c>
      <c r="F399" t="s">
        <v>171</v>
      </c>
      <c r="G399" t="s">
        <v>172</v>
      </c>
      <c r="H399">
        <v>12</v>
      </c>
      <c r="I399">
        <v>1.5</v>
      </c>
      <c r="J399" t="s">
        <v>13</v>
      </c>
      <c r="K399" t="s">
        <v>29</v>
      </c>
      <c r="L399" t="s">
        <v>11</v>
      </c>
      <c r="M399" t="s">
        <v>18</v>
      </c>
      <c r="N399" t="s">
        <v>39</v>
      </c>
      <c r="P399">
        <f>0.3*0.3*0.3</f>
        <v>2.7E-2</v>
      </c>
      <c r="Q399" t="s">
        <v>180</v>
      </c>
      <c r="R399" s="3" t="s">
        <v>176</v>
      </c>
      <c r="T399">
        <v>9</v>
      </c>
      <c r="U399" t="s">
        <v>175</v>
      </c>
      <c r="W399">
        <v>2400</v>
      </c>
      <c r="X399" t="s">
        <v>184</v>
      </c>
      <c r="Y399" t="s">
        <v>185</v>
      </c>
      <c r="Z399" t="s">
        <v>48</v>
      </c>
      <c r="AA399" s="13">
        <f t="shared" si="94"/>
        <v>583.20000000000005</v>
      </c>
      <c r="AB399">
        <v>0.75</v>
      </c>
      <c r="AC399">
        <v>0.107</v>
      </c>
      <c r="AD399" s="11">
        <f t="shared" si="86"/>
        <v>36.450000000000003</v>
      </c>
      <c r="AE399" s="11">
        <f>_xlfn.RANK.AVG(Tableau8[[#This Row],[EE ( MJ/m²)]],AD399:AD1554)</f>
        <v>186</v>
      </c>
      <c r="AF399" s="11">
        <f t="shared" si="88"/>
        <v>24.3</v>
      </c>
      <c r="AG399" s="11">
        <f t="shared" si="92"/>
        <v>5.2001999999999997</v>
      </c>
      <c r="AH399" s="11">
        <f t="shared" si="87"/>
        <v>5.2001999999999997</v>
      </c>
      <c r="AI399" s="11">
        <f t="shared" si="93"/>
        <v>3.4667999999999997</v>
      </c>
      <c r="AJ399" s="11">
        <f t="shared" si="89"/>
        <v>3.4667999999999997</v>
      </c>
    </row>
    <row r="400" spans="1:36" x14ac:dyDescent="0.25">
      <c r="A400" s="4" t="s">
        <v>945</v>
      </c>
      <c r="B400" s="4" t="s">
        <v>993</v>
      </c>
      <c r="C400" s="4" t="s">
        <v>15</v>
      </c>
      <c r="D400" s="4" t="s">
        <v>938</v>
      </c>
      <c r="E400" t="s">
        <v>186</v>
      </c>
      <c r="F400" t="s">
        <v>171</v>
      </c>
      <c r="G400" t="s">
        <v>172</v>
      </c>
      <c r="H400">
        <v>12</v>
      </c>
      <c r="I400">
        <v>1.5</v>
      </c>
      <c r="J400" t="s">
        <v>42</v>
      </c>
      <c r="K400" t="s">
        <v>15</v>
      </c>
      <c r="L400" t="s">
        <v>7</v>
      </c>
      <c r="M400" t="s">
        <v>10</v>
      </c>
      <c r="N400" t="s">
        <v>15</v>
      </c>
      <c r="O400" t="s">
        <v>38</v>
      </c>
      <c r="P400">
        <f>3*((PI()*((1+1.5)*(10^(-2))/2)^2))</f>
        <v>1.4726215563702157E-3</v>
      </c>
      <c r="Q400" t="s">
        <v>180</v>
      </c>
      <c r="R400" s="3" t="s">
        <v>187</v>
      </c>
      <c r="S400" t="s">
        <v>55</v>
      </c>
      <c r="T400">
        <v>8</v>
      </c>
      <c r="U400" t="s">
        <v>175</v>
      </c>
      <c r="W400">
        <v>90</v>
      </c>
      <c r="X400" t="s">
        <v>184</v>
      </c>
      <c r="Y400" t="s">
        <v>185</v>
      </c>
      <c r="Z400" t="s">
        <v>46</v>
      </c>
      <c r="AA400" s="13">
        <f t="shared" si="94"/>
        <v>1.0602875205865552</v>
      </c>
      <c r="AB400">
        <f>10-4.4</f>
        <v>5.6</v>
      </c>
      <c r="AC400">
        <f>0.31+0.41</f>
        <v>0.72</v>
      </c>
      <c r="AD400" s="11">
        <f t="shared" si="86"/>
        <v>0.49480084294039234</v>
      </c>
      <c r="AE400" s="11">
        <f>_xlfn.RANK.AVG(Tableau8[[#This Row],[EE ( MJ/m²)]],AD400:AD1555)</f>
        <v>638</v>
      </c>
      <c r="AF400" s="11">
        <f t="shared" si="88"/>
        <v>0.32986722862692824</v>
      </c>
      <c r="AG400" s="11">
        <f>(AC400-0.41)*AA400/H400</f>
        <v>2.7390760948486009E-2</v>
      </c>
      <c r="AH400" s="11">
        <f t="shared" si="87"/>
        <v>6.3617251235193309E-2</v>
      </c>
      <c r="AI400" s="11">
        <f>(AC400-0.41)*AA400/H400/I400</f>
        <v>1.8260507298990671E-2</v>
      </c>
      <c r="AJ400" s="11">
        <f t="shared" si="89"/>
        <v>4.2411500823462206E-2</v>
      </c>
    </row>
    <row r="401" spans="1:36" x14ac:dyDescent="0.25">
      <c r="A401" s="4" t="s">
        <v>945</v>
      </c>
      <c r="B401" s="4" t="s">
        <v>993</v>
      </c>
      <c r="C401" s="4" t="s">
        <v>15</v>
      </c>
      <c r="D401" s="4" t="s">
        <v>938</v>
      </c>
      <c r="E401" t="s">
        <v>186</v>
      </c>
      <c r="F401" t="s">
        <v>171</v>
      </c>
      <c r="G401" t="s">
        <v>172</v>
      </c>
      <c r="H401">
        <v>12</v>
      </c>
      <c r="I401">
        <v>1.5</v>
      </c>
      <c r="J401" t="s">
        <v>40</v>
      </c>
      <c r="K401" t="s">
        <v>15</v>
      </c>
      <c r="L401" t="s">
        <v>33</v>
      </c>
      <c r="M401" s="20" t="s">
        <v>10</v>
      </c>
      <c r="N401" s="20" t="s">
        <v>15</v>
      </c>
      <c r="O401" t="s">
        <v>38</v>
      </c>
      <c r="P401" s="20">
        <f>0.9*1.7*0.02</f>
        <v>3.0600000000000002E-2</v>
      </c>
      <c r="Q401" s="20" t="s">
        <v>180</v>
      </c>
      <c r="R401" s="21" t="s">
        <v>176</v>
      </c>
      <c r="S401" s="20"/>
      <c r="T401" s="20">
        <v>1</v>
      </c>
      <c r="U401" s="20" t="s">
        <v>175</v>
      </c>
      <c r="V401" s="20"/>
      <c r="W401" s="20">
        <v>90</v>
      </c>
      <c r="X401" t="s">
        <v>184</v>
      </c>
      <c r="Y401" t="s">
        <v>185</v>
      </c>
      <c r="Z401" t="s">
        <v>46</v>
      </c>
      <c r="AA401" s="13">
        <f t="shared" si="94"/>
        <v>2.754</v>
      </c>
      <c r="AB401">
        <f>10-4.4</f>
        <v>5.6</v>
      </c>
      <c r="AC401">
        <f>0.31+0.41</f>
        <v>0.72</v>
      </c>
      <c r="AD401" s="11">
        <f t="shared" si="86"/>
        <v>1.2851999999999999</v>
      </c>
      <c r="AE401" s="11">
        <f>_xlfn.RANK.AVG(Tableau8[[#This Row],[EE ( MJ/m²)]],AD401:AD1556)</f>
        <v>572</v>
      </c>
      <c r="AF401" s="11">
        <f t="shared" si="88"/>
        <v>0.8567999999999999</v>
      </c>
      <c r="AG401" s="11">
        <f>(AC401-0.41)*AA401/H401</f>
        <v>7.1145E-2</v>
      </c>
      <c r="AH401" s="11">
        <f t="shared" si="87"/>
        <v>0.16524</v>
      </c>
      <c r="AI401" s="11">
        <f>(AC401-0.41)*AA401/H401/I401</f>
        <v>4.743E-2</v>
      </c>
      <c r="AJ401" s="11">
        <f t="shared" si="89"/>
        <v>0.11015999999999999</v>
      </c>
    </row>
    <row r="402" spans="1:36" x14ac:dyDescent="0.25">
      <c r="A402" s="4" t="s">
        <v>945</v>
      </c>
      <c r="B402" s="4" t="s">
        <v>993</v>
      </c>
      <c r="C402" s="4" t="s">
        <v>15</v>
      </c>
      <c r="D402" s="4" t="s">
        <v>938</v>
      </c>
      <c r="E402" t="s">
        <v>186</v>
      </c>
      <c r="F402" t="s">
        <v>171</v>
      </c>
      <c r="G402" t="s">
        <v>172</v>
      </c>
      <c r="H402">
        <v>12</v>
      </c>
      <c r="I402">
        <v>1.5</v>
      </c>
      <c r="J402" t="s">
        <v>40</v>
      </c>
      <c r="K402" t="s">
        <v>15</v>
      </c>
      <c r="L402" t="s">
        <v>34</v>
      </c>
      <c r="M402" s="20" t="s">
        <v>10</v>
      </c>
      <c r="N402" s="20" t="s">
        <v>15</v>
      </c>
      <c r="O402" t="s">
        <v>38</v>
      </c>
      <c r="P402" s="20">
        <f>0.6*0.4*0.02</f>
        <v>4.7999999999999996E-3</v>
      </c>
      <c r="Q402" s="20" t="s">
        <v>180</v>
      </c>
      <c r="R402" s="21" t="s">
        <v>176</v>
      </c>
      <c r="S402" s="20"/>
      <c r="T402" s="20">
        <v>2</v>
      </c>
      <c r="U402" s="20" t="s">
        <v>175</v>
      </c>
      <c r="V402" s="20"/>
      <c r="W402" s="20">
        <v>90</v>
      </c>
      <c r="X402" t="s">
        <v>184</v>
      </c>
      <c r="Y402" t="s">
        <v>185</v>
      </c>
      <c r="Z402" t="s">
        <v>46</v>
      </c>
      <c r="AA402" s="13">
        <f t="shared" si="94"/>
        <v>0.86399999999999988</v>
      </c>
      <c r="AB402">
        <f>10-4.4</f>
        <v>5.6</v>
      </c>
      <c r="AC402">
        <f>0.31+0.41</f>
        <v>0.72</v>
      </c>
      <c r="AD402" s="11">
        <f t="shared" si="86"/>
        <v>0.40319999999999995</v>
      </c>
      <c r="AE402" s="11">
        <f>_xlfn.RANK.AVG(Tableau8[[#This Row],[EE ( MJ/m²)]],AD402:AD1557)</f>
        <v>653</v>
      </c>
      <c r="AF402" s="11">
        <f t="shared" si="88"/>
        <v>0.26879999999999998</v>
      </c>
      <c r="AG402" s="11">
        <f>(AC402-0.41)*AA402/H402</f>
        <v>2.2319999999999996E-2</v>
      </c>
      <c r="AH402" s="11">
        <f t="shared" si="87"/>
        <v>5.183999999999999E-2</v>
      </c>
      <c r="AI402" s="11">
        <f>(AC402-0.41)*AA402/H402/I402</f>
        <v>1.4879999999999997E-2</v>
      </c>
      <c r="AJ402" s="11">
        <f t="shared" si="89"/>
        <v>3.4559999999999994E-2</v>
      </c>
    </row>
    <row r="403" spans="1:36" x14ac:dyDescent="0.25">
      <c r="A403" s="17" t="s">
        <v>944</v>
      </c>
      <c r="B403" s="17" t="s">
        <v>1241</v>
      </c>
      <c r="C403" s="17" t="s">
        <v>14</v>
      </c>
      <c r="D403" s="17" t="s">
        <v>1004</v>
      </c>
      <c r="E403" s="18" t="s">
        <v>1003</v>
      </c>
      <c r="F403" s="18" t="s">
        <v>171</v>
      </c>
      <c r="G403" s="18" t="s">
        <v>206</v>
      </c>
      <c r="H403" s="18">
        <v>21</v>
      </c>
      <c r="I403" s="18">
        <v>5</v>
      </c>
      <c r="J403" s="18" t="s">
        <v>42</v>
      </c>
      <c r="K403" t="s">
        <v>14</v>
      </c>
      <c r="L403" s="18" t="s">
        <v>1010</v>
      </c>
      <c r="M403" s="18" t="s">
        <v>14</v>
      </c>
      <c r="N403" s="18" t="s">
        <v>111</v>
      </c>
      <c r="O403" t="s">
        <v>209</v>
      </c>
      <c r="P403" s="18">
        <v>0.128</v>
      </c>
      <c r="Q403" s="18" t="s">
        <v>180</v>
      </c>
      <c r="R403" s="18" t="s">
        <v>176</v>
      </c>
      <c r="S403" s="18" t="s">
        <v>1005</v>
      </c>
      <c r="T403" s="18">
        <v>1</v>
      </c>
      <c r="U403" s="18" t="s">
        <v>175</v>
      </c>
      <c r="V403" s="18"/>
      <c r="W403" s="39">
        <v>1380</v>
      </c>
      <c r="X403" s="18" t="s">
        <v>184</v>
      </c>
      <c r="Y403" s="18"/>
      <c r="Z403" s="18"/>
      <c r="AA403" s="19">
        <f t="shared" si="94"/>
        <v>176.64000000000001</v>
      </c>
      <c r="AB403" s="18">
        <v>35.6</v>
      </c>
      <c r="AC403" s="18">
        <v>3.31</v>
      </c>
      <c r="AD403" s="31">
        <f t="shared" si="86"/>
        <v>299.4468571428572</v>
      </c>
      <c r="AE403" s="31">
        <f>_xlfn.RANK.AVG(Tableau8[[#This Row],[EE ( MJ/m²)]],AD403:AD1558)</f>
        <v>31</v>
      </c>
      <c r="AF403" s="31">
        <f t="shared" ref="AF403:AF434" si="95">AB403*AA403/H403/I403</f>
        <v>59.889371428571437</v>
      </c>
      <c r="AG403" s="11">
        <f>(AC403)*AA403/H403</f>
        <v>27.841828571428572</v>
      </c>
      <c r="AH403" s="31">
        <f t="shared" si="87"/>
        <v>27.841828571428572</v>
      </c>
      <c r="AI403" s="33">
        <f>(AC403)*AA403/H403/I403</f>
        <v>5.5683657142857141</v>
      </c>
      <c r="AJ403" s="31">
        <f t="shared" ref="AJ403:AJ434" si="96">AC403*AA403/H403/I403</f>
        <v>5.5683657142857141</v>
      </c>
    </row>
    <row r="404" spans="1:36" x14ac:dyDescent="0.25">
      <c r="A404" s="17" t="s">
        <v>944</v>
      </c>
      <c r="B404" s="17" t="s">
        <v>1241</v>
      </c>
      <c r="C404" s="17" t="s">
        <v>14</v>
      </c>
      <c r="D404" s="17" t="s">
        <v>1004</v>
      </c>
      <c r="E404" s="18" t="s">
        <v>1003</v>
      </c>
      <c r="F404" s="18" t="s">
        <v>171</v>
      </c>
      <c r="G404" s="18" t="s">
        <v>206</v>
      </c>
      <c r="H404" s="18">
        <v>21</v>
      </c>
      <c r="I404" s="18">
        <v>5</v>
      </c>
      <c r="J404" s="18" t="s">
        <v>57</v>
      </c>
      <c r="K404" t="s">
        <v>14</v>
      </c>
      <c r="L404" s="18" t="s">
        <v>1012</v>
      </c>
      <c r="M404" s="18" t="s">
        <v>14</v>
      </c>
      <c r="N404" s="18" t="s">
        <v>111</v>
      </c>
      <c r="P404" s="18">
        <v>0.4</v>
      </c>
      <c r="Q404" s="18" t="s">
        <v>180</v>
      </c>
      <c r="R404" s="18" t="s">
        <v>176</v>
      </c>
      <c r="S404" s="18" t="s">
        <v>1005</v>
      </c>
      <c r="T404" s="18">
        <v>1</v>
      </c>
      <c r="U404" s="18" t="s">
        <v>1006</v>
      </c>
      <c r="V404" s="18"/>
      <c r="W404" s="39">
        <v>1380</v>
      </c>
      <c r="X404" s="18" t="s">
        <v>184</v>
      </c>
      <c r="Y404" s="18"/>
      <c r="Z404" s="18"/>
      <c r="AA404" s="19">
        <f t="shared" si="94"/>
        <v>552</v>
      </c>
      <c r="AB404" s="18">
        <v>35.6</v>
      </c>
      <c r="AC404" s="18">
        <v>3.31</v>
      </c>
      <c r="AD404" s="31">
        <f t="shared" si="86"/>
        <v>935.7714285714286</v>
      </c>
      <c r="AE404" s="31">
        <f>_xlfn.RANK.AVG(Tableau8[[#This Row],[EE ( MJ/m²)]],AD404:AD1559)</f>
        <v>7</v>
      </c>
      <c r="AF404" s="31">
        <f t="shared" si="95"/>
        <v>187.15428571428572</v>
      </c>
      <c r="AG404" s="11">
        <f>(AC404)*AA404/H404</f>
        <v>87.005714285714291</v>
      </c>
      <c r="AH404" s="31">
        <f t="shared" si="87"/>
        <v>87.005714285714291</v>
      </c>
      <c r="AI404" s="33">
        <f>(AC404)*AA404/H404/I404</f>
        <v>17.401142857142858</v>
      </c>
      <c r="AJ404" s="31">
        <f t="shared" si="96"/>
        <v>17.401142857142858</v>
      </c>
    </row>
    <row r="405" spans="1:36" x14ac:dyDescent="0.25">
      <c r="A405" s="17" t="s">
        <v>944</v>
      </c>
      <c r="B405" s="17" t="s">
        <v>1241</v>
      </c>
      <c r="C405" s="17" t="s">
        <v>15</v>
      </c>
      <c r="D405" s="17" t="s">
        <v>1004</v>
      </c>
      <c r="E405" s="18" t="s">
        <v>1003</v>
      </c>
      <c r="F405" s="18" t="s">
        <v>171</v>
      </c>
      <c r="G405" s="18" t="s">
        <v>206</v>
      </c>
      <c r="H405" s="18">
        <v>21</v>
      </c>
      <c r="I405" s="18">
        <v>5</v>
      </c>
      <c r="J405" s="18" t="s">
        <v>42</v>
      </c>
      <c r="K405" t="s">
        <v>15</v>
      </c>
      <c r="L405" s="18" t="s">
        <v>1008</v>
      </c>
      <c r="M405" s="18" t="s">
        <v>210</v>
      </c>
      <c r="N405" s="18" t="s">
        <v>15</v>
      </c>
      <c r="P405" s="18">
        <v>0.11700000000000001</v>
      </c>
      <c r="Q405" s="18" t="s">
        <v>180</v>
      </c>
      <c r="R405" s="18" t="s">
        <v>187</v>
      </c>
      <c r="S405" s="18"/>
      <c r="T405" s="18">
        <v>1</v>
      </c>
      <c r="U405" s="18" t="s">
        <v>175</v>
      </c>
      <c r="V405" s="18"/>
      <c r="W405" s="18">
        <v>480</v>
      </c>
      <c r="X405" s="18" t="s">
        <v>184</v>
      </c>
      <c r="Y405" s="18"/>
      <c r="Z405" s="18"/>
      <c r="AA405" s="19">
        <f>Tableau8[[#This Row],[density (kg/m2) or specific weight (kg/m2)]]*Tableau8[[#This Row],[volume or area]]</f>
        <v>56.160000000000004</v>
      </c>
      <c r="AB405" s="18">
        <f>10-4.4</f>
        <v>5.6</v>
      </c>
      <c r="AC405" s="18">
        <f>0.31+0.41</f>
        <v>0.72</v>
      </c>
      <c r="AD405" s="31">
        <f t="shared" si="86"/>
        <v>14.975999999999999</v>
      </c>
      <c r="AE405" s="31">
        <f>_xlfn.RANK.AVG(Tableau8[[#This Row],[EE ( MJ/m²)]],AD405:AD1560)</f>
        <v>300</v>
      </c>
      <c r="AF405" s="31">
        <f t="shared" si="95"/>
        <v>2.9951999999999996</v>
      </c>
      <c r="AG405" s="31">
        <f>(AC405-0.41)*AA405/H405</f>
        <v>0.82902857142857145</v>
      </c>
      <c r="AH405" s="31">
        <f t="shared" si="87"/>
        <v>1.9254857142857145</v>
      </c>
      <c r="AI405" s="31">
        <f>(AC405-0.41)*AA405/H405/I405</f>
        <v>0.16580571428571428</v>
      </c>
      <c r="AJ405" s="31">
        <f t="shared" si="96"/>
        <v>0.38509714285714292</v>
      </c>
    </row>
    <row r="406" spans="1:36" x14ac:dyDescent="0.25">
      <c r="A406" s="17" t="s">
        <v>944</v>
      </c>
      <c r="B406" s="17" t="s">
        <v>1241</v>
      </c>
      <c r="C406" s="17" t="s">
        <v>15</v>
      </c>
      <c r="D406" s="17" t="s">
        <v>1004</v>
      </c>
      <c r="E406" s="18" t="s">
        <v>1003</v>
      </c>
      <c r="F406" s="18" t="s">
        <v>171</v>
      </c>
      <c r="G406" s="18" t="s">
        <v>206</v>
      </c>
      <c r="H406" s="18">
        <v>21</v>
      </c>
      <c r="I406" s="18">
        <v>5</v>
      </c>
      <c r="J406" s="18" t="s">
        <v>42</v>
      </c>
      <c r="K406" t="s">
        <v>15</v>
      </c>
      <c r="L406" s="18" t="s">
        <v>1009</v>
      </c>
      <c r="M406" s="18" t="s">
        <v>223</v>
      </c>
      <c r="N406" s="18" t="s">
        <v>223</v>
      </c>
      <c r="P406" s="18">
        <v>3.2399999999999998E-2</v>
      </c>
      <c r="Q406" s="18" t="s">
        <v>180</v>
      </c>
      <c r="R406" s="18" t="s">
        <v>176</v>
      </c>
      <c r="S406" s="18" t="s">
        <v>1005</v>
      </c>
      <c r="T406" s="18">
        <v>1</v>
      </c>
      <c r="U406" s="18" t="s">
        <v>1006</v>
      </c>
      <c r="V406" s="41" t="s">
        <v>1018</v>
      </c>
      <c r="W406" s="18">
        <v>15</v>
      </c>
      <c r="X406" s="18" t="s">
        <v>184</v>
      </c>
      <c r="Y406" s="18"/>
      <c r="Z406" s="18"/>
      <c r="AA406" s="19">
        <f>Tableau8[[#This Row],[density (kg/m2) or specific weight (kg/m2)]]*Tableau8[[#This Row],[volume or area]]</f>
        <v>0.48599999999999999</v>
      </c>
      <c r="AB406" s="18">
        <v>0.24</v>
      </c>
      <c r="AC406" s="18">
        <v>0.1</v>
      </c>
      <c r="AD406" s="31">
        <f t="shared" si="86"/>
        <v>5.5542857142857139E-3</v>
      </c>
      <c r="AE406" s="31">
        <f>_xlfn.RANK.AVG(Tableau8[[#This Row],[EE ( MJ/m²)]],AD406:AD1561)</f>
        <v>735</v>
      </c>
      <c r="AF406" s="31">
        <f t="shared" si="95"/>
        <v>1.1108571428571428E-3</v>
      </c>
      <c r="AG406" s="31">
        <f>(AC406-0.41)*AA406/H406</f>
        <v>-7.174285714285712E-3</v>
      </c>
      <c r="AH406" s="31">
        <f t="shared" si="87"/>
        <v>2.3142857142857145E-3</v>
      </c>
      <c r="AI406" s="31">
        <f>(AC406-0.41)*AA406/H406/I406</f>
        <v>-1.4348571428571425E-3</v>
      </c>
      <c r="AJ406" s="31">
        <f t="shared" si="96"/>
        <v>4.6285714285714289E-4</v>
      </c>
    </row>
    <row r="407" spans="1:36" x14ac:dyDescent="0.25">
      <c r="A407" s="17" t="s">
        <v>944</v>
      </c>
      <c r="B407" s="17" t="s">
        <v>1241</v>
      </c>
      <c r="C407" s="17" t="s">
        <v>15</v>
      </c>
      <c r="D407" s="17" t="s">
        <v>1004</v>
      </c>
      <c r="E407" s="18" t="s">
        <v>1003</v>
      </c>
      <c r="F407" s="18" t="s">
        <v>171</v>
      </c>
      <c r="G407" s="18" t="s">
        <v>206</v>
      </c>
      <c r="H407" s="18">
        <v>21</v>
      </c>
      <c r="I407" s="18">
        <v>5</v>
      </c>
      <c r="J407" s="18" t="s">
        <v>40</v>
      </c>
      <c r="K407" t="s">
        <v>15</v>
      </c>
      <c r="L407" s="18" t="s">
        <v>1008</v>
      </c>
      <c r="M407" s="18" t="s">
        <v>210</v>
      </c>
      <c r="N407" s="18" t="s">
        <v>15</v>
      </c>
      <c r="P407" s="18">
        <v>0.08</v>
      </c>
      <c r="Q407" s="18" t="s">
        <v>180</v>
      </c>
      <c r="R407" s="18" t="s">
        <v>176</v>
      </c>
      <c r="S407" s="18" t="s">
        <v>1007</v>
      </c>
      <c r="T407" s="18">
        <v>1</v>
      </c>
      <c r="U407" s="18" t="s">
        <v>1006</v>
      </c>
      <c r="V407" s="18"/>
      <c r="W407" s="18">
        <v>480</v>
      </c>
      <c r="X407" s="18" t="s">
        <v>184</v>
      </c>
      <c r="Y407" s="18"/>
      <c r="Z407" s="18"/>
      <c r="AA407" s="19">
        <f>Tableau8[[#This Row],[density (kg/m2) or specific weight (kg/m2)]]*Tableau8[[#This Row],[volume or area]]</f>
        <v>38.4</v>
      </c>
      <c r="AB407" s="18">
        <f>10-4.4</f>
        <v>5.6</v>
      </c>
      <c r="AC407" s="18">
        <f>0.31+0.41</f>
        <v>0.72</v>
      </c>
      <c r="AD407" s="31">
        <f t="shared" si="86"/>
        <v>10.24</v>
      </c>
      <c r="AE407" s="31">
        <f>_xlfn.RANK.AVG(Tableau8[[#This Row],[EE ( MJ/m²)]],AD407:AD1562)</f>
        <v>351</v>
      </c>
      <c r="AF407" s="31">
        <f t="shared" si="95"/>
        <v>2.048</v>
      </c>
      <c r="AG407" s="31">
        <f>(AC407-0.41)*AA407/H407</f>
        <v>0.56685714285714284</v>
      </c>
      <c r="AH407" s="31">
        <f t="shared" si="87"/>
        <v>1.3165714285714285</v>
      </c>
      <c r="AI407" s="31">
        <f>(AC407-0.41)*AA407/H407/I407</f>
        <v>0.11337142857142857</v>
      </c>
      <c r="AJ407" s="31">
        <f t="shared" si="96"/>
        <v>0.26331428571428572</v>
      </c>
    </row>
    <row r="408" spans="1:36" x14ac:dyDescent="0.25">
      <c r="A408" s="17" t="s">
        <v>944</v>
      </c>
      <c r="B408" s="17" t="s">
        <v>1241</v>
      </c>
      <c r="C408" s="17" t="s">
        <v>15</v>
      </c>
      <c r="D408" s="17" t="s">
        <v>1004</v>
      </c>
      <c r="E408" s="18" t="s">
        <v>1003</v>
      </c>
      <c r="F408" s="18" t="s">
        <v>171</v>
      </c>
      <c r="G408" s="18" t="s">
        <v>206</v>
      </c>
      <c r="H408" s="18">
        <v>21</v>
      </c>
      <c r="I408" s="18">
        <v>5</v>
      </c>
      <c r="J408" s="18" t="s">
        <v>56</v>
      </c>
      <c r="K408" t="s">
        <v>15</v>
      </c>
      <c r="L408" s="18" t="s">
        <v>1011</v>
      </c>
      <c r="M408" s="18" t="s">
        <v>210</v>
      </c>
      <c r="N408" s="18" t="s">
        <v>15</v>
      </c>
      <c r="P408" s="18">
        <v>0.376</v>
      </c>
      <c r="Q408" s="18" t="s">
        <v>180</v>
      </c>
      <c r="R408" s="18" t="s">
        <v>176</v>
      </c>
      <c r="S408" s="18" t="s">
        <v>1007</v>
      </c>
      <c r="T408" s="18">
        <v>1</v>
      </c>
      <c r="U408" s="18" t="s">
        <v>1006</v>
      </c>
      <c r="V408" s="18"/>
      <c r="W408" s="40">
        <v>480</v>
      </c>
      <c r="X408" s="18" t="s">
        <v>184</v>
      </c>
      <c r="Y408" s="18"/>
      <c r="Z408" s="18"/>
      <c r="AA408" s="19">
        <f>Tableau8[[#This Row],[density (kg/m2) or specific weight (kg/m2)]]*Tableau8[[#This Row],[volume or area]]</f>
        <v>180.48</v>
      </c>
      <c r="AB408" s="18">
        <f>10-4.4</f>
        <v>5.6</v>
      </c>
      <c r="AC408" s="18">
        <f>0.31+0.41</f>
        <v>0.72</v>
      </c>
      <c r="AD408" s="31">
        <f t="shared" si="86"/>
        <v>48.127999999999993</v>
      </c>
      <c r="AE408" s="31">
        <f>_xlfn.RANK.AVG(Tableau8[[#This Row],[EE ( MJ/m²)]],AD408:AD1563)</f>
        <v>152</v>
      </c>
      <c r="AF408" s="31">
        <f t="shared" si="95"/>
        <v>9.6255999999999986</v>
      </c>
      <c r="AG408" s="31">
        <f>(AC408-0.41)*AA408/H408</f>
        <v>2.6642285714285712</v>
      </c>
      <c r="AH408" s="31">
        <f t="shared" si="87"/>
        <v>6.1878857142857138</v>
      </c>
      <c r="AI408" s="31">
        <f>(AC408-0.41)*AA408/H408/I408</f>
        <v>0.53284571428571426</v>
      </c>
      <c r="AJ408" s="31">
        <f t="shared" si="96"/>
        <v>1.2375771428571427</v>
      </c>
    </row>
    <row r="409" spans="1:36" x14ac:dyDescent="0.25">
      <c r="A409" s="17" t="s">
        <v>944</v>
      </c>
      <c r="B409" s="17" t="s">
        <v>1241</v>
      </c>
      <c r="C409" s="17" t="s">
        <v>14</v>
      </c>
      <c r="D409" s="17" t="s">
        <v>1004</v>
      </c>
      <c r="E409" s="18" t="s">
        <v>1003</v>
      </c>
      <c r="F409" s="18" t="s">
        <v>171</v>
      </c>
      <c r="G409" s="18" t="s">
        <v>206</v>
      </c>
      <c r="H409" s="18">
        <v>21</v>
      </c>
      <c r="I409" s="18">
        <v>5</v>
      </c>
      <c r="J409" s="18" t="s">
        <v>44</v>
      </c>
      <c r="K409" t="s">
        <v>14</v>
      </c>
      <c r="L409" s="18" t="s">
        <v>1013</v>
      </c>
      <c r="M409" s="18" t="s">
        <v>233</v>
      </c>
      <c r="N409" s="18" t="s">
        <v>234</v>
      </c>
      <c r="P409" s="18"/>
      <c r="Q409" s="18"/>
      <c r="R409" s="18" t="s">
        <v>187</v>
      </c>
      <c r="S409" s="18"/>
      <c r="T409" s="18">
        <v>1</v>
      </c>
      <c r="U409" s="18" t="s">
        <v>175</v>
      </c>
      <c r="V409" s="18"/>
      <c r="W409" s="18">
        <v>0.2</v>
      </c>
      <c r="X409" s="18" t="s">
        <v>183</v>
      </c>
      <c r="Y409" s="18"/>
      <c r="Z409" s="18"/>
      <c r="AA409" s="19">
        <v>8</v>
      </c>
      <c r="AB409" s="18">
        <v>143</v>
      </c>
      <c r="AC409" s="18">
        <v>6.78</v>
      </c>
      <c r="AD409" s="31">
        <f t="shared" si="86"/>
        <v>54.476190476190474</v>
      </c>
      <c r="AE409" s="31">
        <f>_xlfn.RANK.AVG(Tableau8[[#This Row],[EE ( MJ/m²)]],AD409:AD1564)</f>
        <v>138</v>
      </c>
      <c r="AF409" s="31">
        <f t="shared" si="95"/>
        <v>10.895238095238096</v>
      </c>
      <c r="AG409" s="11">
        <f>(AC409)*AA409/H409</f>
        <v>2.5828571428571427</v>
      </c>
      <c r="AH409" s="31">
        <f t="shared" si="87"/>
        <v>2.5828571428571427</v>
      </c>
      <c r="AI409" s="33">
        <f>(AC409)*AA409/H409/I409</f>
        <v>0.51657142857142857</v>
      </c>
      <c r="AJ409" s="31">
        <f t="shared" si="96"/>
        <v>0.51657142857142857</v>
      </c>
    </row>
    <row r="410" spans="1:36" x14ac:dyDescent="0.25">
      <c r="A410" s="4" t="s">
        <v>945</v>
      </c>
      <c r="B410" s="4" t="s">
        <v>994</v>
      </c>
      <c r="C410" s="4" t="s">
        <v>12</v>
      </c>
      <c r="D410" s="4" t="s">
        <v>938</v>
      </c>
      <c r="E410" t="s">
        <v>188</v>
      </c>
      <c r="F410" t="s">
        <v>171</v>
      </c>
      <c r="G410" t="s">
        <v>172</v>
      </c>
      <c r="H410">
        <v>12</v>
      </c>
      <c r="I410">
        <v>2</v>
      </c>
      <c r="J410" t="s">
        <v>56</v>
      </c>
      <c r="K410" t="s">
        <v>17</v>
      </c>
      <c r="L410" t="s">
        <v>197</v>
      </c>
      <c r="M410" t="s">
        <v>59</v>
      </c>
      <c r="N410" t="s">
        <v>59</v>
      </c>
      <c r="P410">
        <f>0.92*3*0.004</f>
        <v>1.1040000000000001E-2</v>
      </c>
      <c r="Q410" t="s">
        <v>180</v>
      </c>
      <c r="R410" s="3" t="s">
        <v>187</v>
      </c>
      <c r="S410" t="s">
        <v>64</v>
      </c>
      <c r="T410">
        <v>6</v>
      </c>
      <c r="U410" t="s">
        <v>175</v>
      </c>
      <c r="W410">
        <v>7870</v>
      </c>
      <c r="X410" t="s">
        <v>184</v>
      </c>
      <c r="Y410" t="s">
        <v>185</v>
      </c>
      <c r="Z410" t="s">
        <v>66</v>
      </c>
      <c r="AA410" s="13">
        <f t="shared" ref="AA410:AA419" si="97">W410*T410*P410</f>
        <v>521.30880000000002</v>
      </c>
      <c r="AB410">
        <v>25</v>
      </c>
      <c r="AC410">
        <v>2.0299999999999998</v>
      </c>
      <c r="AD410" s="11">
        <f t="shared" si="86"/>
        <v>1086.0600000000002</v>
      </c>
      <c r="AE410" s="11">
        <f>_xlfn.RANK.AVG(Tableau8[[#This Row],[EE ( MJ/m²)]],AD410:AD1565)</f>
        <v>5</v>
      </c>
      <c r="AF410" s="11">
        <f t="shared" si="95"/>
        <v>543.03000000000009</v>
      </c>
      <c r="AG410" s="11">
        <f>(AC410)*AA410/H410</f>
        <v>88.188071999999991</v>
      </c>
      <c r="AH410" s="11">
        <f t="shared" si="87"/>
        <v>88.188071999999991</v>
      </c>
      <c r="AI410" s="11">
        <f>(AC410)*AA410/H410/I410</f>
        <v>44.094035999999996</v>
      </c>
      <c r="AJ410" s="11">
        <f t="shared" si="96"/>
        <v>44.094035999999996</v>
      </c>
    </row>
    <row r="411" spans="1:36" x14ac:dyDescent="0.25">
      <c r="A411" s="4" t="s">
        <v>945</v>
      </c>
      <c r="B411" s="4" t="s">
        <v>994</v>
      </c>
      <c r="C411" s="4" t="s">
        <v>15</v>
      </c>
      <c r="D411" s="4" t="s">
        <v>938</v>
      </c>
      <c r="E411" t="s">
        <v>188</v>
      </c>
      <c r="F411" t="s">
        <v>171</v>
      </c>
      <c r="G411" t="s">
        <v>172</v>
      </c>
      <c r="H411">
        <v>12</v>
      </c>
      <c r="I411">
        <v>2</v>
      </c>
      <c r="J411" t="s">
        <v>42</v>
      </c>
      <c r="K411" t="s">
        <v>15</v>
      </c>
      <c r="L411" t="s">
        <v>4</v>
      </c>
      <c r="M411" t="s">
        <v>2</v>
      </c>
      <c r="N411" t="s">
        <v>15</v>
      </c>
      <c r="O411" t="s">
        <v>37</v>
      </c>
      <c r="P411">
        <f>2*((PI()*((4+7.5)*(10^(-2))/2)^2))</f>
        <v>2.0773781421862508E-2</v>
      </c>
      <c r="Q411" t="s">
        <v>180</v>
      </c>
      <c r="R411" s="3" t="s">
        <v>176</v>
      </c>
      <c r="T411">
        <v>8</v>
      </c>
      <c r="U411" t="s">
        <v>175</v>
      </c>
      <c r="W411">
        <v>480</v>
      </c>
      <c r="X411" t="s">
        <v>184</v>
      </c>
      <c r="Y411" t="s">
        <v>185</v>
      </c>
      <c r="Z411" t="s">
        <v>45</v>
      </c>
      <c r="AA411" s="13">
        <f t="shared" si="97"/>
        <v>79.771320659952039</v>
      </c>
      <c r="AB411">
        <f t="shared" ref="AB411:AB417" si="98">10-4.4</f>
        <v>5.6</v>
      </c>
      <c r="AC411">
        <f t="shared" ref="AC411:AC417" si="99">0.31+0.41</f>
        <v>0.72</v>
      </c>
      <c r="AD411" s="11">
        <f t="shared" si="86"/>
        <v>37.226616307977615</v>
      </c>
      <c r="AE411" s="11">
        <f>_xlfn.RANK.AVG(Tableau8[[#This Row],[EE ( MJ/m²)]],AD411:AD1566)</f>
        <v>173.5</v>
      </c>
      <c r="AF411" s="11">
        <f t="shared" si="95"/>
        <v>18.613308153988807</v>
      </c>
      <c r="AG411" s="11">
        <f t="shared" ref="AG411:AG417" si="100">(AC411-0.41)*AA411/H411</f>
        <v>2.0607591170487609</v>
      </c>
      <c r="AH411" s="11">
        <f t="shared" si="87"/>
        <v>4.7862792395971221</v>
      </c>
      <c r="AI411" s="11">
        <f t="shared" ref="AI411:AI417" si="101">(AC411-0.41)*AA411/H411/I411</f>
        <v>1.0303795585243805</v>
      </c>
      <c r="AJ411" s="11">
        <f t="shared" si="96"/>
        <v>2.393139619798561</v>
      </c>
    </row>
    <row r="412" spans="1:36" x14ac:dyDescent="0.25">
      <c r="A412" s="4" t="s">
        <v>945</v>
      </c>
      <c r="B412" s="4" t="s">
        <v>994</v>
      </c>
      <c r="C412" s="4" t="s">
        <v>15</v>
      </c>
      <c r="D412" s="4" t="s">
        <v>938</v>
      </c>
      <c r="E412" t="s">
        <v>188</v>
      </c>
      <c r="F412" t="s">
        <v>171</v>
      </c>
      <c r="G412" t="s">
        <v>172</v>
      </c>
      <c r="H412">
        <v>12</v>
      </c>
      <c r="I412">
        <v>2</v>
      </c>
      <c r="J412" t="s">
        <v>42</v>
      </c>
      <c r="K412" t="s">
        <v>15</v>
      </c>
      <c r="L412" t="s">
        <v>4</v>
      </c>
      <c r="M412" t="s">
        <v>2</v>
      </c>
      <c r="N412" t="s">
        <v>15</v>
      </c>
      <c r="O412" t="s">
        <v>37</v>
      </c>
      <c r="P412">
        <f>3*((PI()*((4+7.5)*(10^(-2))/2)^2))</f>
        <v>3.1160672132793762E-2</v>
      </c>
      <c r="Q412" t="s">
        <v>180</v>
      </c>
      <c r="R412" s="3" t="s">
        <v>176</v>
      </c>
      <c r="T412">
        <v>2</v>
      </c>
      <c r="U412" t="s">
        <v>175</v>
      </c>
      <c r="W412">
        <v>480</v>
      </c>
      <c r="X412" t="s">
        <v>184</v>
      </c>
      <c r="Y412" t="s">
        <v>185</v>
      </c>
      <c r="Z412" t="s">
        <v>45</v>
      </c>
      <c r="AA412" s="13">
        <f t="shared" si="97"/>
        <v>29.914245247482011</v>
      </c>
      <c r="AB412">
        <f t="shared" si="98"/>
        <v>5.6</v>
      </c>
      <c r="AC412">
        <f t="shared" si="99"/>
        <v>0.72</v>
      </c>
      <c r="AD412" s="11">
        <f t="shared" si="86"/>
        <v>13.959981115491603</v>
      </c>
      <c r="AE412" s="11">
        <f>_xlfn.RANK.AVG(Tableau8[[#This Row],[EE ( MJ/m²)]],AD412:AD1567)</f>
        <v>308.5</v>
      </c>
      <c r="AF412" s="11">
        <f t="shared" si="95"/>
        <v>6.9799905577458015</v>
      </c>
      <c r="AG412" s="11">
        <f t="shared" si="100"/>
        <v>0.77278466889328534</v>
      </c>
      <c r="AH412" s="11">
        <f t="shared" si="87"/>
        <v>1.7948547148489205</v>
      </c>
      <c r="AI412" s="11">
        <f t="shared" si="101"/>
        <v>0.38639233444664267</v>
      </c>
      <c r="AJ412" s="11">
        <f t="shared" si="96"/>
        <v>0.89742735742446023</v>
      </c>
    </row>
    <row r="413" spans="1:36" x14ac:dyDescent="0.25">
      <c r="A413" s="4" t="s">
        <v>945</v>
      </c>
      <c r="B413" s="4" t="s">
        <v>994</v>
      </c>
      <c r="C413" s="4" t="s">
        <v>15</v>
      </c>
      <c r="D413" s="4" t="s">
        <v>938</v>
      </c>
      <c r="E413" t="s">
        <v>188</v>
      </c>
      <c r="F413" t="s">
        <v>171</v>
      </c>
      <c r="G413" t="s">
        <v>172</v>
      </c>
      <c r="H413">
        <v>12</v>
      </c>
      <c r="I413">
        <v>2</v>
      </c>
      <c r="J413" t="s">
        <v>42</v>
      </c>
      <c r="K413" t="s">
        <v>15</v>
      </c>
      <c r="L413" t="s">
        <v>3</v>
      </c>
      <c r="M413" t="s">
        <v>2</v>
      </c>
      <c r="N413" t="s">
        <v>15</v>
      </c>
      <c r="O413" t="s">
        <v>37</v>
      </c>
      <c r="P413">
        <f>4.2*((PI()*((4+7.5)*(10^(-2))/2)^2))</f>
        <v>4.362494098591127E-2</v>
      </c>
      <c r="Q413" t="s">
        <v>180</v>
      </c>
      <c r="R413" s="3" t="s">
        <v>176</v>
      </c>
      <c r="T413">
        <v>2</v>
      </c>
      <c r="U413" t="s">
        <v>175</v>
      </c>
      <c r="W413">
        <v>480</v>
      </c>
      <c r="X413" t="s">
        <v>184</v>
      </c>
      <c r="Y413" t="s">
        <v>185</v>
      </c>
      <c r="Z413" t="s">
        <v>45</v>
      </c>
      <c r="AA413" s="13">
        <f t="shared" si="97"/>
        <v>41.879943346474818</v>
      </c>
      <c r="AB413">
        <f t="shared" si="98"/>
        <v>5.6</v>
      </c>
      <c r="AC413">
        <f t="shared" si="99"/>
        <v>0.72</v>
      </c>
      <c r="AD413" s="11">
        <f t="shared" si="86"/>
        <v>19.543973561688247</v>
      </c>
      <c r="AE413" s="11">
        <f>_xlfn.RANK.AVG(Tableau8[[#This Row],[EE ( MJ/m²)]],AD413:AD1568)</f>
        <v>259.5</v>
      </c>
      <c r="AF413" s="11">
        <f t="shared" si="95"/>
        <v>9.7719867808441236</v>
      </c>
      <c r="AG413" s="11">
        <f t="shared" si="100"/>
        <v>1.0818985364505995</v>
      </c>
      <c r="AH413" s="11">
        <f t="shared" si="87"/>
        <v>2.512796600788489</v>
      </c>
      <c r="AI413" s="11">
        <f t="shared" si="101"/>
        <v>0.54094926822529976</v>
      </c>
      <c r="AJ413" s="11">
        <f t="shared" si="96"/>
        <v>1.2563983003942445</v>
      </c>
    </row>
    <row r="414" spans="1:36" x14ac:dyDescent="0.25">
      <c r="A414" s="4" t="s">
        <v>945</v>
      </c>
      <c r="B414" s="4" t="s">
        <v>994</v>
      </c>
      <c r="C414" s="4" t="s">
        <v>15</v>
      </c>
      <c r="D414" s="4" t="s">
        <v>938</v>
      </c>
      <c r="E414" t="s">
        <v>188</v>
      </c>
      <c r="F414" t="s">
        <v>171</v>
      </c>
      <c r="G414" t="s">
        <v>172</v>
      </c>
      <c r="H414">
        <v>12</v>
      </c>
      <c r="I414">
        <v>2</v>
      </c>
      <c r="J414" t="s">
        <v>56</v>
      </c>
      <c r="K414" t="s">
        <v>15</v>
      </c>
      <c r="L414" t="s">
        <v>5</v>
      </c>
      <c r="M414" t="s">
        <v>2</v>
      </c>
      <c r="N414" t="s">
        <v>15</v>
      </c>
      <c r="O414" t="s">
        <v>37</v>
      </c>
      <c r="P414">
        <f>2.2*((PI()*((4+7.5)*(10^(-2))/2)^2))</f>
        <v>2.2851159564048762E-2</v>
      </c>
      <c r="Q414" t="s">
        <v>180</v>
      </c>
      <c r="R414" s="3" t="s">
        <v>176</v>
      </c>
      <c r="T414">
        <v>6</v>
      </c>
      <c r="U414" t="s">
        <v>175</v>
      </c>
      <c r="W414">
        <v>480</v>
      </c>
      <c r="X414" t="s">
        <v>184</v>
      </c>
      <c r="Y414" t="s">
        <v>185</v>
      </c>
      <c r="Z414" t="s">
        <v>45</v>
      </c>
      <c r="AA414" s="13">
        <f t="shared" si="97"/>
        <v>65.811339544460438</v>
      </c>
      <c r="AB414">
        <f t="shared" si="98"/>
        <v>5.6</v>
      </c>
      <c r="AC414">
        <f t="shared" si="99"/>
        <v>0.72</v>
      </c>
      <c r="AD414" s="11">
        <f t="shared" si="86"/>
        <v>30.711958454081536</v>
      </c>
      <c r="AE414" s="11">
        <f>_xlfn.RANK.AVG(Tableau8[[#This Row],[EE ( MJ/m²)]],AD414:AD1569)</f>
        <v>203.5</v>
      </c>
      <c r="AF414" s="11">
        <f t="shared" si="95"/>
        <v>15.355979227040768</v>
      </c>
      <c r="AG414" s="11">
        <f t="shared" si="100"/>
        <v>1.7001262715652281</v>
      </c>
      <c r="AH414" s="11">
        <f t="shared" si="87"/>
        <v>3.9486803726676261</v>
      </c>
      <c r="AI414" s="11">
        <f t="shared" si="101"/>
        <v>0.85006313578261405</v>
      </c>
      <c r="AJ414" s="11">
        <f t="shared" si="96"/>
        <v>1.974340186333813</v>
      </c>
    </row>
    <row r="415" spans="1:36" x14ac:dyDescent="0.25">
      <c r="A415" s="4" t="s">
        <v>945</v>
      </c>
      <c r="B415" s="4" t="s">
        <v>994</v>
      </c>
      <c r="C415" s="4" t="s">
        <v>15</v>
      </c>
      <c r="D415" s="4" t="s">
        <v>938</v>
      </c>
      <c r="E415" t="s">
        <v>188</v>
      </c>
      <c r="F415" t="s">
        <v>171</v>
      </c>
      <c r="G415" t="s">
        <v>172</v>
      </c>
      <c r="H415">
        <v>12</v>
      </c>
      <c r="I415">
        <v>2</v>
      </c>
      <c r="J415" t="s">
        <v>56</v>
      </c>
      <c r="K415" t="s">
        <v>15</v>
      </c>
      <c r="L415" t="s">
        <v>6</v>
      </c>
      <c r="M415" t="s">
        <v>2</v>
      </c>
      <c r="N415" t="s">
        <v>15</v>
      </c>
      <c r="O415" t="s">
        <v>37</v>
      </c>
      <c r="P415">
        <f>0.8*((PI()*((2+4)*(10^(-2))/2)^2))</f>
        <v>2.2619467105846509E-3</v>
      </c>
      <c r="Q415" t="s">
        <v>180</v>
      </c>
      <c r="R415" s="3" t="s">
        <v>176</v>
      </c>
      <c r="T415">
        <v>4</v>
      </c>
      <c r="U415" t="s">
        <v>175</v>
      </c>
      <c r="W415">
        <v>480</v>
      </c>
      <c r="X415" t="s">
        <v>184</v>
      </c>
      <c r="Y415" t="s">
        <v>185</v>
      </c>
      <c r="Z415" t="s">
        <v>45</v>
      </c>
      <c r="AA415" s="13">
        <f t="shared" si="97"/>
        <v>4.3429376843225302</v>
      </c>
      <c r="AB415">
        <f t="shared" si="98"/>
        <v>5.6</v>
      </c>
      <c r="AC415">
        <f t="shared" si="99"/>
        <v>0.72</v>
      </c>
      <c r="AD415" s="11">
        <f t="shared" si="86"/>
        <v>2.0267042526838472</v>
      </c>
      <c r="AE415" s="11">
        <f>_xlfn.RANK.AVG(Tableau8[[#This Row],[EE ( MJ/m²)]],AD415:AD1570)</f>
        <v>517.5</v>
      </c>
      <c r="AF415" s="11">
        <f t="shared" si="95"/>
        <v>1.0133521263419236</v>
      </c>
      <c r="AG415" s="11">
        <f t="shared" si="100"/>
        <v>0.11219255684499869</v>
      </c>
      <c r="AH415" s="11">
        <f t="shared" si="87"/>
        <v>0.26057626105935178</v>
      </c>
      <c r="AI415" s="11">
        <f t="shared" si="101"/>
        <v>5.6096278422499347E-2</v>
      </c>
      <c r="AJ415" s="11">
        <f t="shared" si="96"/>
        <v>0.13028813052967589</v>
      </c>
    </row>
    <row r="416" spans="1:36" x14ac:dyDescent="0.25">
      <c r="A416" s="4" t="s">
        <v>945</v>
      </c>
      <c r="B416" s="4" t="s">
        <v>994</v>
      </c>
      <c r="C416" s="4" t="s">
        <v>15</v>
      </c>
      <c r="D416" s="4" t="s">
        <v>938</v>
      </c>
      <c r="E416" t="s">
        <v>188</v>
      </c>
      <c r="F416" t="s">
        <v>171</v>
      </c>
      <c r="G416" t="s">
        <v>172</v>
      </c>
      <c r="H416">
        <v>12</v>
      </c>
      <c r="I416">
        <v>2</v>
      </c>
      <c r="J416" t="s">
        <v>40</v>
      </c>
      <c r="K416" t="s">
        <v>15</v>
      </c>
      <c r="L416" t="s">
        <v>200</v>
      </c>
      <c r="M416" t="s">
        <v>15</v>
      </c>
      <c r="N416" t="s">
        <v>15</v>
      </c>
      <c r="O416" t="s">
        <v>38</v>
      </c>
      <c r="P416">
        <f>0.9*1.7*0.02</f>
        <v>3.0600000000000002E-2</v>
      </c>
      <c r="Q416" t="s">
        <v>180</v>
      </c>
      <c r="R416" s="3" t="s">
        <v>176</v>
      </c>
      <c r="T416">
        <v>1</v>
      </c>
      <c r="U416" t="s">
        <v>175</v>
      </c>
      <c r="W416">
        <v>90</v>
      </c>
      <c r="X416" t="s">
        <v>184</v>
      </c>
      <c r="Y416" t="s">
        <v>185</v>
      </c>
      <c r="Z416" t="s">
        <v>46</v>
      </c>
      <c r="AA416" s="13">
        <f t="shared" si="97"/>
        <v>2.754</v>
      </c>
      <c r="AB416">
        <f t="shared" si="98"/>
        <v>5.6</v>
      </c>
      <c r="AC416">
        <f t="shared" si="99"/>
        <v>0.72</v>
      </c>
      <c r="AD416" s="11">
        <f t="shared" si="86"/>
        <v>1.2851999999999999</v>
      </c>
      <c r="AE416" s="11">
        <f>_xlfn.RANK.AVG(Tableau8[[#This Row],[EE ( MJ/m²)]],AD416:AD1571)</f>
        <v>559.5</v>
      </c>
      <c r="AF416" s="11">
        <f t="shared" si="95"/>
        <v>0.64259999999999995</v>
      </c>
      <c r="AG416" s="11">
        <f t="shared" si="100"/>
        <v>7.1145E-2</v>
      </c>
      <c r="AH416" s="11">
        <f t="shared" si="87"/>
        <v>0.16524</v>
      </c>
      <c r="AI416" s="11">
        <f t="shared" si="101"/>
        <v>3.55725E-2</v>
      </c>
      <c r="AJ416" s="11">
        <f t="shared" si="96"/>
        <v>8.2619999999999999E-2</v>
      </c>
    </row>
    <row r="417" spans="1:36" x14ac:dyDescent="0.25">
      <c r="A417" s="4" t="s">
        <v>945</v>
      </c>
      <c r="B417" s="4" t="s">
        <v>994</v>
      </c>
      <c r="C417" s="4" t="s">
        <v>15</v>
      </c>
      <c r="D417" s="4" t="s">
        <v>938</v>
      </c>
      <c r="E417" t="s">
        <v>188</v>
      </c>
      <c r="F417" t="s">
        <v>171</v>
      </c>
      <c r="G417" t="s">
        <v>172</v>
      </c>
      <c r="H417">
        <v>12</v>
      </c>
      <c r="I417">
        <v>2</v>
      </c>
      <c r="J417" t="s">
        <v>40</v>
      </c>
      <c r="K417" t="s">
        <v>15</v>
      </c>
      <c r="L417" t="s">
        <v>196</v>
      </c>
      <c r="M417" t="s">
        <v>15</v>
      </c>
      <c r="N417" t="s">
        <v>15</v>
      </c>
      <c r="O417" t="s">
        <v>38</v>
      </c>
      <c r="P417">
        <f>0.6*0.4*0.02</f>
        <v>4.7999999999999996E-3</v>
      </c>
      <c r="Q417" t="s">
        <v>180</v>
      </c>
      <c r="R417" s="3" t="s">
        <v>176</v>
      </c>
      <c r="T417">
        <v>2</v>
      </c>
      <c r="U417" t="s">
        <v>175</v>
      </c>
      <c r="W417">
        <v>90</v>
      </c>
      <c r="X417" t="s">
        <v>184</v>
      </c>
      <c r="Y417" t="s">
        <v>185</v>
      </c>
      <c r="Z417" t="s">
        <v>46</v>
      </c>
      <c r="AA417" s="13">
        <f t="shared" si="97"/>
        <v>0.86399999999999988</v>
      </c>
      <c r="AB417">
        <f t="shared" si="98"/>
        <v>5.6</v>
      </c>
      <c r="AC417">
        <f t="shared" si="99"/>
        <v>0.72</v>
      </c>
      <c r="AD417" s="11">
        <f t="shared" si="86"/>
        <v>0.40319999999999995</v>
      </c>
      <c r="AE417" s="11">
        <f>_xlfn.RANK.AVG(Tableau8[[#This Row],[EE ( MJ/m²)]],AD417:AD1572)</f>
        <v>639.5</v>
      </c>
      <c r="AF417" s="11">
        <f t="shared" si="95"/>
        <v>0.20159999999999997</v>
      </c>
      <c r="AG417" s="11">
        <f t="shared" si="100"/>
        <v>2.2319999999999996E-2</v>
      </c>
      <c r="AH417" s="11">
        <f t="shared" si="87"/>
        <v>5.183999999999999E-2</v>
      </c>
      <c r="AI417" s="11">
        <f t="shared" si="101"/>
        <v>1.1159999999999998E-2</v>
      </c>
      <c r="AJ417" s="11">
        <f t="shared" si="96"/>
        <v>2.5919999999999995E-2</v>
      </c>
    </row>
    <row r="418" spans="1:36" x14ac:dyDescent="0.25">
      <c r="A418" s="4" t="s">
        <v>945</v>
      </c>
      <c r="B418" s="4" t="s">
        <v>994</v>
      </c>
      <c r="C418" s="4" t="s">
        <v>15</v>
      </c>
      <c r="D418" s="4" t="s">
        <v>938</v>
      </c>
      <c r="E418" t="s">
        <v>188</v>
      </c>
      <c r="F418" t="s">
        <v>171</v>
      </c>
      <c r="G418" t="s">
        <v>172</v>
      </c>
      <c r="H418">
        <v>12</v>
      </c>
      <c r="I418">
        <v>2</v>
      </c>
      <c r="J418" t="s">
        <v>40</v>
      </c>
      <c r="K418" t="s">
        <v>15</v>
      </c>
      <c r="L418" t="s">
        <v>53</v>
      </c>
      <c r="M418" t="s">
        <v>52</v>
      </c>
      <c r="N418" t="s">
        <v>223</v>
      </c>
      <c r="O418" t="s">
        <v>38</v>
      </c>
      <c r="P418">
        <f>2*((PI()*((50)*(10^(-2))/2)^2))</f>
        <v>0.39269908169872414</v>
      </c>
      <c r="Q418" t="s">
        <v>180</v>
      </c>
      <c r="R418" s="3" t="s">
        <v>187</v>
      </c>
      <c r="S418" t="s">
        <v>54</v>
      </c>
      <c r="T418">
        <v>14</v>
      </c>
      <c r="U418" t="s">
        <v>175</v>
      </c>
      <c r="W418">
        <v>17</v>
      </c>
      <c r="X418" t="s">
        <v>184</v>
      </c>
      <c r="Y418" t="s">
        <v>185</v>
      </c>
      <c r="Z418" t="s">
        <v>46</v>
      </c>
      <c r="AA418" s="13">
        <f t="shared" si="97"/>
        <v>93.462381444296341</v>
      </c>
      <c r="AB418">
        <v>0.24</v>
      </c>
      <c r="AC418">
        <v>0.01</v>
      </c>
      <c r="AD418" s="11">
        <f t="shared" si="86"/>
        <v>1.8692476288859268</v>
      </c>
      <c r="AE418" s="11">
        <f>_xlfn.RANK.AVG(Tableau8[[#This Row],[EE ( MJ/m²)]],AD418:AD1573)</f>
        <v>529</v>
      </c>
      <c r="AF418" s="11">
        <f t="shared" si="95"/>
        <v>0.93462381444296339</v>
      </c>
      <c r="AG418" s="11">
        <f t="shared" ref="AG418:AG426" si="102">(AC418)*AA418/H418</f>
        <v>7.7885317870246953E-2</v>
      </c>
      <c r="AH418" s="11">
        <f t="shared" si="87"/>
        <v>7.7885317870246953E-2</v>
      </c>
      <c r="AI418" s="11">
        <f t="shared" ref="AI418:AI426" si="103">(AC418)*AA418/H418/I418</f>
        <v>3.8942658935123477E-2</v>
      </c>
      <c r="AJ418" s="11">
        <f t="shared" si="96"/>
        <v>3.8942658935123477E-2</v>
      </c>
    </row>
    <row r="419" spans="1:36" x14ac:dyDescent="0.25">
      <c r="A419" s="4" t="s">
        <v>945</v>
      </c>
      <c r="B419" s="4" t="s">
        <v>994</v>
      </c>
      <c r="C419" s="4" t="s">
        <v>15</v>
      </c>
      <c r="D419" s="4" t="s">
        <v>938</v>
      </c>
      <c r="E419" t="s">
        <v>188</v>
      </c>
      <c r="F419" t="s">
        <v>171</v>
      </c>
      <c r="G419" t="s">
        <v>172</v>
      </c>
      <c r="H419">
        <v>12</v>
      </c>
      <c r="I419">
        <v>2</v>
      </c>
      <c r="J419" t="s">
        <v>57</v>
      </c>
      <c r="K419" t="s">
        <v>14</v>
      </c>
      <c r="L419" t="s">
        <v>0</v>
      </c>
      <c r="M419" t="s">
        <v>32</v>
      </c>
      <c r="N419" t="s">
        <v>35</v>
      </c>
      <c r="O419" t="s">
        <v>36</v>
      </c>
      <c r="P419">
        <f>4*5</f>
        <v>20</v>
      </c>
      <c r="Q419" t="s">
        <v>179</v>
      </c>
      <c r="R419" s="3" t="s">
        <v>176</v>
      </c>
      <c r="S419" t="s">
        <v>31</v>
      </c>
      <c r="T419">
        <v>1</v>
      </c>
      <c r="U419" t="s">
        <v>175</v>
      </c>
      <c r="W419" s="1">
        <v>0.19</v>
      </c>
      <c r="X419" t="s">
        <v>183</v>
      </c>
      <c r="Y419" t="s">
        <v>175</v>
      </c>
      <c r="AA419" s="13">
        <f t="shared" si="97"/>
        <v>3.8</v>
      </c>
      <c r="AB419">
        <v>54.3</v>
      </c>
      <c r="AC419">
        <v>1.93</v>
      </c>
      <c r="AD419" s="11">
        <f t="shared" si="86"/>
        <v>17.194999999999997</v>
      </c>
      <c r="AE419" s="11">
        <f>_xlfn.RANK.AVG(Tableau8[[#This Row],[EE ( MJ/m²)]],AD419:AD1574)</f>
        <v>276</v>
      </c>
      <c r="AF419" s="11">
        <f t="shared" si="95"/>
        <v>8.5974999999999984</v>
      </c>
      <c r="AG419" s="11">
        <f t="shared" si="102"/>
        <v>0.61116666666666664</v>
      </c>
      <c r="AH419" s="11">
        <f t="shared" si="87"/>
        <v>0.61116666666666664</v>
      </c>
      <c r="AI419" s="11">
        <f t="shared" si="103"/>
        <v>0.30558333333333332</v>
      </c>
      <c r="AJ419" s="11">
        <f t="shared" si="96"/>
        <v>0.30558333333333332</v>
      </c>
    </row>
    <row r="420" spans="1:36" x14ac:dyDescent="0.25">
      <c r="A420" s="4" t="s">
        <v>945</v>
      </c>
      <c r="B420" s="4" t="s">
        <v>994</v>
      </c>
      <c r="C420" s="4" t="s">
        <v>15</v>
      </c>
      <c r="D420" s="4" t="s">
        <v>938</v>
      </c>
      <c r="E420" t="s">
        <v>188</v>
      </c>
      <c r="F420" t="s">
        <v>171</v>
      </c>
      <c r="G420" t="s">
        <v>172</v>
      </c>
      <c r="H420">
        <v>12</v>
      </c>
      <c r="I420">
        <v>2</v>
      </c>
      <c r="J420" t="s">
        <v>44</v>
      </c>
      <c r="K420" t="s">
        <v>17</v>
      </c>
      <c r="L420" t="s">
        <v>201</v>
      </c>
      <c r="M420" t="s">
        <v>12</v>
      </c>
      <c r="N420" t="s">
        <v>12</v>
      </c>
      <c r="W420">
        <v>7800</v>
      </c>
      <c r="X420" t="s">
        <v>184</v>
      </c>
      <c r="Y420" t="s">
        <v>185</v>
      </c>
      <c r="Z420" t="s">
        <v>47</v>
      </c>
      <c r="AA420" s="13">
        <v>3</v>
      </c>
      <c r="AB420">
        <v>25.3</v>
      </c>
      <c r="AC420">
        <v>1.95</v>
      </c>
      <c r="AD420" s="11">
        <f t="shared" si="86"/>
        <v>6.3250000000000002</v>
      </c>
      <c r="AE420" s="11">
        <f>_xlfn.RANK.AVG(Tableau8[[#This Row],[EE ( MJ/m²)]],AD420:AD1575)</f>
        <v>401</v>
      </c>
      <c r="AF420" s="11">
        <f t="shared" si="95"/>
        <v>3.1625000000000001</v>
      </c>
      <c r="AG420" s="11">
        <f t="shared" si="102"/>
        <v>0.48749999999999999</v>
      </c>
      <c r="AH420" s="11">
        <f t="shared" si="87"/>
        <v>0.48749999999999999</v>
      </c>
      <c r="AI420" s="11">
        <f t="shared" si="103"/>
        <v>0.24374999999999999</v>
      </c>
      <c r="AJ420" s="11">
        <f t="shared" si="96"/>
        <v>0.24374999999999999</v>
      </c>
    </row>
    <row r="421" spans="1:36" x14ac:dyDescent="0.25">
      <c r="A421" s="4" t="s">
        <v>945</v>
      </c>
      <c r="B421" s="4" t="s">
        <v>994</v>
      </c>
      <c r="C421" s="4" t="s">
        <v>15</v>
      </c>
      <c r="D421" s="4" t="s">
        <v>938</v>
      </c>
      <c r="E421" t="s">
        <v>188</v>
      </c>
      <c r="F421" t="s">
        <v>171</v>
      </c>
      <c r="G421" t="s">
        <v>172</v>
      </c>
      <c r="H421">
        <v>12</v>
      </c>
      <c r="I421">
        <v>2</v>
      </c>
      <c r="J421" t="s">
        <v>44</v>
      </c>
      <c r="K421" t="s">
        <v>17</v>
      </c>
      <c r="L421" t="s">
        <v>201</v>
      </c>
      <c r="M421" t="s">
        <v>12</v>
      </c>
      <c r="N421" t="s">
        <v>12</v>
      </c>
      <c r="W421">
        <v>7800</v>
      </c>
      <c r="X421" t="s">
        <v>184</v>
      </c>
      <c r="Y421" t="s">
        <v>185</v>
      </c>
      <c r="Z421" t="s">
        <v>47</v>
      </c>
      <c r="AA421" s="13">
        <v>3</v>
      </c>
      <c r="AB421">
        <v>25.3</v>
      </c>
      <c r="AC421">
        <v>1.95</v>
      </c>
      <c r="AD421" s="11">
        <f t="shared" si="86"/>
        <v>6.3250000000000002</v>
      </c>
      <c r="AE421" s="11">
        <f>_xlfn.RANK.AVG(Tableau8[[#This Row],[EE ( MJ/m²)]],AD421:AD1576)</f>
        <v>400.5</v>
      </c>
      <c r="AF421" s="11">
        <f t="shared" si="95"/>
        <v>3.1625000000000001</v>
      </c>
      <c r="AG421" s="11">
        <f t="shared" si="102"/>
        <v>0.48749999999999999</v>
      </c>
      <c r="AH421" s="11">
        <f t="shared" si="87"/>
        <v>0.48749999999999999</v>
      </c>
      <c r="AI421" s="11">
        <f t="shared" si="103"/>
        <v>0.24374999999999999</v>
      </c>
      <c r="AJ421" s="11">
        <f t="shared" si="96"/>
        <v>0.24374999999999999</v>
      </c>
    </row>
    <row r="422" spans="1:36" x14ac:dyDescent="0.25">
      <c r="A422" s="4" t="s">
        <v>945</v>
      </c>
      <c r="B422" s="4" t="s">
        <v>994</v>
      </c>
      <c r="C422" s="4" t="s">
        <v>15</v>
      </c>
      <c r="D422" s="4" t="s">
        <v>938</v>
      </c>
      <c r="E422" t="s">
        <v>188</v>
      </c>
      <c r="F422" t="s">
        <v>171</v>
      </c>
      <c r="G422" t="s">
        <v>172</v>
      </c>
      <c r="H422">
        <v>12</v>
      </c>
      <c r="I422">
        <v>2</v>
      </c>
      <c r="J422" t="s">
        <v>44</v>
      </c>
      <c r="K422" t="s">
        <v>17</v>
      </c>
      <c r="L422" t="s">
        <v>198</v>
      </c>
      <c r="M422" t="s">
        <v>12</v>
      </c>
      <c r="N422" t="s">
        <v>12</v>
      </c>
      <c r="P422">
        <f>0.3*0.2*0.0025</f>
        <v>1.4999999999999999E-4</v>
      </c>
      <c r="Q422" t="s">
        <v>180</v>
      </c>
      <c r="R422" s="3" t="s">
        <v>187</v>
      </c>
      <c r="S422" t="s">
        <v>67</v>
      </c>
      <c r="T422">
        <v>20</v>
      </c>
      <c r="U422" t="s">
        <v>175</v>
      </c>
      <c r="W422">
        <v>7800</v>
      </c>
      <c r="X422" t="s">
        <v>184</v>
      </c>
      <c r="Y422" t="s">
        <v>185</v>
      </c>
      <c r="Z422" t="s">
        <v>47</v>
      </c>
      <c r="AA422" s="13">
        <f>W422*T422*P422</f>
        <v>23.4</v>
      </c>
      <c r="AB422">
        <v>25.3</v>
      </c>
      <c r="AC422">
        <v>1.95</v>
      </c>
      <c r="AD422" s="11">
        <f t="shared" si="86"/>
        <v>49.335000000000001</v>
      </c>
      <c r="AE422" s="11">
        <f>_xlfn.RANK.AVG(Tableau8[[#This Row],[EE ( MJ/m²)]],AD422:AD1577)</f>
        <v>145</v>
      </c>
      <c r="AF422" s="11">
        <f t="shared" si="95"/>
        <v>24.6675</v>
      </c>
      <c r="AG422" s="11">
        <f t="shared" si="102"/>
        <v>3.8024999999999998</v>
      </c>
      <c r="AH422" s="11">
        <f t="shared" si="87"/>
        <v>3.8024999999999998</v>
      </c>
      <c r="AI422" s="11">
        <f t="shared" si="103"/>
        <v>1.9012499999999999</v>
      </c>
      <c r="AJ422" s="11">
        <f t="shared" si="96"/>
        <v>1.9012499999999999</v>
      </c>
    </row>
    <row r="423" spans="1:36" x14ac:dyDescent="0.25">
      <c r="A423" s="4" t="s">
        <v>945</v>
      </c>
      <c r="B423" s="4" t="s">
        <v>994</v>
      </c>
      <c r="C423" s="4" t="s">
        <v>15</v>
      </c>
      <c r="D423" s="4" t="s">
        <v>938</v>
      </c>
      <c r="E423" t="s">
        <v>188</v>
      </c>
      <c r="F423" t="s">
        <v>171</v>
      </c>
      <c r="G423" t="s">
        <v>172</v>
      </c>
      <c r="H423">
        <v>12</v>
      </c>
      <c r="I423">
        <v>2</v>
      </c>
      <c r="J423" t="s">
        <v>44</v>
      </c>
      <c r="K423" t="s">
        <v>17</v>
      </c>
      <c r="L423" t="s">
        <v>199</v>
      </c>
      <c r="M423" t="s">
        <v>12</v>
      </c>
      <c r="N423" t="s">
        <v>12</v>
      </c>
      <c r="W423">
        <v>7800</v>
      </c>
      <c r="X423" t="s">
        <v>184</v>
      </c>
      <c r="Y423" t="s">
        <v>185</v>
      </c>
      <c r="Z423" t="s">
        <v>47</v>
      </c>
      <c r="AA423" s="13">
        <v>3</v>
      </c>
      <c r="AB423">
        <v>25.3</v>
      </c>
      <c r="AC423">
        <v>1.95</v>
      </c>
      <c r="AD423" s="11">
        <f t="shared" si="86"/>
        <v>6.3250000000000002</v>
      </c>
      <c r="AE423" s="11">
        <f>_xlfn.RANK.AVG(Tableau8[[#This Row],[EE ( MJ/m²)]],AD423:AD1578)</f>
        <v>399</v>
      </c>
      <c r="AF423" s="11">
        <f t="shared" si="95"/>
        <v>3.1625000000000001</v>
      </c>
      <c r="AG423" s="11">
        <f t="shared" si="102"/>
        <v>0.48749999999999999</v>
      </c>
      <c r="AH423" s="11">
        <f t="shared" si="87"/>
        <v>0.48749999999999999</v>
      </c>
      <c r="AI423" s="11">
        <f t="shared" si="103"/>
        <v>0.24374999999999999</v>
      </c>
      <c r="AJ423" s="11">
        <f t="shared" si="96"/>
        <v>0.24374999999999999</v>
      </c>
    </row>
    <row r="424" spans="1:36" x14ac:dyDescent="0.25">
      <c r="A424" s="4" t="s">
        <v>945</v>
      </c>
      <c r="B424" s="4" t="s">
        <v>994</v>
      </c>
      <c r="C424" s="4" t="s">
        <v>15</v>
      </c>
      <c r="D424" s="4" t="s">
        <v>938</v>
      </c>
      <c r="E424" t="s">
        <v>188</v>
      </c>
      <c r="F424" t="s">
        <v>171</v>
      </c>
      <c r="G424" t="s">
        <v>172</v>
      </c>
      <c r="H424">
        <v>12</v>
      </c>
      <c r="I424">
        <v>2</v>
      </c>
      <c r="J424" t="s">
        <v>44</v>
      </c>
      <c r="K424" t="s">
        <v>41</v>
      </c>
      <c r="L424" t="s">
        <v>8</v>
      </c>
      <c r="M424" t="s">
        <v>16</v>
      </c>
      <c r="N424" t="s">
        <v>16</v>
      </c>
      <c r="P424">
        <f>(PI()*(0.004^2))*5</f>
        <v>2.5132741228718343E-4</v>
      </c>
      <c r="Q424" t="s">
        <v>180</v>
      </c>
      <c r="R424" t="s">
        <v>176</v>
      </c>
      <c r="T424">
        <v>5</v>
      </c>
      <c r="U424" t="s">
        <v>175</v>
      </c>
      <c r="W424">
        <v>1500</v>
      </c>
      <c r="X424" t="s">
        <v>184</v>
      </c>
      <c r="AA424" s="13">
        <f>W424*T424*P424</f>
        <v>1.8849555921538756</v>
      </c>
      <c r="AB424">
        <v>91</v>
      </c>
      <c r="AC424">
        <v>2.66</v>
      </c>
      <c r="AD424" s="11">
        <f t="shared" si="86"/>
        <v>14.294246573833556</v>
      </c>
      <c r="AE424" s="11">
        <f>_xlfn.RANK.AVG(Tableau8[[#This Row],[EE ( MJ/m²)]],AD424:AD1579)</f>
        <v>296.5</v>
      </c>
      <c r="AF424" s="11">
        <f t="shared" si="95"/>
        <v>7.147123286916778</v>
      </c>
      <c r="AG424" s="11">
        <f t="shared" si="102"/>
        <v>0.41783182292744248</v>
      </c>
      <c r="AH424" s="11">
        <f t="shared" si="87"/>
        <v>0.41783182292744248</v>
      </c>
      <c r="AI424" s="11">
        <f t="shared" si="103"/>
        <v>0.20891591146372124</v>
      </c>
      <c r="AJ424" s="11">
        <f t="shared" si="96"/>
        <v>0.20891591146372124</v>
      </c>
    </row>
    <row r="425" spans="1:36" x14ac:dyDescent="0.25">
      <c r="A425" s="4" t="s">
        <v>944</v>
      </c>
      <c r="B425" s="4" t="s">
        <v>1245</v>
      </c>
      <c r="C425" s="4" t="s">
        <v>15</v>
      </c>
      <c r="D425" s="4" t="s">
        <v>1004</v>
      </c>
      <c r="E425" t="s">
        <v>1014</v>
      </c>
      <c r="F425" t="s">
        <v>171</v>
      </c>
      <c r="G425" t="s">
        <v>1015</v>
      </c>
      <c r="H425">
        <v>27</v>
      </c>
      <c r="I425">
        <v>5</v>
      </c>
      <c r="J425" t="s">
        <v>42</v>
      </c>
      <c r="K425" t="s">
        <v>17</v>
      </c>
      <c r="L425" t="s">
        <v>712</v>
      </c>
      <c r="M425" t="s">
        <v>12</v>
      </c>
      <c r="N425" t="s">
        <v>12</v>
      </c>
      <c r="R425" t="s">
        <v>187</v>
      </c>
      <c r="T425">
        <v>1</v>
      </c>
      <c r="U425" t="s">
        <v>346</v>
      </c>
      <c r="W425">
        <v>7800</v>
      </c>
      <c r="X425" t="s">
        <v>184</v>
      </c>
      <c r="AA425" s="13">
        <v>14</v>
      </c>
      <c r="AB425">
        <v>25.3</v>
      </c>
      <c r="AC425">
        <v>1.95</v>
      </c>
      <c r="AD425" s="11">
        <f t="shared" si="86"/>
        <v>13.118518518518519</v>
      </c>
      <c r="AE425" s="11">
        <f>_xlfn.RANK.AVG(Tableau8[[#This Row],[EE ( MJ/m²)]],AD425:AD1580)</f>
        <v>310</v>
      </c>
      <c r="AF425" s="11">
        <f t="shared" si="95"/>
        <v>2.6237037037037036</v>
      </c>
      <c r="AG425" s="11">
        <f t="shared" si="102"/>
        <v>1.0111111111111111</v>
      </c>
      <c r="AH425" s="11">
        <f t="shared" si="87"/>
        <v>1.0111111111111111</v>
      </c>
      <c r="AI425" s="11">
        <f t="shared" si="103"/>
        <v>0.20222222222222222</v>
      </c>
      <c r="AJ425" s="11">
        <f t="shared" si="96"/>
        <v>0.20222222222222222</v>
      </c>
    </row>
    <row r="426" spans="1:36" x14ac:dyDescent="0.25">
      <c r="A426" s="23" t="s">
        <v>944</v>
      </c>
      <c r="B426" s="4" t="s">
        <v>1245</v>
      </c>
      <c r="C426" s="23" t="s">
        <v>15</v>
      </c>
      <c r="D426" s="23" t="s">
        <v>1004</v>
      </c>
      <c r="E426" s="20" t="s">
        <v>1014</v>
      </c>
      <c r="F426" s="20" t="s">
        <v>171</v>
      </c>
      <c r="G426" s="20" t="s">
        <v>1015</v>
      </c>
      <c r="H426" s="20">
        <v>27</v>
      </c>
      <c r="I426" s="20">
        <v>5</v>
      </c>
      <c r="J426" s="20" t="s">
        <v>42</v>
      </c>
      <c r="K426" t="s">
        <v>14</v>
      </c>
      <c r="L426" s="20" t="s">
        <v>786</v>
      </c>
      <c r="M426" s="20" t="s">
        <v>14</v>
      </c>
      <c r="N426" s="20" t="s">
        <v>111</v>
      </c>
      <c r="P426" s="20"/>
      <c r="Q426" s="20"/>
      <c r="R426" s="20" t="s">
        <v>176</v>
      </c>
      <c r="S426" s="20"/>
      <c r="T426" s="20">
        <v>1</v>
      </c>
      <c r="U426" s="20" t="s">
        <v>1006</v>
      </c>
      <c r="V426" s="20"/>
      <c r="W426" s="25">
        <v>1380</v>
      </c>
      <c r="X426" s="20" t="s">
        <v>184</v>
      </c>
      <c r="Y426" s="20"/>
      <c r="Z426" s="20"/>
      <c r="AA426" s="24">
        <v>5</v>
      </c>
      <c r="AB426" s="20">
        <v>35.6</v>
      </c>
      <c r="AC426">
        <v>3.31</v>
      </c>
      <c r="AD426" s="11">
        <f t="shared" ref="AD426:AD468" si="104">AB426*AA426/H426</f>
        <v>6.5925925925925926</v>
      </c>
      <c r="AE426" s="11">
        <f>_xlfn.RANK.AVG(Tableau8[[#This Row],[EE ( MJ/m²)]],AD426:AD1581)</f>
        <v>384</v>
      </c>
      <c r="AF426" s="11">
        <f t="shared" si="95"/>
        <v>1.3185185185185184</v>
      </c>
      <c r="AG426" s="11">
        <f t="shared" si="102"/>
        <v>0.61296296296296304</v>
      </c>
      <c r="AH426" s="11">
        <f t="shared" ref="AH426:AH468" si="105">AC426*AA426/H426</f>
        <v>0.61296296296296304</v>
      </c>
      <c r="AI426" s="11">
        <f t="shared" si="103"/>
        <v>0.12259259259259261</v>
      </c>
      <c r="AJ426" s="11">
        <f t="shared" si="96"/>
        <v>0.12259259259259261</v>
      </c>
    </row>
    <row r="427" spans="1:36" x14ac:dyDescent="0.25">
      <c r="A427" s="4" t="s">
        <v>944</v>
      </c>
      <c r="B427" s="4" t="s">
        <v>1245</v>
      </c>
      <c r="C427" s="4" t="s">
        <v>15</v>
      </c>
      <c r="D427" s="4" t="s">
        <v>1004</v>
      </c>
      <c r="E427" t="s">
        <v>1014</v>
      </c>
      <c r="F427" t="s">
        <v>171</v>
      </c>
      <c r="G427" t="s">
        <v>1015</v>
      </c>
      <c r="H427">
        <v>27</v>
      </c>
      <c r="I427">
        <v>5</v>
      </c>
      <c r="J427" t="s">
        <v>42</v>
      </c>
      <c r="K427" t="s">
        <v>15</v>
      </c>
      <c r="L427" t="s">
        <v>1016</v>
      </c>
      <c r="M427" t="s">
        <v>210</v>
      </c>
      <c r="N427" t="s">
        <v>15</v>
      </c>
      <c r="P427">
        <v>3.5</v>
      </c>
      <c r="Q427" t="s">
        <v>180</v>
      </c>
      <c r="R427" t="s">
        <v>187</v>
      </c>
      <c r="S427" t="s">
        <v>1005</v>
      </c>
      <c r="T427">
        <v>1</v>
      </c>
      <c r="U427" t="s">
        <v>1006</v>
      </c>
      <c r="W427">
        <v>480</v>
      </c>
      <c r="X427" t="s">
        <v>184</v>
      </c>
      <c r="AA427" s="13">
        <f>Tableau8[[#This Row],[density (kg/m2) or specific weight (kg/m2)]]*Tableau8[[#This Row],[volume or area]]</f>
        <v>1680</v>
      </c>
      <c r="AB427">
        <f>10-4.4</f>
        <v>5.6</v>
      </c>
      <c r="AC427">
        <f>0.31+0.41</f>
        <v>0.72</v>
      </c>
      <c r="AD427" s="11">
        <f t="shared" si="104"/>
        <v>348.44444444444446</v>
      </c>
      <c r="AE427" s="11">
        <f>_xlfn.RANK.AVG(Tableau8[[#This Row],[EE ( MJ/m²)]],AD427:AD1582)</f>
        <v>22</v>
      </c>
      <c r="AF427" s="11">
        <f t="shared" si="95"/>
        <v>69.688888888888897</v>
      </c>
      <c r="AG427" s="11">
        <f>(AC427-0.41)*AA427/H427</f>
        <v>19.288888888888888</v>
      </c>
      <c r="AH427" s="11">
        <f t="shared" si="105"/>
        <v>44.8</v>
      </c>
      <c r="AI427" s="11">
        <f>(AC427-0.41)*AA427/H427/I427</f>
        <v>3.8577777777777778</v>
      </c>
      <c r="AJ427" s="11">
        <f t="shared" si="96"/>
        <v>8.9599999999999991</v>
      </c>
    </row>
    <row r="428" spans="1:36" x14ac:dyDescent="0.25">
      <c r="A428" s="4" t="s">
        <v>944</v>
      </c>
      <c r="B428" s="4" t="s">
        <v>1245</v>
      </c>
      <c r="C428" s="4" t="s">
        <v>15</v>
      </c>
      <c r="D428" s="4" t="s">
        <v>1004</v>
      </c>
      <c r="E428" t="s">
        <v>1014</v>
      </c>
      <c r="F428" t="s">
        <v>171</v>
      </c>
      <c r="G428" t="s">
        <v>1015</v>
      </c>
      <c r="H428">
        <v>27</v>
      </c>
      <c r="I428">
        <v>5</v>
      </c>
      <c r="J428" t="s">
        <v>56</v>
      </c>
      <c r="K428" t="s">
        <v>15</v>
      </c>
      <c r="L428" t="s">
        <v>223</v>
      </c>
      <c r="M428" s="20" t="s">
        <v>10</v>
      </c>
      <c r="N428" s="20" t="s">
        <v>15</v>
      </c>
      <c r="P428" s="20">
        <v>3.5</v>
      </c>
      <c r="Q428" s="20" t="s">
        <v>180</v>
      </c>
      <c r="R428" s="20" t="s">
        <v>176</v>
      </c>
      <c r="S428" s="20" t="s">
        <v>1005</v>
      </c>
      <c r="T428" s="20">
        <v>1</v>
      </c>
      <c r="U428" s="20" t="s">
        <v>1006</v>
      </c>
      <c r="V428" s="20"/>
      <c r="W428" s="34">
        <v>90</v>
      </c>
      <c r="X428" t="s">
        <v>184</v>
      </c>
      <c r="AA428" s="13">
        <f t="shared" ref="AA428:AA437" si="106">W428*T428*P428</f>
        <v>315</v>
      </c>
      <c r="AB428">
        <f>10-4.4</f>
        <v>5.6</v>
      </c>
      <c r="AC428">
        <f>0.31+0.41</f>
        <v>0.72</v>
      </c>
      <c r="AD428" s="11">
        <f t="shared" si="104"/>
        <v>65.333333333333329</v>
      </c>
      <c r="AE428" s="11">
        <f>_xlfn.RANK.AVG(Tableau8[[#This Row],[EE ( MJ/m²)]],AD428:AD1583)</f>
        <v>121</v>
      </c>
      <c r="AF428" s="11">
        <f t="shared" si="95"/>
        <v>13.066666666666666</v>
      </c>
      <c r="AG428" s="11">
        <f>(AC428-0.41)*AA428/H428</f>
        <v>3.6166666666666667</v>
      </c>
      <c r="AH428" s="11">
        <f t="shared" si="105"/>
        <v>8.3999999999999986</v>
      </c>
      <c r="AI428" s="11">
        <f>(AC428-0.41)*AA428/H428/I428</f>
        <v>0.72333333333333338</v>
      </c>
      <c r="AJ428" s="11">
        <f t="shared" si="96"/>
        <v>1.6799999999999997</v>
      </c>
    </row>
    <row r="429" spans="1:36" x14ac:dyDescent="0.25">
      <c r="A429" s="4" t="s">
        <v>945</v>
      </c>
      <c r="B429" s="4" t="s">
        <v>994</v>
      </c>
      <c r="C429" s="4" t="s">
        <v>15</v>
      </c>
      <c r="D429" s="4" t="s">
        <v>938</v>
      </c>
      <c r="E429" t="s">
        <v>188</v>
      </c>
      <c r="F429" t="s">
        <v>171</v>
      </c>
      <c r="G429" t="s">
        <v>172</v>
      </c>
      <c r="H429">
        <v>12</v>
      </c>
      <c r="I429">
        <v>2</v>
      </c>
      <c r="J429" t="s">
        <v>13</v>
      </c>
      <c r="K429" t="s">
        <v>18</v>
      </c>
      <c r="L429" t="s">
        <v>202</v>
      </c>
      <c r="M429" t="s">
        <v>39</v>
      </c>
      <c r="N429" t="s">
        <v>39</v>
      </c>
      <c r="P429">
        <f>0.3*0.3*0.3</f>
        <v>2.7E-2</v>
      </c>
      <c r="Q429" t="s">
        <v>180</v>
      </c>
      <c r="R429" s="3" t="s">
        <v>176</v>
      </c>
      <c r="T429">
        <v>9</v>
      </c>
      <c r="U429" t="s">
        <v>175</v>
      </c>
      <c r="W429">
        <v>2400</v>
      </c>
      <c r="X429" t="s">
        <v>184</v>
      </c>
      <c r="Y429" t="s">
        <v>185</v>
      </c>
      <c r="Z429" t="s">
        <v>48</v>
      </c>
      <c r="AA429" s="13">
        <f t="shared" si="106"/>
        <v>583.20000000000005</v>
      </c>
      <c r="AB429">
        <v>0.75</v>
      </c>
      <c r="AC429">
        <v>0.107</v>
      </c>
      <c r="AD429" s="11">
        <f t="shared" si="104"/>
        <v>36.450000000000003</v>
      </c>
      <c r="AE429" s="11">
        <f>_xlfn.RANK.AVG(Tableau8[[#This Row],[EE ( MJ/m²)]],AD429:AD1584)</f>
        <v>176.5</v>
      </c>
      <c r="AF429" s="11">
        <f t="shared" si="95"/>
        <v>18.225000000000001</v>
      </c>
      <c r="AG429" s="11">
        <f>(AC429)*AA429/H429</f>
        <v>5.2001999999999997</v>
      </c>
      <c r="AH429" s="11">
        <f t="shared" si="105"/>
        <v>5.2001999999999997</v>
      </c>
      <c r="AI429" s="11">
        <f>(AC429)*AA429/H429/I429</f>
        <v>2.6000999999999999</v>
      </c>
      <c r="AJ429" s="11">
        <f t="shared" si="96"/>
        <v>2.6000999999999999</v>
      </c>
    </row>
    <row r="430" spans="1:36" x14ac:dyDescent="0.25">
      <c r="A430" s="4" t="s">
        <v>945</v>
      </c>
      <c r="B430" s="4" t="s">
        <v>994</v>
      </c>
      <c r="C430" s="4" t="s">
        <v>15</v>
      </c>
      <c r="D430" s="4" t="s">
        <v>938</v>
      </c>
      <c r="E430" t="s">
        <v>188</v>
      </c>
      <c r="F430" t="s">
        <v>171</v>
      </c>
      <c r="G430" t="s">
        <v>172</v>
      </c>
      <c r="H430">
        <v>12</v>
      </c>
      <c r="I430">
        <v>2</v>
      </c>
      <c r="J430" t="s">
        <v>42</v>
      </c>
      <c r="K430" t="s">
        <v>15</v>
      </c>
      <c r="L430" t="s">
        <v>7</v>
      </c>
      <c r="M430" s="20" t="s">
        <v>10</v>
      </c>
      <c r="N430" s="20" t="s">
        <v>15</v>
      </c>
      <c r="O430" t="s">
        <v>38</v>
      </c>
      <c r="P430" s="20">
        <f>3*((PI()*((1+1.5)*(10^(-2))/2)^2))</f>
        <v>1.4726215563702157E-3</v>
      </c>
      <c r="Q430" s="20" t="s">
        <v>180</v>
      </c>
      <c r="R430" s="21" t="s">
        <v>187</v>
      </c>
      <c r="S430" s="20" t="s">
        <v>55</v>
      </c>
      <c r="T430" s="20">
        <v>8</v>
      </c>
      <c r="U430" s="20" t="s">
        <v>175</v>
      </c>
      <c r="V430" s="20"/>
      <c r="W430" s="20">
        <v>90</v>
      </c>
      <c r="X430" t="s">
        <v>184</v>
      </c>
      <c r="Y430" t="s">
        <v>185</v>
      </c>
      <c r="Z430" t="s">
        <v>46</v>
      </c>
      <c r="AA430" s="13">
        <f t="shared" si="106"/>
        <v>1.0602875205865552</v>
      </c>
      <c r="AB430">
        <f t="shared" ref="AB430:AB435" si="107">10-4.4</f>
        <v>5.6</v>
      </c>
      <c r="AC430">
        <f t="shared" ref="AC430:AC435" si="108">0.31+0.41</f>
        <v>0.72</v>
      </c>
      <c r="AD430" s="11">
        <f t="shared" si="104"/>
        <v>0.49480084294039234</v>
      </c>
      <c r="AE430" s="11">
        <f>_xlfn.RANK.AVG(Tableau8[[#This Row],[EE ( MJ/m²)]],AD430:AD1585)</f>
        <v>611.5</v>
      </c>
      <c r="AF430" s="11">
        <f t="shared" si="95"/>
        <v>0.24740042147019617</v>
      </c>
      <c r="AG430" s="11">
        <f t="shared" ref="AG430:AG435" si="109">(AC430-0.41)*AA430/H430</f>
        <v>2.7390760948486009E-2</v>
      </c>
      <c r="AH430" s="11">
        <f t="shared" si="105"/>
        <v>6.3617251235193309E-2</v>
      </c>
      <c r="AI430" s="11">
        <f t="shared" ref="AI430:AI435" si="110">(AC430-0.41)*AA430/H430/I430</f>
        <v>1.3695380474243004E-2</v>
      </c>
      <c r="AJ430" s="11">
        <f t="shared" si="96"/>
        <v>3.1808625617596654E-2</v>
      </c>
    </row>
    <row r="431" spans="1:36" x14ac:dyDescent="0.25">
      <c r="A431" s="4" t="s">
        <v>945</v>
      </c>
      <c r="B431" s="4" t="s">
        <v>995</v>
      </c>
      <c r="C431" s="4" t="s">
        <v>15</v>
      </c>
      <c r="D431" s="4" t="s">
        <v>938</v>
      </c>
      <c r="E431" t="s">
        <v>189</v>
      </c>
      <c r="F431" t="s">
        <v>171</v>
      </c>
      <c r="G431" t="s">
        <v>172</v>
      </c>
      <c r="H431">
        <v>12</v>
      </c>
      <c r="I431">
        <v>2.5</v>
      </c>
      <c r="J431" t="s">
        <v>42</v>
      </c>
      <c r="K431" t="s">
        <v>15</v>
      </c>
      <c r="L431" t="s">
        <v>4</v>
      </c>
      <c r="M431" t="s">
        <v>2</v>
      </c>
      <c r="N431" t="s">
        <v>15</v>
      </c>
      <c r="O431" t="s">
        <v>37</v>
      </c>
      <c r="P431">
        <f>2*((PI()*((4+7.5)*(10^(-2))/2)^2))</f>
        <v>2.0773781421862508E-2</v>
      </c>
      <c r="Q431" t="s">
        <v>180</v>
      </c>
      <c r="R431" s="3" t="s">
        <v>176</v>
      </c>
      <c r="T431">
        <v>8</v>
      </c>
      <c r="U431" t="s">
        <v>175</v>
      </c>
      <c r="W431">
        <v>480</v>
      </c>
      <c r="X431" t="s">
        <v>184</v>
      </c>
      <c r="Y431" t="s">
        <v>185</v>
      </c>
      <c r="Z431" t="s">
        <v>45</v>
      </c>
      <c r="AA431" s="13">
        <f t="shared" si="106"/>
        <v>79.771320659952039</v>
      </c>
      <c r="AB431">
        <f t="shared" si="107"/>
        <v>5.6</v>
      </c>
      <c r="AC431">
        <f t="shared" si="108"/>
        <v>0.72</v>
      </c>
      <c r="AD431" s="11">
        <f t="shared" si="104"/>
        <v>37.226616307977615</v>
      </c>
      <c r="AE431" s="11">
        <f>_xlfn.RANK.AVG(Tableau8[[#This Row],[EE ( MJ/m²)]],AD431:AD1586)</f>
        <v>170</v>
      </c>
      <c r="AF431" s="11">
        <f t="shared" si="95"/>
        <v>14.890646523191046</v>
      </c>
      <c r="AG431" s="11">
        <f t="shared" si="109"/>
        <v>2.0607591170487609</v>
      </c>
      <c r="AH431" s="11">
        <f t="shared" si="105"/>
        <v>4.7862792395971221</v>
      </c>
      <c r="AI431" s="11">
        <f t="shared" si="110"/>
        <v>0.82430364681950441</v>
      </c>
      <c r="AJ431" s="11">
        <f t="shared" si="96"/>
        <v>1.9145116958388488</v>
      </c>
    </row>
    <row r="432" spans="1:36" x14ac:dyDescent="0.25">
      <c r="A432" s="4" t="s">
        <v>945</v>
      </c>
      <c r="B432" s="4" t="s">
        <v>995</v>
      </c>
      <c r="C432" s="4" t="s">
        <v>15</v>
      </c>
      <c r="D432" s="4" t="s">
        <v>938</v>
      </c>
      <c r="E432" t="s">
        <v>189</v>
      </c>
      <c r="F432" t="s">
        <v>171</v>
      </c>
      <c r="G432" t="s">
        <v>172</v>
      </c>
      <c r="H432">
        <v>12</v>
      </c>
      <c r="I432">
        <v>2.5</v>
      </c>
      <c r="J432" t="s">
        <v>42</v>
      </c>
      <c r="K432" t="s">
        <v>15</v>
      </c>
      <c r="L432" t="s">
        <v>4</v>
      </c>
      <c r="M432" t="s">
        <v>2</v>
      </c>
      <c r="N432" t="s">
        <v>15</v>
      </c>
      <c r="O432" t="s">
        <v>37</v>
      </c>
      <c r="P432">
        <f>3*((PI()*((4+7.5)*(10^(-2))/2)^2))</f>
        <v>3.1160672132793762E-2</v>
      </c>
      <c r="Q432" t="s">
        <v>180</v>
      </c>
      <c r="R432" s="3" t="s">
        <v>176</v>
      </c>
      <c r="T432">
        <v>2</v>
      </c>
      <c r="U432" t="s">
        <v>175</v>
      </c>
      <c r="W432">
        <v>480</v>
      </c>
      <c r="X432" t="s">
        <v>184</v>
      </c>
      <c r="Y432" t="s">
        <v>185</v>
      </c>
      <c r="Z432" t="s">
        <v>45</v>
      </c>
      <c r="AA432" s="13">
        <f t="shared" si="106"/>
        <v>29.914245247482011</v>
      </c>
      <c r="AB432">
        <f t="shared" si="107"/>
        <v>5.6</v>
      </c>
      <c r="AC432">
        <f t="shared" si="108"/>
        <v>0.72</v>
      </c>
      <c r="AD432" s="11">
        <f t="shared" si="104"/>
        <v>13.959981115491603</v>
      </c>
      <c r="AE432" s="11">
        <f>_xlfn.RANK.AVG(Tableau8[[#This Row],[EE ( MJ/m²)]],AD432:AD1587)</f>
        <v>299</v>
      </c>
      <c r="AF432" s="11">
        <f t="shared" si="95"/>
        <v>5.5839924461966408</v>
      </c>
      <c r="AG432" s="11">
        <f t="shared" si="109"/>
        <v>0.77278466889328534</v>
      </c>
      <c r="AH432" s="11">
        <f t="shared" si="105"/>
        <v>1.7948547148489205</v>
      </c>
      <c r="AI432" s="11">
        <f t="shared" si="110"/>
        <v>0.30911386755731413</v>
      </c>
      <c r="AJ432" s="11">
        <f t="shared" si="96"/>
        <v>0.7179418859395682</v>
      </c>
    </row>
    <row r="433" spans="1:36" x14ac:dyDescent="0.25">
      <c r="A433" s="4" t="s">
        <v>945</v>
      </c>
      <c r="B433" s="4" t="s">
        <v>995</v>
      </c>
      <c r="C433" s="4" t="s">
        <v>15</v>
      </c>
      <c r="D433" s="4" t="s">
        <v>938</v>
      </c>
      <c r="E433" t="s">
        <v>189</v>
      </c>
      <c r="F433" t="s">
        <v>171</v>
      </c>
      <c r="G433" t="s">
        <v>172</v>
      </c>
      <c r="H433">
        <v>12</v>
      </c>
      <c r="I433">
        <v>2.5</v>
      </c>
      <c r="J433" t="s">
        <v>42</v>
      </c>
      <c r="K433" t="s">
        <v>15</v>
      </c>
      <c r="L433" t="s">
        <v>3</v>
      </c>
      <c r="M433" t="s">
        <v>2</v>
      </c>
      <c r="N433" t="s">
        <v>15</v>
      </c>
      <c r="O433" t="s">
        <v>37</v>
      </c>
      <c r="P433">
        <f>4.2*((PI()*((4+7.5)*(10^(-2))/2)^2))</f>
        <v>4.362494098591127E-2</v>
      </c>
      <c r="Q433" t="s">
        <v>180</v>
      </c>
      <c r="R433" s="3" t="s">
        <v>176</v>
      </c>
      <c r="T433">
        <v>2</v>
      </c>
      <c r="U433" t="s">
        <v>175</v>
      </c>
      <c r="W433">
        <v>480</v>
      </c>
      <c r="X433" t="s">
        <v>184</v>
      </c>
      <c r="Y433" t="s">
        <v>185</v>
      </c>
      <c r="Z433" t="s">
        <v>45</v>
      </c>
      <c r="AA433" s="13">
        <f t="shared" si="106"/>
        <v>41.879943346474818</v>
      </c>
      <c r="AB433">
        <f t="shared" si="107"/>
        <v>5.6</v>
      </c>
      <c r="AC433">
        <f t="shared" si="108"/>
        <v>0.72</v>
      </c>
      <c r="AD433" s="11">
        <f t="shared" si="104"/>
        <v>19.543973561688247</v>
      </c>
      <c r="AE433" s="11">
        <f>_xlfn.RANK.AVG(Tableau8[[#This Row],[EE ( MJ/m²)]],AD433:AD1588)</f>
        <v>253</v>
      </c>
      <c r="AF433" s="11">
        <f t="shared" si="95"/>
        <v>7.8175894246752993</v>
      </c>
      <c r="AG433" s="11">
        <f t="shared" si="109"/>
        <v>1.0818985364505995</v>
      </c>
      <c r="AH433" s="11">
        <f t="shared" si="105"/>
        <v>2.512796600788489</v>
      </c>
      <c r="AI433" s="11">
        <f t="shared" si="110"/>
        <v>0.43275941458023981</v>
      </c>
      <c r="AJ433" s="11">
        <f t="shared" si="96"/>
        <v>1.0051186403153956</v>
      </c>
    </row>
    <row r="434" spans="1:36" x14ac:dyDescent="0.25">
      <c r="A434" s="4" t="s">
        <v>945</v>
      </c>
      <c r="B434" s="4" t="s">
        <v>995</v>
      </c>
      <c r="C434" s="4" t="s">
        <v>15</v>
      </c>
      <c r="D434" s="4" t="s">
        <v>938</v>
      </c>
      <c r="E434" t="s">
        <v>189</v>
      </c>
      <c r="F434" t="s">
        <v>171</v>
      </c>
      <c r="G434" t="s">
        <v>172</v>
      </c>
      <c r="H434">
        <v>12</v>
      </c>
      <c r="I434">
        <v>2.5</v>
      </c>
      <c r="J434" t="s">
        <v>42</v>
      </c>
      <c r="K434" t="s">
        <v>15</v>
      </c>
      <c r="L434" t="s">
        <v>5</v>
      </c>
      <c r="M434" t="s">
        <v>2</v>
      </c>
      <c r="N434" t="s">
        <v>15</v>
      </c>
      <c r="O434" t="s">
        <v>37</v>
      </c>
      <c r="P434">
        <f>2.2*((PI()*((4+7.5)*(10^(-2))/2)^2))</f>
        <v>2.2851159564048762E-2</v>
      </c>
      <c r="Q434" t="s">
        <v>180</v>
      </c>
      <c r="R434" s="3" t="s">
        <v>176</v>
      </c>
      <c r="T434">
        <v>6</v>
      </c>
      <c r="U434" t="s">
        <v>175</v>
      </c>
      <c r="W434">
        <v>480</v>
      </c>
      <c r="X434" t="s">
        <v>184</v>
      </c>
      <c r="Y434" t="s">
        <v>185</v>
      </c>
      <c r="Z434" t="s">
        <v>45</v>
      </c>
      <c r="AA434" s="13">
        <f t="shared" si="106"/>
        <v>65.811339544460438</v>
      </c>
      <c r="AB434">
        <f t="shared" si="107"/>
        <v>5.6</v>
      </c>
      <c r="AC434">
        <f t="shared" si="108"/>
        <v>0.72</v>
      </c>
      <c r="AD434" s="11">
        <f t="shared" si="104"/>
        <v>30.711958454081536</v>
      </c>
      <c r="AE434" s="11">
        <f>_xlfn.RANK.AVG(Tableau8[[#This Row],[EE ( MJ/m²)]],AD434:AD1589)</f>
        <v>198</v>
      </c>
      <c r="AF434" s="11">
        <f t="shared" si="95"/>
        <v>12.284783381632614</v>
      </c>
      <c r="AG434" s="11">
        <f t="shared" si="109"/>
        <v>1.7001262715652281</v>
      </c>
      <c r="AH434" s="11">
        <f t="shared" si="105"/>
        <v>3.9486803726676261</v>
      </c>
      <c r="AI434" s="11">
        <f t="shared" si="110"/>
        <v>0.68005050862609129</v>
      </c>
      <c r="AJ434" s="11">
        <f t="shared" si="96"/>
        <v>1.5794721490670505</v>
      </c>
    </row>
    <row r="435" spans="1:36" x14ac:dyDescent="0.25">
      <c r="A435" s="4" t="s">
        <v>945</v>
      </c>
      <c r="B435" s="4" t="s">
        <v>995</v>
      </c>
      <c r="C435" s="4" t="s">
        <v>15</v>
      </c>
      <c r="D435" s="4" t="s">
        <v>938</v>
      </c>
      <c r="E435" t="s">
        <v>189</v>
      </c>
      <c r="F435" t="s">
        <v>171</v>
      </c>
      <c r="G435" t="s">
        <v>172</v>
      </c>
      <c r="H435">
        <v>12</v>
      </c>
      <c r="I435">
        <v>2.5</v>
      </c>
      <c r="J435" t="s">
        <v>42</v>
      </c>
      <c r="K435" t="s">
        <v>15</v>
      </c>
      <c r="L435" t="s">
        <v>6</v>
      </c>
      <c r="M435" t="s">
        <v>2</v>
      </c>
      <c r="N435" t="s">
        <v>15</v>
      </c>
      <c r="O435" t="s">
        <v>37</v>
      </c>
      <c r="P435">
        <f>0.8*((PI()*((2+4)*(10^(-2))/2)^2))</f>
        <v>2.2619467105846509E-3</v>
      </c>
      <c r="Q435" t="s">
        <v>180</v>
      </c>
      <c r="R435" s="3" t="s">
        <v>176</v>
      </c>
      <c r="T435">
        <v>4</v>
      </c>
      <c r="U435" t="s">
        <v>175</v>
      </c>
      <c r="W435">
        <v>480</v>
      </c>
      <c r="X435" t="s">
        <v>184</v>
      </c>
      <c r="Y435" t="s">
        <v>185</v>
      </c>
      <c r="Z435" t="s">
        <v>45</v>
      </c>
      <c r="AA435" s="13">
        <f t="shared" si="106"/>
        <v>4.3429376843225302</v>
      </c>
      <c r="AB435">
        <f t="shared" si="107"/>
        <v>5.6</v>
      </c>
      <c r="AC435">
        <f t="shared" si="108"/>
        <v>0.72</v>
      </c>
      <c r="AD435" s="11">
        <f t="shared" si="104"/>
        <v>2.0267042526838472</v>
      </c>
      <c r="AE435" s="11">
        <f>_xlfn.RANK.AVG(Tableau8[[#This Row],[EE ( MJ/m²)]],AD435:AD1590)</f>
        <v>502</v>
      </c>
      <c r="AF435" s="11">
        <f t="shared" ref="AF435:AF468" si="111">AB435*AA435/H435/I435</f>
        <v>0.81068170107353887</v>
      </c>
      <c r="AG435" s="11">
        <f t="shared" si="109"/>
        <v>0.11219255684499869</v>
      </c>
      <c r="AH435" s="11">
        <f t="shared" si="105"/>
        <v>0.26057626105935178</v>
      </c>
      <c r="AI435" s="11">
        <f t="shared" si="110"/>
        <v>4.4877022737999477E-2</v>
      </c>
      <c r="AJ435" s="11">
        <f t="shared" ref="AJ435:AJ468" si="112">AC435*AA435/H435/I435</f>
        <v>0.10423050442374071</v>
      </c>
    </row>
    <row r="436" spans="1:36" x14ac:dyDescent="0.25">
      <c r="A436" s="4" t="s">
        <v>945</v>
      </c>
      <c r="B436" s="4" t="s">
        <v>995</v>
      </c>
      <c r="C436" s="4" t="s">
        <v>15</v>
      </c>
      <c r="D436" s="4" t="s">
        <v>938</v>
      </c>
      <c r="E436" t="s">
        <v>189</v>
      </c>
      <c r="F436" t="s">
        <v>171</v>
      </c>
      <c r="G436" t="s">
        <v>172</v>
      </c>
      <c r="H436">
        <v>12</v>
      </c>
      <c r="I436">
        <v>2.5</v>
      </c>
      <c r="J436" t="s">
        <v>40</v>
      </c>
      <c r="K436" t="s">
        <v>15</v>
      </c>
      <c r="L436" t="s">
        <v>53</v>
      </c>
      <c r="M436" t="s">
        <v>52</v>
      </c>
      <c r="N436" t="s">
        <v>223</v>
      </c>
      <c r="O436" t="s">
        <v>38</v>
      </c>
      <c r="P436">
        <f>2*((PI()*((50)*(10^(-2))/2)^2))</f>
        <v>0.39269908169872414</v>
      </c>
      <c r="Q436" t="s">
        <v>180</v>
      </c>
      <c r="R436" s="3" t="s">
        <v>187</v>
      </c>
      <c r="S436" t="s">
        <v>54</v>
      </c>
      <c r="T436">
        <v>14</v>
      </c>
      <c r="U436" t="s">
        <v>175</v>
      </c>
      <c r="W436">
        <v>17</v>
      </c>
      <c r="X436" t="s">
        <v>184</v>
      </c>
      <c r="Y436" t="s">
        <v>185</v>
      </c>
      <c r="Z436" t="s">
        <v>46</v>
      </c>
      <c r="AA436" s="13">
        <f t="shared" si="106"/>
        <v>93.462381444296341</v>
      </c>
      <c r="AB436">
        <v>0.24</v>
      </c>
      <c r="AC436">
        <v>0.01</v>
      </c>
      <c r="AD436" s="11">
        <f t="shared" si="104"/>
        <v>1.8692476288859268</v>
      </c>
      <c r="AE436" s="11">
        <f>_xlfn.RANK.AVG(Tableau8[[#This Row],[EE ( MJ/m²)]],AD436:AD1591)</f>
        <v>512.5</v>
      </c>
      <c r="AF436" s="11">
        <f t="shared" si="111"/>
        <v>0.74769905155437066</v>
      </c>
      <c r="AG436" s="11">
        <f t="shared" ref="AG436:AG444" si="113">(AC436)*AA436/H436</f>
        <v>7.7885317870246953E-2</v>
      </c>
      <c r="AH436" s="11">
        <f t="shared" si="105"/>
        <v>7.7885317870246953E-2</v>
      </c>
      <c r="AI436" s="11">
        <f t="shared" ref="AI436:AI444" si="114">(AC436)*AA436/H436/I436</f>
        <v>3.115412714809878E-2</v>
      </c>
      <c r="AJ436" s="11">
        <f t="shared" si="112"/>
        <v>3.115412714809878E-2</v>
      </c>
    </row>
    <row r="437" spans="1:36" x14ac:dyDescent="0.25">
      <c r="A437" s="4" t="s">
        <v>945</v>
      </c>
      <c r="B437" s="4" t="s">
        <v>995</v>
      </c>
      <c r="C437" s="4" t="s">
        <v>15</v>
      </c>
      <c r="D437" s="4" t="s">
        <v>938</v>
      </c>
      <c r="E437" t="s">
        <v>189</v>
      </c>
      <c r="F437" t="s">
        <v>171</v>
      </c>
      <c r="G437" t="s">
        <v>172</v>
      </c>
      <c r="H437">
        <v>12</v>
      </c>
      <c r="I437">
        <v>2.5</v>
      </c>
      <c r="J437" t="s">
        <v>57</v>
      </c>
      <c r="K437" t="s">
        <v>14</v>
      </c>
      <c r="L437" t="s">
        <v>0</v>
      </c>
      <c r="M437" t="s">
        <v>32</v>
      </c>
      <c r="N437" t="s">
        <v>35</v>
      </c>
      <c r="O437" t="s">
        <v>36</v>
      </c>
      <c r="P437">
        <f>4*5</f>
        <v>20</v>
      </c>
      <c r="Q437" t="s">
        <v>179</v>
      </c>
      <c r="S437" t="s">
        <v>31</v>
      </c>
      <c r="T437">
        <v>1</v>
      </c>
      <c r="U437" t="s">
        <v>175</v>
      </c>
      <c r="W437">
        <v>0.19</v>
      </c>
      <c r="X437" t="s">
        <v>183</v>
      </c>
      <c r="Y437" t="s">
        <v>175</v>
      </c>
      <c r="AA437" s="13">
        <f t="shared" si="106"/>
        <v>3.8</v>
      </c>
      <c r="AB437">
        <v>54.3</v>
      </c>
      <c r="AC437">
        <v>1.93</v>
      </c>
      <c r="AD437" s="11">
        <f t="shared" si="104"/>
        <v>17.194999999999997</v>
      </c>
      <c r="AE437" s="11">
        <f>_xlfn.RANK.AVG(Tableau8[[#This Row],[EE ( MJ/m²)]],AD437:AD1592)</f>
        <v>268.5</v>
      </c>
      <c r="AF437" s="11">
        <f t="shared" si="111"/>
        <v>6.8779999999999983</v>
      </c>
      <c r="AG437" s="11">
        <f t="shared" si="113"/>
        <v>0.61116666666666664</v>
      </c>
      <c r="AH437" s="11">
        <f t="shared" si="105"/>
        <v>0.61116666666666664</v>
      </c>
      <c r="AI437" s="11">
        <f t="shared" si="114"/>
        <v>0.24446666666666667</v>
      </c>
      <c r="AJ437" s="11">
        <f t="shared" si="112"/>
        <v>0.24446666666666667</v>
      </c>
    </row>
    <row r="438" spans="1:36" x14ac:dyDescent="0.25">
      <c r="A438" s="4" t="s">
        <v>945</v>
      </c>
      <c r="B438" s="4" t="s">
        <v>995</v>
      </c>
      <c r="C438" s="4" t="s">
        <v>15</v>
      </c>
      <c r="D438" s="4" t="s">
        <v>938</v>
      </c>
      <c r="E438" t="s">
        <v>189</v>
      </c>
      <c r="F438" t="s">
        <v>171</v>
      </c>
      <c r="G438" t="s">
        <v>172</v>
      </c>
      <c r="H438">
        <v>12</v>
      </c>
      <c r="I438">
        <v>2.5</v>
      </c>
      <c r="J438" t="s">
        <v>44</v>
      </c>
      <c r="K438" t="s">
        <v>17</v>
      </c>
      <c r="L438" t="s">
        <v>9</v>
      </c>
      <c r="M438" t="s">
        <v>12</v>
      </c>
      <c r="N438" t="s">
        <v>12</v>
      </c>
      <c r="W438">
        <v>7800</v>
      </c>
      <c r="X438" t="s">
        <v>184</v>
      </c>
      <c r="Y438" t="s">
        <v>185</v>
      </c>
      <c r="Z438" t="s">
        <v>47</v>
      </c>
      <c r="AA438" s="13">
        <v>3</v>
      </c>
      <c r="AB438">
        <v>25.3</v>
      </c>
      <c r="AC438">
        <v>1.95</v>
      </c>
      <c r="AD438" s="11">
        <f t="shared" si="104"/>
        <v>6.3250000000000002</v>
      </c>
      <c r="AE438" s="11">
        <f>_xlfn.RANK.AVG(Tableau8[[#This Row],[EE ( MJ/m²)]],AD438:AD1593)</f>
        <v>387.5</v>
      </c>
      <c r="AF438" s="11">
        <f t="shared" si="111"/>
        <v>2.5300000000000002</v>
      </c>
      <c r="AG438" s="11">
        <f t="shared" si="113"/>
        <v>0.48749999999999999</v>
      </c>
      <c r="AH438" s="11">
        <f t="shared" si="105"/>
        <v>0.48749999999999999</v>
      </c>
      <c r="AI438" s="11">
        <f t="shared" si="114"/>
        <v>0.19500000000000001</v>
      </c>
      <c r="AJ438" s="11">
        <f t="shared" si="112"/>
        <v>0.19500000000000001</v>
      </c>
    </row>
    <row r="439" spans="1:36" x14ac:dyDescent="0.25">
      <c r="A439" s="4" t="s">
        <v>945</v>
      </c>
      <c r="B439" s="4" t="s">
        <v>995</v>
      </c>
      <c r="C439" s="4" t="s">
        <v>15</v>
      </c>
      <c r="D439" s="4" t="s">
        <v>938</v>
      </c>
      <c r="E439" t="s">
        <v>189</v>
      </c>
      <c r="F439" t="s">
        <v>171</v>
      </c>
      <c r="G439" t="s">
        <v>172</v>
      </c>
      <c r="H439">
        <v>12</v>
      </c>
      <c r="I439">
        <v>2.5</v>
      </c>
      <c r="J439" t="s">
        <v>44</v>
      </c>
      <c r="K439" t="s">
        <v>17</v>
      </c>
      <c r="L439" t="s">
        <v>9</v>
      </c>
      <c r="M439" t="s">
        <v>12</v>
      </c>
      <c r="N439" t="s">
        <v>12</v>
      </c>
      <c r="W439">
        <v>7800</v>
      </c>
      <c r="X439" t="s">
        <v>184</v>
      </c>
      <c r="Y439" t="s">
        <v>185</v>
      </c>
      <c r="Z439" t="s">
        <v>47</v>
      </c>
      <c r="AA439" s="13">
        <v>3</v>
      </c>
      <c r="AB439">
        <v>25.3</v>
      </c>
      <c r="AC439">
        <v>1.95</v>
      </c>
      <c r="AD439" s="11">
        <f t="shared" si="104"/>
        <v>6.3250000000000002</v>
      </c>
      <c r="AE439" s="11">
        <f>_xlfn.RANK.AVG(Tableau8[[#This Row],[EE ( MJ/m²)]],AD439:AD1594)</f>
        <v>387</v>
      </c>
      <c r="AF439" s="11">
        <f t="shared" si="111"/>
        <v>2.5300000000000002</v>
      </c>
      <c r="AG439" s="11">
        <f t="shared" si="113"/>
        <v>0.48749999999999999</v>
      </c>
      <c r="AH439" s="11">
        <f t="shared" si="105"/>
        <v>0.48749999999999999</v>
      </c>
      <c r="AI439" s="11">
        <f t="shared" si="114"/>
        <v>0.19500000000000001</v>
      </c>
      <c r="AJ439" s="11">
        <f t="shared" si="112"/>
        <v>0.19500000000000001</v>
      </c>
    </row>
    <row r="440" spans="1:36" x14ac:dyDescent="0.25">
      <c r="A440" s="4" t="s">
        <v>945</v>
      </c>
      <c r="B440" s="4" t="s">
        <v>995</v>
      </c>
      <c r="C440" s="4" t="s">
        <v>15</v>
      </c>
      <c r="D440" s="4" t="s">
        <v>938</v>
      </c>
      <c r="E440" t="s">
        <v>189</v>
      </c>
      <c r="F440" t="s">
        <v>171</v>
      </c>
      <c r="G440" t="s">
        <v>172</v>
      </c>
      <c r="H440">
        <v>12</v>
      </c>
      <c r="I440">
        <v>2.5</v>
      </c>
      <c r="J440" t="s">
        <v>44</v>
      </c>
      <c r="K440" t="s">
        <v>41</v>
      </c>
      <c r="L440" t="s">
        <v>8</v>
      </c>
      <c r="M440" t="s">
        <v>16</v>
      </c>
      <c r="N440" t="s">
        <v>16</v>
      </c>
      <c r="P440">
        <f>(PI()*(0.004^2))*5</f>
        <v>2.5132741228718343E-4</v>
      </c>
      <c r="Q440" t="s">
        <v>180</v>
      </c>
      <c r="R440" t="s">
        <v>176</v>
      </c>
      <c r="T440">
        <v>5</v>
      </c>
      <c r="U440" t="s">
        <v>175</v>
      </c>
      <c r="W440">
        <v>1500</v>
      </c>
      <c r="X440" t="s">
        <v>184</v>
      </c>
      <c r="AA440" s="13">
        <f>W440*T440*P440</f>
        <v>1.8849555921538756</v>
      </c>
      <c r="AB440">
        <v>91</v>
      </c>
      <c r="AC440">
        <v>2.66</v>
      </c>
      <c r="AD440" s="11">
        <f t="shared" si="104"/>
        <v>14.294246573833556</v>
      </c>
      <c r="AE440" s="11">
        <f>_xlfn.RANK.AVG(Tableau8[[#This Row],[EE ( MJ/m²)]],AD440:AD1595)</f>
        <v>289</v>
      </c>
      <c r="AF440" s="11">
        <f t="shared" si="111"/>
        <v>5.7176986295334222</v>
      </c>
      <c r="AG440" s="11">
        <f t="shared" si="113"/>
        <v>0.41783182292744248</v>
      </c>
      <c r="AH440" s="11">
        <f t="shared" si="105"/>
        <v>0.41783182292744248</v>
      </c>
      <c r="AI440" s="11">
        <f t="shared" si="114"/>
        <v>0.16713272917097699</v>
      </c>
      <c r="AJ440" s="11">
        <f t="shared" si="112"/>
        <v>0.16713272917097699</v>
      </c>
    </row>
    <row r="441" spans="1:36" x14ac:dyDescent="0.25">
      <c r="A441" s="4" t="s">
        <v>945</v>
      </c>
      <c r="B441" s="4" t="s">
        <v>995</v>
      </c>
      <c r="C441" s="4" t="s">
        <v>15</v>
      </c>
      <c r="D441" s="4" t="s">
        <v>938</v>
      </c>
      <c r="E441" t="s">
        <v>189</v>
      </c>
      <c r="F441" t="s">
        <v>171</v>
      </c>
      <c r="G441" t="s">
        <v>172</v>
      </c>
      <c r="H441">
        <v>12</v>
      </c>
      <c r="I441">
        <v>2.5</v>
      </c>
      <c r="J441" t="s">
        <v>40</v>
      </c>
      <c r="K441" t="s">
        <v>29</v>
      </c>
      <c r="L441" t="s">
        <v>68</v>
      </c>
      <c r="M441" t="s">
        <v>68</v>
      </c>
      <c r="N441" t="s">
        <v>69</v>
      </c>
      <c r="P441">
        <v>3</v>
      </c>
      <c r="Q441" t="s">
        <v>180</v>
      </c>
      <c r="R441" t="s">
        <v>175</v>
      </c>
      <c r="T441">
        <v>1</v>
      </c>
      <c r="U441" t="s">
        <v>175</v>
      </c>
      <c r="W441">
        <v>1460</v>
      </c>
      <c r="X441" t="s">
        <v>184</v>
      </c>
      <c r="Y441" t="s">
        <v>185</v>
      </c>
      <c r="Z441" t="s">
        <v>47</v>
      </c>
      <c r="AA441" s="13">
        <f>W441*T441*P441</f>
        <v>4380</v>
      </c>
      <c r="AB441">
        <v>0.45</v>
      </c>
      <c r="AC441">
        <v>2.4E-2</v>
      </c>
      <c r="AD441" s="11">
        <f t="shared" si="104"/>
        <v>164.25</v>
      </c>
      <c r="AE441" s="11">
        <f>_xlfn.RANK.AVG(Tableau8[[#This Row],[EE ( MJ/m²)]],AD441:AD1596)</f>
        <v>50</v>
      </c>
      <c r="AF441" s="11">
        <f t="shared" si="111"/>
        <v>65.7</v>
      </c>
      <c r="AG441" s="11">
        <f t="shared" si="113"/>
        <v>8.76</v>
      </c>
      <c r="AH441" s="11">
        <f t="shared" si="105"/>
        <v>8.76</v>
      </c>
      <c r="AI441" s="11">
        <f t="shared" si="114"/>
        <v>3.504</v>
      </c>
      <c r="AJ441" s="11">
        <f t="shared" si="112"/>
        <v>3.504</v>
      </c>
    </row>
    <row r="442" spans="1:36" x14ac:dyDescent="0.25">
      <c r="A442" s="4" t="s">
        <v>945</v>
      </c>
      <c r="B442" s="4" t="s">
        <v>995</v>
      </c>
      <c r="C442" s="4" t="s">
        <v>15</v>
      </c>
      <c r="D442" s="4" t="s">
        <v>938</v>
      </c>
      <c r="E442" t="s">
        <v>189</v>
      </c>
      <c r="F442" t="s">
        <v>171</v>
      </c>
      <c r="G442" t="s">
        <v>172</v>
      </c>
      <c r="H442">
        <v>12</v>
      </c>
      <c r="I442">
        <v>2.5</v>
      </c>
      <c r="J442" t="s">
        <v>44</v>
      </c>
      <c r="K442" t="s">
        <v>17</v>
      </c>
      <c r="L442" t="s">
        <v>65</v>
      </c>
      <c r="M442" t="s">
        <v>17</v>
      </c>
      <c r="N442" t="s">
        <v>12</v>
      </c>
      <c r="W442">
        <v>7800</v>
      </c>
      <c r="X442" t="s">
        <v>184</v>
      </c>
      <c r="Y442" t="s">
        <v>185</v>
      </c>
      <c r="Z442" t="s">
        <v>47</v>
      </c>
      <c r="AA442" s="13">
        <v>3</v>
      </c>
      <c r="AB442">
        <v>25.3</v>
      </c>
      <c r="AC442">
        <v>1.95</v>
      </c>
      <c r="AD442" s="11">
        <f t="shared" si="104"/>
        <v>6.3250000000000002</v>
      </c>
      <c r="AE442" s="11">
        <f>_xlfn.RANK.AVG(Tableau8[[#This Row],[EE ( MJ/m²)]],AD442:AD1597)</f>
        <v>384.5</v>
      </c>
      <c r="AF442" s="11">
        <f t="shared" si="111"/>
        <v>2.5300000000000002</v>
      </c>
      <c r="AG442" s="11">
        <f t="shared" si="113"/>
        <v>0.48749999999999999</v>
      </c>
      <c r="AH442" s="11">
        <f t="shared" si="105"/>
        <v>0.48749999999999999</v>
      </c>
      <c r="AI442" s="11">
        <f t="shared" si="114"/>
        <v>0.19500000000000001</v>
      </c>
      <c r="AJ442" s="11">
        <f t="shared" si="112"/>
        <v>0.19500000000000001</v>
      </c>
    </row>
    <row r="443" spans="1:36" x14ac:dyDescent="0.25">
      <c r="A443" s="4" t="s">
        <v>945</v>
      </c>
      <c r="B443" s="4" t="s">
        <v>995</v>
      </c>
      <c r="C443" s="4" t="s">
        <v>15</v>
      </c>
      <c r="D443" s="4" t="s">
        <v>938</v>
      </c>
      <c r="E443" t="s">
        <v>189</v>
      </c>
      <c r="F443" t="s">
        <v>171</v>
      </c>
      <c r="G443" t="s">
        <v>172</v>
      </c>
      <c r="H443">
        <v>12</v>
      </c>
      <c r="I443">
        <v>2.5</v>
      </c>
      <c r="J443" t="s">
        <v>56</v>
      </c>
      <c r="K443" t="s">
        <v>17</v>
      </c>
      <c r="L443" t="s">
        <v>60</v>
      </c>
      <c r="M443" t="s">
        <v>63</v>
      </c>
      <c r="N443" t="s">
        <v>59</v>
      </c>
      <c r="P443">
        <f>0.92*3*0.004</f>
        <v>1.1040000000000001E-2</v>
      </c>
      <c r="Q443" t="s">
        <v>180</v>
      </c>
      <c r="R443" s="3" t="s">
        <v>187</v>
      </c>
      <c r="S443" t="s">
        <v>64</v>
      </c>
      <c r="T443">
        <v>6</v>
      </c>
      <c r="U443" t="s">
        <v>175</v>
      </c>
      <c r="W443">
        <v>7870</v>
      </c>
      <c r="X443" t="s">
        <v>184</v>
      </c>
      <c r="Y443" t="s">
        <v>185</v>
      </c>
      <c r="Z443" t="s">
        <v>66</v>
      </c>
      <c r="AA443" s="13">
        <f t="shared" ref="AA443:AA455" si="115">W443*T443*P443</f>
        <v>521.30880000000002</v>
      </c>
      <c r="AB443">
        <v>25</v>
      </c>
      <c r="AC443">
        <v>2.0299999999999998</v>
      </c>
      <c r="AD443" s="11">
        <f t="shared" si="104"/>
        <v>1086.0600000000002</v>
      </c>
      <c r="AE443" s="11">
        <f>_xlfn.RANK.AVG(Tableau8[[#This Row],[EE ( MJ/m²)]],AD443:AD1598)</f>
        <v>4.5</v>
      </c>
      <c r="AF443" s="11">
        <f t="shared" si="111"/>
        <v>434.42400000000009</v>
      </c>
      <c r="AG443" s="11">
        <f t="shared" si="113"/>
        <v>88.188071999999991</v>
      </c>
      <c r="AH443" s="11">
        <f t="shared" si="105"/>
        <v>88.188071999999991</v>
      </c>
      <c r="AI443" s="11">
        <f t="shared" si="114"/>
        <v>35.275228799999994</v>
      </c>
      <c r="AJ443" s="11">
        <f t="shared" si="112"/>
        <v>35.275228799999994</v>
      </c>
    </row>
    <row r="444" spans="1:36" x14ac:dyDescent="0.25">
      <c r="A444" s="4" t="s">
        <v>945</v>
      </c>
      <c r="B444" s="4" t="s">
        <v>995</v>
      </c>
      <c r="C444" s="4" t="s">
        <v>15</v>
      </c>
      <c r="D444" s="4" t="s">
        <v>938</v>
      </c>
      <c r="E444" t="s">
        <v>189</v>
      </c>
      <c r="F444" t="s">
        <v>171</v>
      </c>
      <c r="G444" t="s">
        <v>172</v>
      </c>
      <c r="H444">
        <v>12</v>
      </c>
      <c r="I444">
        <v>2.5</v>
      </c>
      <c r="J444" t="s">
        <v>13</v>
      </c>
      <c r="K444" t="s">
        <v>29</v>
      </c>
      <c r="L444" t="s">
        <v>11</v>
      </c>
      <c r="M444" t="s">
        <v>18</v>
      </c>
      <c r="N444" t="s">
        <v>39</v>
      </c>
      <c r="P444">
        <f>0.3*0.3*0.3</f>
        <v>2.7E-2</v>
      </c>
      <c r="Q444" t="s">
        <v>180</v>
      </c>
      <c r="R444" s="3" t="s">
        <v>176</v>
      </c>
      <c r="T444">
        <v>9</v>
      </c>
      <c r="U444" t="s">
        <v>175</v>
      </c>
      <c r="W444">
        <v>2400</v>
      </c>
      <c r="X444" t="s">
        <v>184</v>
      </c>
      <c r="Y444" t="s">
        <v>185</v>
      </c>
      <c r="Z444" t="s">
        <v>48</v>
      </c>
      <c r="AA444" s="13">
        <f t="shared" si="115"/>
        <v>583.20000000000005</v>
      </c>
      <c r="AB444">
        <v>0.75</v>
      </c>
      <c r="AC444">
        <v>0.107</v>
      </c>
      <c r="AD444" s="11">
        <f t="shared" si="104"/>
        <v>36.450000000000003</v>
      </c>
      <c r="AE444" s="11">
        <f>_xlfn.RANK.AVG(Tableau8[[#This Row],[EE ( MJ/m²)]],AD444:AD1599)</f>
        <v>173</v>
      </c>
      <c r="AF444" s="11">
        <f t="shared" si="111"/>
        <v>14.580000000000002</v>
      </c>
      <c r="AG444" s="11">
        <f t="shared" si="113"/>
        <v>5.2001999999999997</v>
      </c>
      <c r="AH444" s="11">
        <f t="shared" si="105"/>
        <v>5.2001999999999997</v>
      </c>
      <c r="AI444" s="11">
        <f t="shared" si="114"/>
        <v>2.0800799999999997</v>
      </c>
      <c r="AJ444" s="11">
        <f t="shared" si="112"/>
        <v>2.0800799999999997</v>
      </c>
    </row>
    <row r="445" spans="1:36" x14ac:dyDescent="0.25">
      <c r="A445" s="4" t="s">
        <v>945</v>
      </c>
      <c r="B445" s="4" t="s">
        <v>995</v>
      </c>
      <c r="C445" s="4" t="s">
        <v>15</v>
      </c>
      <c r="D445" s="4" t="s">
        <v>938</v>
      </c>
      <c r="E445" t="s">
        <v>189</v>
      </c>
      <c r="F445" t="s">
        <v>171</v>
      </c>
      <c r="G445" t="s">
        <v>172</v>
      </c>
      <c r="H445">
        <v>12</v>
      </c>
      <c r="I445">
        <v>2.5</v>
      </c>
      <c r="J445" t="s">
        <v>42</v>
      </c>
      <c r="K445" t="s">
        <v>15</v>
      </c>
      <c r="L445" t="s">
        <v>7</v>
      </c>
      <c r="M445" s="20" t="s">
        <v>10</v>
      </c>
      <c r="N445" s="20" t="s">
        <v>15</v>
      </c>
      <c r="O445" t="s">
        <v>38</v>
      </c>
      <c r="P445" s="20">
        <f>3*((PI()*((1+1.5)*(10^(-2))/2)^2))</f>
        <v>1.4726215563702157E-3</v>
      </c>
      <c r="Q445" s="20" t="s">
        <v>180</v>
      </c>
      <c r="R445" s="21" t="s">
        <v>187</v>
      </c>
      <c r="S445" s="20" t="s">
        <v>55</v>
      </c>
      <c r="T445" s="20">
        <v>8</v>
      </c>
      <c r="U445" s="20" t="s">
        <v>175</v>
      </c>
      <c r="V445" s="20"/>
      <c r="W445" s="22">
        <v>90</v>
      </c>
      <c r="X445" t="s">
        <v>184</v>
      </c>
      <c r="Y445" t="s">
        <v>185</v>
      </c>
      <c r="Z445" t="s">
        <v>46</v>
      </c>
      <c r="AA445" s="13">
        <f t="shared" si="115"/>
        <v>1.0602875205865552</v>
      </c>
      <c r="AB445">
        <f>10-4.4</f>
        <v>5.6</v>
      </c>
      <c r="AC445">
        <f>0.31+0.41</f>
        <v>0.72</v>
      </c>
      <c r="AD445" s="11">
        <f t="shared" si="104"/>
        <v>0.49480084294039234</v>
      </c>
      <c r="AE445" s="11">
        <f>_xlfn.RANK.AVG(Tableau8[[#This Row],[EE ( MJ/m²)]],AD445:AD1600)</f>
        <v>597</v>
      </c>
      <c r="AF445" s="11">
        <f t="shared" si="111"/>
        <v>0.19792033717615692</v>
      </c>
      <c r="AG445" s="11">
        <f>(AC445-0.41)*AA445/H445</f>
        <v>2.7390760948486009E-2</v>
      </c>
      <c r="AH445" s="11">
        <f t="shared" si="105"/>
        <v>6.3617251235193309E-2</v>
      </c>
      <c r="AI445" s="11">
        <f>(AC445-0.41)*AA445/H445/I445</f>
        <v>1.0956304379394403E-2</v>
      </c>
      <c r="AJ445" s="11">
        <f t="shared" si="112"/>
        <v>2.5446900494077322E-2</v>
      </c>
    </row>
    <row r="446" spans="1:36" x14ac:dyDescent="0.25">
      <c r="A446" s="4" t="s">
        <v>945</v>
      </c>
      <c r="B446" s="4" t="s">
        <v>995</v>
      </c>
      <c r="C446" s="4" t="s">
        <v>15</v>
      </c>
      <c r="D446" s="4" t="s">
        <v>938</v>
      </c>
      <c r="E446" t="s">
        <v>189</v>
      </c>
      <c r="F446" t="s">
        <v>171</v>
      </c>
      <c r="G446" t="s">
        <v>172</v>
      </c>
      <c r="H446">
        <v>12</v>
      </c>
      <c r="I446">
        <v>2.5</v>
      </c>
      <c r="J446" t="s">
        <v>40</v>
      </c>
      <c r="K446" t="s">
        <v>15</v>
      </c>
      <c r="L446" t="s">
        <v>33</v>
      </c>
      <c r="M446" s="20" t="s">
        <v>10</v>
      </c>
      <c r="N446" s="20" t="s">
        <v>15</v>
      </c>
      <c r="O446" t="s">
        <v>38</v>
      </c>
      <c r="P446" s="20">
        <f>0.9*1.7*0.02</f>
        <v>3.0600000000000002E-2</v>
      </c>
      <c r="Q446" s="20" t="s">
        <v>180</v>
      </c>
      <c r="R446" s="21" t="s">
        <v>176</v>
      </c>
      <c r="S446" s="20"/>
      <c r="T446" s="20">
        <v>1</v>
      </c>
      <c r="U446" s="20" t="s">
        <v>175</v>
      </c>
      <c r="V446" s="20"/>
      <c r="W446" s="22">
        <v>90</v>
      </c>
      <c r="X446" t="s">
        <v>184</v>
      </c>
      <c r="Y446" t="s">
        <v>185</v>
      </c>
      <c r="Z446" t="s">
        <v>46</v>
      </c>
      <c r="AA446" s="13">
        <f t="shared" si="115"/>
        <v>2.754</v>
      </c>
      <c r="AB446">
        <f>10-4.4</f>
        <v>5.6</v>
      </c>
      <c r="AC446">
        <f>0.31+0.41</f>
        <v>0.72</v>
      </c>
      <c r="AD446" s="11">
        <f t="shared" si="104"/>
        <v>1.2851999999999999</v>
      </c>
      <c r="AE446" s="11">
        <f>_xlfn.RANK.AVG(Tableau8[[#This Row],[EE ( MJ/m²)]],AD446:AD1601)</f>
        <v>533</v>
      </c>
      <c r="AF446" s="11">
        <f t="shared" si="111"/>
        <v>0.51407999999999998</v>
      </c>
      <c r="AG446" s="11">
        <f>(AC446-0.41)*AA446/H446</f>
        <v>7.1145E-2</v>
      </c>
      <c r="AH446" s="11">
        <f t="shared" si="105"/>
        <v>0.16524</v>
      </c>
      <c r="AI446" s="11">
        <f>(AC446-0.41)*AA446/H446/I446</f>
        <v>2.8458000000000001E-2</v>
      </c>
      <c r="AJ446" s="11">
        <f t="shared" si="112"/>
        <v>6.6096000000000002E-2</v>
      </c>
    </row>
    <row r="447" spans="1:36" x14ac:dyDescent="0.25">
      <c r="A447" s="4" t="s">
        <v>945</v>
      </c>
      <c r="B447" s="4" t="s">
        <v>995</v>
      </c>
      <c r="C447" s="4" t="s">
        <v>15</v>
      </c>
      <c r="D447" s="4" t="s">
        <v>938</v>
      </c>
      <c r="E447" t="s">
        <v>189</v>
      </c>
      <c r="F447" t="s">
        <v>171</v>
      </c>
      <c r="G447" t="s">
        <v>172</v>
      </c>
      <c r="H447">
        <v>12</v>
      </c>
      <c r="I447">
        <v>2.5</v>
      </c>
      <c r="J447" t="s">
        <v>40</v>
      </c>
      <c r="K447" t="s">
        <v>15</v>
      </c>
      <c r="L447" t="s">
        <v>34</v>
      </c>
      <c r="M447" s="20" t="s">
        <v>10</v>
      </c>
      <c r="N447" s="20" t="s">
        <v>15</v>
      </c>
      <c r="O447" t="s">
        <v>38</v>
      </c>
      <c r="P447" s="20">
        <f>0.6*0.4*0.02</f>
        <v>4.7999999999999996E-3</v>
      </c>
      <c r="Q447" s="20" t="s">
        <v>180</v>
      </c>
      <c r="R447" s="21" t="s">
        <v>176</v>
      </c>
      <c r="S447" s="20"/>
      <c r="T447" s="20">
        <v>2</v>
      </c>
      <c r="U447" s="20" t="s">
        <v>175</v>
      </c>
      <c r="V447" s="20"/>
      <c r="W447" s="22">
        <v>90</v>
      </c>
      <c r="X447" t="s">
        <v>184</v>
      </c>
      <c r="Y447" t="s">
        <v>185</v>
      </c>
      <c r="Z447" t="s">
        <v>46</v>
      </c>
      <c r="AA447" s="13">
        <f t="shared" si="115"/>
        <v>0.86399999999999988</v>
      </c>
      <c r="AB447">
        <f>10-4.4</f>
        <v>5.6</v>
      </c>
      <c r="AC447">
        <f>0.31+0.41</f>
        <v>0.72</v>
      </c>
      <c r="AD447" s="11">
        <f t="shared" si="104"/>
        <v>0.40319999999999995</v>
      </c>
      <c r="AE447" s="11">
        <f>_xlfn.RANK.AVG(Tableau8[[#This Row],[EE ( MJ/m²)]],AD447:AD1602)</f>
        <v>610</v>
      </c>
      <c r="AF447" s="11">
        <f t="shared" si="111"/>
        <v>0.16127999999999998</v>
      </c>
      <c r="AG447" s="11">
        <f>(AC447-0.41)*AA447/H447</f>
        <v>2.2319999999999996E-2</v>
      </c>
      <c r="AH447" s="11">
        <f t="shared" si="105"/>
        <v>5.183999999999999E-2</v>
      </c>
      <c r="AI447" s="11">
        <f>(AC447-0.41)*AA447/H447/I447</f>
        <v>8.9279999999999984E-3</v>
      </c>
      <c r="AJ447" s="11">
        <f t="shared" si="112"/>
        <v>2.0735999999999997E-2</v>
      </c>
    </row>
    <row r="448" spans="1:36" x14ac:dyDescent="0.25">
      <c r="A448" s="4" t="s">
        <v>945</v>
      </c>
      <c r="B448" s="4" t="s">
        <v>995</v>
      </c>
      <c r="C448" s="4" t="s">
        <v>15</v>
      </c>
      <c r="D448" s="4" t="s">
        <v>938</v>
      </c>
      <c r="E448" t="s">
        <v>189</v>
      </c>
      <c r="F448" t="s">
        <v>171</v>
      </c>
      <c r="G448" t="s">
        <v>172</v>
      </c>
      <c r="H448">
        <v>12</v>
      </c>
      <c r="I448">
        <v>2.5</v>
      </c>
      <c r="J448" t="s">
        <v>56</v>
      </c>
      <c r="K448" t="s">
        <v>17</v>
      </c>
      <c r="L448" t="s">
        <v>61</v>
      </c>
      <c r="M448" t="s">
        <v>62</v>
      </c>
      <c r="N448" t="s">
        <v>12</v>
      </c>
      <c r="P448">
        <f>0.3*0.2*0.0025</f>
        <v>1.4999999999999999E-4</v>
      </c>
      <c r="Q448" t="s">
        <v>180</v>
      </c>
      <c r="R448" s="3" t="s">
        <v>187</v>
      </c>
      <c r="S448" t="s">
        <v>67</v>
      </c>
      <c r="T448">
        <v>20</v>
      </c>
      <c r="U448" t="s">
        <v>175</v>
      </c>
      <c r="W448">
        <v>7800</v>
      </c>
      <c r="X448" t="s">
        <v>184</v>
      </c>
      <c r="Y448" t="s">
        <v>185</v>
      </c>
      <c r="Z448" t="s">
        <v>47</v>
      </c>
      <c r="AA448" s="13">
        <f t="shared" si="115"/>
        <v>23.4</v>
      </c>
      <c r="AB448">
        <v>25.3</v>
      </c>
      <c r="AC448">
        <v>1.95</v>
      </c>
      <c r="AD448" s="11">
        <f t="shared" si="104"/>
        <v>49.335000000000001</v>
      </c>
      <c r="AE448" s="11">
        <f>_xlfn.RANK.AVG(Tableau8[[#This Row],[EE ( MJ/m²)]],AD448:AD1603)</f>
        <v>140.5</v>
      </c>
      <c r="AF448" s="11">
        <f t="shared" si="111"/>
        <v>19.734000000000002</v>
      </c>
      <c r="AG448" s="11">
        <f>(AC448)*AA448/H448</f>
        <v>3.8024999999999998</v>
      </c>
      <c r="AH448" s="11">
        <f t="shared" si="105"/>
        <v>3.8024999999999998</v>
      </c>
      <c r="AI448" s="11">
        <f>(AC448)*AA448/H448/I448</f>
        <v>1.5209999999999999</v>
      </c>
      <c r="AJ448" s="11">
        <f t="shared" si="112"/>
        <v>1.5209999999999999</v>
      </c>
    </row>
    <row r="449" spans="1:36" x14ac:dyDescent="0.25">
      <c r="A449" s="4" t="s">
        <v>945</v>
      </c>
      <c r="B449" s="4" t="s">
        <v>1002</v>
      </c>
      <c r="C449" s="4" t="s">
        <v>15</v>
      </c>
      <c r="D449" s="4" t="s">
        <v>938</v>
      </c>
      <c r="E449" t="s">
        <v>190</v>
      </c>
      <c r="F449" t="s">
        <v>171</v>
      </c>
      <c r="G449" t="s">
        <v>172</v>
      </c>
      <c r="H449">
        <v>12</v>
      </c>
      <c r="I449">
        <v>4</v>
      </c>
      <c r="J449" t="s">
        <v>42</v>
      </c>
      <c r="K449" t="s">
        <v>15</v>
      </c>
      <c r="L449" t="s">
        <v>4</v>
      </c>
      <c r="M449" t="s">
        <v>2</v>
      </c>
      <c r="N449" t="s">
        <v>15</v>
      </c>
      <c r="O449" t="s">
        <v>37</v>
      </c>
      <c r="P449">
        <f>2*((PI()*((4+7.5)*(10^(-2))/2)^2))</f>
        <v>2.0773781421862508E-2</v>
      </c>
      <c r="Q449" t="s">
        <v>180</v>
      </c>
      <c r="R449" t="s">
        <v>176</v>
      </c>
      <c r="T449">
        <v>8</v>
      </c>
      <c r="U449" t="s">
        <v>175</v>
      </c>
      <c r="W449">
        <v>480</v>
      </c>
      <c r="X449" t="s">
        <v>184</v>
      </c>
      <c r="Y449" t="s">
        <v>185</v>
      </c>
      <c r="Z449" t="s">
        <v>45</v>
      </c>
      <c r="AA449" s="13">
        <f t="shared" si="115"/>
        <v>79.771320659952039</v>
      </c>
      <c r="AB449">
        <f>10-4.4</f>
        <v>5.6</v>
      </c>
      <c r="AC449">
        <f>0.31+0.41</f>
        <v>0.72</v>
      </c>
      <c r="AD449" s="11">
        <f t="shared" si="104"/>
        <v>37.226616307977615</v>
      </c>
      <c r="AE449" s="11">
        <f>_xlfn.RANK.AVG(Tableau8[[#This Row],[EE ( MJ/m²)]],AD449:AD1604)</f>
        <v>166.5</v>
      </c>
      <c r="AF449" s="11">
        <f t="shared" si="111"/>
        <v>9.3066540769944037</v>
      </c>
      <c r="AG449" s="11">
        <f>(AC449-0.41)*AA449/H449</f>
        <v>2.0607591170487609</v>
      </c>
      <c r="AH449" s="11">
        <f t="shared" si="105"/>
        <v>4.7862792395971221</v>
      </c>
      <c r="AI449" s="11">
        <f>(AC449-0.41)*AA449/H449/I449</f>
        <v>0.51518977926219023</v>
      </c>
      <c r="AJ449" s="11">
        <f t="shared" si="112"/>
        <v>1.1965698098992805</v>
      </c>
    </row>
    <row r="450" spans="1:36" x14ac:dyDescent="0.25">
      <c r="A450" s="4" t="s">
        <v>945</v>
      </c>
      <c r="B450" s="4" t="s">
        <v>1002</v>
      </c>
      <c r="C450" s="4" t="s">
        <v>15</v>
      </c>
      <c r="D450" s="4" t="s">
        <v>938</v>
      </c>
      <c r="E450" t="s">
        <v>190</v>
      </c>
      <c r="F450" t="s">
        <v>171</v>
      </c>
      <c r="G450" t="s">
        <v>172</v>
      </c>
      <c r="H450">
        <v>12</v>
      </c>
      <c r="I450">
        <v>4</v>
      </c>
      <c r="J450" t="s">
        <v>42</v>
      </c>
      <c r="K450" t="s">
        <v>15</v>
      </c>
      <c r="L450" t="s">
        <v>4</v>
      </c>
      <c r="M450" t="s">
        <v>2</v>
      </c>
      <c r="N450" t="s">
        <v>15</v>
      </c>
      <c r="O450" t="s">
        <v>37</v>
      </c>
      <c r="P450">
        <f>3*((PI()*((4+7.5)*(10^(-2))/2)^2))</f>
        <v>3.1160672132793762E-2</v>
      </c>
      <c r="Q450" t="s">
        <v>180</v>
      </c>
      <c r="R450" t="s">
        <v>176</v>
      </c>
      <c r="T450">
        <v>2</v>
      </c>
      <c r="U450" t="s">
        <v>175</v>
      </c>
      <c r="W450">
        <v>480</v>
      </c>
      <c r="X450" t="s">
        <v>184</v>
      </c>
      <c r="Y450" t="s">
        <v>185</v>
      </c>
      <c r="Z450" t="s">
        <v>45</v>
      </c>
      <c r="AA450" s="13">
        <f t="shared" si="115"/>
        <v>29.914245247482011</v>
      </c>
      <c r="AB450">
        <f>10-4.4</f>
        <v>5.6</v>
      </c>
      <c r="AC450">
        <f>0.31+0.41</f>
        <v>0.72</v>
      </c>
      <c r="AD450" s="11">
        <f t="shared" si="104"/>
        <v>13.959981115491603</v>
      </c>
      <c r="AE450" s="11">
        <f>_xlfn.RANK.AVG(Tableau8[[#This Row],[EE ( MJ/m²)]],AD450:AD1605)</f>
        <v>289.5</v>
      </c>
      <c r="AF450" s="11">
        <f t="shared" si="111"/>
        <v>3.4899952788729007</v>
      </c>
      <c r="AG450" s="11">
        <f>(AC450-0.41)*AA450/H450</f>
        <v>0.77278466889328534</v>
      </c>
      <c r="AH450" s="11">
        <f t="shared" si="105"/>
        <v>1.7948547148489205</v>
      </c>
      <c r="AI450" s="11">
        <f>(AC450-0.41)*AA450/H450/I450</f>
        <v>0.19319616722332134</v>
      </c>
      <c r="AJ450" s="11">
        <f t="shared" si="112"/>
        <v>0.44871367871223011</v>
      </c>
    </row>
    <row r="451" spans="1:36" x14ac:dyDescent="0.25">
      <c r="A451" s="4" t="s">
        <v>945</v>
      </c>
      <c r="B451" s="4" t="s">
        <v>1002</v>
      </c>
      <c r="C451" s="4" t="s">
        <v>15</v>
      </c>
      <c r="D451" s="4" t="s">
        <v>938</v>
      </c>
      <c r="E451" t="s">
        <v>190</v>
      </c>
      <c r="F451" t="s">
        <v>171</v>
      </c>
      <c r="G451" t="s">
        <v>172</v>
      </c>
      <c r="H451">
        <v>12</v>
      </c>
      <c r="I451">
        <v>4</v>
      </c>
      <c r="J451" t="s">
        <v>42</v>
      </c>
      <c r="K451" t="s">
        <v>15</v>
      </c>
      <c r="L451" t="s">
        <v>3</v>
      </c>
      <c r="M451" t="s">
        <v>2</v>
      </c>
      <c r="N451" t="s">
        <v>15</v>
      </c>
      <c r="O451" t="s">
        <v>37</v>
      </c>
      <c r="P451">
        <f>4.2*((PI()*((4+7.5)*(10^(-2))/2)^2))</f>
        <v>4.362494098591127E-2</v>
      </c>
      <c r="Q451" t="s">
        <v>180</v>
      </c>
      <c r="R451" t="s">
        <v>176</v>
      </c>
      <c r="T451">
        <v>2</v>
      </c>
      <c r="U451" t="s">
        <v>175</v>
      </c>
      <c r="W451">
        <v>480</v>
      </c>
      <c r="X451" t="s">
        <v>184</v>
      </c>
      <c r="Y451" t="s">
        <v>185</v>
      </c>
      <c r="Z451" t="s">
        <v>45</v>
      </c>
      <c r="AA451" s="13">
        <f t="shared" si="115"/>
        <v>41.879943346474818</v>
      </c>
      <c r="AB451">
        <f>10-4.4</f>
        <v>5.6</v>
      </c>
      <c r="AC451">
        <f>0.31+0.41</f>
        <v>0.72</v>
      </c>
      <c r="AD451" s="11">
        <f t="shared" si="104"/>
        <v>19.543973561688247</v>
      </c>
      <c r="AE451" s="11">
        <f>_xlfn.RANK.AVG(Tableau8[[#This Row],[EE ( MJ/m²)]],AD451:AD1606)</f>
        <v>246.5</v>
      </c>
      <c r="AF451" s="11">
        <f t="shared" si="111"/>
        <v>4.8859933904220618</v>
      </c>
      <c r="AG451" s="11">
        <f>(AC451-0.41)*AA451/H451</f>
        <v>1.0818985364505995</v>
      </c>
      <c r="AH451" s="11">
        <f t="shared" si="105"/>
        <v>2.512796600788489</v>
      </c>
      <c r="AI451" s="11">
        <f>(AC451-0.41)*AA451/H451/I451</f>
        <v>0.27047463411264988</v>
      </c>
      <c r="AJ451" s="11">
        <f t="shared" si="112"/>
        <v>0.62819915019712225</v>
      </c>
    </row>
    <row r="452" spans="1:36" x14ac:dyDescent="0.25">
      <c r="A452" s="4" t="s">
        <v>945</v>
      </c>
      <c r="B452" s="4" t="s">
        <v>1002</v>
      </c>
      <c r="C452" s="4" t="s">
        <v>15</v>
      </c>
      <c r="D452" s="4" t="s">
        <v>938</v>
      </c>
      <c r="E452" t="s">
        <v>190</v>
      </c>
      <c r="F452" t="s">
        <v>171</v>
      </c>
      <c r="G452" t="s">
        <v>172</v>
      </c>
      <c r="H452">
        <v>12</v>
      </c>
      <c r="I452">
        <v>4</v>
      </c>
      <c r="J452" t="s">
        <v>42</v>
      </c>
      <c r="K452" t="s">
        <v>15</v>
      </c>
      <c r="L452" t="s">
        <v>5</v>
      </c>
      <c r="M452" t="s">
        <v>2</v>
      </c>
      <c r="N452" t="s">
        <v>15</v>
      </c>
      <c r="O452" t="s">
        <v>37</v>
      </c>
      <c r="P452">
        <f>2.2*((PI()*((4+7.5)*(10^(-2))/2)^2))</f>
        <v>2.2851159564048762E-2</v>
      </c>
      <c r="Q452" t="s">
        <v>180</v>
      </c>
      <c r="R452" t="s">
        <v>176</v>
      </c>
      <c r="T452">
        <v>6</v>
      </c>
      <c r="U452" t="s">
        <v>175</v>
      </c>
      <c r="W452">
        <v>480</v>
      </c>
      <c r="X452" t="s">
        <v>184</v>
      </c>
      <c r="Y452" t="s">
        <v>185</v>
      </c>
      <c r="Z452" t="s">
        <v>45</v>
      </c>
      <c r="AA452" s="13">
        <f t="shared" si="115"/>
        <v>65.811339544460438</v>
      </c>
      <c r="AB452">
        <f>10-4.4</f>
        <v>5.6</v>
      </c>
      <c r="AC452">
        <f>0.31+0.41</f>
        <v>0.72</v>
      </c>
      <c r="AD452" s="11">
        <f t="shared" si="104"/>
        <v>30.711958454081536</v>
      </c>
      <c r="AE452" s="11">
        <f>_xlfn.RANK.AVG(Tableau8[[#This Row],[EE ( MJ/m²)]],AD452:AD1607)</f>
        <v>192.5</v>
      </c>
      <c r="AF452" s="11">
        <f t="shared" si="111"/>
        <v>7.677989613520384</v>
      </c>
      <c r="AG452" s="11">
        <f>(AC452-0.41)*AA452/H452</f>
        <v>1.7001262715652281</v>
      </c>
      <c r="AH452" s="11">
        <f t="shared" si="105"/>
        <v>3.9486803726676261</v>
      </c>
      <c r="AI452" s="11">
        <f>(AC452-0.41)*AA452/H452/I452</f>
        <v>0.42503156789130703</v>
      </c>
      <c r="AJ452" s="11">
        <f t="shared" si="112"/>
        <v>0.98717009316690651</v>
      </c>
    </row>
    <row r="453" spans="1:36" x14ac:dyDescent="0.25">
      <c r="A453" s="4" t="s">
        <v>945</v>
      </c>
      <c r="B453" s="4" t="s">
        <v>1002</v>
      </c>
      <c r="C453" s="4" t="s">
        <v>15</v>
      </c>
      <c r="D453" s="4" t="s">
        <v>938</v>
      </c>
      <c r="E453" t="s">
        <v>190</v>
      </c>
      <c r="F453" t="s">
        <v>171</v>
      </c>
      <c r="G453" t="s">
        <v>172</v>
      </c>
      <c r="H453">
        <v>12</v>
      </c>
      <c r="I453">
        <v>4</v>
      </c>
      <c r="J453" t="s">
        <v>42</v>
      </c>
      <c r="K453" t="s">
        <v>15</v>
      </c>
      <c r="L453" t="s">
        <v>6</v>
      </c>
      <c r="M453" t="s">
        <v>2</v>
      </c>
      <c r="N453" t="s">
        <v>15</v>
      </c>
      <c r="O453" t="s">
        <v>37</v>
      </c>
      <c r="P453">
        <f>0.8*((PI()*((2+4)*(10^(-2))/2)^2))</f>
        <v>2.2619467105846509E-3</v>
      </c>
      <c r="Q453" t="s">
        <v>180</v>
      </c>
      <c r="R453" t="s">
        <v>176</v>
      </c>
      <c r="T453">
        <v>4</v>
      </c>
      <c r="U453" t="s">
        <v>175</v>
      </c>
      <c r="W453">
        <v>480</v>
      </c>
      <c r="X453" t="s">
        <v>184</v>
      </c>
      <c r="Y453" t="s">
        <v>185</v>
      </c>
      <c r="Z453" t="s">
        <v>45</v>
      </c>
      <c r="AA453" s="13">
        <f t="shared" si="115"/>
        <v>4.3429376843225302</v>
      </c>
      <c r="AB453">
        <f>10-4.4</f>
        <v>5.6</v>
      </c>
      <c r="AC453">
        <f>0.31+0.41</f>
        <v>0.72</v>
      </c>
      <c r="AD453" s="11">
        <f t="shared" si="104"/>
        <v>2.0267042526838472</v>
      </c>
      <c r="AE453" s="11">
        <f>_xlfn.RANK.AVG(Tableau8[[#This Row],[EE ( MJ/m²)]],AD453:AD1608)</f>
        <v>488.5</v>
      </c>
      <c r="AF453" s="11">
        <f t="shared" si="111"/>
        <v>0.50667606317096181</v>
      </c>
      <c r="AG453" s="11">
        <f>(AC453-0.41)*AA453/H453</f>
        <v>0.11219255684499869</v>
      </c>
      <c r="AH453" s="11">
        <f t="shared" si="105"/>
        <v>0.26057626105935178</v>
      </c>
      <c r="AI453" s="11">
        <f>(AC453-0.41)*AA453/H453/I453</f>
        <v>2.8048139211249674E-2</v>
      </c>
      <c r="AJ453" s="11">
        <f t="shared" si="112"/>
        <v>6.5144065264837944E-2</v>
      </c>
    </row>
    <row r="454" spans="1:36" x14ac:dyDescent="0.25">
      <c r="A454" s="4" t="s">
        <v>945</v>
      </c>
      <c r="B454" s="4" t="s">
        <v>1002</v>
      </c>
      <c r="C454" s="4" t="s">
        <v>15</v>
      </c>
      <c r="D454" s="4" t="s">
        <v>938</v>
      </c>
      <c r="E454" t="s">
        <v>190</v>
      </c>
      <c r="F454" t="s">
        <v>171</v>
      </c>
      <c r="G454" t="s">
        <v>172</v>
      </c>
      <c r="H454">
        <v>12</v>
      </c>
      <c r="I454">
        <v>4</v>
      </c>
      <c r="J454" t="s">
        <v>40</v>
      </c>
      <c r="K454" t="s">
        <v>15</v>
      </c>
      <c r="L454" t="s">
        <v>53</v>
      </c>
      <c r="M454" t="s">
        <v>52</v>
      </c>
      <c r="N454" t="s">
        <v>223</v>
      </c>
      <c r="O454" t="s">
        <v>38</v>
      </c>
      <c r="P454">
        <f>2*((PI()*((50)*(10^(-2))/2)^2))</f>
        <v>0.39269908169872414</v>
      </c>
      <c r="Q454" t="s">
        <v>180</v>
      </c>
      <c r="R454" t="s">
        <v>187</v>
      </c>
      <c r="S454" t="s">
        <v>54</v>
      </c>
      <c r="T454">
        <v>14</v>
      </c>
      <c r="U454" t="s">
        <v>175</v>
      </c>
      <c r="W454">
        <v>17</v>
      </c>
      <c r="X454" t="s">
        <v>184</v>
      </c>
      <c r="Y454" t="s">
        <v>185</v>
      </c>
      <c r="Z454" t="s">
        <v>46</v>
      </c>
      <c r="AA454" s="13">
        <f t="shared" si="115"/>
        <v>93.462381444296341</v>
      </c>
      <c r="AB454">
        <v>0.24</v>
      </c>
      <c r="AC454">
        <v>0.01</v>
      </c>
      <c r="AD454" s="11">
        <f t="shared" si="104"/>
        <v>1.8692476288859268</v>
      </c>
      <c r="AE454" s="11">
        <f>_xlfn.RANK.AVG(Tableau8[[#This Row],[EE ( MJ/m²)]],AD454:AD1609)</f>
        <v>498</v>
      </c>
      <c r="AF454" s="11">
        <f t="shared" si="111"/>
        <v>0.46731190722148169</v>
      </c>
      <c r="AG454" s="11">
        <f t="shared" ref="AG454:AG462" si="116">(AC454)*AA454/H454</f>
        <v>7.7885317870246953E-2</v>
      </c>
      <c r="AH454" s="11">
        <f t="shared" si="105"/>
        <v>7.7885317870246953E-2</v>
      </c>
      <c r="AI454" s="11">
        <f t="shared" ref="AI454:AI462" si="117">(AC454)*AA454/H454/I454</f>
        <v>1.9471329467561738E-2</v>
      </c>
      <c r="AJ454" s="11">
        <f t="shared" si="112"/>
        <v>1.9471329467561738E-2</v>
      </c>
    </row>
    <row r="455" spans="1:36" x14ac:dyDescent="0.25">
      <c r="A455" s="4" t="s">
        <v>945</v>
      </c>
      <c r="B455" s="4" t="s">
        <v>1002</v>
      </c>
      <c r="C455" s="4" t="s">
        <v>15</v>
      </c>
      <c r="D455" s="4" t="s">
        <v>938</v>
      </c>
      <c r="E455" t="s">
        <v>190</v>
      </c>
      <c r="F455" t="s">
        <v>171</v>
      </c>
      <c r="G455" t="s">
        <v>172</v>
      </c>
      <c r="H455">
        <v>12</v>
      </c>
      <c r="I455">
        <v>4</v>
      </c>
      <c r="J455" t="s">
        <v>57</v>
      </c>
      <c r="K455" t="s">
        <v>14</v>
      </c>
      <c r="L455" t="s">
        <v>0</v>
      </c>
      <c r="M455" t="s">
        <v>32</v>
      </c>
      <c r="N455" t="s">
        <v>35</v>
      </c>
      <c r="O455" t="s">
        <v>36</v>
      </c>
      <c r="P455">
        <f>4*5</f>
        <v>20</v>
      </c>
      <c r="Q455" t="s">
        <v>179</v>
      </c>
      <c r="S455" t="s">
        <v>31</v>
      </c>
      <c r="T455">
        <v>1</v>
      </c>
      <c r="U455" t="s">
        <v>175</v>
      </c>
      <c r="W455">
        <v>0.19</v>
      </c>
      <c r="X455" t="s">
        <v>183</v>
      </c>
      <c r="Y455" t="s">
        <v>175</v>
      </c>
      <c r="AA455" s="13">
        <f t="shared" si="115"/>
        <v>3.8</v>
      </c>
      <c r="AB455">
        <v>54.3</v>
      </c>
      <c r="AC455">
        <v>1.93</v>
      </c>
      <c r="AD455" s="11">
        <f t="shared" si="104"/>
        <v>17.194999999999997</v>
      </c>
      <c r="AE455" s="11">
        <f>_xlfn.RANK.AVG(Tableau8[[#This Row],[EE ( MJ/m²)]],AD455:AD1610)</f>
        <v>261</v>
      </c>
      <c r="AF455" s="11">
        <f t="shared" si="111"/>
        <v>4.2987499999999992</v>
      </c>
      <c r="AG455" s="11">
        <f t="shared" si="116"/>
        <v>0.61116666666666664</v>
      </c>
      <c r="AH455" s="11">
        <f t="shared" si="105"/>
        <v>0.61116666666666664</v>
      </c>
      <c r="AI455" s="11">
        <f t="shared" si="117"/>
        <v>0.15279166666666666</v>
      </c>
      <c r="AJ455" s="11">
        <f t="shared" si="112"/>
        <v>0.15279166666666666</v>
      </c>
    </row>
    <row r="456" spans="1:36" x14ac:dyDescent="0.25">
      <c r="A456" s="4" t="s">
        <v>945</v>
      </c>
      <c r="B456" s="4" t="s">
        <v>1002</v>
      </c>
      <c r="C456" s="4" t="s">
        <v>15</v>
      </c>
      <c r="D456" s="4" t="s">
        <v>938</v>
      </c>
      <c r="E456" t="s">
        <v>190</v>
      </c>
      <c r="F456" t="s">
        <v>171</v>
      </c>
      <c r="G456" t="s">
        <v>172</v>
      </c>
      <c r="H456">
        <v>12</v>
      </c>
      <c r="I456">
        <v>4</v>
      </c>
      <c r="J456" t="s">
        <v>44</v>
      </c>
      <c r="K456" t="s">
        <v>17</v>
      </c>
      <c r="L456" t="s">
        <v>9</v>
      </c>
      <c r="M456" t="s">
        <v>12</v>
      </c>
      <c r="N456" t="s">
        <v>12</v>
      </c>
      <c r="W456">
        <v>7800</v>
      </c>
      <c r="X456" t="s">
        <v>184</v>
      </c>
      <c r="Y456" t="s">
        <v>185</v>
      </c>
      <c r="Z456" t="s">
        <v>47</v>
      </c>
      <c r="AA456" s="13">
        <v>3</v>
      </c>
      <c r="AB456">
        <v>25.3</v>
      </c>
      <c r="AC456">
        <v>1.95</v>
      </c>
      <c r="AD456" s="11">
        <f t="shared" si="104"/>
        <v>6.3250000000000002</v>
      </c>
      <c r="AE456" s="11">
        <f>_xlfn.RANK.AVG(Tableau8[[#This Row],[EE ( MJ/m²)]],AD456:AD1611)</f>
        <v>376</v>
      </c>
      <c r="AF456" s="11">
        <f t="shared" si="111"/>
        <v>1.58125</v>
      </c>
      <c r="AG456" s="11">
        <f t="shared" si="116"/>
        <v>0.48749999999999999</v>
      </c>
      <c r="AH456" s="11">
        <f t="shared" si="105"/>
        <v>0.48749999999999999</v>
      </c>
      <c r="AI456" s="11">
        <f t="shared" si="117"/>
        <v>0.121875</v>
      </c>
      <c r="AJ456" s="11">
        <f t="shared" si="112"/>
        <v>0.121875</v>
      </c>
    </row>
    <row r="457" spans="1:36" x14ac:dyDescent="0.25">
      <c r="A457" s="4" t="s">
        <v>945</v>
      </c>
      <c r="B457" s="4" t="s">
        <v>1002</v>
      </c>
      <c r="C457" s="4" t="s">
        <v>15</v>
      </c>
      <c r="D457" s="4" t="s">
        <v>938</v>
      </c>
      <c r="E457" t="s">
        <v>190</v>
      </c>
      <c r="F457" t="s">
        <v>171</v>
      </c>
      <c r="G457" t="s">
        <v>172</v>
      </c>
      <c r="H457">
        <v>12</v>
      </c>
      <c r="I457">
        <v>4</v>
      </c>
      <c r="J457" t="s">
        <v>44</v>
      </c>
      <c r="K457" t="s">
        <v>17</v>
      </c>
      <c r="L457" t="s">
        <v>9</v>
      </c>
      <c r="M457" t="s">
        <v>12</v>
      </c>
      <c r="N457" t="s">
        <v>12</v>
      </c>
      <c r="W457">
        <v>7800</v>
      </c>
      <c r="X457" t="s">
        <v>184</v>
      </c>
      <c r="Y457" t="s">
        <v>185</v>
      </c>
      <c r="Z457" t="s">
        <v>47</v>
      </c>
      <c r="AA457" s="13">
        <v>3</v>
      </c>
      <c r="AB457">
        <v>25.3</v>
      </c>
      <c r="AC457">
        <v>1.95</v>
      </c>
      <c r="AD457" s="11">
        <f t="shared" si="104"/>
        <v>6.3250000000000002</v>
      </c>
      <c r="AE457" s="11">
        <f>_xlfn.RANK.AVG(Tableau8[[#This Row],[EE ( MJ/m²)]],AD457:AD1612)</f>
        <v>375.5</v>
      </c>
      <c r="AF457" s="11">
        <f t="shared" si="111"/>
        <v>1.58125</v>
      </c>
      <c r="AG457" s="11">
        <f t="shared" si="116"/>
        <v>0.48749999999999999</v>
      </c>
      <c r="AH457" s="11">
        <f t="shared" si="105"/>
        <v>0.48749999999999999</v>
      </c>
      <c r="AI457" s="11">
        <f t="shared" si="117"/>
        <v>0.121875</v>
      </c>
      <c r="AJ457" s="11">
        <f t="shared" si="112"/>
        <v>0.121875</v>
      </c>
    </row>
    <row r="458" spans="1:36" x14ac:dyDescent="0.25">
      <c r="A458" s="4" t="s">
        <v>945</v>
      </c>
      <c r="B458" s="4" t="s">
        <v>1002</v>
      </c>
      <c r="C458" s="4" t="s">
        <v>15</v>
      </c>
      <c r="D458" s="4" t="s">
        <v>938</v>
      </c>
      <c r="E458" t="s">
        <v>190</v>
      </c>
      <c r="F458" t="s">
        <v>171</v>
      </c>
      <c r="G458" t="s">
        <v>172</v>
      </c>
      <c r="H458">
        <v>12</v>
      </c>
      <c r="I458">
        <v>4</v>
      </c>
      <c r="J458" t="s">
        <v>44</v>
      </c>
      <c r="K458" t="s">
        <v>41</v>
      </c>
      <c r="L458" t="s">
        <v>8</v>
      </c>
      <c r="M458" t="s">
        <v>16</v>
      </c>
      <c r="N458" t="s">
        <v>111</v>
      </c>
      <c r="P458">
        <f>(PI()*(0.004^2))*5</f>
        <v>2.5132741228718343E-4</v>
      </c>
      <c r="Q458" t="s">
        <v>180</v>
      </c>
      <c r="R458" t="s">
        <v>176</v>
      </c>
      <c r="T458">
        <v>5</v>
      </c>
      <c r="U458" t="s">
        <v>175</v>
      </c>
      <c r="W458">
        <v>1500</v>
      </c>
      <c r="X458" t="s">
        <v>184</v>
      </c>
      <c r="AA458" s="13">
        <f>W458*T458*P458</f>
        <v>1.8849555921538756</v>
      </c>
      <c r="AB458">
        <v>91</v>
      </c>
      <c r="AC458">
        <v>2.66</v>
      </c>
      <c r="AD458" s="11">
        <f t="shared" si="104"/>
        <v>14.294246573833556</v>
      </c>
      <c r="AE458" s="11">
        <f>_xlfn.RANK.AVG(Tableau8[[#This Row],[EE ( MJ/m²)]],AD458:AD1613)</f>
        <v>280.5</v>
      </c>
      <c r="AF458" s="11">
        <f t="shared" si="111"/>
        <v>3.573561643458389</v>
      </c>
      <c r="AG458" s="11">
        <f t="shared" si="116"/>
        <v>0.41783182292744248</v>
      </c>
      <c r="AH458" s="11">
        <f t="shared" si="105"/>
        <v>0.41783182292744248</v>
      </c>
      <c r="AI458" s="11">
        <f t="shared" si="117"/>
        <v>0.10445795573186062</v>
      </c>
      <c r="AJ458" s="11">
        <f t="shared" si="112"/>
        <v>0.10445795573186062</v>
      </c>
    </row>
    <row r="459" spans="1:36" x14ac:dyDescent="0.25">
      <c r="A459" s="4" t="s">
        <v>945</v>
      </c>
      <c r="B459" s="4" t="s">
        <v>1002</v>
      </c>
      <c r="C459" s="4" t="s">
        <v>15</v>
      </c>
      <c r="D459" s="4" t="s">
        <v>938</v>
      </c>
      <c r="E459" t="s">
        <v>190</v>
      </c>
      <c r="F459" t="s">
        <v>171</v>
      </c>
      <c r="G459" t="s">
        <v>172</v>
      </c>
      <c r="H459">
        <v>12</v>
      </c>
      <c r="I459">
        <v>4</v>
      </c>
      <c r="J459" t="s">
        <v>13</v>
      </c>
      <c r="K459" t="s">
        <v>29</v>
      </c>
      <c r="L459" t="s">
        <v>68</v>
      </c>
      <c r="M459" t="s">
        <v>68</v>
      </c>
      <c r="N459" t="s">
        <v>69</v>
      </c>
      <c r="P459">
        <v>5</v>
      </c>
      <c r="Q459" t="s">
        <v>180</v>
      </c>
      <c r="R459" t="s">
        <v>175</v>
      </c>
      <c r="T459">
        <v>1</v>
      </c>
      <c r="U459" t="s">
        <v>175</v>
      </c>
      <c r="W459">
        <v>1460</v>
      </c>
      <c r="X459" t="s">
        <v>184</v>
      </c>
      <c r="Y459" t="s">
        <v>185</v>
      </c>
      <c r="Z459" t="s">
        <v>47</v>
      </c>
      <c r="AA459" s="13">
        <f>W459*T459*P459</f>
        <v>7300</v>
      </c>
      <c r="AB459">
        <v>0.45</v>
      </c>
      <c r="AC459">
        <v>2.4E-2</v>
      </c>
      <c r="AD459" s="11">
        <f t="shared" si="104"/>
        <v>273.75</v>
      </c>
      <c r="AE459" s="11">
        <f>_xlfn.RANK.AVG(Tableau8[[#This Row],[EE ( MJ/m²)]],AD459:AD1614)</f>
        <v>28</v>
      </c>
      <c r="AF459" s="11">
        <f t="shared" si="111"/>
        <v>68.4375</v>
      </c>
      <c r="AG459" s="11">
        <f t="shared" si="116"/>
        <v>14.600000000000001</v>
      </c>
      <c r="AH459" s="11">
        <f t="shared" si="105"/>
        <v>14.600000000000001</v>
      </c>
      <c r="AI459" s="11">
        <f t="shared" si="117"/>
        <v>3.6500000000000004</v>
      </c>
      <c r="AJ459" s="11">
        <f t="shared" si="112"/>
        <v>3.6500000000000004</v>
      </c>
    </row>
    <row r="460" spans="1:36" x14ac:dyDescent="0.25">
      <c r="A460" s="4" t="s">
        <v>945</v>
      </c>
      <c r="B460" s="4" t="s">
        <v>1002</v>
      </c>
      <c r="C460" s="4" t="s">
        <v>15</v>
      </c>
      <c r="D460" s="4" t="s">
        <v>938</v>
      </c>
      <c r="E460" t="s">
        <v>190</v>
      </c>
      <c r="F460" t="s">
        <v>171</v>
      </c>
      <c r="G460" t="s">
        <v>172</v>
      </c>
      <c r="H460">
        <v>12</v>
      </c>
      <c r="I460">
        <v>4</v>
      </c>
      <c r="J460" t="s">
        <v>44</v>
      </c>
      <c r="K460" t="s">
        <v>17</v>
      </c>
      <c r="L460" t="s">
        <v>65</v>
      </c>
      <c r="M460" t="s">
        <v>17</v>
      </c>
      <c r="N460" t="s">
        <v>12</v>
      </c>
      <c r="P460">
        <v>10</v>
      </c>
      <c r="Q460" t="s">
        <v>1017</v>
      </c>
      <c r="W460">
        <v>7800</v>
      </c>
      <c r="X460" t="s">
        <v>184</v>
      </c>
      <c r="Y460" t="s">
        <v>185</v>
      </c>
      <c r="Z460" t="s">
        <v>47</v>
      </c>
      <c r="AA460" s="13">
        <v>3</v>
      </c>
      <c r="AB460">
        <v>25.3</v>
      </c>
      <c r="AC460">
        <v>1.95</v>
      </c>
      <c r="AD460" s="11">
        <f t="shared" si="104"/>
        <v>6.3250000000000002</v>
      </c>
      <c r="AE460" s="11">
        <f>_xlfn.RANK.AVG(Tableau8[[#This Row],[EE ( MJ/m²)]],AD460:AD1615)</f>
        <v>373</v>
      </c>
      <c r="AF460" s="11">
        <f t="shared" si="111"/>
        <v>1.58125</v>
      </c>
      <c r="AG460" s="11">
        <f t="shared" si="116"/>
        <v>0.48749999999999999</v>
      </c>
      <c r="AH460" s="11">
        <f t="shared" si="105"/>
        <v>0.48749999999999999</v>
      </c>
      <c r="AI460" s="11">
        <f t="shared" si="117"/>
        <v>0.121875</v>
      </c>
      <c r="AJ460" s="11">
        <f t="shared" si="112"/>
        <v>0.121875</v>
      </c>
    </row>
    <row r="461" spans="1:36" x14ac:dyDescent="0.25">
      <c r="A461" s="4" t="s">
        <v>945</v>
      </c>
      <c r="B461" s="4" t="s">
        <v>1002</v>
      </c>
      <c r="C461" s="4" t="s">
        <v>15</v>
      </c>
      <c r="D461" s="4" t="s">
        <v>938</v>
      </c>
      <c r="E461" t="s">
        <v>190</v>
      </c>
      <c r="F461" t="s">
        <v>171</v>
      </c>
      <c r="G461" t="s">
        <v>172</v>
      </c>
      <c r="H461">
        <v>12</v>
      </c>
      <c r="I461">
        <v>4</v>
      </c>
      <c r="J461" t="s">
        <v>56</v>
      </c>
      <c r="K461" t="s">
        <v>17</v>
      </c>
      <c r="L461" t="s">
        <v>60</v>
      </c>
      <c r="M461" t="s">
        <v>63</v>
      </c>
      <c r="N461" t="s">
        <v>59</v>
      </c>
      <c r="P461">
        <f>0.92*3*0.004</f>
        <v>1.1040000000000001E-2</v>
      </c>
      <c r="Q461" t="s">
        <v>180</v>
      </c>
      <c r="R461" t="s">
        <v>187</v>
      </c>
      <c r="S461" t="s">
        <v>64</v>
      </c>
      <c r="T461">
        <v>6</v>
      </c>
      <c r="U461" t="s">
        <v>175</v>
      </c>
      <c r="W461">
        <v>7870</v>
      </c>
      <c r="X461" t="s">
        <v>184</v>
      </c>
      <c r="Y461" t="s">
        <v>185</v>
      </c>
      <c r="Z461" t="s">
        <v>66</v>
      </c>
      <c r="AA461" s="13">
        <f t="shared" ref="AA461:AA466" si="118">W461*T461*P461</f>
        <v>521.30880000000002</v>
      </c>
      <c r="AB461">
        <v>25</v>
      </c>
      <c r="AC461">
        <v>2.0299999999999998</v>
      </c>
      <c r="AD461" s="11">
        <f t="shared" si="104"/>
        <v>1086.0600000000002</v>
      </c>
      <c r="AE461" s="11">
        <f>_xlfn.RANK.AVG(Tableau8[[#This Row],[EE ( MJ/m²)]],AD461:AD1616)</f>
        <v>4</v>
      </c>
      <c r="AF461" s="11">
        <f t="shared" si="111"/>
        <v>271.51500000000004</v>
      </c>
      <c r="AG461" s="11">
        <f t="shared" si="116"/>
        <v>88.188071999999991</v>
      </c>
      <c r="AH461" s="11">
        <f t="shared" si="105"/>
        <v>88.188071999999991</v>
      </c>
      <c r="AI461" s="11">
        <f t="shared" si="117"/>
        <v>22.047017999999998</v>
      </c>
      <c r="AJ461" s="11">
        <f t="shared" si="112"/>
        <v>22.047017999999998</v>
      </c>
    </row>
    <row r="462" spans="1:36" s="27" customFormat="1" x14ac:dyDescent="0.25">
      <c r="A462" s="4" t="s">
        <v>945</v>
      </c>
      <c r="B462" s="4" t="s">
        <v>1002</v>
      </c>
      <c r="C462" s="4" t="s">
        <v>15</v>
      </c>
      <c r="D462" s="4" t="s">
        <v>938</v>
      </c>
      <c r="E462" t="s">
        <v>190</v>
      </c>
      <c r="F462" t="s">
        <v>171</v>
      </c>
      <c r="G462" t="s">
        <v>172</v>
      </c>
      <c r="H462">
        <v>12</v>
      </c>
      <c r="I462">
        <v>4</v>
      </c>
      <c r="J462" t="s">
        <v>13</v>
      </c>
      <c r="K462" t="s">
        <v>29</v>
      </c>
      <c r="L462" t="s">
        <v>11</v>
      </c>
      <c r="M462" t="s">
        <v>18</v>
      </c>
      <c r="N462" t="s">
        <v>39</v>
      </c>
      <c r="O462"/>
      <c r="P462">
        <f>0.3*0.3*0.3</f>
        <v>2.7E-2</v>
      </c>
      <c r="Q462" t="s">
        <v>180</v>
      </c>
      <c r="R462" t="s">
        <v>176</v>
      </c>
      <c r="S462"/>
      <c r="T462">
        <v>9</v>
      </c>
      <c r="U462" t="s">
        <v>175</v>
      </c>
      <c r="V462"/>
      <c r="W462">
        <v>2400</v>
      </c>
      <c r="X462" t="s">
        <v>184</v>
      </c>
      <c r="Y462" t="s">
        <v>185</v>
      </c>
      <c r="Z462" t="s">
        <v>48</v>
      </c>
      <c r="AA462" s="13">
        <f t="shared" si="118"/>
        <v>583.20000000000005</v>
      </c>
      <c r="AB462">
        <v>0.75</v>
      </c>
      <c r="AC462">
        <v>0.107</v>
      </c>
      <c r="AD462" s="11">
        <f t="shared" si="104"/>
        <v>36.450000000000003</v>
      </c>
      <c r="AE462" s="11">
        <f>_xlfn.RANK.AVG(Tableau8[[#This Row],[EE ( MJ/m²)]],AD462:AD1617)</f>
        <v>168.5</v>
      </c>
      <c r="AF462" s="11">
        <f t="shared" si="111"/>
        <v>9.1125000000000007</v>
      </c>
      <c r="AG462" s="11">
        <f t="shared" si="116"/>
        <v>5.2001999999999997</v>
      </c>
      <c r="AH462" s="11">
        <f t="shared" si="105"/>
        <v>5.2001999999999997</v>
      </c>
      <c r="AI462" s="11">
        <f t="shared" si="117"/>
        <v>1.3000499999999999</v>
      </c>
      <c r="AJ462" s="11">
        <f t="shared" si="112"/>
        <v>1.3000499999999999</v>
      </c>
    </row>
    <row r="463" spans="1:36" s="27" customFormat="1" x14ac:dyDescent="0.25">
      <c r="A463" s="4" t="s">
        <v>945</v>
      </c>
      <c r="B463" s="4" t="s">
        <v>1002</v>
      </c>
      <c r="C463" s="4" t="s">
        <v>15</v>
      </c>
      <c r="D463" s="4" t="s">
        <v>938</v>
      </c>
      <c r="E463" t="s">
        <v>190</v>
      </c>
      <c r="F463" t="s">
        <v>171</v>
      </c>
      <c r="G463" t="s">
        <v>172</v>
      </c>
      <c r="H463">
        <v>12</v>
      </c>
      <c r="I463">
        <v>4</v>
      </c>
      <c r="J463" t="s">
        <v>42</v>
      </c>
      <c r="K463" t="s">
        <v>15</v>
      </c>
      <c r="L463" t="s">
        <v>7</v>
      </c>
      <c r="M463" s="20" t="s">
        <v>10</v>
      </c>
      <c r="N463" s="20" t="s">
        <v>15</v>
      </c>
      <c r="O463" t="s">
        <v>38</v>
      </c>
      <c r="P463" s="20">
        <f>3*((PI()*((1+1.5)*(10^(-2))/2)^2))</f>
        <v>1.4726215563702157E-3</v>
      </c>
      <c r="Q463" s="20" t="s">
        <v>180</v>
      </c>
      <c r="R463" s="20" t="s">
        <v>187</v>
      </c>
      <c r="S463" s="20" t="s">
        <v>55</v>
      </c>
      <c r="T463" s="20">
        <v>8</v>
      </c>
      <c r="U463" s="20" t="s">
        <v>175</v>
      </c>
      <c r="V463" s="20"/>
      <c r="W463" s="20">
        <v>90</v>
      </c>
      <c r="X463" t="s">
        <v>184</v>
      </c>
      <c r="Y463" t="s">
        <v>185</v>
      </c>
      <c r="Z463" t="s">
        <v>46</v>
      </c>
      <c r="AA463" s="13">
        <f t="shared" si="118"/>
        <v>1.0602875205865552</v>
      </c>
      <c r="AB463">
        <f>10-4.4</f>
        <v>5.6</v>
      </c>
      <c r="AC463">
        <f>0.31+0.41</f>
        <v>0.72</v>
      </c>
      <c r="AD463" s="11">
        <f t="shared" si="104"/>
        <v>0.49480084294039234</v>
      </c>
      <c r="AE463" s="11">
        <f>_xlfn.RANK.AVG(Tableau8[[#This Row],[EE ( MJ/m²)]],AD463:AD1618)</f>
        <v>580.5</v>
      </c>
      <c r="AF463" s="11">
        <f t="shared" si="111"/>
        <v>0.12370021073509808</v>
      </c>
      <c r="AG463" s="11">
        <f>(AC463-0.41)*AA463/H463</f>
        <v>2.7390760948486009E-2</v>
      </c>
      <c r="AH463" s="11">
        <f t="shared" si="105"/>
        <v>6.3617251235193309E-2</v>
      </c>
      <c r="AI463" s="11">
        <f>(AC463-0.41)*AA463/H463/I463</f>
        <v>6.8476902371215021E-3</v>
      </c>
      <c r="AJ463" s="11">
        <f t="shared" si="112"/>
        <v>1.5904312808798327E-2</v>
      </c>
    </row>
    <row r="464" spans="1:36" s="27" customFormat="1" x14ac:dyDescent="0.25">
      <c r="A464" s="4" t="s">
        <v>945</v>
      </c>
      <c r="B464" s="4" t="s">
        <v>1002</v>
      </c>
      <c r="C464" s="4" t="s">
        <v>15</v>
      </c>
      <c r="D464" s="4" t="s">
        <v>938</v>
      </c>
      <c r="E464" t="s">
        <v>190</v>
      </c>
      <c r="F464" t="s">
        <v>171</v>
      </c>
      <c r="G464" t="s">
        <v>172</v>
      </c>
      <c r="H464">
        <v>12</v>
      </c>
      <c r="I464">
        <v>4</v>
      </c>
      <c r="J464" t="s">
        <v>40</v>
      </c>
      <c r="K464" t="s">
        <v>15</v>
      </c>
      <c r="L464" t="s">
        <v>33</v>
      </c>
      <c r="M464" s="20" t="s">
        <v>10</v>
      </c>
      <c r="N464" s="20" t="s">
        <v>15</v>
      </c>
      <c r="O464" t="s">
        <v>38</v>
      </c>
      <c r="P464" s="20">
        <f>0.9*1.7*0.02</f>
        <v>3.0600000000000002E-2</v>
      </c>
      <c r="Q464" s="20" t="s">
        <v>180</v>
      </c>
      <c r="R464" s="20" t="s">
        <v>176</v>
      </c>
      <c r="S464" s="20"/>
      <c r="T464" s="20">
        <v>1</v>
      </c>
      <c r="U464" s="20" t="s">
        <v>175</v>
      </c>
      <c r="V464" s="20"/>
      <c r="W464" s="20">
        <v>90</v>
      </c>
      <c r="X464" t="s">
        <v>184</v>
      </c>
      <c r="Y464" t="s">
        <v>185</v>
      </c>
      <c r="Z464" t="s">
        <v>46</v>
      </c>
      <c r="AA464" s="13">
        <f t="shared" si="118"/>
        <v>2.754</v>
      </c>
      <c r="AB464">
        <f>10-4.4</f>
        <v>5.6</v>
      </c>
      <c r="AC464">
        <f>0.31+0.41</f>
        <v>0.72</v>
      </c>
      <c r="AD464" s="11">
        <f t="shared" si="104"/>
        <v>1.2851999999999999</v>
      </c>
      <c r="AE464" s="11">
        <f>_xlfn.RANK.AVG(Tableau8[[#This Row],[EE ( MJ/m²)]],AD464:AD1619)</f>
        <v>517.5</v>
      </c>
      <c r="AF464" s="11">
        <f t="shared" si="111"/>
        <v>0.32129999999999997</v>
      </c>
      <c r="AG464" s="11">
        <f>(AC464-0.41)*AA464/H464</f>
        <v>7.1145E-2</v>
      </c>
      <c r="AH464" s="11">
        <f t="shared" si="105"/>
        <v>0.16524</v>
      </c>
      <c r="AI464" s="11">
        <f>(AC464-0.41)*AA464/H464/I464</f>
        <v>1.778625E-2</v>
      </c>
      <c r="AJ464" s="11">
        <f t="shared" si="112"/>
        <v>4.1309999999999999E-2</v>
      </c>
    </row>
    <row r="465" spans="1:36" s="27" customFormat="1" x14ac:dyDescent="0.25">
      <c r="A465" s="4" t="s">
        <v>945</v>
      </c>
      <c r="B465" s="4" t="s">
        <v>1002</v>
      </c>
      <c r="C465" s="4" t="s">
        <v>15</v>
      </c>
      <c r="D465" s="4" t="s">
        <v>938</v>
      </c>
      <c r="E465" t="s">
        <v>190</v>
      </c>
      <c r="F465" t="s">
        <v>171</v>
      </c>
      <c r="G465" t="s">
        <v>172</v>
      </c>
      <c r="H465">
        <v>12</v>
      </c>
      <c r="I465">
        <v>4</v>
      </c>
      <c r="J465" t="s">
        <v>40</v>
      </c>
      <c r="K465" t="s">
        <v>15</v>
      </c>
      <c r="L465" t="s">
        <v>34</v>
      </c>
      <c r="M465" s="20" t="s">
        <v>10</v>
      </c>
      <c r="N465" s="20" t="s">
        <v>15</v>
      </c>
      <c r="O465" t="s">
        <v>38</v>
      </c>
      <c r="P465" s="20">
        <f>0.6*0.4*0.02</f>
        <v>4.7999999999999996E-3</v>
      </c>
      <c r="Q465" s="20" t="s">
        <v>180</v>
      </c>
      <c r="R465" s="20" t="s">
        <v>176</v>
      </c>
      <c r="S465" s="20"/>
      <c r="T465" s="20">
        <v>2</v>
      </c>
      <c r="U465" s="20" t="s">
        <v>175</v>
      </c>
      <c r="V465" s="20"/>
      <c r="W465" s="20">
        <v>90</v>
      </c>
      <c r="X465" t="s">
        <v>184</v>
      </c>
      <c r="Y465" t="s">
        <v>185</v>
      </c>
      <c r="Z465" t="s">
        <v>46</v>
      </c>
      <c r="AA465" s="13">
        <f t="shared" si="118"/>
        <v>0.86399999999999988</v>
      </c>
      <c r="AB465">
        <f>10-4.4</f>
        <v>5.6</v>
      </c>
      <c r="AC465">
        <f>0.31+0.41</f>
        <v>0.72</v>
      </c>
      <c r="AD465" s="11">
        <f t="shared" si="104"/>
        <v>0.40319999999999995</v>
      </c>
      <c r="AE465" s="11">
        <f>_xlfn.RANK.AVG(Tableau8[[#This Row],[EE ( MJ/m²)]],AD465:AD1620)</f>
        <v>592.5</v>
      </c>
      <c r="AF465" s="11">
        <f t="shared" si="111"/>
        <v>0.10079999999999999</v>
      </c>
      <c r="AG465" s="11">
        <f>(AC465-0.41)*AA465/H465</f>
        <v>2.2319999999999996E-2</v>
      </c>
      <c r="AH465" s="11">
        <f t="shared" si="105"/>
        <v>5.183999999999999E-2</v>
      </c>
      <c r="AI465" s="11">
        <f>(AC465-0.41)*AA465/H465/I465</f>
        <v>5.579999999999999E-3</v>
      </c>
      <c r="AJ465" s="11">
        <f t="shared" si="112"/>
        <v>1.2959999999999998E-2</v>
      </c>
    </row>
    <row r="466" spans="1:36" s="27" customFormat="1" x14ac:dyDescent="0.25">
      <c r="A466" s="4" t="s">
        <v>945</v>
      </c>
      <c r="B466" s="4" t="s">
        <v>1002</v>
      </c>
      <c r="C466" s="4" t="s">
        <v>15</v>
      </c>
      <c r="D466" s="4" t="s">
        <v>938</v>
      </c>
      <c r="E466" t="s">
        <v>190</v>
      </c>
      <c r="F466" t="s">
        <v>171</v>
      </c>
      <c r="G466" t="s">
        <v>172</v>
      </c>
      <c r="H466">
        <v>12</v>
      </c>
      <c r="I466">
        <v>4</v>
      </c>
      <c r="J466" t="s">
        <v>56</v>
      </c>
      <c r="K466" t="s">
        <v>17</v>
      </c>
      <c r="L466" t="s">
        <v>61</v>
      </c>
      <c r="M466" t="s">
        <v>62</v>
      </c>
      <c r="N466" t="s">
        <v>12</v>
      </c>
      <c r="O466"/>
      <c r="P466">
        <f>0.3*0.2*0.0025</f>
        <v>1.4999999999999999E-4</v>
      </c>
      <c r="Q466" t="s">
        <v>180</v>
      </c>
      <c r="R466" t="s">
        <v>187</v>
      </c>
      <c r="S466" t="s">
        <v>67</v>
      </c>
      <c r="T466">
        <v>20</v>
      </c>
      <c r="U466" t="s">
        <v>175</v>
      </c>
      <c r="V466"/>
      <c r="W466">
        <v>7800</v>
      </c>
      <c r="X466" t="s">
        <v>184</v>
      </c>
      <c r="Y466" t="s">
        <v>185</v>
      </c>
      <c r="Z466" t="s">
        <v>47</v>
      </c>
      <c r="AA466" s="13">
        <f t="shared" si="118"/>
        <v>23.4</v>
      </c>
      <c r="AB466">
        <v>25.3</v>
      </c>
      <c r="AC466">
        <v>1.95</v>
      </c>
      <c r="AD466" s="11">
        <f t="shared" si="104"/>
        <v>49.335000000000001</v>
      </c>
      <c r="AE466" s="11">
        <f>_xlfn.RANK.AVG(Tableau8[[#This Row],[EE ( MJ/m²)]],AD466:AD1621)</f>
        <v>138</v>
      </c>
      <c r="AF466" s="11">
        <f t="shared" si="111"/>
        <v>12.33375</v>
      </c>
      <c r="AG466" s="11">
        <f>(AC466)*AA466/H466</f>
        <v>3.8024999999999998</v>
      </c>
      <c r="AH466" s="11">
        <f t="shared" si="105"/>
        <v>3.8024999999999998</v>
      </c>
      <c r="AI466" s="11">
        <f>(AC466)*AA466/H466/I466</f>
        <v>0.95062499999999994</v>
      </c>
      <c r="AJ466" s="11">
        <f t="shared" si="112"/>
        <v>0.95062499999999994</v>
      </c>
    </row>
    <row r="467" spans="1:36" s="27" customFormat="1" x14ac:dyDescent="0.25">
      <c r="A467" s="4" t="s">
        <v>944</v>
      </c>
      <c r="B467" s="4" t="s">
        <v>1059</v>
      </c>
      <c r="C467" s="4" t="s">
        <v>15</v>
      </c>
      <c r="D467" s="4" t="s">
        <v>1004</v>
      </c>
      <c r="E467" t="s">
        <v>1058</v>
      </c>
      <c r="F467" t="s">
        <v>171</v>
      </c>
      <c r="G467" t="s">
        <v>1057</v>
      </c>
      <c r="H467">
        <v>12</v>
      </c>
      <c r="I467">
        <v>3</v>
      </c>
      <c r="J467" t="s">
        <v>219</v>
      </c>
      <c r="K467" t="s">
        <v>15</v>
      </c>
      <c r="L467" t="s">
        <v>1048</v>
      </c>
      <c r="M467" t="s">
        <v>15</v>
      </c>
      <c r="N467" t="s">
        <v>15</v>
      </c>
      <c r="O467" t="s">
        <v>1061</v>
      </c>
      <c r="P467">
        <v>2.5</v>
      </c>
      <c r="Q467" t="s">
        <v>180</v>
      </c>
      <c r="R467" t="s">
        <v>187</v>
      </c>
      <c r="S467"/>
      <c r="T467">
        <v>1</v>
      </c>
      <c r="U467" t="s">
        <v>346</v>
      </c>
      <c r="V467"/>
      <c r="W467">
        <v>90</v>
      </c>
      <c r="X467" t="s">
        <v>184</v>
      </c>
      <c r="Y467"/>
      <c r="Z467"/>
      <c r="AA467" s="13">
        <f>Tableau8[[#This Row],[nb of item used ]]*Tableau8[[#This Row],[density (kg/m2) or specific weight (kg/m2)]]*Tableau8[[#This Row],[volume or area]]</f>
        <v>225</v>
      </c>
      <c r="AB467">
        <f>10-4.4</f>
        <v>5.6</v>
      </c>
      <c r="AC467">
        <f>0.31+0.41</f>
        <v>0.72</v>
      </c>
      <c r="AD467" s="11">
        <f t="shared" si="104"/>
        <v>105</v>
      </c>
      <c r="AE467" s="11">
        <f>_xlfn.RANK.AVG(Tableau8[[#This Row],[EE ( MJ/m²)]],AD467:AD1622)</f>
        <v>78</v>
      </c>
      <c r="AF467" s="11">
        <f t="shared" si="111"/>
        <v>35</v>
      </c>
      <c r="AG467" s="11">
        <f>(AC467-0.41)*AA467/H467</f>
        <v>5.8125</v>
      </c>
      <c r="AH467" s="11">
        <f t="shared" si="105"/>
        <v>13.5</v>
      </c>
      <c r="AI467" s="11">
        <f>(AC467-0.41)*AA467/H467/I467</f>
        <v>1.9375</v>
      </c>
      <c r="AJ467" s="11">
        <f t="shared" si="112"/>
        <v>4.5</v>
      </c>
    </row>
    <row r="468" spans="1:36" x14ac:dyDescent="0.25">
      <c r="A468" s="4" t="s">
        <v>944</v>
      </c>
      <c r="B468" s="4" t="s">
        <v>1059</v>
      </c>
      <c r="C468" s="4" t="s">
        <v>12</v>
      </c>
      <c r="D468" s="4" t="s">
        <v>1004</v>
      </c>
      <c r="E468" t="s">
        <v>1058</v>
      </c>
      <c r="F468" t="s">
        <v>171</v>
      </c>
      <c r="G468" t="s">
        <v>1057</v>
      </c>
      <c r="H468">
        <v>12</v>
      </c>
      <c r="I468">
        <v>3</v>
      </c>
      <c r="J468" t="s">
        <v>44</v>
      </c>
      <c r="K468" t="s">
        <v>17</v>
      </c>
      <c r="L468" t="s">
        <v>9</v>
      </c>
      <c r="M468" t="s">
        <v>12</v>
      </c>
      <c r="N468" t="s">
        <v>12</v>
      </c>
      <c r="P468">
        <v>10</v>
      </c>
      <c r="R468" t="s">
        <v>187</v>
      </c>
      <c r="T468">
        <v>1</v>
      </c>
      <c r="U468" t="s">
        <v>346</v>
      </c>
      <c r="W468">
        <v>7800</v>
      </c>
      <c r="X468" t="s">
        <v>184</v>
      </c>
      <c r="AA468" s="13">
        <v>10</v>
      </c>
      <c r="AB468">
        <v>25.3</v>
      </c>
      <c r="AC468">
        <v>1.95</v>
      </c>
      <c r="AD468" s="11">
        <f t="shared" si="104"/>
        <v>21.083333333333332</v>
      </c>
      <c r="AE468" s="11">
        <f>_xlfn.RANK.AVG(Tableau8[[#This Row],[EE ( MJ/m²)]],AD468:AD1623)</f>
        <v>231</v>
      </c>
      <c r="AF468" s="11">
        <f t="shared" si="111"/>
        <v>7.0277777777777777</v>
      </c>
      <c r="AG468" s="11">
        <f>(AC468)*AA468/H468</f>
        <v>1.625</v>
      </c>
      <c r="AH468" s="11">
        <f t="shared" si="105"/>
        <v>1.625</v>
      </c>
      <c r="AI468" s="33">
        <f>(AC468)*AA468/H468/I468</f>
        <v>0.54166666666666663</v>
      </c>
      <c r="AJ468" s="11">
        <f t="shared" si="112"/>
        <v>0.54166666666666663</v>
      </c>
    </row>
    <row r="469" spans="1:36" x14ac:dyDescent="0.25">
      <c r="A469" s="23"/>
      <c r="B469" s="23"/>
      <c r="C469" s="23"/>
      <c r="D469" s="23"/>
      <c r="E469" s="20"/>
      <c r="F469" s="20"/>
      <c r="G469" s="20"/>
      <c r="H469" s="20"/>
      <c r="I469" s="20"/>
      <c r="J469" s="20"/>
      <c r="L469" s="20"/>
      <c r="M469" s="20"/>
      <c r="N469" s="20"/>
      <c r="P469" s="20"/>
      <c r="Q469" s="20"/>
      <c r="R469" s="20"/>
      <c r="S469" s="20"/>
      <c r="T469" s="20"/>
      <c r="U469" s="20"/>
      <c r="V469" s="20"/>
      <c r="W469" s="25"/>
      <c r="X469" s="20"/>
      <c r="Y469" s="20"/>
      <c r="Z469" s="20"/>
      <c r="AA469" s="20"/>
      <c r="AB469" s="20"/>
      <c r="AE469" s="11" t="e">
        <f>_xlfn.RANK.AVG(Tableau8[[#This Row],[EE ( MJ/m²)]],AD469:AD1624)</f>
        <v>#N/A</v>
      </c>
      <c r="AI469" s="33"/>
      <c r="AJ469" s="11"/>
    </row>
    <row r="470" spans="1:36" x14ac:dyDescent="0.25">
      <c r="A470" s="4" t="s">
        <v>944</v>
      </c>
      <c r="B470" s="4" t="s">
        <v>1059</v>
      </c>
      <c r="C470" s="4" t="s">
        <v>15</v>
      </c>
      <c r="D470" s="4" t="s">
        <v>1004</v>
      </c>
      <c r="E470" t="s">
        <v>1058</v>
      </c>
      <c r="F470" t="s">
        <v>171</v>
      </c>
      <c r="G470" t="s">
        <v>1057</v>
      </c>
      <c r="H470">
        <v>12</v>
      </c>
      <c r="I470">
        <v>3</v>
      </c>
      <c r="J470" t="s">
        <v>56</v>
      </c>
      <c r="K470" t="s">
        <v>15</v>
      </c>
      <c r="L470" t="s">
        <v>223</v>
      </c>
      <c r="M470" t="s">
        <v>52</v>
      </c>
      <c r="N470" t="s">
        <v>223</v>
      </c>
      <c r="P470">
        <v>1.8</v>
      </c>
      <c r="Q470" t="s">
        <v>180</v>
      </c>
      <c r="R470" t="s">
        <v>176</v>
      </c>
      <c r="T470">
        <v>1</v>
      </c>
      <c r="U470" t="s">
        <v>1006</v>
      </c>
      <c r="W470">
        <v>15</v>
      </c>
      <c r="X470" t="s">
        <v>184</v>
      </c>
      <c r="AA470" s="13">
        <f>W470*T470*P470</f>
        <v>27</v>
      </c>
      <c r="AB470">
        <v>0.24</v>
      </c>
      <c r="AC470">
        <v>0.1</v>
      </c>
      <c r="AD470" s="11">
        <f t="shared" ref="AD470:AD509" si="119">AB470*AA470/H470</f>
        <v>0.53999999999999992</v>
      </c>
      <c r="AE470" s="11">
        <f>_xlfn.RANK.AVG(Tableau8[[#This Row],[EE ( MJ/m²)]],AD470:AD1625)</f>
        <v>573</v>
      </c>
      <c r="AF470" s="11">
        <f t="shared" ref="AF470:AF509" si="120">AB470*AA470/H470/I470</f>
        <v>0.17999999999999997</v>
      </c>
      <c r="AG470" s="11">
        <f>(AC470-0.41)*AA470/H470</f>
        <v>-0.6974999999999999</v>
      </c>
      <c r="AH470" s="11">
        <f t="shared" ref="AH470:AH509" si="121">AC470*AA470/H470</f>
        <v>0.22500000000000001</v>
      </c>
      <c r="AI470" s="11">
        <f>(AC470-0.41)*AA470/H470/I470</f>
        <v>-0.23249999999999996</v>
      </c>
      <c r="AJ470" s="11">
        <f t="shared" ref="AJ470:AJ509" si="122">AC470*AA470/H470/I470</f>
        <v>7.4999999999999997E-2</v>
      </c>
    </row>
    <row r="471" spans="1:36" x14ac:dyDescent="0.25">
      <c r="A471" s="4" t="s">
        <v>944</v>
      </c>
      <c r="B471" s="4" t="s">
        <v>1059</v>
      </c>
      <c r="C471" s="4" t="s">
        <v>235</v>
      </c>
      <c r="D471" s="4" t="s">
        <v>1004</v>
      </c>
      <c r="E471" t="s">
        <v>1058</v>
      </c>
      <c r="F471" t="s">
        <v>171</v>
      </c>
      <c r="G471" t="s">
        <v>1057</v>
      </c>
      <c r="H471">
        <v>12</v>
      </c>
      <c r="I471">
        <v>3</v>
      </c>
      <c r="J471" t="s">
        <v>40</v>
      </c>
      <c r="K471" t="s">
        <v>15</v>
      </c>
      <c r="L471" t="s">
        <v>1062</v>
      </c>
      <c r="M471" s="20" t="s">
        <v>235</v>
      </c>
      <c r="N471" s="20" t="s">
        <v>15</v>
      </c>
      <c r="P471" s="20">
        <v>0.56499999999999995</v>
      </c>
      <c r="Q471" s="20" t="s">
        <v>180</v>
      </c>
      <c r="R471" s="20" t="s">
        <v>176</v>
      </c>
      <c r="S471" s="20"/>
      <c r="T471" s="20">
        <v>1</v>
      </c>
      <c r="U471" s="20" t="s">
        <v>1006</v>
      </c>
      <c r="V471" s="20"/>
      <c r="W471" s="20">
        <v>100</v>
      </c>
      <c r="X471" t="s">
        <v>184</v>
      </c>
      <c r="AA471" s="13">
        <f>W471*T471*P471</f>
        <v>56.499999999999993</v>
      </c>
      <c r="AB471">
        <f>10-4.4</f>
        <v>5.6</v>
      </c>
      <c r="AC471">
        <f>0.31+0.41</f>
        <v>0.72</v>
      </c>
      <c r="AD471" s="11">
        <f t="shared" si="119"/>
        <v>26.36666666666666</v>
      </c>
      <c r="AE471" s="11">
        <f>_xlfn.RANK.AVG(Tableau8[[#This Row],[EE ( MJ/m²)]],AD471:AD1626)</f>
        <v>202</v>
      </c>
      <c r="AF471" s="11">
        <f t="shared" si="120"/>
        <v>8.7888888888888861</v>
      </c>
      <c r="AG471" s="11">
        <f>(AC471-0.41)*AA471/H471</f>
        <v>1.459583333333333</v>
      </c>
      <c r="AH471" s="11">
        <f t="shared" si="121"/>
        <v>3.3899999999999992</v>
      </c>
      <c r="AI471" s="11">
        <f>(AC471-0.41)*AA471/H471/I471</f>
        <v>0.48652777777777767</v>
      </c>
      <c r="AJ471" s="11">
        <f t="shared" si="122"/>
        <v>1.1299999999999997</v>
      </c>
    </row>
    <row r="472" spans="1:36" x14ac:dyDescent="0.25">
      <c r="A472" s="4" t="s">
        <v>944</v>
      </c>
      <c r="B472" s="4" t="s">
        <v>1109</v>
      </c>
      <c r="C472" s="4" t="s">
        <v>15</v>
      </c>
      <c r="D472" s="4" t="s">
        <v>1106</v>
      </c>
      <c r="E472" t="s">
        <v>1105</v>
      </c>
      <c r="F472" t="s">
        <v>171</v>
      </c>
      <c r="G472" t="s">
        <v>1104</v>
      </c>
      <c r="H472">
        <v>70</v>
      </c>
      <c r="I472">
        <v>2</v>
      </c>
      <c r="J472" t="s">
        <v>42</v>
      </c>
      <c r="K472" t="s">
        <v>15</v>
      </c>
      <c r="L472" t="s">
        <v>1108</v>
      </c>
      <c r="M472" t="s">
        <v>15</v>
      </c>
      <c r="N472" t="s">
        <v>15</v>
      </c>
      <c r="P472">
        <v>0.9</v>
      </c>
      <c r="Q472" t="s">
        <v>180</v>
      </c>
      <c r="R472" t="s">
        <v>176</v>
      </c>
      <c r="T472">
        <v>1</v>
      </c>
      <c r="U472" t="s">
        <v>1006</v>
      </c>
      <c r="W472">
        <v>510</v>
      </c>
      <c r="X472" t="s">
        <v>184</v>
      </c>
      <c r="AA472" s="13">
        <f>Tableau8[[#This Row],[nb of item used ]]*Tableau8[[#This Row],[density (kg/m2) or specific weight (kg/m2)]]*Tableau8[[#This Row],[volume or area]]</f>
        <v>459</v>
      </c>
      <c r="AB472">
        <f>10-4.4</f>
        <v>5.6</v>
      </c>
      <c r="AC472">
        <f>0.31+0.41</f>
        <v>0.72</v>
      </c>
      <c r="AD472" s="11">
        <f t="shared" si="119"/>
        <v>36.719999999999992</v>
      </c>
      <c r="AE472" s="11">
        <f>_xlfn.RANK.AVG(Tableau8[[#This Row],[EE ( MJ/m²)]],AD472:AD1627)</f>
        <v>165</v>
      </c>
      <c r="AF472" s="11">
        <f t="shared" si="120"/>
        <v>18.359999999999996</v>
      </c>
      <c r="AG472" s="11">
        <f>(AC472-0.41)*AA472/H472</f>
        <v>2.0327142857142855</v>
      </c>
      <c r="AH472" s="11">
        <f t="shared" si="121"/>
        <v>4.7211428571428566</v>
      </c>
      <c r="AI472" s="11">
        <f>(AC472-0.41)*AA472/H472/I472</f>
        <v>1.0163571428571427</v>
      </c>
      <c r="AJ472" s="11">
        <f t="shared" si="122"/>
        <v>2.3605714285714283</v>
      </c>
    </row>
    <row r="473" spans="1:36" x14ac:dyDescent="0.25">
      <c r="A473" s="4" t="s">
        <v>944</v>
      </c>
      <c r="B473" s="4" t="s">
        <v>1109</v>
      </c>
      <c r="C473" s="4" t="s">
        <v>12</v>
      </c>
      <c r="D473" s="4" t="s">
        <v>1106</v>
      </c>
      <c r="E473" t="s">
        <v>1105</v>
      </c>
      <c r="F473" t="s">
        <v>171</v>
      </c>
      <c r="G473" t="s">
        <v>1104</v>
      </c>
      <c r="H473">
        <v>70</v>
      </c>
      <c r="I473">
        <v>2</v>
      </c>
      <c r="J473" t="s">
        <v>44</v>
      </c>
      <c r="K473" t="s">
        <v>17</v>
      </c>
      <c r="L473" t="s">
        <v>712</v>
      </c>
      <c r="M473" t="s">
        <v>12</v>
      </c>
      <c r="N473" t="s">
        <v>12</v>
      </c>
      <c r="R473" t="s">
        <v>187</v>
      </c>
      <c r="T473">
        <v>1</v>
      </c>
      <c r="U473" t="s">
        <v>346</v>
      </c>
      <c r="W473">
        <v>7800</v>
      </c>
      <c r="X473" t="s">
        <v>184</v>
      </c>
      <c r="AA473" s="13">
        <v>20</v>
      </c>
      <c r="AB473">
        <v>25.3</v>
      </c>
      <c r="AC473">
        <v>1.95</v>
      </c>
      <c r="AD473" s="11">
        <f t="shared" si="119"/>
        <v>7.2285714285714286</v>
      </c>
      <c r="AE473" s="11">
        <f>_xlfn.RANK.AVG(Tableau8[[#This Row],[EE ( MJ/m²)]],AD473:AD1628)</f>
        <v>343</v>
      </c>
      <c r="AF473" s="11">
        <f t="shared" si="120"/>
        <v>3.6142857142857143</v>
      </c>
      <c r="AG473" s="11">
        <f>(AC473)*AA473/H473</f>
        <v>0.55714285714285716</v>
      </c>
      <c r="AH473" s="11">
        <f t="shared" si="121"/>
        <v>0.55714285714285716</v>
      </c>
      <c r="AI473" s="33">
        <f>(AC473)*AA473/H473/I473</f>
        <v>0.27857142857142858</v>
      </c>
      <c r="AJ473" s="11">
        <f t="shared" si="122"/>
        <v>0.27857142857142858</v>
      </c>
    </row>
    <row r="474" spans="1:36" x14ac:dyDescent="0.25">
      <c r="A474" s="23" t="s">
        <v>944</v>
      </c>
      <c r="B474" s="23" t="s">
        <v>1109</v>
      </c>
      <c r="C474" s="23" t="s">
        <v>14</v>
      </c>
      <c r="D474" s="23" t="s">
        <v>1106</v>
      </c>
      <c r="E474" s="20" t="s">
        <v>1105</v>
      </c>
      <c r="F474" s="20" t="s">
        <v>171</v>
      </c>
      <c r="G474" s="20" t="s">
        <v>1104</v>
      </c>
      <c r="H474" s="20">
        <v>70</v>
      </c>
      <c r="I474" s="20">
        <v>2</v>
      </c>
      <c r="J474" s="20" t="s">
        <v>42</v>
      </c>
      <c r="K474" t="s">
        <v>14</v>
      </c>
      <c r="L474" s="20" t="s">
        <v>1012</v>
      </c>
      <c r="M474" s="20" t="s">
        <v>14</v>
      </c>
      <c r="N474" s="20" t="s">
        <v>111</v>
      </c>
      <c r="P474" s="20"/>
      <c r="Q474" s="20"/>
      <c r="R474" s="20" t="s">
        <v>187</v>
      </c>
      <c r="S474" s="20"/>
      <c r="T474" s="20">
        <v>1</v>
      </c>
      <c r="U474" s="20" t="s">
        <v>346</v>
      </c>
      <c r="V474" s="20"/>
      <c r="W474" s="25">
        <v>1380</v>
      </c>
      <c r="X474" s="20" t="s">
        <v>184</v>
      </c>
      <c r="Y474" s="20"/>
      <c r="Z474" s="20"/>
      <c r="AA474" s="20">
        <v>120</v>
      </c>
      <c r="AB474" s="20">
        <v>35.6</v>
      </c>
      <c r="AC474">
        <v>3.31</v>
      </c>
      <c r="AD474" s="11">
        <f t="shared" si="119"/>
        <v>61.028571428571432</v>
      </c>
      <c r="AE474" s="11">
        <f>_xlfn.RANK.AVG(Tableau8[[#This Row],[EE ( MJ/m²)]],AD474:AD1629)</f>
        <v>121</v>
      </c>
      <c r="AF474" s="11">
        <f t="shared" si="120"/>
        <v>30.514285714285716</v>
      </c>
      <c r="AG474" s="11">
        <f>(AC474)*AA474/H474</f>
        <v>5.6742857142857144</v>
      </c>
      <c r="AH474" s="11">
        <f t="shared" si="121"/>
        <v>5.6742857142857144</v>
      </c>
      <c r="AI474" s="33">
        <f>(AC474)*AA474/H474/I474</f>
        <v>2.8371428571428572</v>
      </c>
      <c r="AJ474" s="11">
        <f t="shared" si="122"/>
        <v>2.8371428571428572</v>
      </c>
    </row>
    <row r="475" spans="1:36" ht="15.75" x14ac:dyDescent="0.25">
      <c r="A475" s="4" t="s">
        <v>944</v>
      </c>
      <c r="B475" s="4" t="s">
        <v>1153</v>
      </c>
      <c r="C475" s="4" t="s">
        <v>15</v>
      </c>
      <c r="D475" s="4" t="s">
        <v>1106</v>
      </c>
      <c r="E475" t="s">
        <v>1152</v>
      </c>
      <c r="F475" t="s">
        <v>171</v>
      </c>
      <c r="G475" t="s">
        <v>330</v>
      </c>
      <c r="H475">
        <v>125</v>
      </c>
      <c r="I475">
        <v>4</v>
      </c>
      <c r="J475" t="s">
        <v>30</v>
      </c>
      <c r="K475" t="s">
        <v>15</v>
      </c>
      <c r="L475" s="14" t="s">
        <v>1140</v>
      </c>
      <c r="M475" t="s">
        <v>2</v>
      </c>
      <c r="N475" t="s">
        <v>15</v>
      </c>
      <c r="P475">
        <v>0.98</v>
      </c>
      <c r="Q475" t="s">
        <v>180</v>
      </c>
      <c r="R475" t="s">
        <v>176</v>
      </c>
      <c r="T475">
        <v>1</v>
      </c>
      <c r="U475" t="s">
        <v>1006</v>
      </c>
      <c r="W475">
        <v>480</v>
      </c>
      <c r="X475" t="s">
        <v>205</v>
      </c>
      <c r="AA475" s="13">
        <f>W475*T475*P475</f>
        <v>470.4</v>
      </c>
      <c r="AB475">
        <f>10-4.4</f>
        <v>5.6</v>
      </c>
      <c r="AC475">
        <f>0.31+0.41</f>
        <v>0.72</v>
      </c>
      <c r="AD475" s="11">
        <f t="shared" si="119"/>
        <v>21.073919999999998</v>
      </c>
      <c r="AE475" s="11">
        <f>_xlfn.RANK.AVG(Tableau8[[#This Row],[EE ( MJ/m²)]],AD475:AD1630)</f>
        <v>229</v>
      </c>
      <c r="AF475" s="11">
        <f t="shared" si="120"/>
        <v>5.2684799999999994</v>
      </c>
      <c r="AG475" s="11">
        <f>(AC475-0.41)*AA475/H475</f>
        <v>1.1665919999999999</v>
      </c>
      <c r="AH475" s="11">
        <f t="shared" si="121"/>
        <v>2.7095039999999999</v>
      </c>
      <c r="AI475" s="11">
        <f>(AC475-0.41)*AA475/H475/I475</f>
        <v>0.29164799999999996</v>
      </c>
      <c r="AJ475" s="11">
        <f t="shared" si="122"/>
        <v>0.67737599999999998</v>
      </c>
    </row>
    <row r="476" spans="1:36" ht="15.75" x14ac:dyDescent="0.25">
      <c r="A476" s="4" t="s">
        <v>944</v>
      </c>
      <c r="B476" s="4" t="s">
        <v>1153</v>
      </c>
      <c r="C476" s="4" t="s">
        <v>15</v>
      </c>
      <c r="D476" s="4" t="s">
        <v>1106</v>
      </c>
      <c r="E476" t="s">
        <v>1152</v>
      </c>
      <c r="F476" t="s">
        <v>171</v>
      </c>
      <c r="G476" t="s">
        <v>330</v>
      </c>
      <c r="H476">
        <v>125</v>
      </c>
      <c r="I476">
        <v>4</v>
      </c>
      <c r="J476" t="s">
        <v>30</v>
      </c>
      <c r="K476" t="s">
        <v>15</v>
      </c>
      <c r="L476" s="14" t="s">
        <v>1141</v>
      </c>
      <c r="M476" t="s">
        <v>2</v>
      </c>
      <c r="N476" t="s">
        <v>15</v>
      </c>
      <c r="P476">
        <v>0.315</v>
      </c>
      <c r="Q476" t="s">
        <v>180</v>
      </c>
      <c r="R476" t="s">
        <v>176</v>
      </c>
      <c r="T476">
        <v>1</v>
      </c>
      <c r="U476" t="s">
        <v>1006</v>
      </c>
      <c r="W476">
        <v>480</v>
      </c>
      <c r="X476" t="s">
        <v>455</v>
      </c>
      <c r="AA476" s="13">
        <f>W476*T476*P476</f>
        <v>151.19999999999999</v>
      </c>
      <c r="AB476">
        <f>10-4.4</f>
        <v>5.6</v>
      </c>
      <c r="AC476">
        <f>0.31+0.41</f>
        <v>0.72</v>
      </c>
      <c r="AD476" s="11">
        <f t="shared" si="119"/>
        <v>6.7737599999999993</v>
      </c>
      <c r="AE476" s="11">
        <f>_xlfn.RANK.AVG(Tableau8[[#This Row],[EE ( MJ/m²)]],AD476:AD1631)</f>
        <v>350</v>
      </c>
      <c r="AF476" s="11">
        <f t="shared" si="120"/>
        <v>1.6934399999999998</v>
      </c>
      <c r="AG476" s="11">
        <f>(AC476-0.41)*AA476/H476</f>
        <v>0.37497599999999992</v>
      </c>
      <c r="AH476" s="11">
        <f t="shared" si="121"/>
        <v>0.87091199999999991</v>
      </c>
      <c r="AI476" s="11">
        <f>(AC476-0.41)*AA476/H476/I476</f>
        <v>9.374399999999998E-2</v>
      </c>
      <c r="AJ476" s="11">
        <f t="shared" si="122"/>
        <v>0.21772799999999998</v>
      </c>
    </row>
    <row r="477" spans="1:36" ht="15.75" x14ac:dyDescent="0.25">
      <c r="A477" s="4" t="s">
        <v>944</v>
      </c>
      <c r="B477" s="4" t="s">
        <v>1153</v>
      </c>
      <c r="C477" s="4" t="s">
        <v>15</v>
      </c>
      <c r="D477" s="4" t="s">
        <v>1106</v>
      </c>
      <c r="E477" t="s">
        <v>1152</v>
      </c>
      <c r="F477" t="s">
        <v>171</v>
      </c>
      <c r="G477" t="s">
        <v>330</v>
      </c>
      <c r="H477">
        <v>125</v>
      </c>
      <c r="I477">
        <v>4</v>
      </c>
      <c r="J477" t="s">
        <v>30</v>
      </c>
      <c r="K477" t="s">
        <v>15</v>
      </c>
      <c r="L477" s="14" t="s">
        <v>1142</v>
      </c>
      <c r="M477" t="s">
        <v>2</v>
      </c>
      <c r="N477" t="s">
        <v>15</v>
      </c>
      <c r="P477">
        <v>1.75</v>
      </c>
      <c r="Q477" t="s">
        <v>1143</v>
      </c>
      <c r="R477" t="s">
        <v>175</v>
      </c>
      <c r="T477">
        <v>1</v>
      </c>
      <c r="U477" t="s">
        <v>175</v>
      </c>
      <c r="W477">
        <v>480</v>
      </c>
      <c r="X477" t="s">
        <v>1232</v>
      </c>
      <c r="AA477" s="13">
        <f>W477*T477*P477</f>
        <v>840</v>
      </c>
      <c r="AB477">
        <f>10-4.4</f>
        <v>5.6</v>
      </c>
      <c r="AC477">
        <f>0.31+0.41</f>
        <v>0.72</v>
      </c>
      <c r="AD477" s="11">
        <f t="shared" si="119"/>
        <v>37.631999999999998</v>
      </c>
      <c r="AE477" s="11">
        <f>_xlfn.RANK.AVG(Tableau8[[#This Row],[EE ( MJ/m²)]],AD477:AD1632)</f>
        <v>158</v>
      </c>
      <c r="AF477" s="11">
        <f t="shared" si="120"/>
        <v>9.4079999999999995</v>
      </c>
      <c r="AG477" s="11">
        <f>(AC477-0.41)*AA477/H477</f>
        <v>2.0831999999999997</v>
      </c>
      <c r="AH477" s="11">
        <f t="shared" si="121"/>
        <v>4.8384</v>
      </c>
      <c r="AI477" s="11">
        <f>(AC477-0.41)*AA477/H477/I477</f>
        <v>0.52079999999999993</v>
      </c>
      <c r="AJ477" s="11">
        <f t="shared" si="122"/>
        <v>1.2096</v>
      </c>
    </row>
    <row r="478" spans="1:36" x14ac:dyDescent="0.25">
      <c r="A478" s="4" t="s">
        <v>944</v>
      </c>
      <c r="B478" s="4" t="s">
        <v>1153</v>
      </c>
      <c r="C478" s="4" t="s">
        <v>12</v>
      </c>
      <c r="D478" s="4" t="s">
        <v>1106</v>
      </c>
      <c r="E478" t="s">
        <v>1152</v>
      </c>
      <c r="F478" t="s">
        <v>171</v>
      </c>
      <c r="G478" t="s">
        <v>330</v>
      </c>
      <c r="H478">
        <v>125</v>
      </c>
      <c r="I478">
        <v>4</v>
      </c>
      <c r="J478" t="s">
        <v>56</v>
      </c>
      <c r="K478" t="s">
        <v>17</v>
      </c>
      <c r="L478" t="s">
        <v>274</v>
      </c>
      <c r="M478" t="s">
        <v>12</v>
      </c>
      <c r="N478" t="s">
        <v>12</v>
      </c>
      <c r="P478">
        <f>162*0.003</f>
        <v>0.48599999999999999</v>
      </c>
      <c r="Q478" t="s">
        <v>180</v>
      </c>
      <c r="R478" t="s">
        <v>176</v>
      </c>
      <c r="T478">
        <v>1</v>
      </c>
      <c r="U478" t="s">
        <v>1006</v>
      </c>
      <c r="W478">
        <v>7800</v>
      </c>
      <c r="X478" t="s">
        <v>184</v>
      </c>
      <c r="AA478" s="13">
        <f>Tableau8[[#This Row],[density (kg/m2) or specific weight (kg/m2)]]*Tableau8[[#This Row],[volume or area]]</f>
        <v>3790.7999999999997</v>
      </c>
      <c r="AB478">
        <v>25.3</v>
      </c>
      <c r="AC478">
        <v>1.95</v>
      </c>
      <c r="AD478" s="11">
        <f t="shared" si="119"/>
        <v>767.2579199999999</v>
      </c>
      <c r="AE478" s="11">
        <f>_xlfn.RANK.AVG(Tableau8[[#This Row],[EE ( MJ/m²)]],AD478:AD1633)</f>
        <v>5</v>
      </c>
      <c r="AF478" s="11">
        <f t="shared" si="120"/>
        <v>191.81447999999997</v>
      </c>
      <c r="AG478" s="11">
        <f t="shared" ref="AG478:AG484" si="123">(AC478)*AA478/H478</f>
        <v>59.136479999999999</v>
      </c>
      <c r="AH478" s="11">
        <f t="shared" si="121"/>
        <v>59.136479999999999</v>
      </c>
      <c r="AI478" s="33">
        <f t="shared" ref="AI478:AI484" si="124">(AC478)*AA478/H478/I478</f>
        <v>14.78412</v>
      </c>
      <c r="AJ478" s="11">
        <f t="shared" si="122"/>
        <v>14.78412</v>
      </c>
    </row>
    <row r="479" spans="1:36" x14ac:dyDescent="0.25">
      <c r="A479" s="4" t="s">
        <v>944</v>
      </c>
      <c r="B479" s="4" t="s">
        <v>1153</v>
      </c>
      <c r="C479" s="4" t="s">
        <v>12</v>
      </c>
      <c r="D479" s="4" t="s">
        <v>1106</v>
      </c>
      <c r="E479" t="s">
        <v>1152</v>
      </c>
      <c r="F479" t="s">
        <v>171</v>
      </c>
      <c r="G479" t="s">
        <v>330</v>
      </c>
      <c r="H479">
        <v>125</v>
      </c>
      <c r="I479">
        <v>4</v>
      </c>
      <c r="J479" t="s">
        <v>56</v>
      </c>
      <c r="K479" t="s">
        <v>17</v>
      </c>
      <c r="L479" t="s">
        <v>1144</v>
      </c>
      <c r="M479" t="s">
        <v>12</v>
      </c>
      <c r="N479" t="s">
        <v>12</v>
      </c>
      <c r="P479">
        <v>2.2499999999999999E-2</v>
      </c>
      <c r="Q479" t="s">
        <v>180</v>
      </c>
      <c r="R479" t="s">
        <v>176</v>
      </c>
      <c r="T479">
        <v>1</v>
      </c>
      <c r="U479" t="s">
        <v>1006</v>
      </c>
      <c r="W479">
        <v>7800</v>
      </c>
      <c r="X479" t="s">
        <v>184</v>
      </c>
      <c r="AA479" s="13">
        <f>Tableau8[[#This Row],[density (kg/m2) or specific weight (kg/m2)]]*Tableau8[[#This Row],[volume or area]]</f>
        <v>175.5</v>
      </c>
      <c r="AB479">
        <v>25.3</v>
      </c>
      <c r="AC479">
        <v>1.95</v>
      </c>
      <c r="AD479" s="11">
        <f t="shared" si="119"/>
        <v>35.521200000000007</v>
      </c>
      <c r="AE479" s="11">
        <f>_xlfn.RANK.AVG(Tableau8[[#This Row],[EE ( MJ/m²)]],AD479:AD1634)</f>
        <v>167</v>
      </c>
      <c r="AF479" s="11">
        <f t="shared" si="120"/>
        <v>8.8803000000000019</v>
      </c>
      <c r="AG479" s="11">
        <f t="shared" si="123"/>
        <v>2.7377999999999996</v>
      </c>
      <c r="AH479" s="11">
        <f t="shared" si="121"/>
        <v>2.7377999999999996</v>
      </c>
      <c r="AI479" s="33">
        <f t="shared" si="124"/>
        <v>0.68444999999999989</v>
      </c>
      <c r="AJ479" s="11">
        <f t="shared" si="122"/>
        <v>0.68444999999999989</v>
      </c>
    </row>
    <row r="480" spans="1:36" x14ac:dyDescent="0.25">
      <c r="A480" s="4" t="s">
        <v>944</v>
      </c>
      <c r="B480" s="4" t="s">
        <v>1153</v>
      </c>
      <c r="C480" s="4" t="s">
        <v>12</v>
      </c>
      <c r="D480" s="4" t="s">
        <v>1106</v>
      </c>
      <c r="E480" t="s">
        <v>1152</v>
      </c>
      <c r="F480" t="s">
        <v>171</v>
      </c>
      <c r="G480" t="s">
        <v>330</v>
      </c>
      <c r="H480">
        <v>125</v>
      </c>
      <c r="I480">
        <v>4</v>
      </c>
      <c r="J480" t="s">
        <v>30</v>
      </c>
      <c r="K480" t="s">
        <v>17</v>
      </c>
      <c r="L480" t="s">
        <v>612</v>
      </c>
      <c r="M480" t="s">
        <v>12</v>
      </c>
      <c r="N480" t="s">
        <v>12</v>
      </c>
      <c r="R480" t="s">
        <v>175</v>
      </c>
      <c r="T480">
        <v>1</v>
      </c>
      <c r="U480" t="s">
        <v>175</v>
      </c>
      <c r="W480">
        <v>7800</v>
      </c>
      <c r="X480" t="s">
        <v>184</v>
      </c>
      <c r="AA480" s="13">
        <v>30</v>
      </c>
      <c r="AB480">
        <v>25.3</v>
      </c>
      <c r="AC480">
        <v>1.95</v>
      </c>
      <c r="AD480" s="11">
        <f t="shared" si="119"/>
        <v>6.0720000000000001</v>
      </c>
      <c r="AE480" s="11">
        <f>_xlfn.RANK.AVG(Tableau8[[#This Row],[EE ( MJ/m²)]],AD480:AD1635)</f>
        <v>363</v>
      </c>
      <c r="AF480" s="11">
        <f t="shared" si="120"/>
        <v>1.518</v>
      </c>
      <c r="AG480" s="11">
        <f t="shared" si="123"/>
        <v>0.46800000000000003</v>
      </c>
      <c r="AH480" s="11">
        <f t="shared" si="121"/>
        <v>0.46800000000000003</v>
      </c>
      <c r="AI480" s="33">
        <f t="shared" si="124"/>
        <v>0.11700000000000001</v>
      </c>
      <c r="AJ480" s="11">
        <f t="shared" si="122"/>
        <v>0.11700000000000001</v>
      </c>
    </row>
    <row r="481" spans="1:36" x14ac:dyDescent="0.25">
      <c r="A481" s="4" t="s">
        <v>944</v>
      </c>
      <c r="B481" s="4" t="s">
        <v>1153</v>
      </c>
      <c r="C481" s="4" t="s">
        <v>12</v>
      </c>
      <c r="D481" s="4" t="s">
        <v>1106</v>
      </c>
      <c r="E481" t="s">
        <v>1152</v>
      </c>
      <c r="F481" t="s">
        <v>171</v>
      </c>
      <c r="G481" t="s">
        <v>330</v>
      </c>
      <c r="H481">
        <v>125</v>
      </c>
      <c r="I481">
        <v>4</v>
      </c>
      <c r="J481" t="s">
        <v>56</v>
      </c>
      <c r="K481" t="s">
        <v>17</v>
      </c>
      <c r="L481" t="s">
        <v>548</v>
      </c>
      <c r="M481" t="s">
        <v>12</v>
      </c>
      <c r="N481" t="s">
        <v>12</v>
      </c>
      <c r="R481" t="s">
        <v>175</v>
      </c>
      <c r="T481">
        <v>1</v>
      </c>
      <c r="U481" t="s">
        <v>175</v>
      </c>
      <c r="W481">
        <v>7800</v>
      </c>
      <c r="X481" t="s">
        <v>184</v>
      </c>
      <c r="AA481" s="13">
        <v>12</v>
      </c>
      <c r="AB481">
        <v>25.3</v>
      </c>
      <c r="AC481">
        <v>1.95</v>
      </c>
      <c r="AD481" s="11">
        <f t="shared" si="119"/>
        <v>2.4288000000000003</v>
      </c>
      <c r="AE481" s="11">
        <f>_xlfn.RANK.AVG(Tableau8[[#This Row],[EE ( MJ/m²)]],AD481:AD1636)</f>
        <v>444</v>
      </c>
      <c r="AF481" s="11">
        <f t="shared" si="120"/>
        <v>0.60720000000000007</v>
      </c>
      <c r="AG481" s="11">
        <f t="shared" si="123"/>
        <v>0.18719999999999998</v>
      </c>
      <c r="AH481" s="11">
        <f t="shared" si="121"/>
        <v>0.18719999999999998</v>
      </c>
      <c r="AI481" s="33">
        <f t="shared" si="124"/>
        <v>4.6799999999999994E-2</v>
      </c>
      <c r="AJ481" s="11">
        <f t="shared" si="122"/>
        <v>4.6799999999999994E-2</v>
      </c>
    </row>
    <row r="482" spans="1:36" ht="15.75" x14ac:dyDescent="0.25">
      <c r="A482" s="4" t="s">
        <v>944</v>
      </c>
      <c r="B482" s="4" t="s">
        <v>1153</v>
      </c>
      <c r="C482" s="4" t="s">
        <v>12</v>
      </c>
      <c r="D482" s="4" t="s">
        <v>1106</v>
      </c>
      <c r="E482" t="s">
        <v>1152</v>
      </c>
      <c r="F482" t="s">
        <v>171</v>
      </c>
      <c r="G482" t="s">
        <v>330</v>
      </c>
      <c r="H482">
        <v>125</v>
      </c>
      <c r="I482">
        <v>4</v>
      </c>
      <c r="J482" t="s">
        <v>44</v>
      </c>
      <c r="K482" t="s">
        <v>17</v>
      </c>
      <c r="L482" s="14" t="s">
        <v>1150</v>
      </c>
      <c r="M482" t="s">
        <v>12</v>
      </c>
      <c r="N482" t="s">
        <v>12</v>
      </c>
      <c r="R482" t="s">
        <v>187</v>
      </c>
      <c r="T482">
        <v>1</v>
      </c>
      <c r="U482" t="s">
        <v>346</v>
      </c>
      <c r="W482">
        <v>7800</v>
      </c>
      <c r="X482" t="s">
        <v>184</v>
      </c>
      <c r="AA482" s="13">
        <v>5</v>
      </c>
      <c r="AB482">
        <v>25.3</v>
      </c>
      <c r="AC482">
        <v>1.95</v>
      </c>
      <c r="AD482" s="11">
        <f t="shared" si="119"/>
        <v>1.012</v>
      </c>
      <c r="AE482" s="11">
        <f>_xlfn.RANK.AVG(Tableau8[[#This Row],[EE ( MJ/m²)]],AD482:AD1637)</f>
        <v>524</v>
      </c>
      <c r="AF482" s="11">
        <f t="shared" si="120"/>
        <v>0.253</v>
      </c>
      <c r="AG482" s="11">
        <f t="shared" si="123"/>
        <v>7.8E-2</v>
      </c>
      <c r="AH482" s="11">
        <f t="shared" si="121"/>
        <v>7.8E-2</v>
      </c>
      <c r="AI482" s="33">
        <f t="shared" si="124"/>
        <v>1.95E-2</v>
      </c>
      <c r="AJ482" s="11">
        <f t="shared" si="122"/>
        <v>1.95E-2</v>
      </c>
    </row>
    <row r="483" spans="1:36" x14ac:dyDescent="0.25">
      <c r="A483" s="23" t="s">
        <v>944</v>
      </c>
      <c r="B483" s="23" t="s">
        <v>1153</v>
      </c>
      <c r="C483" s="23" t="s">
        <v>14</v>
      </c>
      <c r="D483" s="23" t="s">
        <v>1106</v>
      </c>
      <c r="E483" t="s">
        <v>1152</v>
      </c>
      <c r="F483" s="20" t="s">
        <v>171</v>
      </c>
      <c r="G483" s="20" t="s">
        <v>330</v>
      </c>
      <c r="H483" s="20">
        <v>125</v>
      </c>
      <c r="I483" s="20">
        <v>4</v>
      </c>
      <c r="J483" s="20" t="s">
        <v>44</v>
      </c>
      <c r="K483" t="s">
        <v>14</v>
      </c>
      <c r="L483" s="20" t="s">
        <v>1149</v>
      </c>
      <c r="M483" s="20" t="s">
        <v>14</v>
      </c>
      <c r="N483" s="20" t="s">
        <v>111</v>
      </c>
      <c r="P483" s="20"/>
      <c r="Q483" s="20"/>
      <c r="R483" s="20" t="s">
        <v>187</v>
      </c>
      <c r="S483" s="20"/>
      <c r="T483" s="20">
        <v>1</v>
      </c>
      <c r="U483" s="20" t="s">
        <v>346</v>
      </c>
      <c r="V483" s="20"/>
      <c r="W483" s="25">
        <v>1380</v>
      </c>
      <c r="X483" s="20" t="s">
        <v>184</v>
      </c>
      <c r="Y483" s="20"/>
      <c r="Z483" s="20"/>
      <c r="AA483" s="20">
        <v>10</v>
      </c>
      <c r="AB483" s="20">
        <v>35.6</v>
      </c>
      <c r="AC483">
        <v>3.31</v>
      </c>
      <c r="AD483" s="11">
        <f t="shared" si="119"/>
        <v>2.8479999999999999</v>
      </c>
      <c r="AE483" s="11">
        <f>_xlfn.RANK.AVG(Tableau8[[#This Row],[EE ( MJ/m²)]],AD483:AD1638)</f>
        <v>434</v>
      </c>
      <c r="AF483" s="11">
        <f t="shared" si="120"/>
        <v>0.71199999999999997</v>
      </c>
      <c r="AG483" s="11">
        <f t="shared" si="123"/>
        <v>0.26480000000000004</v>
      </c>
      <c r="AH483" s="11">
        <f t="shared" si="121"/>
        <v>0.26480000000000004</v>
      </c>
      <c r="AI483" s="33">
        <f t="shared" si="124"/>
        <v>6.6200000000000009E-2</v>
      </c>
      <c r="AJ483" s="11">
        <f t="shared" si="122"/>
        <v>6.6200000000000009E-2</v>
      </c>
    </row>
    <row r="484" spans="1:36" x14ac:dyDescent="0.25">
      <c r="A484" s="4" t="s">
        <v>944</v>
      </c>
      <c r="B484" s="4" t="s">
        <v>1153</v>
      </c>
      <c r="C484" s="4" t="s">
        <v>14</v>
      </c>
      <c r="D484" s="4" t="s">
        <v>1106</v>
      </c>
      <c r="E484" t="s">
        <v>1152</v>
      </c>
      <c r="F484" t="s">
        <v>171</v>
      </c>
      <c r="G484" t="s">
        <v>330</v>
      </c>
      <c r="H484">
        <v>125</v>
      </c>
      <c r="I484">
        <v>4</v>
      </c>
      <c r="J484" t="s">
        <v>44</v>
      </c>
      <c r="K484" t="s">
        <v>14</v>
      </c>
      <c r="L484" t="s">
        <v>785</v>
      </c>
      <c r="M484" t="s">
        <v>159</v>
      </c>
      <c r="N484" t="s">
        <v>35</v>
      </c>
      <c r="R484" t="s">
        <v>187</v>
      </c>
      <c r="T484">
        <v>1</v>
      </c>
      <c r="U484" t="s">
        <v>346</v>
      </c>
      <c r="AA484" s="13">
        <v>15</v>
      </c>
      <c r="AB484">
        <v>54.3</v>
      </c>
      <c r="AC484">
        <v>1.93</v>
      </c>
      <c r="AD484" s="11">
        <f t="shared" si="119"/>
        <v>6.516</v>
      </c>
      <c r="AE484" s="11">
        <f>_xlfn.RANK.AVG(Tableau8[[#This Row],[EE ( MJ/m²)]],AD484:AD1639)</f>
        <v>351</v>
      </c>
      <c r="AF484" s="11">
        <f t="shared" si="120"/>
        <v>1.629</v>
      </c>
      <c r="AG484" s="11">
        <f t="shared" si="123"/>
        <v>0.2316</v>
      </c>
      <c r="AH484" s="11">
        <f t="shared" si="121"/>
        <v>0.2316</v>
      </c>
      <c r="AI484" s="33">
        <f t="shared" si="124"/>
        <v>5.79E-2</v>
      </c>
      <c r="AJ484" s="11">
        <f t="shared" si="122"/>
        <v>5.79E-2</v>
      </c>
    </row>
    <row r="485" spans="1:36" x14ac:dyDescent="0.25">
      <c r="A485" s="4" t="s">
        <v>944</v>
      </c>
      <c r="B485" s="4" t="s">
        <v>1153</v>
      </c>
      <c r="C485" s="4" t="s">
        <v>235</v>
      </c>
      <c r="D485" s="4" t="s">
        <v>1106</v>
      </c>
      <c r="E485" t="s">
        <v>1152</v>
      </c>
      <c r="F485" t="s">
        <v>171</v>
      </c>
      <c r="G485" t="s">
        <v>330</v>
      </c>
      <c r="H485">
        <v>125</v>
      </c>
      <c r="I485">
        <v>4</v>
      </c>
      <c r="J485" t="s">
        <v>40</v>
      </c>
      <c r="K485" t="s">
        <v>15</v>
      </c>
      <c r="L485" t="s">
        <v>1148</v>
      </c>
      <c r="M485" s="20" t="s">
        <v>10</v>
      </c>
      <c r="N485" s="20" t="s">
        <v>15</v>
      </c>
      <c r="O485" t="s">
        <v>1147</v>
      </c>
      <c r="P485" s="20">
        <v>1</v>
      </c>
      <c r="Q485" s="20" t="s">
        <v>180</v>
      </c>
      <c r="R485" s="20" t="s">
        <v>176</v>
      </c>
      <c r="S485" s="20"/>
      <c r="T485" s="20">
        <v>1</v>
      </c>
      <c r="U485" s="20" t="s">
        <v>1006</v>
      </c>
      <c r="V485" s="20"/>
      <c r="W485" s="20">
        <v>90</v>
      </c>
      <c r="X485" t="s">
        <v>184</v>
      </c>
      <c r="AA485" s="13">
        <f>W485*T485*P485</f>
        <v>90</v>
      </c>
      <c r="AB485">
        <f>10-4.4</f>
        <v>5.6</v>
      </c>
      <c r="AC485">
        <f>0.31+0.41</f>
        <v>0.72</v>
      </c>
      <c r="AD485" s="11">
        <f t="shared" si="119"/>
        <v>4.0319999999999991</v>
      </c>
      <c r="AE485" s="11">
        <f>_xlfn.RANK.AVG(Tableau8[[#This Row],[EE ( MJ/m²)]],AD485:AD1640)</f>
        <v>398</v>
      </c>
      <c r="AF485" s="11">
        <f t="shared" si="120"/>
        <v>1.0079999999999998</v>
      </c>
      <c r="AG485" s="11">
        <f>(AC485-0.41)*AA485/H485</f>
        <v>0.22319999999999998</v>
      </c>
      <c r="AH485" s="11">
        <f t="shared" si="121"/>
        <v>0.51839999999999997</v>
      </c>
      <c r="AI485" s="11">
        <f>(AC485-0.41)*AA485/H485/I485</f>
        <v>5.5799999999999995E-2</v>
      </c>
      <c r="AJ485" s="11">
        <f t="shared" si="122"/>
        <v>0.12959999999999999</v>
      </c>
    </row>
    <row r="486" spans="1:36" x14ac:dyDescent="0.25">
      <c r="A486" s="4" t="s">
        <v>944</v>
      </c>
      <c r="B486" s="4" t="s">
        <v>1153</v>
      </c>
      <c r="C486" s="4" t="s">
        <v>15</v>
      </c>
      <c r="D486" s="4" t="s">
        <v>1106</v>
      </c>
      <c r="E486" t="s">
        <v>1152</v>
      </c>
      <c r="F486" t="s">
        <v>171</v>
      </c>
      <c r="G486" t="s">
        <v>330</v>
      </c>
      <c r="H486">
        <v>125</v>
      </c>
      <c r="I486">
        <v>4</v>
      </c>
      <c r="J486" t="s">
        <v>40</v>
      </c>
      <c r="K486" t="s">
        <v>15</v>
      </c>
      <c r="L486" t="s">
        <v>1145</v>
      </c>
      <c r="M486" t="s">
        <v>235</v>
      </c>
      <c r="N486" t="s">
        <v>235</v>
      </c>
      <c r="O486" t="s">
        <v>1146</v>
      </c>
      <c r="P486">
        <v>3</v>
      </c>
      <c r="Q486" t="s">
        <v>180</v>
      </c>
      <c r="R486" t="s">
        <v>187</v>
      </c>
      <c r="T486">
        <v>1</v>
      </c>
      <c r="U486" t="s">
        <v>175</v>
      </c>
      <c r="W486">
        <v>100</v>
      </c>
      <c r="X486" t="s">
        <v>184</v>
      </c>
      <c r="AA486" s="13">
        <f>Tableau8[[#This Row],[density (kg/m2) or specific weight (kg/m2)]]*Tableau8[[#This Row],[nb of item used ]]*Tableau8[[#This Row],[volume or area]]</f>
        <v>300</v>
      </c>
      <c r="AB486">
        <v>13.13</v>
      </c>
      <c r="AC486">
        <v>12.37</v>
      </c>
      <c r="AD486" s="11">
        <f t="shared" si="119"/>
        <v>31.512000000000004</v>
      </c>
      <c r="AE486" s="11">
        <f>_xlfn.RANK.AVG(Tableau8[[#This Row],[EE ( MJ/m²)]],AD486:AD1641)</f>
        <v>178</v>
      </c>
      <c r="AF486" s="11">
        <f t="shared" si="120"/>
        <v>7.878000000000001</v>
      </c>
      <c r="AG486" s="11">
        <f>(AC486-0.41)*AA486/H486</f>
        <v>28.703999999999997</v>
      </c>
      <c r="AH486" s="11">
        <f t="shared" si="121"/>
        <v>29.687999999999995</v>
      </c>
      <c r="AI486" s="11">
        <f>(AC486-0.41)*AA486/H486/I486</f>
        <v>7.1759999999999993</v>
      </c>
      <c r="AJ486" s="11">
        <f t="shared" si="122"/>
        <v>7.4219999999999988</v>
      </c>
    </row>
    <row r="487" spans="1:36" x14ac:dyDescent="0.25">
      <c r="A487" s="4" t="s">
        <v>944</v>
      </c>
      <c r="B487" s="4" t="s">
        <v>1174</v>
      </c>
      <c r="C487" t="s">
        <v>15</v>
      </c>
      <c r="D487" s="4" t="s">
        <v>1106</v>
      </c>
      <c r="E487" t="s">
        <v>1168</v>
      </c>
      <c r="F487" t="s">
        <v>171</v>
      </c>
      <c r="G487" t="s">
        <v>361</v>
      </c>
      <c r="H487">
        <v>21</v>
      </c>
      <c r="I487">
        <v>3</v>
      </c>
      <c r="J487" t="s">
        <v>108</v>
      </c>
      <c r="K487" t="s">
        <v>15</v>
      </c>
      <c r="L487" t="s">
        <v>1170</v>
      </c>
      <c r="M487" t="s">
        <v>15</v>
      </c>
      <c r="N487" t="s">
        <v>15</v>
      </c>
      <c r="P487">
        <v>0.2</v>
      </c>
      <c r="Q487" t="s">
        <v>180</v>
      </c>
      <c r="R487" t="s">
        <v>176</v>
      </c>
      <c r="T487">
        <v>1</v>
      </c>
      <c r="U487" t="s">
        <v>1006</v>
      </c>
      <c r="W487">
        <v>510</v>
      </c>
      <c r="X487" t="s">
        <v>184</v>
      </c>
      <c r="AA487" s="13">
        <f>Tableau8[[#This Row],[nb of item used ]]*Tableau8[[#This Row],[density (kg/m2) or specific weight (kg/m2)]]*Tableau8[[#This Row],[volume or area]]</f>
        <v>102</v>
      </c>
      <c r="AB487">
        <f>10-4.4</f>
        <v>5.6</v>
      </c>
      <c r="AC487">
        <f>0.31+0.41</f>
        <v>0.72</v>
      </c>
      <c r="AD487" s="11">
        <f t="shared" si="119"/>
        <v>27.199999999999996</v>
      </c>
      <c r="AE487" s="11">
        <f>_xlfn.RANK.AVG(Tableau8[[#This Row],[EE ( MJ/m²)]],AD487:AD1642)</f>
        <v>191</v>
      </c>
      <c r="AF487" s="11">
        <f t="shared" si="120"/>
        <v>9.0666666666666647</v>
      </c>
      <c r="AG487" s="11">
        <f>(AC487-0.41)*AA487/H487</f>
        <v>1.5057142857142858</v>
      </c>
      <c r="AH487" s="11">
        <f t="shared" si="121"/>
        <v>3.4971428571428569</v>
      </c>
      <c r="AI487" s="11">
        <f>(AC487-0.41)*AA487/H487/I487</f>
        <v>0.50190476190476196</v>
      </c>
      <c r="AJ487" s="11">
        <f t="shared" si="122"/>
        <v>1.1657142857142857</v>
      </c>
    </row>
    <row r="488" spans="1:36" x14ac:dyDescent="0.25">
      <c r="A488" s="4" t="s">
        <v>944</v>
      </c>
      <c r="B488" s="4" t="s">
        <v>1174</v>
      </c>
      <c r="C488" t="s">
        <v>15</v>
      </c>
      <c r="D488" s="4" t="s">
        <v>1106</v>
      </c>
      <c r="E488" t="s">
        <v>1168</v>
      </c>
      <c r="F488" t="s">
        <v>171</v>
      </c>
      <c r="G488" t="s">
        <v>361</v>
      </c>
      <c r="H488">
        <v>21</v>
      </c>
      <c r="I488">
        <v>3</v>
      </c>
      <c r="J488" t="s">
        <v>40</v>
      </c>
      <c r="K488" t="s">
        <v>15</v>
      </c>
      <c r="L488" t="s">
        <v>1172</v>
      </c>
      <c r="M488" t="s">
        <v>15</v>
      </c>
      <c r="N488" t="s">
        <v>15</v>
      </c>
      <c r="O488" t="s">
        <v>1173</v>
      </c>
      <c r="P488">
        <v>0.25</v>
      </c>
      <c r="Q488" t="s">
        <v>180</v>
      </c>
      <c r="R488" t="s">
        <v>187</v>
      </c>
      <c r="T488">
        <v>1</v>
      </c>
      <c r="U488" t="s">
        <v>346</v>
      </c>
      <c r="W488">
        <v>510</v>
      </c>
      <c r="X488" t="s">
        <v>184</v>
      </c>
      <c r="AA488" s="13">
        <f>Tableau8[[#This Row],[nb of item used ]]*Tableau8[[#This Row],[density (kg/m2) or specific weight (kg/m2)]]*Tableau8[[#This Row],[volume or area]]</f>
        <v>127.5</v>
      </c>
      <c r="AB488">
        <f>10-4.4</f>
        <v>5.6</v>
      </c>
      <c r="AC488">
        <f>0.31+0.41</f>
        <v>0.72</v>
      </c>
      <c r="AD488" s="11">
        <f t="shared" si="119"/>
        <v>34</v>
      </c>
      <c r="AE488" s="11">
        <f>_xlfn.RANK.AVG(Tableau8[[#This Row],[EE ( MJ/m²)]],AD488:AD1643)</f>
        <v>170</v>
      </c>
      <c r="AF488" s="11">
        <f t="shared" si="120"/>
        <v>11.333333333333334</v>
      </c>
      <c r="AG488" s="11">
        <f>(AC488-0.41)*AA488/H488</f>
        <v>1.8821428571428571</v>
      </c>
      <c r="AH488" s="11">
        <f t="shared" si="121"/>
        <v>4.371428571428571</v>
      </c>
      <c r="AI488" s="11">
        <f>(AC488-0.41)*AA488/H488/I488</f>
        <v>0.62738095238095237</v>
      </c>
      <c r="AJ488" s="11">
        <f t="shared" si="122"/>
        <v>1.4571428571428571</v>
      </c>
    </row>
    <row r="489" spans="1:36" x14ac:dyDescent="0.25">
      <c r="A489" s="4" t="s">
        <v>944</v>
      </c>
      <c r="B489" s="4" t="s">
        <v>1174</v>
      </c>
      <c r="C489" t="s">
        <v>12</v>
      </c>
      <c r="D489" s="4" t="s">
        <v>1106</v>
      </c>
      <c r="E489" t="s">
        <v>1168</v>
      </c>
      <c r="F489" t="s">
        <v>171</v>
      </c>
      <c r="G489" t="s">
        <v>361</v>
      </c>
      <c r="H489">
        <v>21</v>
      </c>
      <c r="I489">
        <v>3</v>
      </c>
      <c r="J489" t="s">
        <v>44</v>
      </c>
      <c r="K489" t="s">
        <v>17</v>
      </c>
      <c r="L489" t="s">
        <v>834</v>
      </c>
      <c r="M489" t="s">
        <v>12</v>
      </c>
      <c r="N489" t="s">
        <v>12</v>
      </c>
      <c r="R489" t="s">
        <v>175</v>
      </c>
      <c r="T489">
        <v>1</v>
      </c>
      <c r="U489" t="s">
        <v>175</v>
      </c>
      <c r="W489">
        <v>7800</v>
      </c>
      <c r="X489" t="s">
        <v>184</v>
      </c>
      <c r="AA489" s="13">
        <v>4</v>
      </c>
      <c r="AB489">
        <v>25.3</v>
      </c>
      <c r="AC489">
        <v>1.95</v>
      </c>
      <c r="AD489" s="11">
        <f t="shared" si="119"/>
        <v>4.8190476190476188</v>
      </c>
      <c r="AE489" s="11">
        <f>_xlfn.RANK.AVG(Tableau8[[#This Row],[EE ( MJ/m²)]],AD489:AD1644)</f>
        <v>382.5</v>
      </c>
      <c r="AF489" s="11">
        <f t="shared" si="120"/>
        <v>1.6063492063492062</v>
      </c>
      <c r="AG489" s="11">
        <f t="shared" ref="AG489:AG494" si="125">(AC489)*AA489/H489</f>
        <v>0.37142857142857144</v>
      </c>
      <c r="AH489" s="11">
        <f t="shared" si="121"/>
        <v>0.37142857142857144</v>
      </c>
      <c r="AI489" s="33">
        <f t="shared" ref="AI489:AI494" si="126">(AC489)*AA489/H489/I489</f>
        <v>0.12380952380952381</v>
      </c>
      <c r="AJ489" s="11">
        <f t="shared" si="122"/>
        <v>0.12380952380952381</v>
      </c>
    </row>
    <row r="490" spans="1:36" x14ac:dyDescent="0.25">
      <c r="A490" s="4" t="s">
        <v>944</v>
      </c>
      <c r="B490" s="4" t="s">
        <v>1174</v>
      </c>
      <c r="C490" t="s">
        <v>12</v>
      </c>
      <c r="D490" s="4" t="s">
        <v>1106</v>
      </c>
      <c r="E490" t="s">
        <v>1168</v>
      </c>
      <c r="F490" t="s">
        <v>171</v>
      </c>
      <c r="G490" t="s">
        <v>361</v>
      </c>
      <c r="H490">
        <v>21</v>
      </c>
      <c r="I490">
        <v>3</v>
      </c>
      <c r="J490" t="s">
        <v>44</v>
      </c>
      <c r="K490" t="s">
        <v>17</v>
      </c>
      <c r="L490" t="s">
        <v>712</v>
      </c>
      <c r="M490" t="s">
        <v>12</v>
      </c>
      <c r="N490" t="s">
        <v>12</v>
      </c>
      <c r="R490" t="s">
        <v>175</v>
      </c>
      <c r="T490">
        <v>1</v>
      </c>
      <c r="U490" t="s">
        <v>175</v>
      </c>
      <c r="W490">
        <v>7800</v>
      </c>
      <c r="X490" t="s">
        <v>184</v>
      </c>
      <c r="AA490" s="13">
        <v>2.5</v>
      </c>
      <c r="AB490">
        <v>25.3</v>
      </c>
      <c r="AC490">
        <v>1.95</v>
      </c>
      <c r="AD490" s="11">
        <f t="shared" si="119"/>
        <v>3.0119047619047619</v>
      </c>
      <c r="AE490" s="11">
        <f>_xlfn.RANK.AVG(Tableau8[[#This Row],[EE ( MJ/m²)]],AD490:AD1645)</f>
        <v>423</v>
      </c>
      <c r="AF490" s="11">
        <f t="shared" si="120"/>
        <v>1.003968253968254</v>
      </c>
      <c r="AG490" s="11">
        <f t="shared" si="125"/>
        <v>0.23214285714285715</v>
      </c>
      <c r="AH490" s="11">
        <f t="shared" si="121"/>
        <v>0.23214285714285715</v>
      </c>
      <c r="AI490" s="33">
        <f t="shared" si="126"/>
        <v>7.7380952380952384E-2</v>
      </c>
      <c r="AJ490" s="11">
        <f t="shared" si="122"/>
        <v>7.7380952380952384E-2</v>
      </c>
    </row>
    <row r="491" spans="1:36" x14ac:dyDescent="0.25">
      <c r="A491" s="23" t="s">
        <v>944</v>
      </c>
      <c r="B491" s="23" t="s">
        <v>1174</v>
      </c>
      <c r="C491" s="20" t="s">
        <v>14</v>
      </c>
      <c r="D491" s="23" t="s">
        <v>1106</v>
      </c>
      <c r="E491" s="20" t="s">
        <v>1168</v>
      </c>
      <c r="F491" s="20" t="s">
        <v>171</v>
      </c>
      <c r="G491" s="20" t="s">
        <v>361</v>
      </c>
      <c r="H491" s="20">
        <v>21</v>
      </c>
      <c r="I491" s="20">
        <v>3</v>
      </c>
      <c r="J491" s="20" t="s">
        <v>56</v>
      </c>
      <c r="K491" t="s">
        <v>14</v>
      </c>
      <c r="L491" s="20" t="s">
        <v>208</v>
      </c>
      <c r="M491" s="20" t="s">
        <v>14</v>
      </c>
      <c r="N491" s="20" t="s">
        <v>111</v>
      </c>
      <c r="O491" t="s">
        <v>1171</v>
      </c>
      <c r="P491" s="20"/>
      <c r="Q491" s="20"/>
      <c r="R491" s="20" t="s">
        <v>176</v>
      </c>
      <c r="S491" s="20"/>
      <c r="T491" s="20">
        <v>1</v>
      </c>
      <c r="U491" s="20" t="s">
        <v>1006</v>
      </c>
      <c r="V491" s="20"/>
      <c r="W491" s="25">
        <v>1380</v>
      </c>
      <c r="X491" s="20" t="s">
        <v>184</v>
      </c>
      <c r="Y491" s="20"/>
      <c r="Z491" s="20"/>
      <c r="AA491" s="20">
        <v>70</v>
      </c>
      <c r="AB491" s="20">
        <v>35.6</v>
      </c>
      <c r="AC491">
        <v>3.31</v>
      </c>
      <c r="AD491" s="11">
        <f t="shared" si="119"/>
        <v>118.66666666666667</v>
      </c>
      <c r="AE491" s="11">
        <f>_xlfn.RANK.AVG(Tableau8[[#This Row],[EE ( MJ/m²)]],AD491:AD1646)</f>
        <v>68</v>
      </c>
      <c r="AF491" s="11">
        <f t="shared" si="120"/>
        <v>39.555555555555557</v>
      </c>
      <c r="AG491" s="11">
        <f t="shared" si="125"/>
        <v>11.033333333333335</v>
      </c>
      <c r="AH491" s="11">
        <f t="shared" si="121"/>
        <v>11.033333333333335</v>
      </c>
      <c r="AI491" s="33">
        <f t="shared" si="126"/>
        <v>3.6777777777777785</v>
      </c>
      <c r="AJ491" s="11">
        <f t="shared" si="122"/>
        <v>3.6777777777777785</v>
      </c>
    </row>
    <row r="492" spans="1:36" x14ac:dyDescent="0.25">
      <c r="A492" s="23" t="s">
        <v>944</v>
      </c>
      <c r="B492" s="23" t="s">
        <v>1174</v>
      </c>
      <c r="C492" s="20" t="s">
        <v>14</v>
      </c>
      <c r="D492" s="23" t="s">
        <v>1106</v>
      </c>
      <c r="E492" s="20" t="s">
        <v>1168</v>
      </c>
      <c r="F492" s="20" t="s">
        <v>171</v>
      </c>
      <c r="G492" s="20" t="s">
        <v>361</v>
      </c>
      <c r="H492" s="20">
        <v>21</v>
      </c>
      <c r="I492" s="20">
        <v>3</v>
      </c>
      <c r="J492" s="20" t="s">
        <v>57</v>
      </c>
      <c r="K492" t="s">
        <v>14</v>
      </c>
      <c r="L492" s="20" t="s">
        <v>208</v>
      </c>
      <c r="M492" s="20" t="s">
        <v>14</v>
      </c>
      <c r="N492" s="20" t="s">
        <v>111</v>
      </c>
      <c r="P492" s="20"/>
      <c r="Q492" s="20"/>
      <c r="R492" s="20" t="s">
        <v>176</v>
      </c>
      <c r="S492" s="20"/>
      <c r="T492" s="20">
        <v>1</v>
      </c>
      <c r="U492" s="20" t="s">
        <v>1006</v>
      </c>
      <c r="V492" s="20"/>
      <c r="W492" s="25">
        <v>1380</v>
      </c>
      <c r="X492" s="20" t="s">
        <v>184</v>
      </c>
      <c r="Y492" s="20"/>
      <c r="Z492" s="20"/>
      <c r="AA492" s="20">
        <v>35</v>
      </c>
      <c r="AB492" s="20">
        <v>35.6</v>
      </c>
      <c r="AC492">
        <v>3.31</v>
      </c>
      <c r="AD492" s="11">
        <f t="shared" si="119"/>
        <v>59.333333333333336</v>
      </c>
      <c r="AE492" s="11">
        <f>_xlfn.RANK.AVG(Tableau8[[#This Row],[EE ( MJ/m²)]],AD492:AD1647)</f>
        <v>121</v>
      </c>
      <c r="AF492" s="11">
        <f t="shared" si="120"/>
        <v>19.777777777777779</v>
      </c>
      <c r="AG492" s="11">
        <f t="shared" si="125"/>
        <v>5.5166666666666675</v>
      </c>
      <c r="AH492" s="11">
        <f t="shared" si="121"/>
        <v>5.5166666666666675</v>
      </c>
      <c r="AI492" s="33">
        <f t="shared" si="126"/>
        <v>1.8388888888888892</v>
      </c>
      <c r="AJ492" s="11">
        <f t="shared" si="122"/>
        <v>1.8388888888888892</v>
      </c>
    </row>
    <row r="493" spans="1:36" x14ac:dyDescent="0.25">
      <c r="A493" s="23" t="s">
        <v>944</v>
      </c>
      <c r="B493" s="23" t="s">
        <v>1174</v>
      </c>
      <c r="C493" s="20" t="s">
        <v>386</v>
      </c>
      <c r="D493" s="23" t="s">
        <v>1106</v>
      </c>
      <c r="E493" s="20" t="s">
        <v>1168</v>
      </c>
      <c r="F493" s="20" t="s">
        <v>171</v>
      </c>
      <c r="G493" s="20" t="s">
        <v>361</v>
      </c>
      <c r="H493" s="20">
        <v>21</v>
      </c>
      <c r="I493" s="20">
        <v>3</v>
      </c>
      <c r="J493" s="20" t="s">
        <v>40</v>
      </c>
      <c r="K493" s="20" t="s">
        <v>386</v>
      </c>
      <c r="L493" s="20" t="s">
        <v>1165</v>
      </c>
      <c r="M493" s="20" t="s">
        <v>1165</v>
      </c>
      <c r="N493" s="20" t="s">
        <v>1165</v>
      </c>
      <c r="O493" s="20"/>
      <c r="P493" s="20"/>
      <c r="Q493" s="20"/>
      <c r="R493" s="20" t="s">
        <v>175</v>
      </c>
      <c r="S493" s="20"/>
      <c r="T493" s="20">
        <v>1</v>
      </c>
      <c r="U493" s="20" t="s">
        <v>1006</v>
      </c>
      <c r="V493" s="20"/>
      <c r="W493" s="20">
        <v>561</v>
      </c>
      <c r="X493" s="20" t="s">
        <v>184</v>
      </c>
      <c r="Y493" s="20" t="s">
        <v>1235</v>
      </c>
      <c r="Z493" s="20"/>
      <c r="AA493" s="24">
        <v>60</v>
      </c>
      <c r="AB493" s="20">
        <v>4.51</v>
      </c>
      <c r="AC493" s="20">
        <v>0.75</v>
      </c>
      <c r="AD493" s="33">
        <f t="shared" si="119"/>
        <v>12.885714285714284</v>
      </c>
      <c r="AE493" s="33">
        <f>_xlfn.RANK.AVG(Tableau8[[#This Row],[EE ( MJ/m²)]],AD493:AD1648)</f>
        <v>276</v>
      </c>
      <c r="AF493" s="33">
        <f t="shared" si="120"/>
        <v>4.2952380952380951</v>
      </c>
      <c r="AG493" s="11">
        <f t="shared" si="125"/>
        <v>2.1428571428571428</v>
      </c>
      <c r="AH493" s="33">
        <f t="shared" si="121"/>
        <v>2.1428571428571428</v>
      </c>
      <c r="AI493" s="33">
        <f t="shared" si="126"/>
        <v>0.7142857142857143</v>
      </c>
      <c r="AJ493" s="33">
        <f t="shared" si="122"/>
        <v>0.7142857142857143</v>
      </c>
    </row>
    <row r="494" spans="1:36" x14ac:dyDescent="0.25">
      <c r="A494" s="4" t="s">
        <v>944</v>
      </c>
      <c r="B494" s="4" t="s">
        <v>1174</v>
      </c>
      <c r="C494" t="s">
        <v>234</v>
      </c>
      <c r="D494" s="4" t="s">
        <v>1106</v>
      </c>
      <c r="E494" t="s">
        <v>1168</v>
      </c>
      <c r="F494" t="s">
        <v>171</v>
      </c>
      <c r="G494" t="s">
        <v>361</v>
      </c>
      <c r="H494">
        <v>21</v>
      </c>
      <c r="I494">
        <v>3</v>
      </c>
      <c r="J494" t="s">
        <v>44</v>
      </c>
      <c r="K494" t="s">
        <v>41</v>
      </c>
      <c r="L494" t="s">
        <v>8</v>
      </c>
      <c r="M494" t="s">
        <v>233</v>
      </c>
      <c r="N494" t="s">
        <v>234</v>
      </c>
      <c r="R494" t="s">
        <v>175</v>
      </c>
      <c r="T494">
        <v>1</v>
      </c>
      <c r="U494" t="s">
        <v>175</v>
      </c>
      <c r="W494">
        <v>0.2</v>
      </c>
      <c r="X494" t="s">
        <v>183</v>
      </c>
      <c r="AA494">
        <v>5</v>
      </c>
      <c r="AB494">
        <v>143</v>
      </c>
      <c r="AC494">
        <v>6.78</v>
      </c>
      <c r="AD494" s="11">
        <f t="shared" si="119"/>
        <v>34.047619047619051</v>
      </c>
      <c r="AE494" s="11">
        <f>_xlfn.RANK.AVG(Tableau8[[#This Row],[EE ( MJ/m²)]],AD494:AD1649)</f>
        <v>167</v>
      </c>
      <c r="AF494" s="11">
        <f t="shared" si="120"/>
        <v>11.34920634920635</v>
      </c>
      <c r="AG494" s="11">
        <f t="shared" si="125"/>
        <v>1.6142857142857143</v>
      </c>
      <c r="AH494" s="11">
        <f t="shared" si="121"/>
        <v>1.6142857142857143</v>
      </c>
      <c r="AI494" s="33">
        <f t="shared" si="126"/>
        <v>0.53809523809523807</v>
      </c>
      <c r="AJ494" s="11">
        <f t="shared" si="122"/>
        <v>0.53809523809523807</v>
      </c>
    </row>
    <row r="495" spans="1:36" x14ac:dyDescent="0.25">
      <c r="A495" s="4" t="s">
        <v>944</v>
      </c>
      <c r="B495" s="4" t="s">
        <v>1174</v>
      </c>
      <c r="C495" s="4" t="s">
        <v>235</v>
      </c>
      <c r="D495" s="4" t="s">
        <v>1106</v>
      </c>
      <c r="E495" t="s">
        <v>1168</v>
      </c>
      <c r="F495" t="s">
        <v>171</v>
      </c>
      <c r="G495" t="s">
        <v>361</v>
      </c>
      <c r="H495">
        <v>21</v>
      </c>
      <c r="I495">
        <v>3</v>
      </c>
      <c r="J495" t="s">
        <v>56</v>
      </c>
      <c r="K495" t="s">
        <v>15</v>
      </c>
      <c r="L495" t="s">
        <v>1169</v>
      </c>
      <c r="M495" t="s">
        <v>235</v>
      </c>
      <c r="N495" t="s">
        <v>235</v>
      </c>
      <c r="P495">
        <v>1.8</v>
      </c>
      <c r="Q495" t="s">
        <v>180</v>
      </c>
      <c r="R495" t="s">
        <v>175</v>
      </c>
      <c r="T495">
        <v>1</v>
      </c>
      <c r="U495" t="s">
        <v>175</v>
      </c>
      <c r="W495">
        <v>100</v>
      </c>
      <c r="X495" t="s">
        <v>184</v>
      </c>
      <c r="AA495" s="13">
        <f>Tableau8[[#This Row],[density (kg/m2) or specific weight (kg/m2)]]*Tableau8[[#This Row],[nb of item used ]]*Tableau8[[#This Row],[volume or area]]</f>
        <v>180</v>
      </c>
      <c r="AB495">
        <v>13.13</v>
      </c>
      <c r="AC495">
        <v>12.37</v>
      </c>
      <c r="AD495" s="11">
        <f t="shared" si="119"/>
        <v>112.54285714285714</v>
      </c>
      <c r="AE495" s="11">
        <f>_xlfn.RANK.AVG(Tableau8[[#This Row],[EE ( MJ/m²)]],AD495:AD1650)</f>
        <v>69</v>
      </c>
      <c r="AF495" s="11">
        <f t="shared" si="120"/>
        <v>37.514285714285712</v>
      </c>
      <c r="AG495" s="11">
        <f>(AC495-0.41)*AA495/H495</f>
        <v>102.51428571428571</v>
      </c>
      <c r="AH495" s="11">
        <f t="shared" si="121"/>
        <v>106.02857142857142</v>
      </c>
      <c r="AI495" s="11">
        <f>(AC495-0.41)*AA495/H495/I495</f>
        <v>34.171428571428571</v>
      </c>
      <c r="AJ495" s="11">
        <f t="shared" si="122"/>
        <v>35.342857142857142</v>
      </c>
    </row>
    <row r="496" spans="1:36" x14ac:dyDescent="0.25">
      <c r="A496" s="4" t="s">
        <v>944</v>
      </c>
      <c r="B496" s="4" t="s">
        <v>1174</v>
      </c>
      <c r="C496" s="4" t="s">
        <v>235</v>
      </c>
      <c r="D496" s="4" t="s">
        <v>1106</v>
      </c>
      <c r="E496" t="s">
        <v>1168</v>
      </c>
      <c r="F496" t="s">
        <v>171</v>
      </c>
      <c r="G496" t="s">
        <v>361</v>
      </c>
      <c r="H496">
        <v>21</v>
      </c>
      <c r="I496">
        <v>3</v>
      </c>
      <c r="J496" t="s">
        <v>56</v>
      </c>
      <c r="K496" t="s">
        <v>15</v>
      </c>
      <c r="L496" t="s">
        <v>507</v>
      </c>
      <c r="M496" t="s">
        <v>235</v>
      </c>
      <c r="N496" t="s">
        <v>235</v>
      </c>
      <c r="P496">
        <v>0.35</v>
      </c>
      <c r="Q496" t="s">
        <v>180</v>
      </c>
      <c r="R496" t="s">
        <v>187</v>
      </c>
      <c r="T496">
        <v>1</v>
      </c>
      <c r="U496" t="s">
        <v>346</v>
      </c>
      <c r="W496">
        <v>100</v>
      </c>
      <c r="X496" t="s">
        <v>184</v>
      </c>
      <c r="AA496" s="13">
        <f>Tableau8[[#This Row],[density (kg/m2) or specific weight (kg/m2)]]*Tableau8[[#This Row],[nb of item used ]]*Tableau8[[#This Row],[volume or area]]</f>
        <v>35</v>
      </c>
      <c r="AB496">
        <v>13.13</v>
      </c>
      <c r="AC496">
        <v>12.37</v>
      </c>
      <c r="AD496" s="11">
        <f t="shared" si="119"/>
        <v>21.883333333333333</v>
      </c>
      <c r="AE496" s="11">
        <f>_xlfn.RANK.AVG(Tableau8[[#This Row],[EE ( MJ/m²)]],AD496:AD1651)</f>
        <v>212</v>
      </c>
      <c r="AF496" s="11">
        <f t="shared" si="120"/>
        <v>7.2944444444444443</v>
      </c>
      <c r="AG496" s="11">
        <f>(AC496-0.41)*AA496/H496</f>
        <v>19.93333333333333</v>
      </c>
      <c r="AH496" s="11">
        <f t="shared" si="121"/>
        <v>20.616666666666667</v>
      </c>
      <c r="AI496" s="11">
        <f>(AC496-0.41)*AA496/H496/I496</f>
        <v>6.644444444444443</v>
      </c>
      <c r="AJ496" s="11">
        <f t="shared" si="122"/>
        <v>6.8722222222222227</v>
      </c>
    </row>
    <row r="497" spans="1:36" x14ac:dyDescent="0.25">
      <c r="A497" s="4" t="s">
        <v>944</v>
      </c>
      <c r="B497" s="4" t="s">
        <v>967</v>
      </c>
      <c r="C497" s="4" t="s">
        <v>15</v>
      </c>
      <c r="D497" s="4" t="s">
        <v>939</v>
      </c>
      <c r="E497" t="s">
        <v>558</v>
      </c>
      <c r="F497" t="s">
        <v>171</v>
      </c>
      <c r="G497" t="s">
        <v>172</v>
      </c>
      <c r="H497">
        <v>36</v>
      </c>
      <c r="I497">
        <v>1.5</v>
      </c>
      <c r="J497" t="s">
        <v>42</v>
      </c>
      <c r="K497" t="s">
        <v>15</v>
      </c>
      <c r="L497" t="s">
        <v>556</v>
      </c>
      <c r="M497" t="s">
        <v>15</v>
      </c>
      <c r="N497" t="s">
        <v>15</v>
      </c>
      <c r="P497">
        <v>0.13719999999999999</v>
      </c>
      <c r="Q497" t="s">
        <v>180</v>
      </c>
      <c r="T497">
        <v>1</v>
      </c>
      <c r="W497">
        <v>510</v>
      </c>
      <c r="X497" t="s">
        <v>184</v>
      </c>
      <c r="AA497" s="13">
        <f>Tableau8[[#This Row],[density (kg/m2) or specific weight (kg/m2)]]*Tableau8[[#This Row],[nb of item used ]]*Tableau8[[#This Row],[volume or area]]</f>
        <v>69.971999999999994</v>
      </c>
      <c r="AB497">
        <f>10-4.4</f>
        <v>5.6</v>
      </c>
      <c r="AC497">
        <f>0.31+0.41</f>
        <v>0.72</v>
      </c>
      <c r="AD497" s="11">
        <f t="shared" si="119"/>
        <v>10.884533333333332</v>
      </c>
      <c r="AE497" s="11">
        <f>_xlfn.RANK.AVG(Tableau8[[#This Row],[EE ( MJ/m²)]],AD497:AD1652)</f>
        <v>289</v>
      </c>
      <c r="AF497" s="11">
        <f t="shared" si="120"/>
        <v>7.2563555555555546</v>
      </c>
      <c r="AG497" s="11">
        <f>(AC497-0.41)*AA497/H497</f>
        <v>0.60253666666666661</v>
      </c>
      <c r="AH497" s="11">
        <f t="shared" si="121"/>
        <v>1.3994399999999998</v>
      </c>
      <c r="AI497" s="11">
        <f>(AC497-0.41)*AA497/H497/I497</f>
        <v>0.40169111111111105</v>
      </c>
      <c r="AJ497" s="11">
        <f t="shared" si="122"/>
        <v>0.9329599999999999</v>
      </c>
    </row>
    <row r="498" spans="1:36" x14ac:dyDescent="0.25">
      <c r="A498" s="4" t="s">
        <v>944</v>
      </c>
      <c r="B498" s="4" t="s">
        <v>967</v>
      </c>
      <c r="C498" s="4" t="s">
        <v>15</v>
      </c>
      <c r="D498" s="4" t="s">
        <v>939</v>
      </c>
      <c r="E498" t="s">
        <v>558</v>
      </c>
      <c r="F498" t="s">
        <v>171</v>
      </c>
      <c r="G498" t="s">
        <v>172</v>
      </c>
      <c r="H498">
        <v>36</v>
      </c>
      <c r="I498">
        <v>1.5</v>
      </c>
      <c r="J498" t="s">
        <v>42</v>
      </c>
      <c r="K498" t="s">
        <v>15</v>
      </c>
      <c r="L498" t="s">
        <v>555</v>
      </c>
      <c r="M498" t="s">
        <v>15</v>
      </c>
      <c r="N498" t="s">
        <v>15</v>
      </c>
      <c r="P498">
        <v>0.1056</v>
      </c>
      <c r="Q498" t="s">
        <v>180</v>
      </c>
      <c r="T498">
        <v>1</v>
      </c>
      <c r="W498">
        <v>510</v>
      </c>
      <c r="X498" t="s">
        <v>184</v>
      </c>
      <c r="AA498" s="13">
        <f>Tableau8[[#This Row],[density (kg/m2) or specific weight (kg/m2)]]*Tableau8[[#This Row],[nb of item used ]]*Tableau8[[#This Row],[volume or area]]</f>
        <v>53.856000000000002</v>
      </c>
      <c r="AB498">
        <f>10-4.4</f>
        <v>5.6</v>
      </c>
      <c r="AC498">
        <f>0.31+0.41</f>
        <v>0.72</v>
      </c>
      <c r="AD498" s="11">
        <f t="shared" si="119"/>
        <v>8.3775999999999993</v>
      </c>
      <c r="AE498" s="11">
        <f>_xlfn.RANK.AVG(Tableau8[[#This Row],[EE ( MJ/m²)]],AD498:AD1653)</f>
        <v>317</v>
      </c>
      <c r="AF498" s="11">
        <f t="shared" si="120"/>
        <v>5.5850666666666662</v>
      </c>
      <c r="AG498" s="11">
        <f>(AC498-0.41)*AA498/H498</f>
        <v>0.46376000000000001</v>
      </c>
      <c r="AH498" s="11">
        <f t="shared" si="121"/>
        <v>1.0771199999999999</v>
      </c>
      <c r="AI498" s="11">
        <f>(AC498-0.41)*AA498/H498/I498</f>
        <v>0.30917333333333336</v>
      </c>
      <c r="AJ498" s="11">
        <f t="shared" si="122"/>
        <v>0.71807999999999994</v>
      </c>
    </row>
    <row r="499" spans="1:36" x14ac:dyDescent="0.25">
      <c r="A499" s="4" t="s">
        <v>944</v>
      </c>
      <c r="B499" s="4" t="s">
        <v>967</v>
      </c>
      <c r="C499" s="4" t="s">
        <v>15</v>
      </c>
      <c r="D499" s="4" t="s">
        <v>939</v>
      </c>
      <c r="E499" t="s">
        <v>558</v>
      </c>
      <c r="F499" t="s">
        <v>171</v>
      </c>
      <c r="G499" t="s">
        <v>172</v>
      </c>
      <c r="H499">
        <v>36</v>
      </c>
      <c r="I499">
        <v>1.5</v>
      </c>
      <c r="J499" t="s">
        <v>44</v>
      </c>
      <c r="K499" t="s">
        <v>17</v>
      </c>
      <c r="L499" t="s">
        <v>557</v>
      </c>
      <c r="M499" t="s">
        <v>12</v>
      </c>
      <c r="N499" t="s">
        <v>12</v>
      </c>
      <c r="T499">
        <v>1</v>
      </c>
      <c r="W499">
        <v>7800</v>
      </c>
      <c r="X499" t="s">
        <v>184</v>
      </c>
      <c r="AA499" s="13">
        <v>12.5</v>
      </c>
      <c r="AB499">
        <v>25.3</v>
      </c>
      <c r="AC499">
        <v>1.95</v>
      </c>
      <c r="AD499" s="11">
        <f t="shared" si="119"/>
        <v>8.7847222222222214</v>
      </c>
      <c r="AE499" s="11">
        <f>_xlfn.RANK.AVG(Tableau8[[#This Row],[EE ( MJ/m²)]],AD499:AD1654)</f>
        <v>310</v>
      </c>
      <c r="AF499" s="11">
        <f t="shared" si="120"/>
        <v>5.856481481481481</v>
      </c>
      <c r="AG499" s="11">
        <f t="shared" ref="AG499:AG509" si="127">(AC499)*AA499/H499</f>
        <v>0.67708333333333337</v>
      </c>
      <c r="AH499" s="11">
        <f t="shared" si="121"/>
        <v>0.67708333333333337</v>
      </c>
      <c r="AI499" s="11">
        <f t="shared" ref="AI499:AI509" si="128">(AC499)*AA499/H499/I499</f>
        <v>0.4513888888888889</v>
      </c>
      <c r="AJ499" s="11">
        <f t="shared" si="122"/>
        <v>0.4513888888888889</v>
      </c>
    </row>
    <row r="500" spans="1:36" x14ac:dyDescent="0.25">
      <c r="A500" s="4" t="s">
        <v>944</v>
      </c>
      <c r="B500" s="4" t="s">
        <v>967</v>
      </c>
      <c r="C500" s="4" t="s">
        <v>15</v>
      </c>
      <c r="D500" s="4" t="s">
        <v>939</v>
      </c>
      <c r="E500" t="s">
        <v>558</v>
      </c>
      <c r="F500" t="s">
        <v>171</v>
      </c>
      <c r="G500" t="s">
        <v>172</v>
      </c>
      <c r="H500">
        <v>36</v>
      </c>
      <c r="I500">
        <v>1.5</v>
      </c>
      <c r="J500" t="s">
        <v>42</v>
      </c>
      <c r="K500" t="s">
        <v>14</v>
      </c>
      <c r="L500" t="s">
        <v>554</v>
      </c>
      <c r="M500" t="s">
        <v>35</v>
      </c>
      <c r="N500" t="s">
        <v>35</v>
      </c>
      <c r="P500">
        <f>30+36</f>
        <v>66</v>
      </c>
      <c r="Q500" t="s">
        <v>179</v>
      </c>
      <c r="T500">
        <v>1</v>
      </c>
      <c r="W500">
        <v>0.18</v>
      </c>
      <c r="X500" t="s">
        <v>183</v>
      </c>
      <c r="AA500" s="13">
        <f>Tableau8[[#This Row],[nb of item used ]]*Tableau8[[#This Row],[density (kg/m2) or specific weight (kg/m2)]]*Tableau8[[#This Row],[volume or area]]</f>
        <v>11.879999999999999</v>
      </c>
      <c r="AB500">
        <v>54.3</v>
      </c>
      <c r="AC500">
        <v>1.93</v>
      </c>
      <c r="AD500" s="11">
        <f t="shared" si="119"/>
        <v>17.918999999999997</v>
      </c>
      <c r="AE500" s="11">
        <f>_xlfn.RANK.AVG(Tableau8[[#This Row],[EE ( MJ/m²)]],AD500:AD1655)</f>
        <v>234</v>
      </c>
      <c r="AF500" s="11">
        <f t="shared" si="120"/>
        <v>11.945999999999998</v>
      </c>
      <c r="AG500" s="11">
        <f t="shared" si="127"/>
        <v>0.63689999999999991</v>
      </c>
      <c r="AH500" s="11">
        <f t="shared" si="121"/>
        <v>0.63689999999999991</v>
      </c>
      <c r="AI500" s="11">
        <f t="shared" si="128"/>
        <v>0.42459999999999992</v>
      </c>
      <c r="AJ500" s="11">
        <f t="shared" si="122"/>
        <v>0.42459999999999992</v>
      </c>
    </row>
    <row r="501" spans="1:36" x14ac:dyDescent="0.25">
      <c r="A501" s="4" t="s">
        <v>945</v>
      </c>
      <c r="B501" s="4" t="s">
        <v>980</v>
      </c>
      <c r="C501" s="4" t="s">
        <v>15</v>
      </c>
      <c r="D501" s="4" t="s">
        <v>938</v>
      </c>
      <c r="E501" t="s">
        <v>250</v>
      </c>
      <c r="F501" t="s">
        <v>171</v>
      </c>
      <c r="G501" t="s">
        <v>251</v>
      </c>
      <c r="H501">
        <v>38.700000000000003</v>
      </c>
      <c r="I501">
        <v>2</v>
      </c>
      <c r="J501" t="s">
        <v>44</v>
      </c>
      <c r="K501" t="s">
        <v>17</v>
      </c>
      <c r="L501" t="s">
        <v>253</v>
      </c>
      <c r="M501" t="s">
        <v>12</v>
      </c>
      <c r="N501" t="s">
        <v>12</v>
      </c>
      <c r="P501">
        <f>0.15*(PI()*(0.003^2))</f>
        <v>4.2411500823462206E-6</v>
      </c>
      <c r="Q501" t="s">
        <v>180</v>
      </c>
      <c r="R501" t="s">
        <v>175</v>
      </c>
      <c r="T501">
        <v>84</v>
      </c>
      <c r="W501">
        <v>7800</v>
      </c>
      <c r="X501" t="s">
        <v>184</v>
      </c>
      <c r="Y501" t="s">
        <v>185</v>
      </c>
      <c r="AA501" s="13">
        <f>Tableau8[[#This Row],[density (kg/m2) or specific weight (kg/m2)]]*Tableau8[[#This Row],[nb of item used ]]*Tableau8[[#This Row],[volume or area]]</f>
        <v>2.7788015339532439</v>
      </c>
      <c r="AB501">
        <v>25.3</v>
      </c>
      <c r="AC501">
        <v>1.95</v>
      </c>
      <c r="AD501" s="11">
        <f t="shared" si="119"/>
        <v>1.8166325273647821</v>
      </c>
      <c r="AE501" s="11">
        <f>_xlfn.RANK.AVG(Tableau8[[#This Row],[EE ( MJ/m²)]],AD501:AD1656)</f>
        <v>458</v>
      </c>
      <c r="AF501" s="11">
        <f t="shared" si="120"/>
        <v>0.90831626368239105</v>
      </c>
      <c r="AG501" s="11">
        <f t="shared" si="127"/>
        <v>0.1400171315557836</v>
      </c>
      <c r="AH501" s="11">
        <f t="shared" si="121"/>
        <v>0.1400171315557836</v>
      </c>
      <c r="AI501" s="11">
        <f t="shared" si="128"/>
        <v>7.0008565777891801E-2</v>
      </c>
      <c r="AJ501" s="11">
        <f t="shared" si="122"/>
        <v>7.0008565777891801E-2</v>
      </c>
    </row>
    <row r="502" spans="1:36" x14ac:dyDescent="0.25">
      <c r="A502" s="4" t="s">
        <v>945</v>
      </c>
      <c r="B502" s="4" t="s">
        <v>980</v>
      </c>
      <c r="C502" s="4" t="s">
        <v>15</v>
      </c>
      <c r="D502" s="4" t="s">
        <v>938</v>
      </c>
      <c r="E502" t="s">
        <v>250</v>
      </c>
      <c r="F502" t="s">
        <v>171</v>
      </c>
      <c r="G502" t="s">
        <v>251</v>
      </c>
      <c r="H502">
        <v>38.700000000000003</v>
      </c>
      <c r="I502">
        <v>2</v>
      </c>
      <c r="J502" t="s">
        <v>44</v>
      </c>
      <c r="K502" t="s">
        <v>17</v>
      </c>
      <c r="L502" t="s">
        <v>254</v>
      </c>
      <c r="M502" t="s">
        <v>12</v>
      </c>
      <c r="N502" t="s">
        <v>12</v>
      </c>
      <c r="P502">
        <f>(0.15*(PI()*(0.003^2)))*(1/3)</f>
        <v>1.4137166941154069E-6</v>
      </c>
      <c r="Q502" t="s">
        <v>180</v>
      </c>
      <c r="R502" t="s">
        <v>187</v>
      </c>
      <c r="T502">
        <v>168</v>
      </c>
      <c r="W502">
        <v>7800</v>
      </c>
      <c r="X502" t="s">
        <v>184</v>
      </c>
      <c r="Y502" t="s">
        <v>185</v>
      </c>
      <c r="AA502" s="13">
        <f>Tableau8[[#This Row],[density (kg/m2) or specific weight (kg/m2)]]*Tableau8[[#This Row],[nb of item used ]]*Tableau8[[#This Row],[volume or area]]</f>
        <v>1.8525343559688292</v>
      </c>
      <c r="AB502">
        <v>25.3</v>
      </c>
      <c r="AC502">
        <v>1.95</v>
      </c>
      <c r="AD502" s="11">
        <f t="shared" si="119"/>
        <v>1.2110883515765214</v>
      </c>
      <c r="AE502" s="11">
        <f>_xlfn.RANK.AVG(Tableau8[[#This Row],[EE ( MJ/m²)]],AD502:AD1657)</f>
        <v>487</v>
      </c>
      <c r="AF502" s="11">
        <f t="shared" si="120"/>
        <v>0.6055441757882607</v>
      </c>
      <c r="AG502" s="11">
        <f t="shared" si="127"/>
        <v>9.3344754370522393E-2</v>
      </c>
      <c r="AH502" s="11">
        <f t="shared" si="121"/>
        <v>9.3344754370522393E-2</v>
      </c>
      <c r="AI502" s="11">
        <f t="shared" si="128"/>
        <v>4.6672377185261196E-2</v>
      </c>
      <c r="AJ502" s="11">
        <f t="shared" si="122"/>
        <v>4.6672377185261196E-2</v>
      </c>
    </row>
    <row r="503" spans="1:36" x14ac:dyDescent="0.25">
      <c r="A503" s="4" t="s">
        <v>945</v>
      </c>
      <c r="B503" s="4" t="s">
        <v>980</v>
      </c>
      <c r="C503" s="4" t="s">
        <v>15</v>
      </c>
      <c r="D503" s="4" t="s">
        <v>938</v>
      </c>
      <c r="E503" t="s">
        <v>250</v>
      </c>
      <c r="F503" t="s">
        <v>171</v>
      </c>
      <c r="G503" t="s">
        <v>251</v>
      </c>
      <c r="H503">
        <v>38.700000000000003</v>
      </c>
      <c r="I503">
        <v>2</v>
      </c>
      <c r="J503" t="s">
        <v>44</v>
      </c>
      <c r="K503" t="s">
        <v>17</v>
      </c>
      <c r="L503" t="s">
        <v>9</v>
      </c>
      <c r="M503" t="s">
        <v>12</v>
      </c>
      <c r="N503" t="s">
        <v>12</v>
      </c>
      <c r="P503">
        <f>0.1*(PI()*(0.0015^2))</f>
        <v>7.0685834705770344E-7</v>
      </c>
      <c r="Q503" t="s">
        <v>180</v>
      </c>
      <c r="R503" t="s">
        <v>175</v>
      </c>
      <c r="T503">
        <v>110</v>
      </c>
      <c r="W503">
        <v>7800</v>
      </c>
      <c r="X503" t="s">
        <v>184</v>
      </c>
      <c r="Y503" t="s">
        <v>185</v>
      </c>
      <c r="AA503" s="13">
        <f>Tableau8[[#This Row],[density (kg/m2) or specific weight (kg/m2)]]*Tableau8[[#This Row],[nb of item used ]]*Tableau8[[#This Row],[volume or area]]</f>
        <v>0.60648446177550952</v>
      </c>
      <c r="AB503">
        <v>25.3</v>
      </c>
      <c r="AC503">
        <v>1.95</v>
      </c>
      <c r="AD503" s="11">
        <f t="shared" si="119"/>
        <v>0.39648725795659923</v>
      </c>
      <c r="AE503" s="11">
        <f>_xlfn.RANK.AVG(Tableau8[[#This Row],[EE ( MJ/m²)]],AD503:AD1658)</f>
        <v>558</v>
      </c>
      <c r="AF503" s="11">
        <f t="shared" si="120"/>
        <v>0.19824362897829961</v>
      </c>
      <c r="AG503" s="11">
        <f t="shared" si="127"/>
        <v>3.0559294585587687E-2</v>
      </c>
      <c r="AH503" s="11">
        <f t="shared" si="121"/>
        <v>3.0559294585587687E-2</v>
      </c>
      <c r="AI503" s="11">
        <f t="shared" si="128"/>
        <v>1.5279647292793843E-2</v>
      </c>
      <c r="AJ503" s="11">
        <f t="shared" si="122"/>
        <v>1.5279647292793843E-2</v>
      </c>
    </row>
    <row r="504" spans="1:36" x14ac:dyDescent="0.25">
      <c r="A504" s="4" t="s">
        <v>945</v>
      </c>
      <c r="B504" s="4" t="s">
        <v>980</v>
      </c>
      <c r="C504" s="4" t="s">
        <v>15</v>
      </c>
      <c r="D504" s="4" t="s">
        <v>938</v>
      </c>
      <c r="E504" t="s">
        <v>250</v>
      </c>
      <c r="F504" t="s">
        <v>171</v>
      </c>
      <c r="G504" t="s">
        <v>251</v>
      </c>
      <c r="H504">
        <v>38.700000000000003</v>
      </c>
      <c r="I504">
        <v>2</v>
      </c>
      <c r="J504" t="s">
        <v>44</v>
      </c>
      <c r="K504" t="s">
        <v>17</v>
      </c>
      <c r="L504" t="s">
        <v>9</v>
      </c>
      <c r="M504" t="s">
        <v>12</v>
      </c>
      <c r="N504" t="s">
        <v>12</v>
      </c>
      <c r="R504" t="s">
        <v>175</v>
      </c>
      <c r="T504">
        <v>1</v>
      </c>
      <c r="U504" t="s">
        <v>175</v>
      </c>
      <c r="W504">
        <v>7800</v>
      </c>
      <c r="X504" t="s">
        <v>184</v>
      </c>
      <c r="Y504" t="s">
        <v>185</v>
      </c>
      <c r="AA504" s="13">
        <v>4</v>
      </c>
      <c r="AB504">
        <v>25.3</v>
      </c>
      <c r="AC504">
        <v>1.95</v>
      </c>
      <c r="AD504" s="11">
        <f t="shared" si="119"/>
        <v>2.6149870801033592</v>
      </c>
      <c r="AE504" s="11">
        <f>_xlfn.RANK.AVG(Tableau8[[#This Row],[EE ( MJ/m²)]],AD504:AD1659)</f>
        <v>423</v>
      </c>
      <c r="AF504" s="11">
        <f t="shared" si="120"/>
        <v>1.3074935400516796</v>
      </c>
      <c r="AG504" s="11">
        <f t="shared" si="127"/>
        <v>0.20155038759689919</v>
      </c>
      <c r="AH504" s="11">
        <f t="shared" si="121"/>
        <v>0.20155038759689919</v>
      </c>
      <c r="AI504" s="11">
        <f t="shared" si="128"/>
        <v>0.1007751937984496</v>
      </c>
      <c r="AJ504" s="11">
        <f t="shared" si="122"/>
        <v>0.1007751937984496</v>
      </c>
    </row>
    <row r="505" spans="1:36" x14ac:dyDescent="0.25">
      <c r="A505" s="4" t="s">
        <v>945</v>
      </c>
      <c r="B505" s="4" t="s">
        <v>980</v>
      </c>
      <c r="C505" s="4" t="s">
        <v>15</v>
      </c>
      <c r="D505" s="4" t="s">
        <v>938</v>
      </c>
      <c r="E505" t="s">
        <v>250</v>
      </c>
      <c r="F505" t="s">
        <v>171</v>
      </c>
      <c r="G505" t="s">
        <v>251</v>
      </c>
      <c r="H505">
        <v>38.700000000000003</v>
      </c>
      <c r="I505">
        <v>2</v>
      </c>
      <c r="J505" t="s">
        <v>44</v>
      </c>
      <c r="K505" t="s">
        <v>17</v>
      </c>
      <c r="L505" t="s">
        <v>254</v>
      </c>
      <c r="M505" t="s">
        <v>12</v>
      </c>
      <c r="N505" t="s">
        <v>12</v>
      </c>
      <c r="R505" t="s">
        <v>175</v>
      </c>
      <c r="T505">
        <v>1</v>
      </c>
      <c r="U505" t="s">
        <v>175</v>
      </c>
      <c r="W505">
        <v>7800</v>
      </c>
      <c r="X505" t="s">
        <v>184</v>
      </c>
      <c r="Y505" t="s">
        <v>185</v>
      </c>
      <c r="AA505" s="13">
        <f>4*(1/3)</f>
        <v>1.3333333333333333</v>
      </c>
      <c r="AB505">
        <v>25.3</v>
      </c>
      <c r="AC505">
        <v>1.95</v>
      </c>
      <c r="AD505" s="11">
        <f t="shared" si="119"/>
        <v>0.87166236003445297</v>
      </c>
      <c r="AE505" s="11">
        <f>_xlfn.RANK.AVG(Tableau8[[#This Row],[EE ( MJ/m²)]],AD505:AD1660)</f>
        <v>510</v>
      </c>
      <c r="AF505" s="11">
        <f t="shared" si="120"/>
        <v>0.43583118001722648</v>
      </c>
      <c r="AG505" s="11">
        <f t="shared" si="127"/>
        <v>6.7183462532299731E-2</v>
      </c>
      <c r="AH505" s="11">
        <f t="shared" si="121"/>
        <v>6.7183462532299731E-2</v>
      </c>
      <c r="AI505" s="11">
        <f t="shared" si="128"/>
        <v>3.3591731266149866E-2</v>
      </c>
      <c r="AJ505" s="11">
        <f t="shared" si="122"/>
        <v>3.3591731266149866E-2</v>
      </c>
    </row>
    <row r="506" spans="1:36" x14ac:dyDescent="0.25">
      <c r="A506" s="4" t="s">
        <v>945</v>
      </c>
      <c r="B506" s="4" t="s">
        <v>980</v>
      </c>
      <c r="C506" s="4" t="s">
        <v>15</v>
      </c>
      <c r="D506" s="4" t="s">
        <v>938</v>
      </c>
      <c r="E506" t="s">
        <v>250</v>
      </c>
      <c r="F506" t="s">
        <v>171</v>
      </c>
      <c r="G506" t="s">
        <v>251</v>
      </c>
      <c r="H506">
        <v>38.700000000000003</v>
      </c>
      <c r="I506">
        <v>2</v>
      </c>
      <c r="J506" t="s">
        <v>42</v>
      </c>
      <c r="K506" t="s">
        <v>15</v>
      </c>
      <c r="L506" t="s">
        <v>252</v>
      </c>
      <c r="M506" t="s">
        <v>252</v>
      </c>
      <c r="N506" t="s">
        <v>15</v>
      </c>
      <c r="P506">
        <f>0.06*1.525*1.525</f>
        <v>0.13953749999999998</v>
      </c>
      <c r="Q506" t="s">
        <v>180</v>
      </c>
      <c r="R506" t="s">
        <v>175</v>
      </c>
      <c r="T506">
        <v>5</v>
      </c>
      <c r="W506">
        <v>90</v>
      </c>
      <c r="X506" t="s">
        <v>184</v>
      </c>
      <c r="Y506" t="s">
        <v>185</v>
      </c>
      <c r="AA506" s="13">
        <f>W506*T506*P506</f>
        <v>62.79187499999999</v>
      </c>
      <c r="AB506">
        <f>10-4.4</f>
        <v>5.6</v>
      </c>
      <c r="AC506">
        <f>0.31+0.41</f>
        <v>0.72</v>
      </c>
      <c r="AD506" s="11">
        <f t="shared" si="119"/>
        <v>9.0861627906976725</v>
      </c>
      <c r="AE506" s="11">
        <f>_xlfn.RANK.AVG(Tableau8[[#This Row],[EE ( MJ/m²)]],AD506:AD1661)</f>
        <v>303</v>
      </c>
      <c r="AF506" s="11">
        <f t="shared" si="120"/>
        <v>4.5430813953488363</v>
      </c>
      <c r="AG506" s="11">
        <f t="shared" si="127"/>
        <v>1.1682209302325579</v>
      </c>
      <c r="AH506" s="11">
        <f t="shared" si="121"/>
        <v>1.1682209302325579</v>
      </c>
      <c r="AI506" s="11">
        <f t="shared" si="128"/>
        <v>0.58411046511627895</v>
      </c>
      <c r="AJ506" s="11">
        <f t="shared" si="122"/>
        <v>0.58411046511627895</v>
      </c>
    </row>
    <row r="507" spans="1:36" x14ac:dyDescent="0.25">
      <c r="A507" s="4" t="s">
        <v>945</v>
      </c>
      <c r="B507" s="4" t="s">
        <v>980</v>
      </c>
      <c r="C507" s="4" t="s">
        <v>15</v>
      </c>
      <c r="D507" s="4" t="s">
        <v>938</v>
      </c>
      <c r="E507" t="s">
        <v>250</v>
      </c>
      <c r="F507" t="s">
        <v>171</v>
      </c>
      <c r="G507" t="s">
        <v>251</v>
      </c>
      <c r="H507">
        <v>38.700000000000003</v>
      </c>
      <c r="I507">
        <v>2</v>
      </c>
      <c r="J507" t="s">
        <v>30</v>
      </c>
      <c r="K507" t="s">
        <v>14</v>
      </c>
      <c r="L507" t="s">
        <v>208</v>
      </c>
      <c r="M507" t="s">
        <v>77</v>
      </c>
      <c r="N507" t="s">
        <v>35</v>
      </c>
      <c r="P507">
        <f>4*5</f>
        <v>20</v>
      </c>
      <c r="Q507" t="s">
        <v>179</v>
      </c>
      <c r="R507" t="s">
        <v>175</v>
      </c>
      <c r="T507">
        <v>7</v>
      </c>
      <c r="W507">
        <v>0.18</v>
      </c>
      <c r="X507" t="s">
        <v>183</v>
      </c>
      <c r="Y507" t="s">
        <v>175</v>
      </c>
      <c r="AA507" s="13">
        <f>Tableau8[[#This Row],[nb of item used ]]*Tableau8[[#This Row],[density (kg/m2) or specific weight (kg/m2)]]*Tableau8[[#This Row],[volume or area]]</f>
        <v>25.2</v>
      </c>
      <c r="AB507">
        <v>54.3</v>
      </c>
      <c r="AC507">
        <v>1.93</v>
      </c>
      <c r="AD507" s="11">
        <f t="shared" si="119"/>
        <v>35.358139534883719</v>
      </c>
      <c r="AE507" s="11">
        <f>_xlfn.RANK.AVG(Tableau8[[#This Row],[EE ( MJ/m²)]],AD507:AD1662)</f>
        <v>164</v>
      </c>
      <c r="AF507" s="11">
        <f t="shared" si="120"/>
        <v>17.67906976744186</v>
      </c>
      <c r="AG507" s="11">
        <f t="shared" si="127"/>
        <v>1.2567441860465114</v>
      </c>
      <c r="AH507" s="11">
        <f t="shared" si="121"/>
        <v>1.2567441860465114</v>
      </c>
      <c r="AI507" s="11">
        <f t="shared" si="128"/>
        <v>0.6283720930232557</v>
      </c>
      <c r="AJ507" s="11">
        <f t="shared" si="122"/>
        <v>0.6283720930232557</v>
      </c>
    </row>
    <row r="508" spans="1:36" x14ac:dyDescent="0.25">
      <c r="A508" s="4" t="s">
        <v>945</v>
      </c>
      <c r="B508" s="4" t="s">
        <v>980</v>
      </c>
      <c r="C508" s="4" t="s">
        <v>15</v>
      </c>
      <c r="D508" s="4" t="s">
        <v>938</v>
      </c>
      <c r="E508" t="s">
        <v>250</v>
      </c>
      <c r="F508" t="s">
        <v>171</v>
      </c>
      <c r="G508" t="s">
        <v>251</v>
      </c>
      <c r="H508">
        <v>38.700000000000003</v>
      </c>
      <c r="I508">
        <v>2</v>
      </c>
      <c r="J508" t="s">
        <v>44</v>
      </c>
      <c r="K508" t="s">
        <v>217</v>
      </c>
      <c r="L508" t="s">
        <v>228</v>
      </c>
      <c r="M508" t="s">
        <v>233</v>
      </c>
      <c r="N508" t="s">
        <v>234</v>
      </c>
      <c r="P508">
        <f>60*PI()*(0.003^2)</f>
        <v>1.6964600329384882E-3</v>
      </c>
      <c r="Q508" t="s">
        <v>180</v>
      </c>
      <c r="R508" t="s">
        <v>175</v>
      </c>
      <c r="T508">
        <v>1</v>
      </c>
      <c r="W508">
        <v>0.2</v>
      </c>
      <c r="X508" t="s">
        <v>183</v>
      </c>
      <c r="AA508" s="13">
        <f>Tableau8[[#This Row],[density (kg/m2) or specific weight (kg/m2)]]*Tableau8[[#This Row],[volume or area]]</f>
        <v>3.3929200658769766E-4</v>
      </c>
      <c r="AB508">
        <v>143</v>
      </c>
      <c r="AC508">
        <v>6.78</v>
      </c>
      <c r="AD508" s="11">
        <f t="shared" si="119"/>
        <v>1.2537146496651361E-3</v>
      </c>
      <c r="AE508" s="11">
        <f>_xlfn.RANK.AVG(Tableau8[[#This Row],[EE ( MJ/m²)]],AD508:AD1663)</f>
        <v>647</v>
      </c>
      <c r="AF508" s="11">
        <f t="shared" si="120"/>
        <v>6.2685732483256805E-4</v>
      </c>
      <c r="AG508" s="11">
        <f t="shared" si="127"/>
        <v>5.9441855417689674E-5</v>
      </c>
      <c r="AH508" s="11">
        <f t="shared" si="121"/>
        <v>5.9441855417689674E-5</v>
      </c>
      <c r="AI508" s="11">
        <f t="shared" si="128"/>
        <v>2.9720927708844837E-5</v>
      </c>
      <c r="AJ508" s="11">
        <f t="shared" si="122"/>
        <v>2.9720927708844837E-5</v>
      </c>
    </row>
    <row r="509" spans="1:36" x14ac:dyDescent="0.25">
      <c r="A509" s="4" t="s">
        <v>945</v>
      </c>
      <c r="B509" s="4" t="s">
        <v>980</v>
      </c>
      <c r="C509" s="4" t="s">
        <v>15</v>
      </c>
      <c r="D509" s="4" t="s">
        <v>938</v>
      </c>
      <c r="E509" t="s">
        <v>250</v>
      </c>
      <c r="F509" t="s">
        <v>171</v>
      </c>
      <c r="G509" t="s">
        <v>251</v>
      </c>
      <c r="H509">
        <v>38.700000000000003</v>
      </c>
      <c r="I509">
        <v>2</v>
      </c>
      <c r="J509" t="s">
        <v>13</v>
      </c>
      <c r="K509" t="s">
        <v>18</v>
      </c>
      <c r="L509" t="s">
        <v>202</v>
      </c>
      <c r="M509" t="s">
        <v>18</v>
      </c>
      <c r="N509" t="s">
        <v>39</v>
      </c>
      <c r="P509">
        <f>0.6*0.4*0.4</f>
        <v>9.6000000000000002E-2</v>
      </c>
      <c r="Q509" t="s">
        <v>180</v>
      </c>
      <c r="R509" t="s">
        <v>187</v>
      </c>
      <c r="T509">
        <v>16</v>
      </c>
      <c r="W509">
        <v>2400</v>
      </c>
      <c r="X509" t="s">
        <v>184</v>
      </c>
      <c r="Y509" t="s">
        <v>185</v>
      </c>
      <c r="Z509" t="s">
        <v>48</v>
      </c>
      <c r="AA509" s="13">
        <f>W509*T509*P509</f>
        <v>3686.4</v>
      </c>
      <c r="AB509">
        <v>0.75</v>
      </c>
      <c r="AC509">
        <v>0.107</v>
      </c>
      <c r="AD509" s="11">
        <f t="shared" si="119"/>
        <v>71.441860465116278</v>
      </c>
      <c r="AE509" s="11">
        <f>_xlfn.RANK.AVG(Tableau8[[#This Row],[EE ( MJ/m²)]],AD509:AD1664)</f>
        <v>106</v>
      </c>
      <c r="AF509" s="11">
        <f t="shared" si="120"/>
        <v>35.720930232558139</v>
      </c>
      <c r="AG509" s="11">
        <f t="shared" si="127"/>
        <v>10.192372093023256</v>
      </c>
      <c r="AH509" s="11">
        <f t="shared" si="121"/>
        <v>10.192372093023256</v>
      </c>
      <c r="AI509" s="11">
        <f t="shared" si="128"/>
        <v>5.0961860465116278</v>
      </c>
      <c r="AJ509" s="11">
        <f t="shared" si="122"/>
        <v>5.0961860465116278</v>
      </c>
    </row>
    <row r="510" spans="1:36" x14ac:dyDescent="0.25">
      <c r="A510" s="4" t="s">
        <v>945</v>
      </c>
      <c r="B510" s="4" t="s">
        <v>980</v>
      </c>
      <c r="C510" s="4" t="s">
        <v>15</v>
      </c>
      <c r="D510" s="4" t="s">
        <v>938</v>
      </c>
      <c r="E510" t="s">
        <v>250</v>
      </c>
      <c r="F510" t="s">
        <v>171</v>
      </c>
      <c r="G510" t="s">
        <v>251</v>
      </c>
      <c r="H510">
        <v>38.700000000000003</v>
      </c>
      <c r="I510">
        <v>2</v>
      </c>
      <c r="J510" t="s">
        <v>42</v>
      </c>
      <c r="K510" t="s">
        <v>15</v>
      </c>
      <c r="L510" t="s">
        <v>235</v>
      </c>
      <c r="M510" t="s">
        <v>235</v>
      </c>
      <c r="N510" t="s">
        <v>443</v>
      </c>
      <c r="P510">
        <f>10*((PI()*(0.05^2))-(PI()*(0.03^2)))</f>
        <v>5.02654824574367E-2</v>
      </c>
      <c r="Q510" t="s">
        <v>180</v>
      </c>
      <c r="R510" t="s">
        <v>175</v>
      </c>
      <c r="S510" t="s">
        <v>440</v>
      </c>
      <c r="T510">
        <v>24</v>
      </c>
      <c r="W510">
        <v>100</v>
      </c>
      <c r="X510" t="s">
        <v>184</v>
      </c>
      <c r="Y510" t="s">
        <v>441</v>
      </c>
      <c r="Z510" t="s">
        <v>444</v>
      </c>
      <c r="AA510" s="13">
        <f>W510*T510*P510</f>
        <v>120.63715789784808</v>
      </c>
      <c r="AB510">
        <v>13.13</v>
      </c>
      <c r="AC510">
        <v>12.37</v>
      </c>
      <c r="AD510" s="11">
        <f>AB510*(AA510/Tableau8[[#This Row],[density (kg/m2) or specific weight (kg/m2)]])/H510</f>
        <v>0.4092935098704768</v>
      </c>
      <c r="AE510" s="11">
        <f>_xlfn.RANK.AVG(Tableau8[[#This Row],[EE ( MJ/m²)]],AD510:AD1665)</f>
        <v>550</v>
      </c>
      <c r="AF510" s="11">
        <f>AB510*(AA510/Tableau8[[#This Row],[density (kg/m2) or specific weight (kg/m2)]])/H510/I510</f>
        <v>0.2046467549352384</v>
      </c>
      <c r="AG510" s="11">
        <f>(AC510)*(AA510/Tableau8[[#This Row],[density (kg/m2) or specific weight (kg/m2)]])/H510</f>
        <v>0.38560249178201045</v>
      </c>
      <c r="AH510" s="11">
        <f>AC510*(AA510/Tableau8[[#This Row],[density (kg/m2) or specific weight (kg/m2)]])/H510</f>
        <v>0.38560249178201045</v>
      </c>
      <c r="AI510" s="11">
        <f>(AC510)*(AA510/Tableau8[[#This Row],[density (kg/m2) or specific weight (kg/m2)]])/H510/I510</f>
        <v>0.19280124589100522</v>
      </c>
      <c r="AJ510" s="11">
        <f>AC510*(AA510/Tableau8[[#This Row],[density (kg/m2) or specific weight (kg/m2)]])/H510/I510</f>
        <v>0.19280124589100522</v>
      </c>
    </row>
    <row r="511" spans="1:36" x14ac:dyDescent="0.25">
      <c r="A511" s="4" t="s">
        <v>945</v>
      </c>
      <c r="B511" s="4" t="s">
        <v>981</v>
      </c>
      <c r="C511" s="4" t="s">
        <v>15</v>
      </c>
      <c r="D511" s="4" t="s">
        <v>938</v>
      </c>
      <c r="E511" t="s">
        <v>220</v>
      </c>
      <c r="F511" t="s">
        <v>171</v>
      </c>
      <c r="G511" t="s">
        <v>206</v>
      </c>
      <c r="H511">
        <v>21</v>
      </c>
      <c r="I511">
        <v>2</v>
      </c>
      <c r="J511" t="s">
        <v>57</v>
      </c>
      <c r="K511" t="s">
        <v>14</v>
      </c>
      <c r="L511" t="s">
        <v>209</v>
      </c>
      <c r="M511" t="s">
        <v>212</v>
      </c>
      <c r="N511" t="s">
        <v>498</v>
      </c>
      <c r="O511" t="s">
        <v>216</v>
      </c>
      <c r="P511">
        <f>1.2*3.5</f>
        <v>4.2</v>
      </c>
      <c r="Q511" t="s">
        <v>179</v>
      </c>
      <c r="R511" t="s">
        <v>175</v>
      </c>
      <c r="T511">
        <v>8</v>
      </c>
      <c r="W511">
        <v>0.5</v>
      </c>
      <c r="X511" t="s">
        <v>183</v>
      </c>
      <c r="AA511" s="13">
        <f>W511*T511*P511</f>
        <v>16.8</v>
      </c>
      <c r="AB511">
        <v>55.7</v>
      </c>
      <c r="AC511">
        <v>3.43</v>
      </c>
      <c r="AD511" s="11">
        <f t="shared" ref="AD511:AD530" si="129">AB511*AA511/H511</f>
        <v>44.56</v>
      </c>
      <c r="AE511" s="11">
        <f>_xlfn.RANK.AVG(Tableau8[[#This Row],[EE ( MJ/m²)]],AD511:AD1666)</f>
        <v>138.5</v>
      </c>
      <c r="AF511" s="11">
        <f t="shared" ref="AF511:AF520" si="130">AB511*AA511/H511/I511</f>
        <v>22.28</v>
      </c>
      <c r="AG511" s="11">
        <f>(AC511)*AA511/H511</f>
        <v>2.7440000000000002</v>
      </c>
      <c r="AH511" s="11">
        <f t="shared" ref="AH511:AH530" si="131">AC511*AA511/H511</f>
        <v>2.7440000000000002</v>
      </c>
      <c r="AI511" s="11">
        <f>(AC511)*AA511/H511/I511</f>
        <v>1.3720000000000001</v>
      </c>
      <c r="AJ511" s="11">
        <f t="shared" ref="AJ511:AJ520" si="132">AC511*AA511/H511/I511</f>
        <v>1.3720000000000001</v>
      </c>
    </row>
    <row r="512" spans="1:36" x14ac:dyDescent="0.25">
      <c r="A512" s="4" t="s">
        <v>945</v>
      </c>
      <c r="B512" s="4" t="s">
        <v>981</v>
      </c>
      <c r="C512" s="4" t="s">
        <v>15</v>
      </c>
      <c r="D512" s="4" t="s">
        <v>938</v>
      </c>
      <c r="E512" t="s">
        <v>220</v>
      </c>
      <c r="F512" t="s">
        <v>171</v>
      </c>
      <c r="G512" t="s">
        <v>206</v>
      </c>
      <c r="H512">
        <v>21</v>
      </c>
      <c r="I512">
        <v>2</v>
      </c>
      <c r="J512" t="s">
        <v>44</v>
      </c>
      <c r="K512" t="s">
        <v>14</v>
      </c>
      <c r="L512" t="s">
        <v>207</v>
      </c>
      <c r="M512" t="s">
        <v>211</v>
      </c>
      <c r="N512" t="s">
        <v>595</v>
      </c>
      <c r="P512">
        <f>20*(PI()*(0.0015^2))</f>
        <v>1.4137166941154068E-4</v>
      </c>
      <c r="Q512" t="s">
        <v>180</v>
      </c>
      <c r="R512" t="s">
        <v>175</v>
      </c>
      <c r="T512">
        <v>2</v>
      </c>
      <c r="W512">
        <v>1380</v>
      </c>
      <c r="X512" t="s">
        <v>184</v>
      </c>
      <c r="AA512" s="13">
        <f>W512*T512*P512</f>
        <v>0.39018580757585231</v>
      </c>
      <c r="AB512">
        <v>55</v>
      </c>
      <c r="AC512">
        <f>9.52</f>
        <v>9.52</v>
      </c>
      <c r="AD512" s="11">
        <f t="shared" si="129"/>
        <v>1.0219152103177085</v>
      </c>
      <c r="AE512" s="11">
        <f>_xlfn.RANK.AVG(Tableau8[[#This Row],[EE ( MJ/m²)]],AD512:AD1667)</f>
        <v>497.5</v>
      </c>
      <c r="AF512" s="11">
        <f t="shared" si="130"/>
        <v>0.51095760515885424</v>
      </c>
      <c r="AG512" s="11">
        <f>(AC512)*AA512/H512</f>
        <v>0.17688423276771972</v>
      </c>
      <c r="AH512" s="11">
        <f t="shared" si="131"/>
        <v>0.17688423276771972</v>
      </c>
      <c r="AI512" s="11">
        <f>(AC512)*AA512/H512/I512</f>
        <v>8.8442116383859862E-2</v>
      </c>
      <c r="AJ512" s="11">
        <f t="shared" si="132"/>
        <v>8.8442116383859862E-2</v>
      </c>
    </row>
    <row r="513" spans="1:36" x14ac:dyDescent="0.25">
      <c r="A513" s="4" t="s">
        <v>945</v>
      </c>
      <c r="B513" s="4" t="s">
        <v>981</v>
      </c>
      <c r="C513" s="4" t="s">
        <v>15</v>
      </c>
      <c r="D513" s="4" t="s">
        <v>938</v>
      </c>
      <c r="E513" t="s">
        <v>220</v>
      </c>
      <c r="F513" t="s">
        <v>171</v>
      </c>
      <c r="G513" t="s">
        <v>206</v>
      </c>
      <c r="H513">
        <v>21</v>
      </c>
      <c r="I513">
        <v>2</v>
      </c>
      <c r="J513" t="s">
        <v>44</v>
      </c>
      <c r="K513" t="s">
        <v>14</v>
      </c>
      <c r="L513" t="s">
        <v>207</v>
      </c>
      <c r="M513" t="s">
        <v>211</v>
      </c>
      <c r="N513" t="s">
        <v>595</v>
      </c>
      <c r="P513">
        <f>30*(PI()*(0.004^2))</f>
        <v>1.5079644737231006E-3</v>
      </c>
      <c r="Q513" t="s">
        <v>180</v>
      </c>
      <c r="R513" t="s">
        <v>175</v>
      </c>
      <c r="T513">
        <v>1</v>
      </c>
      <c r="W513">
        <v>1380</v>
      </c>
      <c r="X513" t="s">
        <v>184</v>
      </c>
      <c r="AA513" s="13">
        <f>W513*T513*P513</f>
        <v>2.0809909737378787</v>
      </c>
      <c r="AB513">
        <v>55</v>
      </c>
      <c r="AC513">
        <f>9.52</f>
        <v>9.52</v>
      </c>
      <c r="AD513" s="11">
        <f t="shared" si="129"/>
        <v>5.450214455027778</v>
      </c>
      <c r="AE513" s="11">
        <f>_xlfn.RANK.AVG(Tableau8[[#This Row],[EE ( MJ/m²)]],AD513:AD1668)</f>
        <v>356.5</v>
      </c>
      <c r="AF513" s="11">
        <f t="shared" si="130"/>
        <v>2.725107227513889</v>
      </c>
      <c r="AG513" s="11">
        <f>(AC513)*AA513/H513</f>
        <v>0.9433825747611716</v>
      </c>
      <c r="AH513" s="11">
        <f t="shared" si="131"/>
        <v>0.9433825747611716</v>
      </c>
      <c r="AI513" s="11">
        <f>(AC513)*AA513/H513/I513</f>
        <v>0.4716912873805858</v>
      </c>
      <c r="AJ513" s="11">
        <f t="shared" si="132"/>
        <v>0.4716912873805858</v>
      </c>
    </row>
    <row r="514" spans="1:36" x14ac:dyDescent="0.25">
      <c r="A514" s="4" t="s">
        <v>945</v>
      </c>
      <c r="B514" s="4" t="s">
        <v>981</v>
      </c>
      <c r="C514" s="4" t="s">
        <v>15</v>
      </c>
      <c r="D514" s="4" t="s">
        <v>938</v>
      </c>
      <c r="E514" t="s">
        <v>220</v>
      </c>
      <c r="F514" t="s">
        <v>171</v>
      </c>
      <c r="G514" t="s">
        <v>206</v>
      </c>
      <c r="H514">
        <v>21</v>
      </c>
      <c r="I514">
        <v>2</v>
      </c>
      <c r="J514" t="s">
        <v>219</v>
      </c>
      <c r="K514" t="s">
        <v>14</v>
      </c>
      <c r="L514" t="s">
        <v>208</v>
      </c>
      <c r="M514" t="s">
        <v>77</v>
      </c>
      <c r="N514" t="s">
        <v>35</v>
      </c>
      <c r="P514">
        <f>4*5</f>
        <v>20</v>
      </c>
      <c r="Q514" t="s">
        <v>179</v>
      </c>
      <c r="R514" t="s">
        <v>175</v>
      </c>
      <c r="T514">
        <v>4</v>
      </c>
      <c r="W514">
        <v>0.18</v>
      </c>
      <c r="X514" t="s">
        <v>183</v>
      </c>
      <c r="Y514" t="s">
        <v>175</v>
      </c>
      <c r="AA514" s="13">
        <f>Tableau8[[#This Row],[nb of item used ]]*Tableau8[[#This Row],[density (kg/m2) or specific weight (kg/m2)]]*Tableau8[[#This Row],[volume or area]]</f>
        <v>14.399999999999999</v>
      </c>
      <c r="AB514">
        <v>54.3</v>
      </c>
      <c r="AC514">
        <v>1.93</v>
      </c>
      <c r="AD514" s="11">
        <f t="shared" si="129"/>
        <v>37.234285714285704</v>
      </c>
      <c r="AE514" s="11">
        <f>_xlfn.RANK.AVG(Tableau8[[#This Row],[EE ( MJ/m²)]],AD514:AD1669)</f>
        <v>153</v>
      </c>
      <c r="AF514" s="11">
        <f t="shared" si="130"/>
        <v>18.617142857142852</v>
      </c>
      <c r="AG514" s="11">
        <f>(AC514)*AA514/H514</f>
        <v>1.3234285714285714</v>
      </c>
      <c r="AH514" s="11">
        <f t="shared" si="131"/>
        <v>1.3234285714285714</v>
      </c>
      <c r="AI514" s="11">
        <f>(AC514)*AA514/H514/I514</f>
        <v>0.6617142857142857</v>
      </c>
      <c r="AJ514" s="11">
        <f t="shared" si="132"/>
        <v>0.6617142857142857</v>
      </c>
    </row>
    <row r="515" spans="1:36" x14ac:dyDescent="0.25">
      <c r="A515" s="4" t="s">
        <v>945</v>
      </c>
      <c r="B515" s="4" t="s">
        <v>981</v>
      </c>
      <c r="C515" s="4" t="s">
        <v>15</v>
      </c>
      <c r="D515" s="4" t="s">
        <v>938</v>
      </c>
      <c r="E515" t="s">
        <v>220</v>
      </c>
      <c r="F515" t="s">
        <v>171</v>
      </c>
      <c r="G515" t="s">
        <v>206</v>
      </c>
      <c r="H515">
        <v>21</v>
      </c>
      <c r="I515">
        <v>2</v>
      </c>
      <c r="J515" t="s">
        <v>218</v>
      </c>
      <c r="K515" t="s">
        <v>15</v>
      </c>
      <c r="L515" t="s">
        <v>213</v>
      </c>
      <c r="M515" t="s">
        <v>210</v>
      </c>
      <c r="N515" t="s">
        <v>15</v>
      </c>
      <c r="P515">
        <f>4*(PI()*(0.05^2))</f>
        <v>3.1415926535897934E-2</v>
      </c>
      <c r="Q515" t="s">
        <v>180</v>
      </c>
      <c r="R515" t="s">
        <v>175</v>
      </c>
      <c r="T515">
        <v>16</v>
      </c>
      <c r="W515">
        <v>90</v>
      </c>
      <c r="X515" t="s">
        <v>184</v>
      </c>
      <c r="Y515" t="s">
        <v>185</v>
      </c>
      <c r="AA515" s="13">
        <f>Tableau8[[#This Row],[density (kg/m2) or specific weight (kg/m2)]]*Tableau8[[#This Row],[volume or area]]</f>
        <v>2.8274333882308142</v>
      </c>
      <c r="AB515">
        <f>10-4.4</f>
        <v>5.6</v>
      </c>
      <c r="AC515">
        <f>0.31+0.41</f>
        <v>0.72</v>
      </c>
      <c r="AD515" s="11">
        <f t="shared" si="129"/>
        <v>0.75398223686155041</v>
      </c>
      <c r="AE515" s="11">
        <f>_xlfn.RANK.AVG(Tableau8[[#This Row],[EE ( MJ/m²)]],AD515:AD1670)</f>
        <v>512.5</v>
      </c>
      <c r="AF515" s="11">
        <f t="shared" si="130"/>
        <v>0.37699111843077521</v>
      </c>
      <c r="AG515" s="11">
        <f>(AC515-0.41)*AA515/H515</f>
        <v>4.1738302397692974E-2</v>
      </c>
      <c r="AH515" s="11">
        <f t="shared" si="131"/>
        <v>9.6940573310770772E-2</v>
      </c>
      <c r="AI515" s="11">
        <f>(AC515-0.41)*AA515/H515/I515</f>
        <v>2.0869151198846487E-2</v>
      </c>
      <c r="AJ515" s="11">
        <f t="shared" si="132"/>
        <v>4.8470286655385386E-2</v>
      </c>
    </row>
    <row r="516" spans="1:36" x14ac:dyDescent="0.25">
      <c r="A516" s="4" t="s">
        <v>945</v>
      </c>
      <c r="B516" s="4" t="s">
        <v>981</v>
      </c>
      <c r="C516" s="4" t="s">
        <v>15</v>
      </c>
      <c r="D516" s="4" t="s">
        <v>938</v>
      </c>
      <c r="E516" t="s">
        <v>220</v>
      </c>
      <c r="F516" t="s">
        <v>171</v>
      </c>
      <c r="G516" t="s">
        <v>206</v>
      </c>
      <c r="H516">
        <v>21</v>
      </c>
      <c r="I516">
        <v>2</v>
      </c>
      <c r="J516" t="s">
        <v>218</v>
      </c>
      <c r="K516" t="s">
        <v>15</v>
      </c>
      <c r="L516" t="s">
        <v>214</v>
      </c>
      <c r="M516" t="s">
        <v>210</v>
      </c>
      <c r="N516" t="s">
        <v>15</v>
      </c>
      <c r="P516">
        <f>3*(PI()*(0.06^2))</f>
        <v>3.3929200658769768E-2</v>
      </c>
      <c r="Q516" t="s">
        <v>180</v>
      </c>
      <c r="R516" t="s">
        <v>175</v>
      </c>
      <c r="T516">
        <v>8</v>
      </c>
      <c r="W516">
        <v>90</v>
      </c>
      <c r="X516" t="s">
        <v>184</v>
      </c>
      <c r="Y516" t="s">
        <v>185</v>
      </c>
      <c r="AA516" s="13">
        <f>Tableau8[[#This Row],[density (kg/m2) or specific weight (kg/m2)]]*Tableau8[[#This Row],[volume or area]]</f>
        <v>3.0536280592892791</v>
      </c>
      <c r="AB516">
        <f>10-4.4</f>
        <v>5.6</v>
      </c>
      <c r="AC516">
        <f>0.31+0.41</f>
        <v>0.72</v>
      </c>
      <c r="AD516" s="11">
        <f t="shared" si="129"/>
        <v>0.81430081581047431</v>
      </c>
      <c r="AE516" s="11">
        <f>_xlfn.RANK.AVG(Tableau8[[#This Row],[EE ( MJ/m²)]],AD516:AD1671)</f>
        <v>505.5</v>
      </c>
      <c r="AF516" s="11">
        <f t="shared" si="130"/>
        <v>0.40715040790523715</v>
      </c>
      <c r="AG516" s="11">
        <f>(AC516-0.41)*AA516/H516</f>
        <v>4.5077366589508401E-2</v>
      </c>
      <c r="AH516" s="11">
        <f t="shared" si="131"/>
        <v>0.10469581917563241</v>
      </c>
      <c r="AI516" s="11">
        <f>(AC516-0.41)*AA516/H516/I516</f>
        <v>2.2538683294754201E-2</v>
      </c>
      <c r="AJ516" s="11">
        <f t="shared" si="132"/>
        <v>5.2347909587816203E-2</v>
      </c>
    </row>
    <row r="517" spans="1:36" x14ac:dyDescent="0.25">
      <c r="A517" s="4" t="s">
        <v>945</v>
      </c>
      <c r="B517" s="4" t="s">
        <v>981</v>
      </c>
      <c r="C517" s="4" t="s">
        <v>15</v>
      </c>
      <c r="D517" s="4" t="s">
        <v>938</v>
      </c>
      <c r="E517" t="s">
        <v>220</v>
      </c>
      <c r="F517" t="s">
        <v>171</v>
      </c>
      <c r="G517" t="s">
        <v>206</v>
      </c>
      <c r="H517">
        <v>21</v>
      </c>
      <c r="I517">
        <v>2</v>
      </c>
      <c r="J517" t="s">
        <v>218</v>
      </c>
      <c r="K517" t="s">
        <v>15</v>
      </c>
      <c r="L517" t="s">
        <v>215</v>
      </c>
      <c r="M517" t="s">
        <v>210</v>
      </c>
      <c r="N517" t="s">
        <v>15</v>
      </c>
      <c r="P517">
        <f>4*(PI()*(0.03^2))</f>
        <v>1.1309733552923255E-2</v>
      </c>
      <c r="Q517" t="s">
        <v>180</v>
      </c>
      <c r="R517" t="s">
        <v>175</v>
      </c>
      <c r="T517">
        <v>24</v>
      </c>
      <c r="W517">
        <v>90</v>
      </c>
      <c r="X517" t="s">
        <v>184</v>
      </c>
      <c r="Y517" t="s">
        <v>185</v>
      </c>
      <c r="AA517" s="13">
        <f>Tableau8[[#This Row],[density (kg/m2) or specific weight (kg/m2)]]*Tableau8[[#This Row],[volume or area]]</f>
        <v>1.0178760197630929</v>
      </c>
      <c r="AB517">
        <f>10-4.4</f>
        <v>5.6</v>
      </c>
      <c r="AC517">
        <f>0.31+0.41</f>
        <v>0.72</v>
      </c>
      <c r="AD517" s="11">
        <f t="shared" si="129"/>
        <v>0.27143360527015808</v>
      </c>
      <c r="AE517" s="11">
        <f>_xlfn.RANK.AVG(Tableau8[[#This Row],[EE ( MJ/m²)]],AD517:AD1672)</f>
        <v>558.5</v>
      </c>
      <c r="AF517" s="11">
        <f t="shared" si="130"/>
        <v>0.13571680263507904</v>
      </c>
      <c r="AG517" s="11">
        <f>(AC517-0.41)*AA517/H517</f>
        <v>1.5025788863169468E-2</v>
      </c>
      <c r="AH517" s="11">
        <f t="shared" si="131"/>
        <v>3.4898606391877474E-2</v>
      </c>
      <c r="AI517" s="11">
        <f>(AC517-0.41)*AA517/H517/I517</f>
        <v>7.5128944315847341E-3</v>
      </c>
      <c r="AJ517" s="11">
        <f t="shared" si="132"/>
        <v>1.7449303195938737E-2</v>
      </c>
    </row>
    <row r="518" spans="1:36" x14ac:dyDescent="0.25">
      <c r="A518" s="4" t="s">
        <v>945</v>
      </c>
      <c r="B518" s="4" t="s">
        <v>982</v>
      </c>
      <c r="C518" s="4" t="s">
        <v>15</v>
      </c>
      <c r="D518" s="4" t="s">
        <v>938</v>
      </c>
      <c r="E518" t="s">
        <v>221</v>
      </c>
      <c r="F518" t="s">
        <v>171</v>
      </c>
      <c r="G518" t="s">
        <v>206</v>
      </c>
      <c r="H518">
        <v>21</v>
      </c>
      <c r="I518">
        <v>2</v>
      </c>
      <c r="J518" t="s">
        <v>57</v>
      </c>
      <c r="K518" t="s">
        <v>14</v>
      </c>
      <c r="L518" t="s">
        <v>209</v>
      </c>
      <c r="M518" t="s">
        <v>212</v>
      </c>
      <c r="N518" t="s">
        <v>498</v>
      </c>
      <c r="O518" t="s">
        <v>216</v>
      </c>
      <c r="P518">
        <f>1.2*3.5</f>
        <v>4.2</v>
      </c>
      <c r="Q518" t="s">
        <v>179</v>
      </c>
      <c r="R518" t="s">
        <v>175</v>
      </c>
      <c r="T518">
        <v>8</v>
      </c>
      <c r="W518">
        <v>0.5</v>
      </c>
      <c r="X518" t="s">
        <v>183</v>
      </c>
      <c r="AA518" s="13">
        <f>W518*T518*P518</f>
        <v>16.8</v>
      </c>
      <c r="AB518">
        <v>55.7</v>
      </c>
      <c r="AC518">
        <v>3.43</v>
      </c>
      <c r="AD518" s="11">
        <f t="shared" si="129"/>
        <v>44.56</v>
      </c>
      <c r="AE518" s="11">
        <f>_xlfn.RANK.AVG(Tableau8[[#This Row],[EE ( MJ/m²)]],AD518:AD1673)</f>
        <v>138</v>
      </c>
      <c r="AF518" s="11">
        <f t="shared" si="130"/>
        <v>22.28</v>
      </c>
      <c r="AG518" s="11">
        <f>(AC518)*AA518/H518</f>
        <v>2.7440000000000002</v>
      </c>
      <c r="AH518" s="11">
        <f t="shared" si="131"/>
        <v>2.7440000000000002</v>
      </c>
      <c r="AI518" s="11">
        <f>(AC518)*AA518/H518/I518</f>
        <v>1.3720000000000001</v>
      </c>
      <c r="AJ518" s="11">
        <f t="shared" si="132"/>
        <v>1.3720000000000001</v>
      </c>
    </row>
    <row r="519" spans="1:36" x14ac:dyDescent="0.25">
      <c r="A519" s="4" t="s">
        <v>945</v>
      </c>
      <c r="B519" s="4" t="s">
        <v>982</v>
      </c>
      <c r="C519" s="4" t="s">
        <v>15</v>
      </c>
      <c r="D519" s="4" t="s">
        <v>938</v>
      </c>
      <c r="E519" t="s">
        <v>221</v>
      </c>
      <c r="F519" t="s">
        <v>171</v>
      </c>
      <c r="G519" t="s">
        <v>206</v>
      </c>
      <c r="H519">
        <v>21</v>
      </c>
      <c r="I519">
        <v>2</v>
      </c>
      <c r="J519" t="s">
        <v>44</v>
      </c>
      <c r="K519" t="s">
        <v>14</v>
      </c>
      <c r="L519" t="s">
        <v>207</v>
      </c>
      <c r="M519" t="s">
        <v>211</v>
      </c>
      <c r="N519" t="s">
        <v>595</v>
      </c>
      <c r="P519">
        <f>20*(PI()*(0.0015^2))</f>
        <v>1.4137166941154068E-4</v>
      </c>
      <c r="Q519" t="s">
        <v>180</v>
      </c>
      <c r="R519" t="s">
        <v>175</v>
      </c>
      <c r="T519">
        <v>2</v>
      </c>
      <c r="W519">
        <v>1380</v>
      </c>
      <c r="X519" t="s">
        <v>184</v>
      </c>
      <c r="AA519" s="13">
        <f>W519*T519*P519</f>
        <v>0.39018580757585231</v>
      </c>
      <c r="AB519">
        <v>55</v>
      </c>
      <c r="AC519">
        <f>9.52</f>
        <v>9.52</v>
      </c>
      <c r="AD519" s="11">
        <f t="shared" si="129"/>
        <v>1.0219152103177085</v>
      </c>
      <c r="AE519" s="11">
        <f>_xlfn.RANK.AVG(Tableau8[[#This Row],[EE ( MJ/m²)]],AD519:AD1674)</f>
        <v>494</v>
      </c>
      <c r="AF519" s="11">
        <f t="shared" si="130"/>
        <v>0.51095760515885424</v>
      </c>
      <c r="AG519" s="11">
        <f>(AC519)*AA519/H519</f>
        <v>0.17688423276771972</v>
      </c>
      <c r="AH519" s="11">
        <f t="shared" si="131"/>
        <v>0.17688423276771972</v>
      </c>
      <c r="AI519" s="11">
        <f>(AC519)*AA519/H519/I519</f>
        <v>8.8442116383859862E-2</v>
      </c>
      <c r="AJ519" s="11">
        <f t="shared" si="132"/>
        <v>8.8442116383859862E-2</v>
      </c>
    </row>
    <row r="520" spans="1:36" x14ac:dyDescent="0.25">
      <c r="A520" s="4" t="s">
        <v>945</v>
      </c>
      <c r="B520" s="4" t="s">
        <v>982</v>
      </c>
      <c r="C520" s="4" t="s">
        <v>15</v>
      </c>
      <c r="D520" s="4" t="s">
        <v>938</v>
      </c>
      <c r="E520" t="s">
        <v>221</v>
      </c>
      <c r="F520" t="s">
        <v>171</v>
      </c>
      <c r="G520" t="s">
        <v>206</v>
      </c>
      <c r="H520">
        <v>21</v>
      </c>
      <c r="I520">
        <v>2</v>
      </c>
      <c r="J520" t="s">
        <v>44</v>
      </c>
      <c r="K520" t="s">
        <v>14</v>
      </c>
      <c r="L520" t="s">
        <v>207</v>
      </c>
      <c r="M520" t="s">
        <v>211</v>
      </c>
      <c r="N520" t="s">
        <v>595</v>
      </c>
      <c r="P520">
        <f>30*(PI()*(0.004^2))</f>
        <v>1.5079644737231006E-3</v>
      </c>
      <c r="Q520" t="s">
        <v>180</v>
      </c>
      <c r="R520" t="s">
        <v>175</v>
      </c>
      <c r="T520">
        <v>1</v>
      </c>
      <c r="W520" s="1">
        <v>1380</v>
      </c>
      <c r="X520" t="s">
        <v>184</v>
      </c>
      <c r="AA520" s="13">
        <f>W520*T520*P520</f>
        <v>2.0809909737378787</v>
      </c>
      <c r="AB520">
        <v>55</v>
      </c>
      <c r="AC520">
        <f>9.52</f>
        <v>9.52</v>
      </c>
      <c r="AD520" s="11">
        <f t="shared" si="129"/>
        <v>5.450214455027778</v>
      </c>
      <c r="AE520" s="11">
        <f>_xlfn.RANK.AVG(Tableau8[[#This Row],[EE ( MJ/m²)]],AD520:AD1675)</f>
        <v>354</v>
      </c>
      <c r="AF520" s="11">
        <f t="shared" si="130"/>
        <v>2.725107227513889</v>
      </c>
      <c r="AG520" s="11">
        <f>(AC520)*AA520/H520</f>
        <v>0.9433825747611716</v>
      </c>
      <c r="AH520" s="11">
        <f t="shared" si="131"/>
        <v>0.9433825747611716</v>
      </c>
      <c r="AI520" s="11">
        <f>(AC520)*AA520/H520/I520</f>
        <v>0.4716912873805858</v>
      </c>
      <c r="AJ520" s="11">
        <f t="shared" si="132"/>
        <v>0.4716912873805858</v>
      </c>
    </row>
    <row r="521" spans="1:36" x14ac:dyDescent="0.25">
      <c r="A521" s="4" t="s">
        <v>945</v>
      </c>
      <c r="B521" s="4" t="s">
        <v>982</v>
      </c>
      <c r="C521" s="4" t="s">
        <v>15</v>
      </c>
      <c r="D521" s="4" t="s">
        <v>938</v>
      </c>
      <c r="E521" t="s">
        <v>221</v>
      </c>
      <c r="F521" t="s">
        <v>171</v>
      </c>
      <c r="G521" t="s">
        <v>206</v>
      </c>
      <c r="H521">
        <v>21</v>
      </c>
      <c r="I521">
        <v>2</v>
      </c>
      <c r="J521" t="s">
        <v>40</v>
      </c>
      <c r="K521" t="s">
        <v>15</v>
      </c>
      <c r="L521" t="s">
        <v>222</v>
      </c>
      <c r="M521" t="s">
        <v>223</v>
      </c>
      <c r="N521" t="s">
        <v>223</v>
      </c>
      <c r="P521">
        <f>1.2*2.5*0.08</f>
        <v>0.24</v>
      </c>
      <c r="Q521" t="s">
        <v>180</v>
      </c>
      <c r="R521" t="s">
        <v>187</v>
      </c>
      <c r="T521">
        <v>5</v>
      </c>
      <c r="W521">
        <v>15</v>
      </c>
      <c r="X521" t="s">
        <v>184</v>
      </c>
      <c r="AA521" s="13">
        <f>W521*T521*P521</f>
        <v>18</v>
      </c>
      <c r="AB521">
        <v>0.24</v>
      </c>
      <c r="AC521">
        <v>0.1</v>
      </c>
      <c r="AD521" s="11">
        <f t="shared" si="129"/>
        <v>0.20571428571428574</v>
      </c>
      <c r="AE521" s="11">
        <f>_xlfn.RANK.AVG(Tableau8[[#This Row],[EE ( MJ/m²)]],AD521:AD1676)</f>
        <v>561</v>
      </c>
      <c r="AF521" s="11">
        <f>AB521*AA521/H522/I522</f>
        <v>0.10285714285714287</v>
      </c>
      <c r="AG521" s="11">
        <f>(AC521)*AA521/H521</f>
        <v>8.5714285714285715E-2</v>
      </c>
      <c r="AH521" s="11">
        <f t="shared" si="131"/>
        <v>8.5714285714285715E-2</v>
      </c>
      <c r="AI521" s="11">
        <f>(AC521)*AA521/H521/I521</f>
        <v>4.2857142857142858E-2</v>
      </c>
      <c r="AJ521" s="11">
        <f>AC521*AA521/H522/I522</f>
        <v>4.2857142857142858E-2</v>
      </c>
    </row>
    <row r="522" spans="1:36" x14ac:dyDescent="0.25">
      <c r="A522" s="4" t="s">
        <v>945</v>
      </c>
      <c r="B522" s="4" t="s">
        <v>982</v>
      </c>
      <c r="C522" s="4" t="s">
        <v>15</v>
      </c>
      <c r="D522" s="4" t="s">
        <v>938</v>
      </c>
      <c r="E522" t="s">
        <v>221</v>
      </c>
      <c r="F522" t="s">
        <v>171</v>
      </c>
      <c r="G522" t="s">
        <v>206</v>
      </c>
      <c r="H522">
        <v>21</v>
      </c>
      <c r="I522">
        <v>2</v>
      </c>
      <c r="J522" t="s">
        <v>219</v>
      </c>
      <c r="K522" t="s">
        <v>14</v>
      </c>
      <c r="L522" t="s">
        <v>208</v>
      </c>
      <c r="M522" t="s">
        <v>77</v>
      </c>
      <c r="N522" t="s">
        <v>35</v>
      </c>
      <c r="P522">
        <f>4*5</f>
        <v>20</v>
      </c>
      <c r="Q522" t="s">
        <v>179</v>
      </c>
      <c r="R522" t="s">
        <v>175</v>
      </c>
      <c r="T522">
        <v>2</v>
      </c>
      <c r="W522">
        <v>0.18</v>
      </c>
      <c r="X522" t="s">
        <v>183</v>
      </c>
      <c r="Y522" t="s">
        <v>175</v>
      </c>
      <c r="AA522" s="13">
        <f>Tableau8[[#This Row],[nb of item used ]]*Tableau8[[#This Row],[density (kg/m2) or specific weight (kg/m2)]]*Tableau8[[#This Row],[volume or area]]</f>
        <v>7.1999999999999993</v>
      </c>
      <c r="AB522">
        <v>54.3</v>
      </c>
      <c r="AC522">
        <v>1.93</v>
      </c>
      <c r="AD522" s="11">
        <f t="shared" si="129"/>
        <v>18.617142857142852</v>
      </c>
      <c r="AE522" s="11">
        <f>_xlfn.RANK.AVG(Tableau8[[#This Row],[EE ( MJ/m²)]],AD522:AD1677)</f>
        <v>224</v>
      </c>
      <c r="AF522" s="11">
        <f t="shared" ref="AF522:AF528" si="133">AB522*AA522/H522/I522</f>
        <v>9.3085714285714261</v>
      </c>
      <c r="AG522" s="11">
        <f>(AC522)*AA522/H522</f>
        <v>0.6617142857142857</v>
      </c>
      <c r="AH522" s="11">
        <f t="shared" si="131"/>
        <v>0.6617142857142857</v>
      </c>
      <c r="AI522" s="11">
        <f>(AC522)*AA522/H522/I522</f>
        <v>0.33085714285714285</v>
      </c>
      <c r="AJ522" s="11">
        <f t="shared" ref="AJ522:AJ528" si="134">AC522*AA522/H522/I522</f>
        <v>0.33085714285714285</v>
      </c>
    </row>
    <row r="523" spans="1:36" x14ac:dyDescent="0.25">
      <c r="A523" s="4" t="s">
        <v>945</v>
      </c>
      <c r="B523" s="4" t="s">
        <v>982</v>
      </c>
      <c r="C523" s="4" t="s">
        <v>15</v>
      </c>
      <c r="D523" s="4" t="s">
        <v>938</v>
      </c>
      <c r="E523" t="s">
        <v>221</v>
      </c>
      <c r="F523" t="s">
        <v>171</v>
      </c>
      <c r="G523" t="s">
        <v>206</v>
      </c>
      <c r="H523">
        <v>21</v>
      </c>
      <c r="I523">
        <v>2</v>
      </c>
      <c r="J523" t="s">
        <v>218</v>
      </c>
      <c r="K523" t="s">
        <v>15</v>
      </c>
      <c r="L523" t="s">
        <v>213</v>
      </c>
      <c r="M523" t="s">
        <v>210</v>
      </c>
      <c r="N523" t="s">
        <v>15</v>
      </c>
      <c r="P523">
        <f>4*(PI()*(0.05^2))</f>
        <v>3.1415926535897934E-2</v>
      </c>
      <c r="Q523" t="s">
        <v>180</v>
      </c>
      <c r="R523" t="s">
        <v>175</v>
      </c>
      <c r="T523">
        <v>16</v>
      </c>
      <c r="W523">
        <v>90</v>
      </c>
      <c r="X523" t="s">
        <v>184</v>
      </c>
      <c r="Y523" t="s">
        <v>185</v>
      </c>
      <c r="AA523" s="13">
        <f>Tableau8[[#This Row],[density (kg/m2) or specific weight (kg/m2)]]*Tableau8[[#This Row],[volume or area]]</f>
        <v>2.8274333882308142</v>
      </c>
      <c r="AB523">
        <f>10-4.4</f>
        <v>5.6</v>
      </c>
      <c r="AC523">
        <f>0.31+0.41</f>
        <v>0.72</v>
      </c>
      <c r="AD523" s="11">
        <f t="shared" si="129"/>
        <v>0.75398223686155041</v>
      </c>
      <c r="AE523" s="11">
        <f>_xlfn.RANK.AVG(Tableau8[[#This Row],[EE ( MJ/m²)]],AD523:AD1678)</f>
        <v>507</v>
      </c>
      <c r="AF523" s="11">
        <f t="shared" si="133"/>
        <v>0.37699111843077521</v>
      </c>
      <c r="AG523" s="11">
        <f>(AC523-0.41)*AA523/H523</f>
        <v>4.1738302397692974E-2</v>
      </c>
      <c r="AH523" s="11">
        <f t="shared" si="131"/>
        <v>9.6940573310770772E-2</v>
      </c>
      <c r="AI523" s="11">
        <f>(AC523-0.41)*AA523/H523/I523</f>
        <v>2.0869151198846487E-2</v>
      </c>
      <c r="AJ523" s="11">
        <f t="shared" si="134"/>
        <v>4.8470286655385386E-2</v>
      </c>
    </row>
    <row r="524" spans="1:36" x14ac:dyDescent="0.25">
      <c r="A524" s="4" t="s">
        <v>945</v>
      </c>
      <c r="B524" s="4" t="s">
        <v>982</v>
      </c>
      <c r="C524" s="4" t="s">
        <v>15</v>
      </c>
      <c r="D524" s="4" t="s">
        <v>938</v>
      </c>
      <c r="E524" t="s">
        <v>221</v>
      </c>
      <c r="F524" t="s">
        <v>171</v>
      </c>
      <c r="G524" t="s">
        <v>206</v>
      </c>
      <c r="H524">
        <v>21</v>
      </c>
      <c r="I524">
        <v>2</v>
      </c>
      <c r="J524" t="s">
        <v>218</v>
      </c>
      <c r="K524" t="s">
        <v>15</v>
      </c>
      <c r="L524" t="s">
        <v>214</v>
      </c>
      <c r="M524" t="s">
        <v>210</v>
      </c>
      <c r="N524" t="s">
        <v>15</v>
      </c>
      <c r="P524">
        <f>3*(PI()*(0.06^2))</f>
        <v>3.3929200658769768E-2</v>
      </c>
      <c r="Q524" t="s">
        <v>180</v>
      </c>
      <c r="R524" t="s">
        <v>175</v>
      </c>
      <c r="T524">
        <v>8</v>
      </c>
      <c r="W524">
        <v>90</v>
      </c>
      <c r="X524" t="s">
        <v>184</v>
      </c>
      <c r="Y524" t="s">
        <v>185</v>
      </c>
      <c r="AA524" s="13">
        <f>Tableau8[[#This Row],[density (kg/m2) or specific weight (kg/m2)]]*Tableau8[[#This Row],[volume or area]]</f>
        <v>3.0536280592892791</v>
      </c>
      <c r="AB524">
        <f>10-4.4</f>
        <v>5.6</v>
      </c>
      <c r="AC524">
        <f>0.31+0.41</f>
        <v>0.72</v>
      </c>
      <c r="AD524" s="11">
        <f t="shared" si="129"/>
        <v>0.81430081581047431</v>
      </c>
      <c r="AE524" s="11">
        <f>_xlfn.RANK.AVG(Tableau8[[#This Row],[EE ( MJ/m²)]],AD524:AD1679)</f>
        <v>501</v>
      </c>
      <c r="AF524" s="11">
        <f t="shared" si="133"/>
        <v>0.40715040790523715</v>
      </c>
      <c r="AG524" s="11">
        <f>(AC524-0.41)*AA524/H524</f>
        <v>4.5077366589508401E-2</v>
      </c>
      <c r="AH524" s="11">
        <f t="shared" si="131"/>
        <v>0.10469581917563241</v>
      </c>
      <c r="AI524" s="11">
        <f>(AC524-0.41)*AA524/H524/I524</f>
        <v>2.2538683294754201E-2</v>
      </c>
      <c r="AJ524" s="11">
        <f t="shared" si="134"/>
        <v>5.2347909587816203E-2</v>
      </c>
    </row>
    <row r="525" spans="1:36" x14ac:dyDescent="0.25">
      <c r="A525" s="4" t="s">
        <v>945</v>
      </c>
      <c r="B525" s="4" t="s">
        <v>982</v>
      </c>
      <c r="C525" s="4" t="s">
        <v>15</v>
      </c>
      <c r="D525" s="4" t="s">
        <v>938</v>
      </c>
      <c r="E525" t="s">
        <v>221</v>
      </c>
      <c r="F525" t="s">
        <v>171</v>
      </c>
      <c r="G525" t="s">
        <v>206</v>
      </c>
      <c r="H525">
        <v>21</v>
      </c>
      <c r="I525">
        <v>2</v>
      </c>
      <c r="J525" t="s">
        <v>218</v>
      </c>
      <c r="K525" t="s">
        <v>15</v>
      </c>
      <c r="L525" t="s">
        <v>215</v>
      </c>
      <c r="M525" t="s">
        <v>210</v>
      </c>
      <c r="N525" t="s">
        <v>15</v>
      </c>
      <c r="P525">
        <f>4*(PI()*(0.03^2))</f>
        <v>1.1309733552923255E-2</v>
      </c>
      <c r="Q525" t="s">
        <v>180</v>
      </c>
      <c r="R525" t="s">
        <v>175</v>
      </c>
      <c r="T525">
        <v>18</v>
      </c>
      <c r="W525">
        <v>90</v>
      </c>
      <c r="X525" t="s">
        <v>184</v>
      </c>
      <c r="Y525" t="s">
        <v>185</v>
      </c>
      <c r="AA525" s="13">
        <f>Tableau8[[#This Row],[density (kg/m2) or specific weight (kg/m2)]]*Tableau8[[#This Row],[volume or area]]</f>
        <v>1.0178760197630929</v>
      </c>
      <c r="AB525">
        <f>10-4.4</f>
        <v>5.6</v>
      </c>
      <c r="AC525">
        <f>0.31+0.41</f>
        <v>0.72</v>
      </c>
      <c r="AD525" s="11">
        <f t="shared" si="129"/>
        <v>0.27143360527015808</v>
      </c>
      <c r="AE525" s="11">
        <f>_xlfn.RANK.AVG(Tableau8[[#This Row],[EE ( MJ/m²)]],AD525:AD1680)</f>
        <v>552</v>
      </c>
      <c r="AF525" s="11">
        <f t="shared" si="133"/>
        <v>0.13571680263507904</v>
      </c>
      <c r="AG525" s="11">
        <f>(AC525-0.41)*AA525/H525</f>
        <v>1.5025788863169468E-2</v>
      </c>
      <c r="AH525" s="11">
        <f t="shared" si="131"/>
        <v>3.4898606391877474E-2</v>
      </c>
      <c r="AI525" s="11">
        <f>(AC525-0.41)*AA525/H525/I525</f>
        <v>7.5128944315847341E-3</v>
      </c>
      <c r="AJ525" s="11">
        <f t="shared" si="134"/>
        <v>1.7449303195938737E-2</v>
      </c>
    </row>
    <row r="526" spans="1:36" x14ac:dyDescent="0.25">
      <c r="A526" s="4" t="s">
        <v>945</v>
      </c>
      <c r="B526" s="4" t="s">
        <v>983</v>
      </c>
      <c r="C526" s="4" t="s">
        <v>15</v>
      </c>
      <c r="D526" s="4" t="s">
        <v>938</v>
      </c>
      <c r="E526" t="s">
        <v>224</v>
      </c>
      <c r="F526" t="s">
        <v>171</v>
      </c>
      <c r="G526" t="s">
        <v>225</v>
      </c>
      <c r="H526">
        <v>49</v>
      </c>
      <c r="I526">
        <v>2</v>
      </c>
      <c r="J526" t="s">
        <v>232</v>
      </c>
      <c r="K526" t="s">
        <v>17</v>
      </c>
      <c r="L526" t="s">
        <v>230</v>
      </c>
      <c r="M526" t="s">
        <v>12</v>
      </c>
      <c r="N526" t="s">
        <v>12</v>
      </c>
      <c r="P526">
        <f>0.012*(0.003^2)*PI()</f>
        <v>3.3929200658769765E-7</v>
      </c>
      <c r="Q526" t="s">
        <v>238</v>
      </c>
      <c r="T526">
        <v>30</v>
      </c>
      <c r="W526">
        <v>7800</v>
      </c>
      <c r="X526" t="s">
        <v>184</v>
      </c>
      <c r="Y526" t="s">
        <v>185</v>
      </c>
      <c r="AA526" s="13">
        <f>Tableau8[[#This Row],[density (kg/m2) or specific weight (kg/m2)]]*Tableau8[[#This Row],[nb of item used ]]*Tableau8[[#This Row],[volume or area]]</f>
        <v>7.9394329541521244E-2</v>
      </c>
      <c r="AB526">
        <v>25.3</v>
      </c>
      <c r="AC526">
        <v>1.95</v>
      </c>
      <c r="AD526" s="11">
        <f t="shared" si="129"/>
        <v>4.0993398722458933E-2</v>
      </c>
      <c r="AE526" s="11">
        <f>_xlfn.RANK.AVG(Tableau8[[#This Row],[EE ( MJ/m²)]],AD526:AD1681)</f>
        <v>580</v>
      </c>
      <c r="AF526" s="11">
        <f t="shared" si="133"/>
        <v>2.0496699361229467E-2</v>
      </c>
      <c r="AG526" s="11">
        <f>(AC526)*AA526/H526</f>
        <v>3.1595702572646211E-3</v>
      </c>
      <c r="AH526" s="11">
        <f t="shared" si="131"/>
        <v>3.1595702572646211E-3</v>
      </c>
      <c r="AI526" s="11">
        <f>(AC526)*AA526/H526/I526</f>
        <v>1.5797851286323105E-3</v>
      </c>
      <c r="AJ526" s="11">
        <f t="shared" si="134"/>
        <v>1.5797851286323105E-3</v>
      </c>
    </row>
    <row r="527" spans="1:36" x14ac:dyDescent="0.25">
      <c r="A527" s="4" t="s">
        <v>945</v>
      </c>
      <c r="B527" s="4" t="s">
        <v>983</v>
      </c>
      <c r="C527" s="4" t="s">
        <v>15</v>
      </c>
      <c r="D527" s="4" t="s">
        <v>938</v>
      </c>
      <c r="E527" t="s">
        <v>224</v>
      </c>
      <c r="F527" t="s">
        <v>171</v>
      </c>
      <c r="G527" t="s">
        <v>225</v>
      </c>
      <c r="H527">
        <v>49</v>
      </c>
      <c r="I527">
        <v>2</v>
      </c>
      <c r="J527" t="s">
        <v>42</v>
      </c>
      <c r="K527" t="s">
        <v>110</v>
      </c>
      <c r="L527" t="s">
        <v>227</v>
      </c>
      <c r="M527" t="s">
        <v>237</v>
      </c>
      <c r="N527" t="s">
        <v>71</v>
      </c>
      <c r="P527">
        <f>1.5*70</f>
        <v>105</v>
      </c>
      <c r="Q527" t="s">
        <v>179</v>
      </c>
      <c r="R527" t="s">
        <v>175</v>
      </c>
      <c r="T527">
        <v>2</v>
      </c>
      <c r="W527">
        <v>0.2</v>
      </c>
      <c r="X527" t="s">
        <v>183</v>
      </c>
      <c r="AA527" s="13">
        <f>W527*T527*P527</f>
        <v>42</v>
      </c>
      <c r="AB527">
        <f>(0.4*452)+(351*0.6)</f>
        <v>391.4</v>
      </c>
      <c r="AC527">
        <f>(0.6*15.5)+(0.4*22.5)</f>
        <v>18.299999999999997</v>
      </c>
      <c r="AD527" s="11">
        <f t="shared" si="129"/>
        <v>335.48571428571427</v>
      </c>
      <c r="AE527" s="11">
        <f>_xlfn.RANK.AVG(Tableau8[[#This Row],[EE ( MJ/m²)]],AD527:AD1682)</f>
        <v>19</v>
      </c>
      <c r="AF527" s="11">
        <f t="shared" si="133"/>
        <v>167.74285714285713</v>
      </c>
      <c r="AG527" s="11">
        <f>(AC527)*AA527/H527</f>
        <v>15.685714285714283</v>
      </c>
      <c r="AH527" s="11">
        <f t="shared" si="131"/>
        <v>15.685714285714283</v>
      </c>
      <c r="AI527" s="11">
        <f>(AC527)*AA527/H527/I527</f>
        <v>7.8428571428571416</v>
      </c>
      <c r="AJ527" s="11">
        <f t="shared" si="134"/>
        <v>7.8428571428571416</v>
      </c>
    </row>
    <row r="528" spans="1:36" x14ac:dyDescent="0.25">
      <c r="A528" s="4" t="s">
        <v>945</v>
      </c>
      <c r="B528" s="4" t="s">
        <v>983</v>
      </c>
      <c r="C528" s="4" t="s">
        <v>15</v>
      </c>
      <c r="D528" s="4" t="s">
        <v>938</v>
      </c>
      <c r="E528" t="s">
        <v>224</v>
      </c>
      <c r="F528" t="s">
        <v>171</v>
      </c>
      <c r="G528" t="s">
        <v>225</v>
      </c>
      <c r="H528">
        <v>49</v>
      </c>
      <c r="I528">
        <v>2</v>
      </c>
      <c r="J528" t="s">
        <v>44</v>
      </c>
      <c r="K528" t="s">
        <v>17</v>
      </c>
      <c r="L528" t="s">
        <v>231</v>
      </c>
      <c r="M528" t="s">
        <v>236</v>
      </c>
      <c r="N528" t="s">
        <v>447</v>
      </c>
      <c r="P528">
        <f>0.5*(PI()*(0.0075^2))</f>
        <v>8.8357293382212927E-5</v>
      </c>
      <c r="Q528" t="s">
        <v>180</v>
      </c>
      <c r="R528" t="s">
        <v>175</v>
      </c>
      <c r="T528">
        <v>28</v>
      </c>
      <c r="W528">
        <v>7800</v>
      </c>
      <c r="X528" t="s">
        <v>184</v>
      </c>
      <c r="Y528" t="s">
        <v>185</v>
      </c>
      <c r="AA528" s="13">
        <f>Tableau8[[#This Row],[density (kg/m2) or specific weight (kg/m2)]]*Tableau8[[#This Row],[nb of item used ]]*Tableau8[[#This Row],[volume or area]]</f>
        <v>19.297232874675302</v>
      </c>
      <c r="AB528">
        <v>26.1</v>
      </c>
      <c r="AC528">
        <v>1.86</v>
      </c>
      <c r="AD528" s="11">
        <f t="shared" si="129"/>
        <v>10.278730163857661</v>
      </c>
      <c r="AE528" s="11">
        <f>_xlfn.RANK.AVG(Tableau8[[#This Row],[EE ( MJ/m²)]],AD528:AD1683)</f>
        <v>288</v>
      </c>
      <c r="AF528" s="11">
        <f t="shared" si="133"/>
        <v>5.1393650819288306</v>
      </c>
      <c r="AG528" s="11">
        <f>(AC528)*AA528/H528</f>
        <v>0.73250720707951156</v>
      </c>
      <c r="AH528" s="11">
        <f t="shared" si="131"/>
        <v>0.73250720707951156</v>
      </c>
      <c r="AI528" s="11">
        <f>(AC528)*AA528/H528/I528</f>
        <v>0.36625360353975578</v>
      </c>
      <c r="AJ528" s="11">
        <f t="shared" si="134"/>
        <v>0.36625360353975578</v>
      </c>
    </row>
    <row r="529" spans="1:36" x14ac:dyDescent="0.25">
      <c r="A529" s="4" t="s">
        <v>945</v>
      </c>
      <c r="B529" s="4" t="s">
        <v>983</v>
      </c>
      <c r="C529" s="4" t="s">
        <v>15</v>
      </c>
      <c r="D529" s="4" t="s">
        <v>938</v>
      </c>
      <c r="E529" t="s">
        <v>224</v>
      </c>
      <c r="F529" t="s">
        <v>171</v>
      </c>
      <c r="G529" t="s">
        <v>225</v>
      </c>
      <c r="H529">
        <v>49</v>
      </c>
      <c r="I529">
        <v>2</v>
      </c>
      <c r="J529" t="s">
        <v>42</v>
      </c>
      <c r="K529" t="s">
        <v>217</v>
      </c>
      <c r="L529" t="s">
        <v>226</v>
      </c>
      <c r="M529" t="s">
        <v>233</v>
      </c>
      <c r="N529" t="s">
        <v>234</v>
      </c>
      <c r="P529">
        <f>1.5*70</f>
        <v>105</v>
      </c>
      <c r="Q529" t="s">
        <v>179</v>
      </c>
      <c r="R529" t="s">
        <v>175</v>
      </c>
      <c r="T529">
        <v>2</v>
      </c>
      <c r="W529">
        <v>0.2</v>
      </c>
      <c r="X529" t="s">
        <v>183</v>
      </c>
      <c r="AA529" s="13">
        <f>Tableau8[[#This Row],[density (kg/m2) or specific weight (kg/m2)]]*Tableau8[[#This Row],[volume or area]]</f>
        <v>21</v>
      </c>
      <c r="AB529">
        <v>143</v>
      </c>
      <c r="AC529">
        <v>6.78</v>
      </c>
      <c r="AD529" s="11">
        <f t="shared" si="129"/>
        <v>61.285714285714285</v>
      </c>
      <c r="AE529" s="11">
        <f>_xlfn.RANK.AVG(Tableau8[[#This Row],[EE ( MJ/m²)]],AD529:AD1684)</f>
        <v>115</v>
      </c>
      <c r="AF529" s="11">
        <f>AB529*AA529/H530/I530</f>
        <v>30.642857142857142</v>
      </c>
      <c r="AG529" s="11">
        <f>(AC529)*AA529/H529</f>
        <v>2.9057142857142857</v>
      </c>
      <c r="AH529" s="11">
        <f t="shared" si="131"/>
        <v>2.9057142857142857</v>
      </c>
      <c r="AI529" s="11">
        <f>(AC529)*AA529/H529/I529</f>
        <v>1.4528571428571428</v>
      </c>
      <c r="AJ529" s="11">
        <f>AC529*AA529/H530/I530</f>
        <v>1.4528571428571428</v>
      </c>
    </row>
    <row r="530" spans="1:36" x14ac:dyDescent="0.25">
      <c r="A530" s="4" t="s">
        <v>945</v>
      </c>
      <c r="B530" s="4" t="s">
        <v>983</v>
      </c>
      <c r="C530" s="4" t="s">
        <v>15</v>
      </c>
      <c r="D530" s="4" t="s">
        <v>938</v>
      </c>
      <c r="E530" t="s">
        <v>224</v>
      </c>
      <c r="F530" t="s">
        <v>171</v>
      </c>
      <c r="G530" t="s">
        <v>225</v>
      </c>
      <c r="H530">
        <v>49</v>
      </c>
      <c r="I530">
        <v>2</v>
      </c>
      <c r="J530" t="s">
        <v>44</v>
      </c>
      <c r="K530" t="s">
        <v>217</v>
      </c>
      <c r="L530" t="s">
        <v>228</v>
      </c>
      <c r="M530" t="s">
        <v>233</v>
      </c>
      <c r="N530" t="s">
        <v>234</v>
      </c>
      <c r="P530">
        <f>50*(PI()*(0.0006^2))</f>
        <v>5.6548667764616268E-5</v>
      </c>
      <c r="Q530" t="s">
        <v>180</v>
      </c>
      <c r="R530" t="s">
        <v>175</v>
      </c>
      <c r="T530">
        <v>1</v>
      </c>
      <c r="W530">
        <v>0.2</v>
      </c>
      <c r="X530" t="s">
        <v>183</v>
      </c>
      <c r="AA530" s="13">
        <f>Tableau8[[#This Row],[density (kg/m2) or specific weight (kg/m2)]]*Tableau8[[#This Row],[volume or area]]</f>
        <v>1.1309733552923255E-5</v>
      </c>
      <c r="AB530">
        <v>143</v>
      </c>
      <c r="AC530">
        <v>6.78</v>
      </c>
      <c r="AD530" s="11">
        <f t="shared" si="129"/>
        <v>3.300595710342909E-5</v>
      </c>
      <c r="AE530" s="11">
        <f>_xlfn.RANK.AVG(Tableau8[[#This Row],[EE ( MJ/m²)]],AD530:AD1685)</f>
        <v>627</v>
      </c>
      <c r="AF530" s="11">
        <f>AB530*AA530/H530/I530</f>
        <v>1.6502978551714545E-5</v>
      </c>
      <c r="AG530" s="11">
        <f>(AC530)*AA530/H530</f>
        <v>1.5648978263024422E-6</v>
      </c>
      <c r="AH530" s="11">
        <f t="shared" si="131"/>
        <v>1.5648978263024422E-6</v>
      </c>
      <c r="AI530" s="11">
        <f>(AC530)*AA530/H530/I530</f>
        <v>7.8244891315122111E-7</v>
      </c>
      <c r="AJ530" s="11">
        <f>AC530*AA530/H530/I530</f>
        <v>7.8244891315122111E-7</v>
      </c>
    </row>
    <row r="531" spans="1:36" x14ac:dyDescent="0.25">
      <c r="A531" s="4" t="s">
        <v>945</v>
      </c>
      <c r="B531" s="4" t="s">
        <v>983</v>
      </c>
      <c r="C531" s="4" t="s">
        <v>15</v>
      </c>
      <c r="D531" s="4" t="s">
        <v>938</v>
      </c>
      <c r="E531" t="s">
        <v>224</v>
      </c>
      <c r="F531" t="s">
        <v>171</v>
      </c>
      <c r="G531" t="s">
        <v>225</v>
      </c>
      <c r="H531">
        <v>49</v>
      </c>
      <c r="I531">
        <v>2</v>
      </c>
      <c r="J531" t="s">
        <v>42</v>
      </c>
      <c r="K531" t="s">
        <v>15</v>
      </c>
      <c r="L531" t="s">
        <v>229</v>
      </c>
      <c r="M531" t="s">
        <v>235</v>
      </c>
      <c r="N531" t="s">
        <v>235</v>
      </c>
      <c r="P531">
        <f>4*((PI()*(0.0275^2))-(PI()*(0.0175^2)))</f>
        <v>5.6548667764616273E-3</v>
      </c>
      <c r="Q531" t="s">
        <v>180</v>
      </c>
      <c r="R531" t="s">
        <v>175</v>
      </c>
      <c r="T531">
        <v>2</v>
      </c>
      <c r="W531">
        <v>100</v>
      </c>
      <c r="X531" t="s">
        <v>184</v>
      </c>
      <c r="Y531" t="s">
        <v>441</v>
      </c>
      <c r="Z531" t="s">
        <v>444</v>
      </c>
      <c r="AA531" s="13">
        <f>W531*T531*P531</f>
        <v>1.1309733552923256</v>
      </c>
      <c r="AB531">
        <v>13.13</v>
      </c>
      <c r="AC531">
        <v>12.37</v>
      </c>
      <c r="AD531" s="11">
        <f>AB531*(AA531/Tableau8[[#This Row],[density (kg/m2) or specific weight (kg/m2)]])/H531</f>
        <v>3.0305469704057625E-3</v>
      </c>
      <c r="AE531" s="11">
        <f>_xlfn.RANK.AVG(Tableau8[[#This Row],[EE ( MJ/m²)]],AD531:AD1686)</f>
        <v>622</v>
      </c>
      <c r="AF531" s="11">
        <f>AB531*(AA531/Tableau8[[#This Row],[density (kg/m2) or specific weight (kg/m2)]])/H531/I531</f>
        <v>1.5152734852028813E-3</v>
      </c>
      <c r="AG531" s="11">
        <f>(AC531)*(AA531/Tableau8[[#This Row],[density (kg/m2) or specific weight (kg/m2)]])/H531</f>
        <v>2.855130694891034E-3</v>
      </c>
      <c r="AH531" s="11">
        <f>AC531*(AA531/Tableau8[[#This Row],[density (kg/m2) or specific weight (kg/m2)]])/H531</f>
        <v>2.855130694891034E-3</v>
      </c>
      <c r="AI531" s="11">
        <f>(AC531)*(AA531/Tableau8[[#This Row],[density (kg/m2) or specific weight (kg/m2)]])/H531/I531</f>
        <v>1.427565347445517E-3</v>
      </c>
      <c r="AJ531" s="11">
        <f>AC531*(AA531/Tableau8[[#This Row],[density (kg/m2) or specific weight (kg/m2)]])/H531/I531</f>
        <v>1.427565347445517E-3</v>
      </c>
    </row>
    <row r="532" spans="1:36" x14ac:dyDescent="0.25">
      <c r="A532" s="4" t="s">
        <v>945</v>
      </c>
      <c r="B532" s="4" t="s">
        <v>983</v>
      </c>
      <c r="C532" s="4" t="s">
        <v>15</v>
      </c>
      <c r="D532" s="4" t="s">
        <v>938</v>
      </c>
      <c r="E532" t="s">
        <v>224</v>
      </c>
      <c r="F532" t="s">
        <v>171</v>
      </c>
      <c r="G532" t="s">
        <v>225</v>
      </c>
      <c r="H532">
        <v>49</v>
      </c>
      <c r="I532">
        <v>2</v>
      </c>
      <c r="J532" t="s">
        <v>42</v>
      </c>
      <c r="K532" t="s">
        <v>15</v>
      </c>
      <c r="L532" t="s">
        <v>229</v>
      </c>
      <c r="M532" t="s">
        <v>235</v>
      </c>
      <c r="N532" t="s">
        <v>235</v>
      </c>
      <c r="P532">
        <f>1.8*((PI()*(0.0275^2))-(PI()*(0.0175^2)))</f>
        <v>2.5446900494077323E-3</v>
      </c>
      <c r="Q532" t="s">
        <v>180</v>
      </c>
      <c r="R532" t="s">
        <v>175</v>
      </c>
      <c r="T532">
        <v>28</v>
      </c>
      <c r="W532">
        <v>100</v>
      </c>
      <c r="X532" t="s">
        <v>184</v>
      </c>
      <c r="Y532" t="s">
        <v>441</v>
      </c>
      <c r="Z532" t="s">
        <v>444</v>
      </c>
      <c r="AA532" s="13">
        <f>W532*T532*P532</f>
        <v>7.1251321383416508</v>
      </c>
      <c r="AB532">
        <v>13.13</v>
      </c>
      <c r="AC532">
        <v>12.37</v>
      </c>
      <c r="AD532" s="11">
        <f>AB532*(AA532/Tableau8[[#This Row],[density (kg/m2) or specific weight (kg/m2)]])/H532</f>
        <v>1.9092445913556303E-2</v>
      </c>
      <c r="AE532" s="11">
        <f>_xlfn.RANK.AVG(Tableau8[[#This Row],[EE ( MJ/m²)]],AD532:AD1687)</f>
        <v>589</v>
      </c>
      <c r="AF532" s="11">
        <f>AB532*(AA532/Tableau8[[#This Row],[density (kg/m2) or specific weight (kg/m2)]])/H532/I532</f>
        <v>9.5462229567781515E-3</v>
      </c>
      <c r="AG532" s="11">
        <f>(AC532)*(AA532/Tableau8[[#This Row],[density (kg/m2) or specific weight (kg/m2)]])/H532</f>
        <v>1.7987323377813513E-2</v>
      </c>
      <c r="AH532" s="11">
        <f>AC532*(AA532/Tableau8[[#This Row],[density (kg/m2) or specific weight (kg/m2)]])/H532</f>
        <v>1.7987323377813513E-2</v>
      </c>
      <c r="AI532" s="11">
        <f>(AC532)*(AA532/Tableau8[[#This Row],[density (kg/m2) or specific weight (kg/m2)]])/H532/I532</f>
        <v>8.9936616889067563E-3</v>
      </c>
      <c r="AJ532" s="11">
        <f>AC532*(AA532/Tableau8[[#This Row],[density (kg/m2) or specific weight (kg/m2)]])/H532/I532</f>
        <v>8.9936616889067563E-3</v>
      </c>
    </row>
    <row r="533" spans="1:36" x14ac:dyDescent="0.25">
      <c r="A533" s="4" t="s">
        <v>945</v>
      </c>
      <c r="B533" s="4" t="s">
        <v>984</v>
      </c>
      <c r="C533" s="4" t="s">
        <v>15</v>
      </c>
      <c r="D533" s="4" t="s">
        <v>938</v>
      </c>
      <c r="E533" t="s">
        <v>248</v>
      </c>
      <c r="F533" t="s">
        <v>171</v>
      </c>
      <c r="G533" t="s">
        <v>172</v>
      </c>
      <c r="H533">
        <v>21.6</v>
      </c>
      <c r="I533">
        <v>3</v>
      </c>
      <c r="J533" t="s">
        <v>56</v>
      </c>
      <c r="K533" t="s">
        <v>15</v>
      </c>
      <c r="L533" t="s">
        <v>242</v>
      </c>
      <c r="M533" t="s">
        <v>52</v>
      </c>
      <c r="N533" t="s">
        <v>223</v>
      </c>
      <c r="P533">
        <f>2*((PI()*((50)*(10^(-2))/2)^2))</f>
        <v>0.39269908169872414</v>
      </c>
      <c r="Q533" t="s">
        <v>180</v>
      </c>
      <c r="R533" t="s">
        <v>187</v>
      </c>
      <c r="T533">
        <v>6</v>
      </c>
      <c r="W533">
        <v>17</v>
      </c>
      <c r="X533" t="s">
        <v>184</v>
      </c>
      <c r="AA533" s="13">
        <f>W533*T533*P533</f>
        <v>40.055306333269861</v>
      </c>
      <c r="AB533">
        <v>0.24</v>
      </c>
      <c r="AC533">
        <v>0.1</v>
      </c>
      <c r="AD533" s="11">
        <f t="shared" ref="AD533:AD540" si="135">AB533*AA533/H533</f>
        <v>0.44505895925855393</v>
      </c>
      <c r="AE533" s="11">
        <f>_xlfn.RANK.AVG(Tableau8[[#This Row],[EE ( MJ/m²)]],AD533:AD1688)</f>
        <v>528.5</v>
      </c>
      <c r="AF533" s="11">
        <f t="shared" ref="AF533:AF540" si="136">AB533*AA533/H533/I533</f>
        <v>0.14835298641951797</v>
      </c>
      <c r="AG533" s="11">
        <f>(AC533)*AA533/H533</f>
        <v>0.18544123302439752</v>
      </c>
      <c r="AH533" s="11">
        <f t="shared" ref="AH533:AH540" si="137">AC533*AA533/H533</f>
        <v>0.18544123302439752</v>
      </c>
      <c r="AI533" s="11">
        <f>(AC533)*AA533/H533/I533</f>
        <v>6.1813744341465839E-2</v>
      </c>
      <c r="AJ533" s="11">
        <f t="shared" ref="AJ533:AJ540" si="138">AC533*AA533/H533/I533</f>
        <v>6.1813744341465839E-2</v>
      </c>
    </row>
    <row r="534" spans="1:36" x14ac:dyDescent="0.25">
      <c r="A534" s="4" t="s">
        <v>945</v>
      </c>
      <c r="B534" s="4" t="s">
        <v>984</v>
      </c>
      <c r="C534" s="4" t="s">
        <v>15</v>
      </c>
      <c r="D534" s="4" t="s">
        <v>938</v>
      </c>
      <c r="E534" t="s">
        <v>248</v>
      </c>
      <c r="F534" t="s">
        <v>171</v>
      </c>
      <c r="G534" t="s">
        <v>172</v>
      </c>
      <c r="H534">
        <v>21.6</v>
      </c>
      <c r="I534">
        <v>3</v>
      </c>
      <c r="J534" t="s">
        <v>43</v>
      </c>
      <c r="K534" t="s">
        <v>17</v>
      </c>
      <c r="L534" t="s">
        <v>9</v>
      </c>
      <c r="M534" t="s">
        <v>12</v>
      </c>
      <c r="N534" t="s">
        <v>12</v>
      </c>
      <c r="R534" t="s">
        <v>175</v>
      </c>
      <c r="W534">
        <v>7800</v>
      </c>
      <c r="X534" t="s">
        <v>184</v>
      </c>
      <c r="Y534" t="s">
        <v>185</v>
      </c>
      <c r="AA534" s="13">
        <v>3</v>
      </c>
      <c r="AB534">
        <v>25.3</v>
      </c>
      <c r="AC534">
        <v>1.95</v>
      </c>
      <c r="AD534" s="11">
        <f t="shared" si="135"/>
        <v>3.5138888888888888</v>
      </c>
      <c r="AE534" s="11">
        <f>_xlfn.RANK.AVG(Tableau8[[#This Row],[EE ( MJ/m²)]],AD534:AD1689)</f>
        <v>386.5</v>
      </c>
      <c r="AF534" s="11">
        <f t="shared" si="136"/>
        <v>1.1712962962962963</v>
      </c>
      <c r="AG534" s="11">
        <f>(AC534)*AA534/H534</f>
        <v>0.27083333333333331</v>
      </c>
      <c r="AH534" s="11">
        <f t="shared" si="137"/>
        <v>0.27083333333333331</v>
      </c>
      <c r="AI534" s="11">
        <f>(AC534)*AA534/H534/I534</f>
        <v>9.0277777777777776E-2</v>
      </c>
      <c r="AJ534" s="11">
        <f t="shared" si="138"/>
        <v>9.0277777777777776E-2</v>
      </c>
    </row>
    <row r="535" spans="1:36" x14ac:dyDescent="0.25">
      <c r="A535" s="4" t="s">
        <v>945</v>
      </c>
      <c r="B535" s="4" t="s">
        <v>984</v>
      </c>
      <c r="C535" s="4" t="s">
        <v>15</v>
      </c>
      <c r="D535" s="4" t="s">
        <v>938</v>
      </c>
      <c r="E535" t="s">
        <v>248</v>
      </c>
      <c r="F535" t="s">
        <v>171</v>
      </c>
      <c r="G535" t="s">
        <v>172</v>
      </c>
      <c r="H535">
        <v>21.6</v>
      </c>
      <c r="I535">
        <v>3</v>
      </c>
      <c r="J535" t="s">
        <v>44</v>
      </c>
      <c r="K535" t="s">
        <v>14</v>
      </c>
      <c r="L535" t="s">
        <v>247</v>
      </c>
      <c r="M535" t="s">
        <v>134</v>
      </c>
      <c r="N535" t="s">
        <v>595</v>
      </c>
      <c r="P535">
        <f>30*(PI()*(0.004^2))</f>
        <v>1.5079644737231006E-3</v>
      </c>
      <c r="Q535" t="s">
        <v>180</v>
      </c>
      <c r="R535" t="s">
        <v>175</v>
      </c>
      <c r="T535">
        <v>1</v>
      </c>
      <c r="W535" s="1">
        <v>0.2</v>
      </c>
      <c r="X535" t="s">
        <v>183</v>
      </c>
      <c r="AA535" s="13">
        <f>W535*T535*P535</f>
        <v>3.0159289474462013E-4</v>
      </c>
      <c r="AB535">
        <v>351</v>
      </c>
      <c r="AC535">
        <v>15.5</v>
      </c>
      <c r="AD535" s="11">
        <f t="shared" si="135"/>
        <v>4.9008845396000767E-3</v>
      </c>
      <c r="AE535" s="11">
        <f>_xlfn.RANK.AVG(Tableau8[[#This Row],[EE ( MJ/m²)]],AD535:AD1690)</f>
        <v>613.5</v>
      </c>
      <c r="AF535" s="11">
        <f t="shared" si="136"/>
        <v>1.6336281798666923E-3</v>
      </c>
      <c r="AG535" s="11">
        <f>(AC535)*AA535/H535</f>
        <v>2.1642082724729683E-4</v>
      </c>
      <c r="AH535" s="11">
        <f t="shared" si="137"/>
        <v>2.1642082724729683E-4</v>
      </c>
      <c r="AI535" s="11">
        <f>(AC535)*AA535/H535/I535</f>
        <v>7.214027574909894E-5</v>
      </c>
      <c r="AJ535" s="11">
        <f t="shared" si="138"/>
        <v>7.214027574909894E-5</v>
      </c>
    </row>
    <row r="536" spans="1:36" x14ac:dyDescent="0.25">
      <c r="A536" s="4" t="s">
        <v>945</v>
      </c>
      <c r="B536" s="4" t="s">
        <v>984</v>
      </c>
      <c r="C536" s="4" t="s">
        <v>15</v>
      </c>
      <c r="D536" s="4" t="s">
        <v>938</v>
      </c>
      <c r="E536" t="s">
        <v>248</v>
      </c>
      <c r="F536" t="s">
        <v>171</v>
      </c>
      <c r="G536" t="s">
        <v>172</v>
      </c>
      <c r="H536">
        <v>21.6</v>
      </c>
      <c r="I536">
        <v>3</v>
      </c>
      <c r="J536" t="s">
        <v>42</v>
      </c>
      <c r="K536" t="s">
        <v>15</v>
      </c>
      <c r="L536" t="s">
        <v>239</v>
      </c>
      <c r="M536" t="s">
        <v>245</v>
      </c>
      <c r="N536" t="s">
        <v>15</v>
      </c>
      <c r="P536">
        <f>1.8*(PI()*(0.0575^2))</f>
        <v>1.8696403279676258E-2</v>
      </c>
      <c r="Q536" t="s">
        <v>180</v>
      </c>
      <c r="R536" t="s">
        <v>175</v>
      </c>
      <c r="T536">
        <v>17</v>
      </c>
      <c r="W536">
        <v>90</v>
      </c>
      <c r="X536" t="s">
        <v>184</v>
      </c>
      <c r="Y536" t="s">
        <v>185</v>
      </c>
      <c r="AA536" s="13">
        <f>W536*T536*P536</f>
        <v>28.605497017904675</v>
      </c>
      <c r="AB536">
        <f>10-4.4</f>
        <v>5.6</v>
      </c>
      <c r="AC536">
        <f>0.31+0.41</f>
        <v>0.72</v>
      </c>
      <c r="AD536" s="11">
        <f t="shared" si="135"/>
        <v>7.4162399676049144</v>
      </c>
      <c r="AE536" s="11">
        <f>_xlfn.RANK.AVG(Tableau8[[#This Row],[EE ( MJ/m²)]],AD536:AD1691)</f>
        <v>314</v>
      </c>
      <c r="AF536" s="11">
        <f t="shared" si="136"/>
        <v>2.4720799892016383</v>
      </c>
      <c r="AG536" s="11">
        <f>(AC536-0.41)*AA536/H536</f>
        <v>0.41054185534955778</v>
      </c>
      <c r="AH536" s="11">
        <f t="shared" si="137"/>
        <v>0.9535165672634891</v>
      </c>
      <c r="AI536" s="11">
        <f>(AC536-0.41)*AA536/H536/I536</f>
        <v>0.13684728511651925</v>
      </c>
      <c r="AJ536" s="11">
        <f t="shared" si="138"/>
        <v>0.31783885575449639</v>
      </c>
    </row>
    <row r="537" spans="1:36" x14ac:dyDescent="0.25">
      <c r="A537" s="4" t="s">
        <v>945</v>
      </c>
      <c r="B537" s="4" t="s">
        <v>984</v>
      </c>
      <c r="C537" s="4" t="s">
        <v>15</v>
      </c>
      <c r="D537" s="4" t="s">
        <v>938</v>
      </c>
      <c r="E537" t="s">
        <v>248</v>
      </c>
      <c r="F537" t="s">
        <v>171</v>
      </c>
      <c r="G537" t="s">
        <v>172</v>
      </c>
      <c r="H537">
        <v>21.6</v>
      </c>
      <c r="I537">
        <v>3</v>
      </c>
      <c r="J537" t="s">
        <v>42</v>
      </c>
      <c r="K537" t="s">
        <v>15</v>
      </c>
      <c r="L537" t="s">
        <v>240</v>
      </c>
      <c r="M537" t="s">
        <v>245</v>
      </c>
      <c r="N537" t="s">
        <v>15</v>
      </c>
      <c r="P537">
        <f>13.6*(PI()*(0.035^2))</f>
        <v>5.2338933608805954E-2</v>
      </c>
      <c r="Q537" t="s">
        <v>180</v>
      </c>
      <c r="R537" t="s">
        <v>175</v>
      </c>
      <c r="T537">
        <v>16</v>
      </c>
      <c r="W537">
        <v>90</v>
      </c>
      <c r="X537" t="s">
        <v>184</v>
      </c>
      <c r="Y537" t="s">
        <v>185</v>
      </c>
      <c r="AA537" s="13">
        <f>W537*T537*P537</f>
        <v>75.36806439668058</v>
      </c>
      <c r="AB537">
        <f>10-4.4</f>
        <v>5.6</v>
      </c>
      <c r="AC537">
        <f>0.31+0.41</f>
        <v>0.72</v>
      </c>
      <c r="AD537" s="11">
        <f t="shared" si="135"/>
        <v>19.539868547287554</v>
      </c>
      <c r="AE537" s="11">
        <f>_xlfn.RANK.AVG(Tableau8[[#This Row],[EE ( MJ/m²)]],AD537:AD1692)</f>
        <v>218</v>
      </c>
      <c r="AF537" s="11">
        <f t="shared" si="136"/>
        <v>6.5132895157625184</v>
      </c>
      <c r="AG537" s="11">
        <f>(AC537-0.41)*AA537/H537</f>
        <v>1.0816712945819897</v>
      </c>
      <c r="AH537" s="11">
        <f t="shared" si="137"/>
        <v>2.5122688132226858</v>
      </c>
      <c r="AI537" s="11">
        <f>(AC537-0.41)*AA537/H537/I537</f>
        <v>0.36055709819399656</v>
      </c>
      <c r="AJ537" s="11">
        <f t="shared" si="138"/>
        <v>0.83742293774089527</v>
      </c>
    </row>
    <row r="538" spans="1:36" x14ac:dyDescent="0.25">
      <c r="A538" s="4" t="s">
        <v>945</v>
      </c>
      <c r="B538" s="4" t="s">
        <v>984</v>
      </c>
      <c r="C538" s="4" t="s">
        <v>15</v>
      </c>
      <c r="D538" s="4" t="s">
        <v>938</v>
      </c>
      <c r="E538" t="s">
        <v>248</v>
      </c>
      <c r="F538" t="s">
        <v>171</v>
      </c>
      <c r="G538" t="s">
        <v>172</v>
      </c>
      <c r="H538">
        <v>21.6</v>
      </c>
      <c r="I538">
        <v>3</v>
      </c>
      <c r="J538" t="s">
        <v>244</v>
      </c>
      <c r="K538" t="s">
        <v>14</v>
      </c>
      <c r="L538" t="s">
        <v>208</v>
      </c>
      <c r="M538" t="s">
        <v>77</v>
      </c>
      <c r="N538" t="s">
        <v>35</v>
      </c>
      <c r="P538">
        <f>4*5</f>
        <v>20</v>
      </c>
      <c r="Q538" t="s">
        <v>179</v>
      </c>
      <c r="R538" t="s">
        <v>175</v>
      </c>
      <c r="T538">
        <v>5</v>
      </c>
      <c r="W538">
        <v>0.18</v>
      </c>
      <c r="X538" t="s">
        <v>183</v>
      </c>
      <c r="Y538" t="s">
        <v>175</v>
      </c>
      <c r="AA538" s="13">
        <f>Tableau8[[#This Row],[nb of item used ]]*Tableau8[[#This Row],[density (kg/m2) or specific weight (kg/m2)]]*Tableau8[[#This Row],[volume or area]]</f>
        <v>18</v>
      </c>
      <c r="AB538">
        <v>54.3</v>
      </c>
      <c r="AC538">
        <v>1.93</v>
      </c>
      <c r="AD538" s="11">
        <f t="shared" si="135"/>
        <v>45.249999999999993</v>
      </c>
      <c r="AE538" s="11">
        <f>_xlfn.RANK.AVG(Tableau8[[#This Row],[EE ( MJ/m²)]],AD538:AD1693)</f>
        <v>134.5</v>
      </c>
      <c r="AF538" s="11">
        <f t="shared" si="136"/>
        <v>15.08333333333333</v>
      </c>
      <c r="AG538" s="11">
        <f>(AC538)*AA538/H538</f>
        <v>1.6083333333333334</v>
      </c>
      <c r="AH538" s="11">
        <f t="shared" si="137"/>
        <v>1.6083333333333334</v>
      </c>
      <c r="AI538" s="11">
        <f>(AC538)*AA538/H538/I538</f>
        <v>0.53611111111111109</v>
      </c>
      <c r="AJ538" s="11">
        <f t="shared" si="138"/>
        <v>0.53611111111111109</v>
      </c>
    </row>
    <row r="539" spans="1:36" x14ac:dyDescent="0.25">
      <c r="A539" s="4" t="s">
        <v>945</v>
      </c>
      <c r="B539" s="4" t="s">
        <v>984</v>
      </c>
      <c r="C539" s="4" t="s">
        <v>15</v>
      </c>
      <c r="D539" s="4" t="s">
        <v>938</v>
      </c>
      <c r="E539" t="s">
        <v>248</v>
      </c>
      <c r="F539" t="s">
        <v>171</v>
      </c>
      <c r="G539" t="s">
        <v>172</v>
      </c>
      <c r="H539">
        <v>21.6</v>
      </c>
      <c r="I539">
        <v>3</v>
      </c>
      <c r="J539" t="s">
        <v>13</v>
      </c>
      <c r="K539" t="s">
        <v>18</v>
      </c>
      <c r="L539" t="s">
        <v>13</v>
      </c>
      <c r="M539" t="s">
        <v>18</v>
      </c>
      <c r="N539" t="s">
        <v>39</v>
      </c>
      <c r="P539">
        <f>0.027</f>
        <v>2.7E-2</v>
      </c>
      <c r="Q539" t="s">
        <v>180</v>
      </c>
      <c r="R539" t="s">
        <v>187</v>
      </c>
      <c r="T539">
        <v>16</v>
      </c>
      <c r="W539">
        <v>2400</v>
      </c>
      <c r="X539" t="s">
        <v>184</v>
      </c>
      <c r="Y539" t="s">
        <v>185</v>
      </c>
      <c r="Z539" t="s">
        <v>48</v>
      </c>
      <c r="AA539" s="13">
        <f>W539*T539*P539</f>
        <v>1036.8</v>
      </c>
      <c r="AB539">
        <v>0.75</v>
      </c>
      <c r="AC539">
        <v>0.107</v>
      </c>
      <c r="AD539" s="11">
        <f t="shared" si="135"/>
        <v>35.999999999999993</v>
      </c>
      <c r="AE539" s="11">
        <f>_xlfn.RANK.AVG(Tableau8[[#This Row],[EE ( MJ/m²)]],AD539:AD1694)</f>
        <v>155.5</v>
      </c>
      <c r="AF539" s="11">
        <f t="shared" si="136"/>
        <v>11.999999999999998</v>
      </c>
      <c r="AG539" s="11">
        <f>(AC539)*AA539/H539</f>
        <v>5.1359999999999992</v>
      </c>
      <c r="AH539" s="11">
        <f t="shared" si="137"/>
        <v>5.1359999999999992</v>
      </c>
      <c r="AI539" s="11">
        <f>(AC539)*AA539/H539/I539</f>
        <v>1.7119999999999997</v>
      </c>
      <c r="AJ539" s="11">
        <f t="shared" si="138"/>
        <v>1.7119999999999997</v>
      </c>
    </row>
    <row r="540" spans="1:36" x14ac:dyDescent="0.25">
      <c r="A540" s="4" t="s">
        <v>945</v>
      </c>
      <c r="B540" s="4" t="s">
        <v>984</v>
      </c>
      <c r="C540" s="4" t="s">
        <v>15</v>
      </c>
      <c r="D540" s="4" t="s">
        <v>938</v>
      </c>
      <c r="E540" t="s">
        <v>248</v>
      </c>
      <c r="F540" t="s">
        <v>171</v>
      </c>
      <c r="G540" t="s">
        <v>172</v>
      </c>
      <c r="H540">
        <v>21.6</v>
      </c>
      <c r="I540">
        <v>3</v>
      </c>
      <c r="J540" t="s">
        <v>42</v>
      </c>
      <c r="K540" t="s">
        <v>15</v>
      </c>
      <c r="L540" t="s">
        <v>241</v>
      </c>
      <c r="M540" s="20" t="s">
        <v>235</v>
      </c>
      <c r="N540" s="20" t="s">
        <v>15</v>
      </c>
      <c r="P540" s="20">
        <f>3*(PI()*(0.015^2))</f>
        <v>2.1205750411731105E-3</v>
      </c>
      <c r="Q540" s="20" t="s">
        <v>180</v>
      </c>
      <c r="R540" s="20" t="s">
        <v>175</v>
      </c>
      <c r="S540" s="20"/>
      <c r="T540" s="20">
        <v>6</v>
      </c>
      <c r="U540" s="20"/>
      <c r="V540" s="20"/>
      <c r="W540" s="20">
        <v>100</v>
      </c>
      <c r="X540" t="s">
        <v>184</v>
      </c>
      <c r="AA540" s="13">
        <f>W540*T540*P540</f>
        <v>1.2723450247038663</v>
      </c>
      <c r="AB540">
        <f>10-4.4</f>
        <v>5.6</v>
      </c>
      <c r="AC540">
        <f>0.31+0.41</f>
        <v>0.72</v>
      </c>
      <c r="AD540" s="11">
        <f t="shared" si="135"/>
        <v>0.32986722862692824</v>
      </c>
      <c r="AE540" s="11">
        <f>_xlfn.RANK.AVG(Tableau8[[#This Row],[EE ( MJ/m²)]],AD540:AD1695)</f>
        <v>536</v>
      </c>
      <c r="AF540" s="11">
        <f t="shared" si="136"/>
        <v>0.10995574287564275</v>
      </c>
      <c r="AG540" s="11">
        <f>(AC540-0.41)*AA540/H540</f>
        <v>1.8260507298990675E-2</v>
      </c>
      <c r="AH540" s="11">
        <f t="shared" si="137"/>
        <v>4.2411500823462206E-2</v>
      </c>
      <c r="AI540" s="11">
        <f>(AC540-0.41)*AA540/H540/I540</f>
        <v>6.0868357663302246E-3</v>
      </c>
      <c r="AJ540" s="11">
        <f t="shared" si="138"/>
        <v>1.4137166941154069E-2</v>
      </c>
    </row>
    <row r="541" spans="1:36" x14ac:dyDescent="0.25">
      <c r="A541" s="4" t="s">
        <v>945</v>
      </c>
      <c r="B541" s="4" t="s">
        <v>984</v>
      </c>
      <c r="C541" s="4" t="s">
        <v>15</v>
      </c>
      <c r="D541" s="4" t="s">
        <v>938</v>
      </c>
      <c r="E541" t="s">
        <v>248</v>
      </c>
      <c r="F541" t="s">
        <v>171</v>
      </c>
      <c r="G541" t="s">
        <v>172</v>
      </c>
      <c r="H541">
        <v>21.6</v>
      </c>
      <c r="I541">
        <v>3</v>
      </c>
      <c r="J541" t="s">
        <v>40</v>
      </c>
      <c r="K541" t="s">
        <v>15</v>
      </c>
      <c r="L541" t="s">
        <v>243</v>
      </c>
      <c r="M541" t="s">
        <v>235</v>
      </c>
      <c r="N541" t="s">
        <v>335</v>
      </c>
      <c r="P541">
        <f>0.9*1.6*0.008</f>
        <v>1.1520000000000001E-2</v>
      </c>
      <c r="Q541" t="s">
        <v>180</v>
      </c>
      <c r="R541" t="s">
        <v>187</v>
      </c>
      <c r="T541">
        <v>1</v>
      </c>
      <c r="W541">
        <v>178.2</v>
      </c>
      <c r="X541" t="s">
        <v>184</v>
      </c>
      <c r="Z541" t="s">
        <v>444</v>
      </c>
      <c r="AA541" s="13">
        <f>W541*T541*P541</f>
        <v>2.052864</v>
      </c>
      <c r="AB541">
        <v>28.58</v>
      </c>
      <c r="AC541">
        <v>26.91</v>
      </c>
      <c r="AD541" s="11">
        <f>AB541*(AA541/Tableau8[[#This Row],[density (kg/m2) or specific weight (kg/m2)]])/H541</f>
        <v>1.5242666666666667E-2</v>
      </c>
      <c r="AE541" s="11">
        <f>_xlfn.RANK.AVG(Tableau8[[#This Row],[EE ( MJ/m²)]],AD541:AD1696)</f>
        <v>584.5</v>
      </c>
      <c r="AF541" s="11">
        <f>AB541*(AA541/Tableau8[[#This Row],[density (kg/m2) or specific weight (kg/m2)]])/H541/I541</f>
        <v>5.0808888888888891E-3</v>
      </c>
      <c r="AG541" s="11">
        <f>(AC541)*(AA541/Tableau8[[#This Row],[density (kg/m2) or specific weight (kg/m2)]])/H541</f>
        <v>1.4352E-2</v>
      </c>
      <c r="AH541" s="11">
        <f>AC541*(AA541/Tableau8[[#This Row],[density (kg/m2) or specific weight (kg/m2)]])/H541</f>
        <v>1.4352E-2</v>
      </c>
      <c r="AI541" s="11">
        <f>(AC541)*(AA541/Tableau8[[#This Row],[density (kg/m2) or specific weight (kg/m2)]])/H541/I541</f>
        <v>4.7840000000000001E-3</v>
      </c>
      <c r="AJ541" s="11">
        <f>AC541*(AA541/Tableau8[[#This Row],[density (kg/m2) or specific weight (kg/m2)]])/H541/I541</f>
        <v>4.7840000000000001E-3</v>
      </c>
    </row>
    <row r="542" spans="1:36" x14ac:dyDescent="0.25">
      <c r="A542" s="4" t="s">
        <v>945</v>
      </c>
      <c r="B542" s="4" t="s">
        <v>985</v>
      </c>
      <c r="C542" s="4" t="s">
        <v>15</v>
      </c>
      <c r="D542" s="4" t="s">
        <v>938</v>
      </c>
      <c r="E542" t="s">
        <v>249</v>
      </c>
      <c r="F542" t="s">
        <v>171</v>
      </c>
      <c r="G542" t="s">
        <v>172</v>
      </c>
      <c r="H542">
        <v>21.6</v>
      </c>
      <c r="I542">
        <v>3</v>
      </c>
      <c r="J542" t="s">
        <v>56</v>
      </c>
      <c r="K542" t="s">
        <v>15</v>
      </c>
      <c r="L542" t="s">
        <v>242</v>
      </c>
      <c r="M542" t="s">
        <v>52</v>
      </c>
      <c r="N542" t="s">
        <v>223</v>
      </c>
      <c r="P542">
        <f>2*((PI()*((50)*(10^(-2))/2)^2))</f>
        <v>0.39269908169872414</v>
      </c>
      <c r="Q542" t="s">
        <v>180</v>
      </c>
      <c r="R542" t="s">
        <v>175</v>
      </c>
      <c r="T542">
        <v>6</v>
      </c>
      <c r="W542" s="1">
        <v>17</v>
      </c>
      <c r="X542" t="s">
        <v>184</v>
      </c>
      <c r="AA542" s="13">
        <f>W542*T542*P542</f>
        <v>40.055306333269861</v>
      </c>
      <c r="AB542">
        <v>0.24</v>
      </c>
      <c r="AC542">
        <v>0.1</v>
      </c>
      <c r="AD542" s="11">
        <f t="shared" ref="AD542:AD549" si="139">AB542*AA542/H542</f>
        <v>0.44505895925855393</v>
      </c>
      <c r="AE542" s="11">
        <f>_xlfn.RANK.AVG(Tableau8[[#This Row],[EE ( MJ/m²)]],AD542:AD1697)</f>
        <v>523</v>
      </c>
      <c r="AF542" s="11">
        <f t="shared" ref="AF542:AF549" si="140">AB542*AA542/H542/I542</f>
        <v>0.14835298641951797</v>
      </c>
      <c r="AG542" s="11">
        <f>(AC542)*AA542/H542</f>
        <v>0.18544123302439752</v>
      </c>
      <c r="AH542" s="11">
        <f t="shared" ref="AH542:AH549" si="141">AC542*AA542/H542</f>
        <v>0.18544123302439752</v>
      </c>
      <c r="AI542" s="11">
        <f>(AC542)*AA542/H542/I542</f>
        <v>6.1813744341465839E-2</v>
      </c>
      <c r="AJ542" s="11">
        <f t="shared" ref="AJ542:AJ549" si="142">AC542*AA542/H542/I542</f>
        <v>6.1813744341465839E-2</v>
      </c>
    </row>
    <row r="543" spans="1:36" x14ac:dyDescent="0.25">
      <c r="A543" s="4" t="s">
        <v>945</v>
      </c>
      <c r="B543" s="4" t="s">
        <v>985</v>
      </c>
      <c r="C543" s="4" t="s">
        <v>15</v>
      </c>
      <c r="D543" s="4" t="s">
        <v>938</v>
      </c>
      <c r="E543" t="s">
        <v>249</v>
      </c>
      <c r="F543" t="s">
        <v>171</v>
      </c>
      <c r="G543" t="s">
        <v>172</v>
      </c>
      <c r="H543">
        <v>21.6</v>
      </c>
      <c r="I543">
        <v>3</v>
      </c>
      <c r="J543" t="s">
        <v>43</v>
      </c>
      <c r="K543" t="s">
        <v>17</v>
      </c>
      <c r="L543" t="s">
        <v>9</v>
      </c>
      <c r="M543" t="s">
        <v>12</v>
      </c>
      <c r="N543" t="s">
        <v>12</v>
      </c>
      <c r="R543" t="s">
        <v>175</v>
      </c>
      <c r="W543">
        <v>7800</v>
      </c>
      <c r="X543" t="s">
        <v>184</v>
      </c>
      <c r="Y543" t="s">
        <v>185</v>
      </c>
      <c r="AA543" s="13">
        <v>3</v>
      </c>
      <c r="AB543">
        <v>25.3</v>
      </c>
      <c r="AC543">
        <v>1.95</v>
      </c>
      <c r="AD543" s="11">
        <f t="shared" si="139"/>
        <v>3.5138888888888888</v>
      </c>
      <c r="AE543" s="11">
        <f>_xlfn.RANK.AVG(Tableau8[[#This Row],[EE ( MJ/m²)]],AD543:AD1698)</f>
        <v>382</v>
      </c>
      <c r="AF543" s="11">
        <f t="shared" si="140"/>
        <v>1.1712962962962963</v>
      </c>
      <c r="AG543" s="11">
        <f>(AC543)*AA543/H543</f>
        <v>0.27083333333333331</v>
      </c>
      <c r="AH543" s="11">
        <f t="shared" si="141"/>
        <v>0.27083333333333331</v>
      </c>
      <c r="AI543" s="11">
        <f>(AC543)*AA543/H543/I543</f>
        <v>9.0277777777777776E-2</v>
      </c>
      <c r="AJ543" s="11">
        <f t="shared" si="142"/>
        <v>9.0277777777777776E-2</v>
      </c>
    </row>
    <row r="544" spans="1:36" x14ac:dyDescent="0.25">
      <c r="A544" s="4" t="s">
        <v>945</v>
      </c>
      <c r="B544" s="4" t="s">
        <v>985</v>
      </c>
      <c r="C544" s="4" t="s">
        <v>15</v>
      </c>
      <c r="D544" s="4" t="s">
        <v>938</v>
      </c>
      <c r="E544" t="s">
        <v>249</v>
      </c>
      <c r="F544" t="s">
        <v>171</v>
      </c>
      <c r="G544" t="s">
        <v>172</v>
      </c>
      <c r="H544">
        <v>21.6</v>
      </c>
      <c r="I544">
        <v>3</v>
      </c>
      <c r="J544" t="s">
        <v>44</v>
      </c>
      <c r="K544" t="s">
        <v>14</v>
      </c>
      <c r="L544" t="s">
        <v>247</v>
      </c>
      <c r="M544" t="s">
        <v>134</v>
      </c>
      <c r="N544" t="s">
        <v>595</v>
      </c>
      <c r="P544">
        <f>30*(PI()*(0.004^2))</f>
        <v>1.5079644737231006E-3</v>
      </c>
      <c r="Q544" t="s">
        <v>180</v>
      </c>
      <c r="R544" t="s">
        <v>175</v>
      </c>
      <c r="T544">
        <v>1</v>
      </c>
      <c r="W544" s="1">
        <v>0.2</v>
      </c>
      <c r="X544" t="s">
        <v>183</v>
      </c>
      <c r="AA544" s="13">
        <f>W544*T544*P544</f>
        <v>3.0159289474462013E-4</v>
      </c>
      <c r="AB544">
        <v>351</v>
      </c>
      <c r="AC544">
        <v>15.5</v>
      </c>
      <c r="AD544" s="11">
        <f t="shared" si="139"/>
        <v>4.9008845396000767E-3</v>
      </c>
      <c r="AE544" s="11">
        <f>_xlfn.RANK.AVG(Tableau8[[#This Row],[EE ( MJ/m²)]],AD544:AD1699)</f>
        <v>605</v>
      </c>
      <c r="AF544" s="11">
        <f t="shared" si="140"/>
        <v>1.6336281798666923E-3</v>
      </c>
      <c r="AG544" s="11">
        <f>(AC544)*AA544/H544</f>
        <v>2.1642082724729683E-4</v>
      </c>
      <c r="AH544" s="11">
        <f t="shared" si="141"/>
        <v>2.1642082724729683E-4</v>
      </c>
      <c r="AI544" s="11">
        <f>(AC544)*AA544/H544/I544</f>
        <v>7.214027574909894E-5</v>
      </c>
      <c r="AJ544" s="11">
        <f t="shared" si="142"/>
        <v>7.214027574909894E-5</v>
      </c>
    </row>
    <row r="545" spans="1:36" x14ac:dyDescent="0.25">
      <c r="A545" s="4" t="s">
        <v>945</v>
      </c>
      <c r="B545" s="4" t="s">
        <v>985</v>
      </c>
      <c r="C545" s="4" t="s">
        <v>15</v>
      </c>
      <c r="D545" s="4" t="s">
        <v>938</v>
      </c>
      <c r="E545" t="s">
        <v>249</v>
      </c>
      <c r="F545" t="s">
        <v>171</v>
      </c>
      <c r="G545" t="s">
        <v>172</v>
      </c>
      <c r="H545">
        <v>21.6</v>
      </c>
      <c r="I545">
        <v>3</v>
      </c>
      <c r="J545" t="s">
        <v>40</v>
      </c>
      <c r="K545" t="s">
        <v>29</v>
      </c>
      <c r="L545" t="s">
        <v>68</v>
      </c>
      <c r="M545" t="s">
        <v>68</v>
      </c>
      <c r="N545" t="s">
        <v>69</v>
      </c>
      <c r="P545">
        <v>5</v>
      </c>
      <c r="Q545" t="s">
        <v>180</v>
      </c>
      <c r="R545" t="s">
        <v>175</v>
      </c>
      <c r="T545">
        <v>1</v>
      </c>
      <c r="U545" t="s">
        <v>175</v>
      </c>
      <c r="W545">
        <v>1460</v>
      </c>
      <c r="X545" t="s">
        <v>184</v>
      </c>
      <c r="Y545" t="s">
        <v>185</v>
      </c>
      <c r="AA545" s="13">
        <f>W545*T545*P545</f>
        <v>7300</v>
      </c>
      <c r="AB545">
        <v>0.45</v>
      </c>
      <c r="AC545">
        <v>2.4E-2</v>
      </c>
      <c r="AD545" s="11">
        <f t="shared" si="139"/>
        <v>152.08333333333331</v>
      </c>
      <c r="AE545" s="11">
        <f>_xlfn.RANK.AVG(Tableau8[[#This Row],[EE ( MJ/m²)]],AD545:AD1700)</f>
        <v>47</v>
      </c>
      <c r="AF545" s="11">
        <f t="shared" si="140"/>
        <v>50.694444444444436</v>
      </c>
      <c r="AG545" s="11">
        <f>(AC545)*AA545/H545</f>
        <v>8.1111111111111107</v>
      </c>
      <c r="AH545" s="11">
        <f t="shared" si="141"/>
        <v>8.1111111111111107</v>
      </c>
      <c r="AI545" s="11">
        <f>(AC545)*AA545/H545/I545</f>
        <v>2.7037037037037037</v>
      </c>
      <c r="AJ545" s="11">
        <f t="shared" si="142"/>
        <v>2.7037037037037037</v>
      </c>
    </row>
    <row r="546" spans="1:36" x14ac:dyDescent="0.25">
      <c r="A546" s="4" t="s">
        <v>945</v>
      </c>
      <c r="B546" s="4" t="s">
        <v>985</v>
      </c>
      <c r="C546" s="4" t="s">
        <v>15</v>
      </c>
      <c r="D546" s="4" t="s">
        <v>938</v>
      </c>
      <c r="E546" t="s">
        <v>249</v>
      </c>
      <c r="F546" t="s">
        <v>171</v>
      </c>
      <c r="G546" t="s">
        <v>172</v>
      </c>
      <c r="H546">
        <v>21.6</v>
      </c>
      <c r="I546">
        <v>3</v>
      </c>
      <c r="J546" t="s">
        <v>42</v>
      </c>
      <c r="K546" t="s">
        <v>15</v>
      </c>
      <c r="L546" t="s">
        <v>239</v>
      </c>
      <c r="M546" t="s">
        <v>245</v>
      </c>
      <c r="N546" t="s">
        <v>15</v>
      </c>
      <c r="P546">
        <f>1.8*(PI()*(0.0575^2))</f>
        <v>1.8696403279676258E-2</v>
      </c>
      <c r="Q546" t="s">
        <v>180</v>
      </c>
      <c r="R546" t="s">
        <v>175</v>
      </c>
      <c r="T546">
        <v>17</v>
      </c>
      <c r="W546">
        <v>510</v>
      </c>
      <c r="X546" t="s">
        <v>184</v>
      </c>
      <c r="Y546" t="s">
        <v>185</v>
      </c>
      <c r="AA546" s="13">
        <f>W546*T546*P546</f>
        <v>162.09781643479315</v>
      </c>
      <c r="AB546">
        <f>10-4.4</f>
        <v>5.6</v>
      </c>
      <c r="AC546">
        <f>0.31+0.41</f>
        <v>0.72</v>
      </c>
      <c r="AD546" s="11">
        <f t="shared" si="139"/>
        <v>42.025359816427844</v>
      </c>
      <c r="AE546" s="11">
        <f>_xlfn.RANK.AVG(Tableau8[[#This Row],[EE ( MJ/m²)]],AD546:AD1701)</f>
        <v>137</v>
      </c>
      <c r="AF546" s="11">
        <f t="shared" si="140"/>
        <v>14.008453272142615</v>
      </c>
      <c r="AG546" s="11">
        <f>(AC546-0.41)*AA546/H546</f>
        <v>2.3264038469808277</v>
      </c>
      <c r="AH546" s="11">
        <f t="shared" si="141"/>
        <v>5.4032605478264371</v>
      </c>
      <c r="AI546" s="11">
        <f>(AC546-0.41)*AA546/H546/I546</f>
        <v>0.77546794899360927</v>
      </c>
      <c r="AJ546" s="11">
        <f t="shared" si="142"/>
        <v>1.801086849275479</v>
      </c>
    </row>
    <row r="547" spans="1:36" x14ac:dyDescent="0.25">
      <c r="A547" s="4" t="s">
        <v>945</v>
      </c>
      <c r="B547" s="4" t="s">
        <v>985</v>
      </c>
      <c r="C547" s="4" t="s">
        <v>15</v>
      </c>
      <c r="D547" s="4" t="s">
        <v>938</v>
      </c>
      <c r="E547" t="s">
        <v>249</v>
      </c>
      <c r="F547" t="s">
        <v>171</v>
      </c>
      <c r="G547" t="s">
        <v>172</v>
      </c>
      <c r="H547">
        <v>21.6</v>
      </c>
      <c r="I547">
        <v>3</v>
      </c>
      <c r="J547" t="s">
        <v>42</v>
      </c>
      <c r="K547" t="s">
        <v>15</v>
      </c>
      <c r="L547" t="s">
        <v>240</v>
      </c>
      <c r="M547" t="s">
        <v>245</v>
      </c>
      <c r="N547" t="s">
        <v>15</v>
      </c>
      <c r="P547">
        <f>13.6*(PI()*(0.035^2))</f>
        <v>5.2338933608805954E-2</v>
      </c>
      <c r="Q547" t="s">
        <v>180</v>
      </c>
      <c r="R547" t="s">
        <v>175</v>
      </c>
      <c r="T547">
        <v>16</v>
      </c>
      <c r="W547">
        <v>510</v>
      </c>
      <c r="X547" t="s">
        <v>184</v>
      </c>
      <c r="Y547" t="s">
        <v>185</v>
      </c>
      <c r="AA547" s="13">
        <f>W547*T547*P547</f>
        <v>427.08569824785661</v>
      </c>
      <c r="AB547">
        <f>10-4.4</f>
        <v>5.6</v>
      </c>
      <c r="AC547">
        <f>0.31+0.41</f>
        <v>0.72</v>
      </c>
      <c r="AD547" s="11">
        <f t="shared" si="139"/>
        <v>110.72592176796282</v>
      </c>
      <c r="AE547" s="11">
        <f>_xlfn.RANK.AVG(Tableau8[[#This Row],[EE ( MJ/m²)]],AD547:AD1702)</f>
        <v>70</v>
      </c>
      <c r="AF547" s="11">
        <f t="shared" si="140"/>
        <v>36.908640589320939</v>
      </c>
      <c r="AG547" s="11">
        <f>(AC547-0.41)*AA547/H547</f>
        <v>6.1294706692979419</v>
      </c>
      <c r="AH547" s="11">
        <f t="shared" si="141"/>
        <v>14.236189941595219</v>
      </c>
      <c r="AI547" s="11">
        <f>(AC547-0.41)*AA547/H547/I547</f>
        <v>2.0431568897659806</v>
      </c>
      <c r="AJ547" s="11">
        <f t="shared" si="142"/>
        <v>4.7453966471984064</v>
      </c>
    </row>
    <row r="548" spans="1:36" x14ac:dyDescent="0.25">
      <c r="A548" s="4" t="s">
        <v>945</v>
      </c>
      <c r="B548" s="4" t="s">
        <v>985</v>
      </c>
      <c r="C548" s="4" t="s">
        <v>15</v>
      </c>
      <c r="D548" s="4" t="s">
        <v>938</v>
      </c>
      <c r="E548" t="s">
        <v>249</v>
      </c>
      <c r="F548" t="s">
        <v>171</v>
      </c>
      <c r="G548" t="s">
        <v>172</v>
      </c>
      <c r="H548">
        <v>21.6</v>
      </c>
      <c r="I548">
        <v>3</v>
      </c>
      <c r="J548" t="s">
        <v>244</v>
      </c>
      <c r="K548" t="s">
        <v>14</v>
      </c>
      <c r="L548" t="s">
        <v>208</v>
      </c>
      <c r="M548" t="s">
        <v>77</v>
      </c>
      <c r="N548" t="s">
        <v>35</v>
      </c>
      <c r="P548">
        <f>4*5</f>
        <v>20</v>
      </c>
      <c r="Q548" t="s">
        <v>179</v>
      </c>
      <c r="R548" t="s">
        <v>175</v>
      </c>
      <c r="T548">
        <v>5</v>
      </c>
      <c r="W548">
        <v>0.18</v>
      </c>
      <c r="X548" t="s">
        <v>183</v>
      </c>
      <c r="Y548" t="s">
        <v>175</v>
      </c>
      <c r="AA548" s="13">
        <f>Tableau8[[#This Row],[nb of item used ]]*Tableau8[[#This Row],[density (kg/m2) or specific weight (kg/m2)]]*Tableau8[[#This Row],[volume or area]]</f>
        <v>18</v>
      </c>
      <c r="AB548">
        <v>54.3</v>
      </c>
      <c r="AC548">
        <v>1.93</v>
      </c>
      <c r="AD548" s="11">
        <f t="shared" si="139"/>
        <v>45.249999999999993</v>
      </c>
      <c r="AE548" s="11">
        <f>_xlfn.RANK.AVG(Tableau8[[#This Row],[EE ( MJ/m²)]],AD548:AD1703)</f>
        <v>132</v>
      </c>
      <c r="AF548" s="11">
        <f t="shared" si="140"/>
        <v>15.08333333333333</v>
      </c>
      <c r="AG548" s="11">
        <f>(AC548)*AA548/H548</f>
        <v>1.6083333333333334</v>
      </c>
      <c r="AH548" s="11">
        <f t="shared" si="141"/>
        <v>1.6083333333333334</v>
      </c>
      <c r="AI548" s="11">
        <f>(AC548)*AA548/H548/I548</f>
        <v>0.53611111111111109</v>
      </c>
      <c r="AJ548" s="11">
        <f t="shared" si="142"/>
        <v>0.53611111111111109</v>
      </c>
    </row>
    <row r="549" spans="1:36" x14ac:dyDescent="0.25">
      <c r="A549" s="4" t="s">
        <v>945</v>
      </c>
      <c r="B549" s="4" t="s">
        <v>985</v>
      </c>
      <c r="C549" s="4" t="s">
        <v>15</v>
      </c>
      <c r="D549" s="4" t="s">
        <v>938</v>
      </c>
      <c r="E549" t="s">
        <v>249</v>
      </c>
      <c r="F549" t="s">
        <v>171</v>
      </c>
      <c r="G549" t="s">
        <v>172</v>
      </c>
      <c r="H549">
        <v>21.6</v>
      </c>
      <c r="I549">
        <v>3</v>
      </c>
      <c r="J549" t="s">
        <v>13</v>
      </c>
      <c r="K549" t="s">
        <v>18</v>
      </c>
      <c r="L549" t="s">
        <v>13</v>
      </c>
      <c r="M549" t="s">
        <v>18</v>
      </c>
      <c r="N549" t="s">
        <v>39</v>
      </c>
      <c r="P549">
        <f>0.027</f>
        <v>2.7E-2</v>
      </c>
      <c r="Q549" t="s">
        <v>180</v>
      </c>
      <c r="R549" t="s">
        <v>175</v>
      </c>
      <c r="T549">
        <v>16</v>
      </c>
      <c r="W549">
        <v>2400</v>
      </c>
      <c r="X549" t="s">
        <v>184</v>
      </c>
      <c r="Y549" t="s">
        <v>185</v>
      </c>
      <c r="Z549" t="s">
        <v>48</v>
      </c>
      <c r="AA549" s="13">
        <f t="shared" ref="AA549:AA557" si="143">W549*T549*P549</f>
        <v>1036.8</v>
      </c>
      <c r="AB549">
        <v>0.75</v>
      </c>
      <c r="AC549">
        <v>0.107</v>
      </c>
      <c r="AD549" s="11">
        <f t="shared" si="139"/>
        <v>35.999999999999993</v>
      </c>
      <c r="AE549" s="11">
        <f>_xlfn.RANK.AVG(Tableau8[[#This Row],[EE ( MJ/m²)]],AD549:AD1704)</f>
        <v>151</v>
      </c>
      <c r="AF549" s="11">
        <f t="shared" si="140"/>
        <v>11.999999999999998</v>
      </c>
      <c r="AG549" s="11">
        <f>(AC549)*AA549/H549</f>
        <v>5.1359999999999992</v>
      </c>
      <c r="AH549" s="11">
        <f t="shared" si="141"/>
        <v>5.1359999999999992</v>
      </c>
      <c r="AI549" s="11">
        <f>(AC549)*AA549/H549/I549</f>
        <v>1.7119999999999997</v>
      </c>
      <c r="AJ549" s="11">
        <f t="shared" si="142"/>
        <v>1.7119999999999997</v>
      </c>
    </row>
    <row r="550" spans="1:36" x14ac:dyDescent="0.25">
      <c r="A550" s="4" t="s">
        <v>945</v>
      </c>
      <c r="B550" s="4" t="s">
        <v>985</v>
      </c>
      <c r="C550" s="4" t="s">
        <v>15</v>
      </c>
      <c r="D550" s="4" t="s">
        <v>938</v>
      </c>
      <c r="E550" t="s">
        <v>249</v>
      </c>
      <c r="F550" t="s">
        <v>171</v>
      </c>
      <c r="G550" t="s">
        <v>172</v>
      </c>
      <c r="H550">
        <v>21.6</v>
      </c>
      <c r="I550">
        <v>3</v>
      </c>
      <c r="J550" t="s">
        <v>42</v>
      </c>
      <c r="K550" t="s">
        <v>15</v>
      </c>
      <c r="L550" t="s">
        <v>241</v>
      </c>
      <c r="M550" t="s">
        <v>235</v>
      </c>
      <c r="N550" t="s">
        <v>235</v>
      </c>
      <c r="P550">
        <f>3*(PI()*(0.015^2))</f>
        <v>2.1205750411731105E-3</v>
      </c>
      <c r="Q550" t="s">
        <v>180</v>
      </c>
      <c r="R550" t="s">
        <v>175</v>
      </c>
      <c r="T550">
        <v>6</v>
      </c>
      <c r="W550">
        <v>100</v>
      </c>
      <c r="X550" t="s">
        <v>184</v>
      </c>
      <c r="Y550" t="s">
        <v>441</v>
      </c>
      <c r="Z550" t="s">
        <v>444</v>
      </c>
      <c r="AA550" s="13">
        <f t="shared" si="143"/>
        <v>1.2723450247038663</v>
      </c>
      <c r="AB550">
        <v>13.13</v>
      </c>
      <c r="AC550">
        <v>12.37</v>
      </c>
      <c r="AD550" s="11">
        <f>AB550*(AA550/Tableau8[[#This Row],[density (kg/m2) or specific weight (kg/m2)]])/H550</f>
        <v>7.7342084140563719E-3</v>
      </c>
      <c r="AE550" s="11">
        <f>_xlfn.RANK.AVG(Tableau8[[#This Row],[EE ( MJ/m²)]],AD550:AD1705)</f>
        <v>590</v>
      </c>
      <c r="AF550" s="11">
        <f>AB550*(AA550/Tableau8[[#This Row],[density (kg/m2) or specific weight (kg/m2)]])/H550/I550</f>
        <v>2.5780694713521241E-3</v>
      </c>
      <c r="AG550" s="11">
        <f>(AC550)*(AA550/Tableau8[[#This Row],[density (kg/m2) or specific weight (kg/m2)]])/H550</f>
        <v>7.2865314609198263E-3</v>
      </c>
      <c r="AH550" s="11">
        <f>AC550*(AA550/Tableau8[[#This Row],[density (kg/m2) or specific weight (kg/m2)]])/H550</f>
        <v>7.2865314609198263E-3</v>
      </c>
      <c r="AI550" s="11">
        <f>(AC550)*(AA550/Tableau8[[#This Row],[density (kg/m2) or specific weight (kg/m2)]])/H550/I550</f>
        <v>2.4288438203066086E-3</v>
      </c>
      <c r="AJ550" s="11">
        <f>AC550*(AA550/Tableau8[[#This Row],[density (kg/m2) or specific weight (kg/m2)]])/H550/I550</f>
        <v>2.4288438203066086E-3</v>
      </c>
    </row>
    <row r="551" spans="1:36" x14ac:dyDescent="0.25">
      <c r="A551" s="4" t="s">
        <v>945</v>
      </c>
      <c r="B551" s="4" t="s">
        <v>985</v>
      </c>
      <c r="C551" s="4" t="s">
        <v>15</v>
      </c>
      <c r="D551" s="4" t="s">
        <v>938</v>
      </c>
      <c r="E551" t="s">
        <v>249</v>
      </c>
      <c r="F551" t="s">
        <v>171</v>
      </c>
      <c r="G551" t="s">
        <v>172</v>
      </c>
      <c r="H551">
        <v>21.6</v>
      </c>
      <c r="I551">
        <v>3</v>
      </c>
      <c r="J551" t="s">
        <v>40</v>
      </c>
      <c r="K551" t="s">
        <v>15</v>
      </c>
      <c r="L551" t="s">
        <v>243</v>
      </c>
      <c r="M551" t="s">
        <v>235</v>
      </c>
      <c r="N551" t="s">
        <v>335</v>
      </c>
      <c r="P551">
        <f>0.9*1.6*0.008</f>
        <v>1.1520000000000001E-2</v>
      </c>
      <c r="Q551" t="s">
        <v>180</v>
      </c>
      <c r="R551" t="s">
        <v>187</v>
      </c>
      <c r="T551">
        <v>1</v>
      </c>
      <c r="W551">
        <v>178.2</v>
      </c>
      <c r="X551" t="s">
        <v>184</v>
      </c>
      <c r="Z551" t="s">
        <v>444</v>
      </c>
      <c r="AA551" s="13">
        <f t="shared" si="143"/>
        <v>2.052864</v>
      </c>
      <c r="AB551">
        <v>28.58</v>
      </c>
      <c r="AC551">
        <v>26.91</v>
      </c>
      <c r="AD551" s="11">
        <f>AB551*(AA551/Tableau8[[#This Row],[density (kg/m2) or specific weight (kg/m2)]])/H551</f>
        <v>1.5242666666666667E-2</v>
      </c>
      <c r="AE551" s="11">
        <f>_xlfn.RANK.AVG(Tableau8[[#This Row],[EE ( MJ/m²)]],AD551:AD1706)</f>
        <v>577</v>
      </c>
      <c r="AF551" s="11">
        <f>AB551*(AA551/Tableau8[[#This Row],[density (kg/m2) or specific weight (kg/m2)]])/H551/I551</f>
        <v>5.0808888888888891E-3</v>
      </c>
      <c r="AG551" s="11">
        <f>(AC551)*(AA551/Tableau8[[#This Row],[density (kg/m2) or specific weight (kg/m2)]])/H551</f>
        <v>1.4352E-2</v>
      </c>
      <c r="AH551" s="11">
        <f>AC551*(AA551/Tableau8[[#This Row],[density (kg/m2) or specific weight (kg/m2)]])/H551</f>
        <v>1.4352E-2</v>
      </c>
      <c r="AI551" s="11">
        <f>(AC551)*(AA551/Tableau8[[#This Row],[density (kg/m2) or specific weight (kg/m2)]])/H551/I551</f>
        <v>4.7840000000000001E-3</v>
      </c>
      <c r="AJ551" s="11">
        <f>AC551*(AA551/Tableau8[[#This Row],[density (kg/m2) or specific weight (kg/m2)]])/H551/I551</f>
        <v>4.7840000000000001E-3</v>
      </c>
    </row>
    <row r="552" spans="1:36" x14ac:dyDescent="0.25">
      <c r="A552" s="4" t="s">
        <v>945</v>
      </c>
      <c r="B552" s="4" t="s">
        <v>986</v>
      </c>
      <c r="C552" s="4" t="s">
        <v>15</v>
      </c>
      <c r="D552" s="4" t="s">
        <v>938</v>
      </c>
      <c r="E552" t="s">
        <v>170</v>
      </c>
      <c r="F552" t="s">
        <v>171</v>
      </c>
      <c r="G552" t="s">
        <v>172</v>
      </c>
      <c r="H552">
        <v>12</v>
      </c>
      <c r="I552">
        <v>1</v>
      </c>
      <c r="J552" t="s">
        <v>42</v>
      </c>
      <c r="K552" t="s">
        <v>15</v>
      </c>
      <c r="L552" t="s">
        <v>4</v>
      </c>
      <c r="M552" t="s">
        <v>2</v>
      </c>
      <c r="N552" t="s">
        <v>15</v>
      </c>
      <c r="O552" t="s">
        <v>37</v>
      </c>
      <c r="P552">
        <f>2*((PI()*((4+7.5)*(10^(-2))/2)^2))</f>
        <v>2.0773781421862508E-2</v>
      </c>
      <c r="Q552" t="s">
        <v>180</v>
      </c>
      <c r="R552" s="3" t="s">
        <v>176</v>
      </c>
      <c r="T552">
        <v>8</v>
      </c>
      <c r="U552" t="s">
        <v>175</v>
      </c>
      <c r="W552">
        <v>480</v>
      </c>
      <c r="X552" t="s">
        <v>184</v>
      </c>
      <c r="Y552" t="s">
        <v>185</v>
      </c>
      <c r="Z552" t="s">
        <v>45</v>
      </c>
      <c r="AA552" s="13">
        <f t="shared" si="143"/>
        <v>79.771320659952039</v>
      </c>
      <c r="AB552">
        <f>10-4.4</f>
        <v>5.6</v>
      </c>
      <c r="AC552">
        <f>0.31+0.41</f>
        <v>0.72</v>
      </c>
      <c r="AD552" s="11">
        <f t="shared" ref="AD552:AD583" si="144">AB552*AA552/H552</f>
        <v>37.226616307977615</v>
      </c>
      <c r="AE552" s="11">
        <f>_xlfn.RANK.AVG(Tableau8[[#This Row],[EE ( MJ/m²)]],AD552:AD1707)</f>
        <v>145</v>
      </c>
      <c r="AF552" s="11">
        <f t="shared" ref="AF552:AF583" si="145">AB552*AA552/H552/I552</f>
        <v>37.226616307977615</v>
      </c>
      <c r="AG552" s="11">
        <f>(AC552-0.41)*AA552/H552</f>
        <v>2.0607591170487609</v>
      </c>
      <c r="AH552" s="11">
        <f t="shared" ref="AH552:AH583" si="146">AC552*AA552/H552</f>
        <v>4.7862792395971221</v>
      </c>
      <c r="AI552" s="11">
        <f>(AC552-0.41)*AA552/H552/I552</f>
        <v>2.0607591170487609</v>
      </c>
      <c r="AJ552" s="11">
        <f t="shared" ref="AJ552:AJ583" si="147">AC552*AA552/H552/I552</f>
        <v>4.7862792395971221</v>
      </c>
    </row>
    <row r="553" spans="1:36" x14ac:dyDescent="0.25">
      <c r="A553" s="4" t="s">
        <v>945</v>
      </c>
      <c r="B553" s="4" t="s">
        <v>986</v>
      </c>
      <c r="C553" s="4" t="s">
        <v>15</v>
      </c>
      <c r="D553" s="4" t="s">
        <v>938</v>
      </c>
      <c r="E553" t="s">
        <v>170</v>
      </c>
      <c r="F553" t="s">
        <v>171</v>
      </c>
      <c r="G553" t="s">
        <v>172</v>
      </c>
      <c r="H553">
        <v>12</v>
      </c>
      <c r="I553">
        <v>1</v>
      </c>
      <c r="J553" t="s">
        <v>42</v>
      </c>
      <c r="K553" t="s">
        <v>15</v>
      </c>
      <c r="L553" t="s">
        <v>4</v>
      </c>
      <c r="M553" t="s">
        <v>2</v>
      </c>
      <c r="N553" t="s">
        <v>15</v>
      </c>
      <c r="O553" t="s">
        <v>37</v>
      </c>
      <c r="P553">
        <f>3*((PI()*((4+7.5)*(10^(-2))/2)^2))</f>
        <v>3.1160672132793762E-2</v>
      </c>
      <c r="Q553" t="s">
        <v>180</v>
      </c>
      <c r="R553" s="3" t="s">
        <v>176</v>
      </c>
      <c r="T553">
        <v>2</v>
      </c>
      <c r="U553" t="s">
        <v>175</v>
      </c>
      <c r="W553">
        <v>480</v>
      </c>
      <c r="X553" t="s">
        <v>184</v>
      </c>
      <c r="Y553" t="s">
        <v>185</v>
      </c>
      <c r="Z553" t="s">
        <v>45</v>
      </c>
      <c r="AA553" s="13">
        <f t="shared" si="143"/>
        <v>29.914245247482011</v>
      </c>
      <c r="AB553">
        <f>10-4.4</f>
        <v>5.6</v>
      </c>
      <c r="AC553">
        <f>0.31+0.41</f>
        <v>0.72</v>
      </c>
      <c r="AD553" s="11">
        <f t="shared" si="144"/>
        <v>13.959981115491603</v>
      </c>
      <c r="AE553" s="11">
        <f>_xlfn.RANK.AVG(Tableau8[[#This Row],[EE ( MJ/m²)]],AD553:AD1708)</f>
        <v>246</v>
      </c>
      <c r="AF553" s="11">
        <f t="shared" si="145"/>
        <v>13.959981115491603</v>
      </c>
      <c r="AG553" s="11">
        <f>(AC553-0.41)*AA553/H553</f>
        <v>0.77278466889328534</v>
      </c>
      <c r="AH553" s="11">
        <f t="shared" si="146"/>
        <v>1.7948547148489205</v>
      </c>
      <c r="AI553" s="11">
        <f>(AC553-0.41)*AA553/H553/I553</f>
        <v>0.77278466889328534</v>
      </c>
      <c r="AJ553" s="11">
        <f t="shared" si="147"/>
        <v>1.7948547148489205</v>
      </c>
    </row>
    <row r="554" spans="1:36" x14ac:dyDescent="0.25">
      <c r="A554" s="4" t="s">
        <v>945</v>
      </c>
      <c r="B554" s="4" t="s">
        <v>986</v>
      </c>
      <c r="C554" s="4" t="s">
        <v>15</v>
      </c>
      <c r="D554" s="4" t="s">
        <v>938</v>
      </c>
      <c r="E554" t="s">
        <v>170</v>
      </c>
      <c r="F554" t="s">
        <v>171</v>
      </c>
      <c r="G554" t="s">
        <v>172</v>
      </c>
      <c r="H554">
        <v>12</v>
      </c>
      <c r="I554">
        <v>1</v>
      </c>
      <c r="J554" t="s">
        <v>42</v>
      </c>
      <c r="K554" t="s">
        <v>15</v>
      </c>
      <c r="L554" t="s">
        <v>3</v>
      </c>
      <c r="M554" t="s">
        <v>2</v>
      </c>
      <c r="N554" t="s">
        <v>15</v>
      </c>
      <c r="O554" t="s">
        <v>37</v>
      </c>
      <c r="P554">
        <f>4.2*((PI()*((4+7.5)*(10^(-2))/2)^2))</f>
        <v>4.362494098591127E-2</v>
      </c>
      <c r="Q554" t="s">
        <v>180</v>
      </c>
      <c r="R554" s="3" t="s">
        <v>176</v>
      </c>
      <c r="T554">
        <v>2</v>
      </c>
      <c r="U554" t="s">
        <v>175</v>
      </c>
      <c r="W554">
        <v>480</v>
      </c>
      <c r="X554" t="s">
        <v>184</v>
      </c>
      <c r="Y554" t="s">
        <v>185</v>
      </c>
      <c r="Z554" t="s">
        <v>45</v>
      </c>
      <c r="AA554" s="13">
        <f t="shared" si="143"/>
        <v>41.879943346474818</v>
      </c>
      <c r="AB554">
        <f>10-4.4</f>
        <v>5.6</v>
      </c>
      <c r="AC554">
        <f>0.31+0.41</f>
        <v>0.72</v>
      </c>
      <c r="AD554" s="11">
        <f t="shared" si="144"/>
        <v>19.543973561688247</v>
      </c>
      <c r="AE554" s="11">
        <f>_xlfn.RANK.AVG(Tableau8[[#This Row],[EE ( MJ/m²)]],AD554:AD1709)</f>
        <v>209</v>
      </c>
      <c r="AF554" s="11">
        <f t="shared" si="145"/>
        <v>19.543973561688247</v>
      </c>
      <c r="AG554" s="11">
        <f>(AC554-0.41)*AA554/H554</f>
        <v>1.0818985364505995</v>
      </c>
      <c r="AH554" s="11">
        <f t="shared" si="146"/>
        <v>2.512796600788489</v>
      </c>
      <c r="AI554" s="11">
        <f>(AC554-0.41)*AA554/H554/I554</f>
        <v>1.0818985364505995</v>
      </c>
      <c r="AJ554" s="11">
        <f t="shared" si="147"/>
        <v>2.512796600788489</v>
      </c>
    </row>
    <row r="555" spans="1:36" x14ac:dyDescent="0.25">
      <c r="A555" s="4" t="s">
        <v>945</v>
      </c>
      <c r="B555" s="4" t="s">
        <v>986</v>
      </c>
      <c r="C555" s="4" t="s">
        <v>15</v>
      </c>
      <c r="D555" s="4" t="s">
        <v>938</v>
      </c>
      <c r="E555" t="s">
        <v>170</v>
      </c>
      <c r="F555" t="s">
        <v>171</v>
      </c>
      <c r="G555" t="s">
        <v>172</v>
      </c>
      <c r="H555">
        <v>12</v>
      </c>
      <c r="I555">
        <v>1</v>
      </c>
      <c r="J555" t="s">
        <v>56</v>
      </c>
      <c r="K555" t="s">
        <v>15</v>
      </c>
      <c r="L555" t="s">
        <v>5</v>
      </c>
      <c r="M555" t="s">
        <v>2</v>
      </c>
      <c r="N555" t="s">
        <v>15</v>
      </c>
      <c r="O555" t="s">
        <v>37</v>
      </c>
      <c r="P555">
        <f>2.2*((PI()*((4+7.5)*(10^(-2))/2)^2))</f>
        <v>2.2851159564048762E-2</v>
      </c>
      <c r="Q555" t="s">
        <v>180</v>
      </c>
      <c r="R555" s="3" t="s">
        <v>176</v>
      </c>
      <c r="T555">
        <v>6</v>
      </c>
      <c r="U555" t="s">
        <v>175</v>
      </c>
      <c r="W555">
        <v>480</v>
      </c>
      <c r="X555" t="s">
        <v>184</v>
      </c>
      <c r="Y555" t="s">
        <v>185</v>
      </c>
      <c r="Z555" t="s">
        <v>45</v>
      </c>
      <c r="AA555" s="13">
        <f t="shared" si="143"/>
        <v>65.811339544460438</v>
      </c>
      <c r="AB555">
        <f>10-4.4</f>
        <v>5.6</v>
      </c>
      <c r="AC555">
        <f>0.31+0.41</f>
        <v>0.72</v>
      </c>
      <c r="AD555" s="11">
        <f t="shared" si="144"/>
        <v>30.711958454081536</v>
      </c>
      <c r="AE555" s="11">
        <f>_xlfn.RANK.AVG(Tableau8[[#This Row],[EE ( MJ/m²)]],AD555:AD1710)</f>
        <v>161</v>
      </c>
      <c r="AF555" s="11">
        <f t="shared" si="145"/>
        <v>30.711958454081536</v>
      </c>
      <c r="AG555" s="11">
        <f>(AC555-0.41)*AA555/H555</f>
        <v>1.7001262715652281</v>
      </c>
      <c r="AH555" s="11">
        <f t="shared" si="146"/>
        <v>3.9486803726676261</v>
      </c>
      <c r="AI555" s="11">
        <f>(AC555-0.41)*AA555/H555/I555</f>
        <v>1.7001262715652281</v>
      </c>
      <c r="AJ555" s="11">
        <f t="shared" si="147"/>
        <v>3.9486803726676261</v>
      </c>
    </row>
    <row r="556" spans="1:36" x14ac:dyDescent="0.25">
      <c r="A556" s="4" t="s">
        <v>945</v>
      </c>
      <c r="B556" s="4" t="s">
        <v>986</v>
      </c>
      <c r="C556" s="4" t="s">
        <v>15</v>
      </c>
      <c r="D556" s="4" t="s">
        <v>938</v>
      </c>
      <c r="E556" t="s">
        <v>170</v>
      </c>
      <c r="F556" t="s">
        <v>171</v>
      </c>
      <c r="G556" t="s">
        <v>172</v>
      </c>
      <c r="H556">
        <v>12</v>
      </c>
      <c r="I556">
        <v>1</v>
      </c>
      <c r="J556" t="s">
        <v>56</v>
      </c>
      <c r="K556" t="s">
        <v>15</v>
      </c>
      <c r="L556" t="s">
        <v>6</v>
      </c>
      <c r="M556" t="s">
        <v>2</v>
      </c>
      <c r="N556" t="s">
        <v>15</v>
      </c>
      <c r="O556" t="s">
        <v>37</v>
      </c>
      <c r="P556">
        <f>0.8*((PI()*((2+4)*(10^(-2))/2)^2))</f>
        <v>2.2619467105846509E-3</v>
      </c>
      <c r="Q556" t="s">
        <v>180</v>
      </c>
      <c r="R556" s="3" t="s">
        <v>176</v>
      </c>
      <c r="T556">
        <v>4</v>
      </c>
      <c r="U556" t="s">
        <v>175</v>
      </c>
      <c r="W556">
        <v>480</v>
      </c>
      <c r="X556" t="s">
        <v>184</v>
      </c>
      <c r="Y556" t="s">
        <v>185</v>
      </c>
      <c r="Z556" t="s">
        <v>45</v>
      </c>
      <c r="AA556" s="13">
        <f t="shared" si="143"/>
        <v>4.3429376843225302</v>
      </c>
      <c r="AB556">
        <f>10-4.4</f>
        <v>5.6</v>
      </c>
      <c r="AC556">
        <f>0.31+0.41</f>
        <v>0.72</v>
      </c>
      <c r="AD556" s="11">
        <f t="shared" si="144"/>
        <v>2.0267042526838472</v>
      </c>
      <c r="AE556" s="11">
        <f>_xlfn.RANK.AVG(Tableau8[[#This Row],[EE ( MJ/m²)]],AD556:AD1711)</f>
        <v>420</v>
      </c>
      <c r="AF556" s="11">
        <f t="shared" si="145"/>
        <v>2.0267042526838472</v>
      </c>
      <c r="AG556" s="11">
        <f>(AC556-0.41)*AA556/H556</f>
        <v>0.11219255684499869</v>
      </c>
      <c r="AH556" s="11">
        <f t="shared" si="146"/>
        <v>0.26057626105935178</v>
      </c>
      <c r="AI556" s="11">
        <f>(AC556-0.41)*AA556/H556/I556</f>
        <v>0.11219255684499869</v>
      </c>
      <c r="AJ556" s="11">
        <f t="shared" si="147"/>
        <v>0.26057626105935178</v>
      </c>
    </row>
    <row r="557" spans="1:36" x14ac:dyDescent="0.25">
      <c r="A557" s="4" t="s">
        <v>945</v>
      </c>
      <c r="B557" s="4" t="s">
        <v>986</v>
      </c>
      <c r="C557" s="4" t="s">
        <v>15</v>
      </c>
      <c r="D557" s="4" t="s">
        <v>938</v>
      </c>
      <c r="E557" t="s">
        <v>170</v>
      </c>
      <c r="F557" t="s">
        <v>171</v>
      </c>
      <c r="G557" t="s">
        <v>172</v>
      </c>
      <c r="H557">
        <v>12</v>
      </c>
      <c r="I557">
        <v>1</v>
      </c>
      <c r="J557" t="s">
        <v>30</v>
      </c>
      <c r="K557" t="s">
        <v>14</v>
      </c>
      <c r="L557" t="s">
        <v>0</v>
      </c>
      <c r="M557" t="s">
        <v>32</v>
      </c>
      <c r="N557" t="s">
        <v>35</v>
      </c>
      <c r="O557" t="s">
        <v>36</v>
      </c>
      <c r="P557">
        <f>4*5</f>
        <v>20</v>
      </c>
      <c r="Q557" t="s">
        <v>179</v>
      </c>
      <c r="R557" s="3" t="s">
        <v>176</v>
      </c>
      <c r="S557" t="s">
        <v>31</v>
      </c>
      <c r="T557">
        <v>5</v>
      </c>
      <c r="U557" t="s">
        <v>175</v>
      </c>
      <c r="W557">
        <v>0.19</v>
      </c>
      <c r="X557" t="s">
        <v>183</v>
      </c>
      <c r="Y557" t="s">
        <v>175</v>
      </c>
      <c r="AA557" s="13">
        <f t="shared" si="143"/>
        <v>19</v>
      </c>
      <c r="AB557">
        <v>54.3</v>
      </c>
      <c r="AC557">
        <v>1.93</v>
      </c>
      <c r="AD557" s="11">
        <f t="shared" si="144"/>
        <v>85.975000000000009</v>
      </c>
      <c r="AE557" s="11">
        <f>_xlfn.RANK.AVG(Tableau8[[#This Row],[EE ( MJ/m²)]],AD557:AD1712)</f>
        <v>88</v>
      </c>
      <c r="AF557" s="11">
        <f t="shared" si="145"/>
        <v>85.975000000000009</v>
      </c>
      <c r="AG557" s="11">
        <f>(AC557)*AA557/H557</f>
        <v>3.0558333333333336</v>
      </c>
      <c r="AH557" s="11">
        <f t="shared" si="146"/>
        <v>3.0558333333333336</v>
      </c>
      <c r="AI557" s="11">
        <f>(AC557)*AA557/H557/I557</f>
        <v>3.0558333333333336</v>
      </c>
      <c r="AJ557" s="11">
        <f t="shared" si="147"/>
        <v>3.0558333333333336</v>
      </c>
    </row>
    <row r="558" spans="1:36" x14ac:dyDescent="0.25">
      <c r="A558" s="4" t="s">
        <v>945</v>
      </c>
      <c r="B558" s="4" t="s">
        <v>986</v>
      </c>
      <c r="C558" s="4" t="s">
        <v>15</v>
      </c>
      <c r="D558" s="4" t="s">
        <v>938</v>
      </c>
      <c r="E558" t="s">
        <v>170</v>
      </c>
      <c r="F558" t="s">
        <v>171</v>
      </c>
      <c r="G558" t="s">
        <v>172</v>
      </c>
      <c r="H558">
        <v>12</v>
      </c>
      <c r="I558">
        <v>1</v>
      </c>
      <c r="J558" t="s">
        <v>44</v>
      </c>
      <c r="K558" t="s">
        <v>17</v>
      </c>
      <c r="L558" t="s">
        <v>9</v>
      </c>
      <c r="M558" t="s">
        <v>12</v>
      </c>
      <c r="N558" t="s">
        <v>12</v>
      </c>
      <c r="R558" s="3"/>
      <c r="W558">
        <v>7800</v>
      </c>
      <c r="X558" t="s">
        <v>184</v>
      </c>
      <c r="AA558" s="13">
        <v>3</v>
      </c>
      <c r="AB558">
        <v>25.3</v>
      </c>
      <c r="AC558">
        <v>1.95</v>
      </c>
      <c r="AD558" s="11">
        <f t="shared" si="144"/>
        <v>6.3250000000000002</v>
      </c>
      <c r="AE558" s="11">
        <f>_xlfn.RANK.AVG(Tableau8[[#This Row],[EE ( MJ/m²)]],AD558:AD1713)</f>
        <v>320.5</v>
      </c>
      <c r="AF558" s="11">
        <f t="shared" si="145"/>
        <v>6.3250000000000002</v>
      </c>
      <c r="AG558" s="11">
        <f>(AC558)*AA558/H558</f>
        <v>0.48749999999999999</v>
      </c>
      <c r="AH558" s="11">
        <f t="shared" si="146"/>
        <v>0.48749999999999999</v>
      </c>
      <c r="AI558" s="11">
        <f>(AC558)*AA558/H558/I558</f>
        <v>0.48749999999999999</v>
      </c>
      <c r="AJ558" s="11">
        <f t="shared" si="147"/>
        <v>0.48749999999999999</v>
      </c>
    </row>
    <row r="559" spans="1:36" x14ac:dyDescent="0.25">
      <c r="A559" s="4" t="s">
        <v>945</v>
      </c>
      <c r="B559" s="4" t="s">
        <v>986</v>
      </c>
      <c r="C559" s="4" t="s">
        <v>15</v>
      </c>
      <c r="D559" s="4" t="s">
        <v>938</v>
      </c>
      <c r="E559" t="s">
        <v>170</v>
      </c>
      <c r="F559" t="s">
        <v>171</v>
      </c>
      <c r="G559" t="s">
        <v>172</v>
      </c>
      <c r="H559">
        <v>12</v>
      </c>
      <c r="I559">
        <v>1</v>
      </c>
      <c r="J559" t="s">
        <v>44</v>
      </c>
      <c r="K559" t="s">
        <v>17</v>
      </c>
      <c r="L559" t="s">
        <v>9</v>
      </c>
      <c r="M559" t="s">
        <v>12</v>
      </c>
      <c r="N559" t="s">
        <v>12</v>
      </c>
      <c r="R559" s="3"/>
      <c r="W559">
        <v>7800</v>
      </c>
      <c r="X559" t="s">
        <v>184</v>
      </c>
      <c r="AA559" s="13">
        <v>3</v>
      </c>
      <c r="AB559">
        <v>25.3</v>
      </c>
      <c r="AC559">
        <v>1.95</v>
      </c>
      <c r="AD559" s="11">
        <f t="shared" si="144"/>
        <v>6.3250000000000002</v>
      </c>
      <c r="AE559" s="11">
        <f>_xlfn.RANK.AVG(Tableau8[[#This Row],[EE ( MJ/m²)]],AD559:AD1714)</f>
        <v>320</v>
      </c>
      <c r="AF559" s="11">
        <f t="shared" si="145"/>
        <v>6.3250000000000002</v>
      </c>
      <c r="AG559" s="11">
        <f>(AC559)*AA559/H559</f>
        <v>0.48749999999999999</v>
      </c>
      <c r="AH559" s="11">
        <f t="shared" si="146"/>
        <v>0.48749999999999999</v>
      </c>
      <c r="AI559" s="11">
        <f>(AC559)*AA559/H559/I559</f>
        <v>0.48749999999999999</v>
      </c>
      <c r="AJ559" s="11">
        <f t="shared" si="147"/>
        <v>0.48749999999999999</v>
      </c>
    </row>
    <row r="560" spans="1:36" x14ac:dyDescent="0.25">
      <c r="A560" s="4" t="s">
        <v>945</v>
      </c>
      <c r="B560" s="4" t="s">
        <v>986</v>
      </c>
      <c r="C560" s="4" t="s">
        <v>15</v>
      </c>
      <c r="D560" s="4" t="s">
        <v>938</v>
      </c>
      <c r="E560" t="s">
        <v>170</v>
      </c>
      <c r="F560" t="s">
        <v>171</v>
      </c>
      <c r="G560" t="s">
        <v>172</v>
      </c>
      <c r="H560">
        <v>12</v>
      </c>
      <c r="I560">
        <v>1</v>
      </c>
      <c r="J560" t="s">
        <v>44</v>
      </c>
      <c r="K560" t="s">
        <v>41</v>
      </c>
      <c r="L560" t="s">
        <v>8</v>
      </c>
      <c r="M560" t="s">
        <v>16</v>
      </c>
      <c r="N560" t="s">
        <v>111</v>
      </c>
      <c r="P560">
        <f>(PI()*(0.004^2))*5</f>
        <v>2.5132741228718343E-4</v>
      </c>
      <c r="Q560" t="s">
        <v>180</v>
      </c>
      <c r="R560" t="s">
        <v>176</v>
      </c>
      <c r="T560">
        <v>5</v>
      </c>
      <c r="U560" t="s">
        <v>175</v>
      </c>
      <c r="W560">
        <v>1500</v>
      </c>
      <c r="X560" t="s">
        <v>184</v>
      </c>
      <c r="AA560" s="13">
        <f t="shared" ref="AA560:AA567" si="148">W560*T560*P560</f>
        <v>1.8849555921538756</v>
      </c>
      <c r="AB560">
        <v>91</v>
      </c>
      <c r="AC560">
        <v>2.66</v>
      </c>
      <c r="AD560" s="11">
        <f t="shared" si="144"/>
        <v>14.294246573833556</v>
      </c>
      <c r="AE560" s="11">
        <f>_xlfn.RANK.AVG(Tableau8[[#This Row],[EE ( MJ/m²)]],AD560:AD1715)</f>
        <v>238</v>
      </c>
      <c r="AF560" s="11">
        <f t="shared" si="145"/>
        <v>14.294246573833556</v>
      </c>
      <c r="AG560" s="11">
        <f>(AC560)*AA560/H560</f>
        <v>0.41783182292744248</v>
      </c>
      <c r="AH560" s="11">
        <f t="shared" si="146"/>
        <v>0.41783182292744248</v>
      </c>
      <c r="AI560" s="11">
        <f>(AC560)*AA560/H560/I560</f>
        <v>0.41783182292744248</v>
      </c>
      <c r="AJ560" s="11">
        <f t="shared" si="147"/>
        <v>0.41783182292744248</v>
      </c>
    </row>
    <row r="561" spans="1:36" x14ac:dyDescent="0.25">
      <c r="A561" s="4" t="s">
        <v>945</v>
      </c>
      <c r="B561" s="4" t="s">
        <v>986</v>
      </c>
      <c r="C561" s="4" t="s">
        <v>15</v>
      </c>
      <c r="D561" s="4" t="s">
        <v>938</v>
      </c>
      <c r="E561" t="s">
        <v>170</v>
      </c>
      <c r="F561" t="s">
        <v>171</v>
      </c>
      <c r="G561" t="s">
        <v>172</v>
      </c>
      <c r="H561">
        <v>12</v>
      </c>
      <c r="I561">
        <v>1</v>
      </c>
      <c r="J561" t="s">
        <v>13</v>
      </c>
      <c r="K561" t="s">
        <v>29</v>
      </c>
      <c r="L561" t="s">
        <v>11</v>
      </c>
      <c r="M561" t="s">
        <v>18</v>
      </c>
      <c r="N561" t="s">
        <v>39</v>
      </c>
      <c r="P561">
        <f>0.3*0.3*0.3</f>
        <v>2.7E-2</v>
      </c>
      <c r="Q561" t="s">
        <v>180</v>
      </c>
      <c r="R561" s="3" t="s">
        <v>176</v>
      </c>
      <c r="T561">
        <v>9</v>
      </c>
      <c r="U561" t="s">
        <v>175</v>
      </c>
      <c r="W561">
        <v>2400</v>
      </c>
      <c r="X561" t="s">
        <v>184</v>
      </c>
      <c r="Y561" t="s">
        <v>185</v>
      </c>
      <c r="Z561" t="s">
        <v>48</v>
      </c>
      <c r="AA561" s="13">
        <f t="shared" si="148"/>
        <v>583.20000000000005</v>
      </c>
      <c r="AB561">
        <v>0.75</v>
      </c>
      <c r="AC561">
        <v>0.107</v>
      </c>
      <c r="AD561" s="11">
        <f t="shared" si="144"/>
        <v>36.450000000000003</v>
      </c>
      <c r="AE561" s="11">
        <f>_xlfn.RANK.AVG(Tableau8[[#This Row],[EE ( MJ/m²)]],AD561:AD1716)</f>
        <v>146</v>
      </c>
      <c r="AF561" s="11">
        <f t="shared" si="145"/>
        <v>36.450000000000003</v>
      </c>
      <c r="AG561" s="11">
        <f>(AC561)*AA561/H561</f>
        <v>5.2001999999999997</v>
      </c>
      <c r="AH561" s="11">
        <f t="shared" si="146"/>
        <v>5.2001999999999997</v>
      </c>
      <c r="AI561" s="11">
        <f>(AC561)*AA561/H561/I561</f>
        <v>5.2001999999999997</v>
      </c>
      <c r="AJ561" s="11">
        <f t="shared" si="147"/>
        <v>5.2001999999999997</v>
      </c>
    </row>
    <row r="562" spans="1:36" x14ac:dyDescent="0.25">
      <c r="A562" s="4" t="s">
        <v>945</v>
      </c>
      <c r="B562" s="4" t="s">
        <v>986</v>
      </c>
      <c r="C562" s="4" t="s">
        <v>15</v>
      </c>
      <c r="D562" s="4" t="s">
        <v>938</v>
      </c>
      <c r="E562" t="s">
        <v>170</v>
      </c>
      <c r="F562" t="s">
        <v>171</v>
      </c>
      <c r="G562" t="s">
        <v>172</v>
      </c>
      <c r="H562">
        <v>12</v>
      </c>
      <c r="I562">
        <v>1</v>
      </c>
      <c r="J562" t="s">
        <v>42</v>
      </c>
      <c r="K562" t="s">
        <v>15</v>
      </c>
      <c r="L562" t="s">
        <v>7</v>
      </c>
      <c r="M562" t="s">
        <v>10</v>
      </c>
      <c r="N562" t="s">
        <v>15</v>
      </c>
      <c r="O562" t="s">
        <v>38</v>
      </c>
      <c r="P562">
        <f>3*((PI()*((1+1.5)*(10^(-2))/2)^2))</f>
        <v>1.4726215563702157E-3</v>
      </c>
      <c r="Q562" t="s">
        <v>180</v>
      </c>
      <c r="R562" s="3" t="s">
        <v>176</v>
      </c>
      <c r="T562">
        <v>8</v>
      </c>
      <c r="U562" t="s">
        <v>175</v>
      </c>
      <c r="W562">
        <v>90</v>
      </c>
      <c r="X562" t="s">
        <v>184</v>
      </c>
      <c r="Y562" t="s">
        <v>185</v>
      </c>
      <c r="Z562" t="s">
        <v>46</v>
      </c>
      <c r="AA562" s="13">
        <f t="shared" si="148"/>
        <v>1.0602875205865552</v>
      </c>
      <c r="AB562">
        <f>10-4.4</f>
        <v>5.6</v>
      </c>
      <c r="AC562">
        <f>0.31+0.41</f>
        <v>0.72</v>
      </c>
      <c r="AD562" s="11">
        <f t="shared" si="144"/>
        <v>0.49480084294039234</v>
      </c>
      <c r="AE562" s="11">
        <f>_xlfn.RANK.AVG(Tableau8[[#This Row],[EE ( MJ/m²)]],AD562:AD1717)</f>
        <v>502</v>
      </c>
      <c r="AF562" s="11">
        <f t="shared" si="145"/>
        <v>0.49480084294039234</v>
      </c>
      <c r="AG562" s="11">
        <f>(AC562-0.41)*AA562/H562</f>
        <v>2.7390760948486009E-2</v>
      </c>
      <c r="AH562" s="11">
        <f t="shared" si="146"/>
        <v>6.3617251235193309E-2</v>
      </c>
      <c r="AI562" s="11">
        <f>(AC562-0.41)*AA562/H562/I562</f>
        <v>2.7390760948486009E-2</v>
      </c>
      <c r="AJ562" s="11">
        <f t="shared" si="147"/>
        <v>6.3617251235193309E-2</v>
      </c>
    </row>
    <row r="563" spans="1:36" x14ac:dyDescent="0.25">
      <c r="A563" s="4" t="s">
        <v>945</v>
      </c>
      <c r="B563" s="4" t="s">
        <v>986</v>
      </c>
      <c r="C563" s="4" t="s">
        <v>15</v>
      </c>
      <c r="D563" s="4" t="s">
        <v>938</v>
      </c>
      <c r="E563" t="s">
        <v>170</v>
      </c>
      <c r="F563" t="s">
        <v>171</v>
      </c>
      <c r="G563" t="s">
        <v>172</v>
      </c>
      <c r="H563">
        <v>12</v>
      </c>
      <c r="I563">
        <v>1</v>
      </c>
      <c r="J563" t="s">
        <v>40</v>
      </c>
      <c r="K563" t="s">
        <v>15</v>
      </c>
      <c r="L563" t="s">
        <v>33</v>
      </c>
      <c r="M563" t="s">
        <v>10</v>
      </c>
      <c r="N563" t="s">
        <v>15</v>
      </c>
      <c r="P563">
        <f>0.9*1.7*0.02</f>
        <v>3.0600000000000002E-2</v>
      </c>
      <c r="Q563" t="s">
        <v>180</v>
      </c>
      <c r="R563" s="3" t="s">
        <v>176</v>
      </c>
      <c r="T563">
        <v>1</v>
      </c>
      <c r="U563" t="s">
        <v>175</v>
      </c>
      <c r="W563">
        <v>90</v>
      </c>
      <c r="X563" t="s">
        <v>184</v>
      </c>
      <c r="Y563" t="s">
        <v>185</v>
      </c>
      <c r="Z563" t="s">
        <v>46</v>
      </c>
      <c r="AA563" s="13">
        <f t="shared" si="148"/>
        <v>2.754</v>
      </c>
      <c r="AB563">
        <f>10-4.4</f>
        <v>5.6</v>
      </c>
      <c r="AC563">
        <f>0.31+0.41</f>
        <v>0.72</v>
      </c>
      <c r="AD563" s="11">
        <f t="shared" si="144"/>
        <v>1.2851999999999999</v>
      </c>
      <c r="AE563" s="11">
        <f>_xlfn.RANK.AVG(Tableau8[[#This Row],[EE ( MJ/m²)]],AD563:AD1718)</f>
        <v>450</v>
      </c>
      <c r="AF563" s="11">
        <f t="shared" si="145"/>
        <v>1.2851999999999999</v>
      </c>
      <c r="AG563" s="11">
        <f>(AC563-0.41)*AA563/H563</f>
        <v>7.1145E-2</v>
      </c>
      <c r="AH563" s="11">
        <f t="shared" si="146"/>
        <v>0.16524</v>
      </c>
      <c r="AI563" s="11">
        <f>(AC563-0.41)*AA563/H563/I563</f>
        <v>7.1145E-2</v>
      </c>
      <c r="AJ563" s="11">
        <f t="shared" si="147"/>
        <v>0.16524</v>
      </c>
    </row>
    <row r="564" spans="1:36" x14ac:dyDescent="0.25">
      <c r="A564" s="4" t="s">
        <v>945</v>
      </c>
      <c r="B564" s="4" t="s">
        <v>986</v>
      </c>
      <c r="C564" s="4" t="s">
        <v>15</v>
      </c>
      <c r="D564" s="4" t="s">
        <v>938</v>
      </c>
      <c r="E564" t="s">
        <v>170</v>
      </c>
      <c r="F564" t="s">
        <v>171</v>
      </c>
      <c r="G564" t="s">
        <v>172</v>
      </c>
      <c r="H564">
        <v>12</v>
      </c>
      <c r="I564">
        <v>1</v>
      </c>
      <c r="J564" t="s">
        <v>40</v>
      </c>
      <c r="K564" t="s">
        <v>15</v>
      </c>
      <c r="L564" t="s">
        <v>34</v>
      </c>
      <c r="M564" t="s">
        <v>10</v>
      </c>
      <c r="N564" t="s">
        <v>15</v>
      </c>
      <c r="P564">
        <f>0.6*0.4*0.02</f>
        <v>4.7999999999999996E-3</v>
      </c>
      <c r="Q564" t="s">
        <v>180</v>
      </c>
      <c r="R564" s="3" t="s">
        <v>176</v>
      </c>
      <c r="T564">
        <v>2</v>
      </c>
      <c r="U564" t="s">
        <v>175</v>
      </c>
      <c r="W564">
        <v>90</v>
      </c>
      <c r="X564" t="s">
        <v>184</v>
      </c>
      <c r="Y564" t="s">
        <v>185</v>
      </c>
      <c r="Z564" t="s">
        <v>46</v>
      </c>
      <c r="AA564" s="13">
        <f t="shared" si="148"/>
        <v>0.86399999999999988</v>
      </c>
      <c r="AB564">
        <f>10-4.4</f>
        <v>5.6</v>
      </c>
      <c r="AC564">
        <f>0.31+0.41</f>
        <v>0.72</v>
      </c>
      <c r="AD564" s="11">
        <f t="shared" si="144"/>
        <v>0.40319999999999995</v>
      </c>
      <c r="AE564" s="11">
        <f>_xlfn.RANK.AVG(Tableau8[[#This Row],[EE ( MJ/m²)]],AD564:AD1719)</f>
        <v>510</v>
      </c>
      <c r="AF564" s="11">
        <f t="shared" si="145"/>
        <v>0.40319999999999995</v>
      </c>
      <c r="AG564" s="11">
        <f>(AC564-0.41)*AA564/H564</f>
        <v>2.2319999999999996E-2</v>
      </c>
      <c r="AH564" s="11">
        <f t="shared" si="146"/>
        <v>5.183999999999999E-2</v>
      </c>
      <c r="AI564" s="11">
        <f>(AC564-0.41)*AA564/H564/I564</f>
        <v>2.2319999999999996E-2</v>
      </c>
      <c r="AJ564" s="11">
        <f t="shared" si="147"/>
        <v>5.183999999999999E-2</v>
      </c>
    </row>
    <row r="565" spans="1:36" x14ac:dyDescent="0.25">
      <c r="A565" s="4" t="s">
        <v>945</v>
      </c>
      <c r="B565" s="4" t="s">
        <v>990</v>
      </c>
      <c r="C565" s="4" t="s">
        <v>17</v>
      </c>
      <c r="D565" s="4" t="s">
        <v>938</v>
      </c>
      <c r="E565" t="s">
        <v>999</v>
      </c>
      <c r="F565" t="s">
        <v>191</v>
      </c>
      <c r="G565" t="s">
        <v>192</v>
      </c>
      <c r="H565">
        <v>16</v>
      </c>
      <c r="I565">
        <v>1</v>
      </c>
      <c r="J565" t="s">
        <v>44</v>
      </c>
      <c r="K565" t="s">
        <v>17</v>
      </c>
      <c r="L565" t="s">
        <v>94</v>
      </c>
      <c r="M565" t="s">
        <v>95</v>
      </c>
      <c r="N565" t="s">
        <v>12</v>
      </c>
      <c r="P565">
        <f>(0.05*0.003*0.35)+((PI()*(0.003^2))*0.06)</f>
        <v>5.4196460032938488E-5</v>
      </c>
      <c r="Q565" t="s">
        <v>180</v>
      </c>
      <c r="R565" t="s">
        <v>176</v>
      </c>
      <c r="T565">
        <v>4</v>
      </c>
      <c r="U565" t="s">
        <v>175</v>
      </c>
      <c r="W565">
        <v>7800</v>
      </c>
      <c r="X565" t="s">
        <v>184</v>
      </c>
      <c r="Y565" t="s">
        <v>185</v>
      </c>
      <c r="Z565" t="s">
        <v>107</v>
      </c>
      <c r="AA565" s="13">
        <f t="shared" si="148"/>
        <v>1.6909295530276809</v>
      </c>
      <c r="AB565">
        <v>25.3</v>
      </c>
      <c r="AC565">
        <v>1.95</v>
      </c>
      <c r="AD565" s="11">
        <f t="shared" si="144"/>
        <v>2.6737823557250207</v>
      </c>
      <c r="AE565" s="11">
        <f>_xlfn.RANK.AVG(Tableau8[[#This Row],[EE ( MJ/m²)]],AD565:AD1720)</f>
        <v>389</v>
      </c>
      <c r="AF565" s="11">
        <f t="shared" si="145"/>
        <v>2.6737823557250207</v>
      </c>
      <c r="AG565" s="11">
        <f t="shared" ref="AG565:AG600" si="149">(AC565)*AA565/H565</f>
        <v>0.2060820392752486</v>
      </c>
      <c r="AH565" s="11">
        <f t="shared" si="146"/>
        <v>0.2060820392752486</v>
      </c>
      <c r="AI565" s="11">
        <f t="shared" ref="AI565:AI600" si="150">(AC565)*AA565/H565/I565</f>
        <v>0.2060820392752486</v>
      </c>
      <c r="AJ565" s="11">
        <f t="shared" si="147"/>
        <v>0.2060820392752486</v>
      </c>
    </row>
    <row r="566" spans="1:36" x14ac:dyDescent="0.25">
      <c r="A566" s="4" t="s">
        <v>945</v>
      </c>
      <c r="B566" s="4" t="s">
        <v>990</v>
      </c>
      <c r="C566" s="4" t="s">
        <v>17</v>
      </c>
      <c r="D566" s="4" t="s">
        <v>938</v>
      </c>
      <c r="E566" t="s">
        <v>999</v>
      </c>
      <c r="F566" t="s">
        <v>191</v>
      </c>
      <c r="G566" t="s">
        <v>192</v>
      </c>
      <c r="H566">
        <v>16</v>
      </c>
      <c r="I566">
        <v>1</v>
      </c>
      <c r="J566" t="s">
        <v>44</v>
      </c>
      <c r="K566" t="s">
        <v>17</v>
      </c>
      <c r="L566" t="s">
        <v>88</v>
      </c>
      <c r="M566" t="s">
        <v>12</v>
      </c>
      <c r="N566" t="s">
        <v>12</v>
      </c>
      <c r="P566">
        <f>(0.001*0.002*(0.005^2)*PI())</f>
        <v>1.5707963267948967E-10</v>
      </c>
      <c r="Q566" t="s">
        <v>180</v>
      </c>
      <c r="R566" t="s">
        <v>187</v>
      </c>
      <c r="T566">
        <v>10</v>
      </c>
      <c r="U566" t="s">
        <v>175</v>
      </c>
      <c r="W566">
        <v>7800</v>
      </c>
      <c r="X566" t="s">
        <v>184</v>
      </c>
      <c r="Y566" t="s">
        <v>185</v>
      </c>
      <c r="Z566" t="s">
        <v>107</v>
      </c>
      <c r="AA566" s="13">
        <f t="shared" si="148"/>
        <v>1.2252211349000195E-5</v>
      </c>
      <c r="AB566">
        <v>25.3</v>
      </c>
      <c r="AC566">
        <v>1.95</v>
      </c>
      <c r="AD566" s="11">
        <f t="shared" si="144"/>
        <v>1.9373809195606557E-5</v>
      </c>
      <c r="AE566" s="11">
        <f>_xlfn.RANK.AVG(Tableau8[[#This Row],[EE ( MJ/m²)]],AD566:AD1721)</f>
        <v>592</v>
      </c>
      <c r="AF566" s="11">
        <f t="shared" si="145"/>
        <v>1.9373809195606557E-5</v>
      </c>
      <c r="AG566" s="11">
        <f t="shared" si="149"/>
        <v>1.4932382581593987E-6</v>
      </c>
      <c r="AH566" s="11">
        <f t="shared" si="146"/>
        <v>1.4932382581593987E-6</v>
      </c>
      <c r="AI566" s="11">
        <f t="shared" si="150"/>
        <v>1.4932382581593987E-6</v>
      </c>
      <c r="AJ566" s="11">
        <f t="shared" si="147"/>
        <v>1.4932382581593987E-6</v>
      </c>
    </row>
    <row r="567" spans="1:36" x14ac:dyDescent="0.25">
      <c r="A567" s="4" t="s">
        <v>945</v>
      </c>
      <c r="B567" s="4" t="s">
        <v>990</v>
      </c>
      <c r="C567" s="4" t="s">
        <v>17</v>
      </c>
      <c r="D567" s="4" t="s">
        <v>938</v>
      </c>
      <c r="E567" t="s">
        <v>999</v>
      </c>
      <c r="F567" t="s">
        <v>191</v>
      </c>
      <c r="G567" t="s">
        <v>192</v>
      </c>
      <c r="H567">
        <v>16</v>
      </c>
      <c r="I567">
        <v>1</v>
      </c>
      <c r="J567" t="s">
        <v>44</v>
      </c>
      <c r="K567" t="s">
        <v>17</v>
      </c>
      <c r="L567" t="s">
        <v>101</v>
      </c>
      <c r="M567" t="s">
        <v>12</v>
      </c>
      <c r="N567" t="s">
        <v>12</v>
      </c>
      <c r="P567">
        <f>((PI()*(0.0015^2))*2)+((PI()*(0.0015^2)*(0.5*PI()*(0.02^2))))</f>
        <v>1.4141608263134558E-5</v>
      </c>
      <c r="Q567" t="s">
        <v>180</v>
      </c>
      <c r="R567" t="s">
        <v>187</v>
      </c>
      <c r="T567">
        <v>16</v>
      </c>
      <c r="U567" t="s">
        <v>175</v>
      </c>
      <c r="W567">
        <v>7800</v>
      </c>
      <c r="X567" t="s">
        <v>184</v>
      </c>
      <c r="Y567" t="s">
        <v>185</v>
      </c>
      <c r="Z567" t="s">
        <v>107</v>
      </c>
      <c r="AA567" s="13">
        <f t="shared" si="148"/>
        <v>1.7648727112391929</v>
      </c>
      <c r="AB567">
        <v>25.3</v>
      </c>
      <c r="AC567">
        <v>1.95</v>
      </c>
      <c r="AD567" s="11">
        <f t="shared" si="144"/>
        <v>2.7907049746469736</v>
      </c>
      <c r="AE567" s="11">
        <f>_xlfn.RANK.AVG(Tableau8[[#This Row],[EE ( MJ/m²)]],AD567:AD1722)</f>
        <v>387</v>
      </c>
      <c r="AF567" s="11">
        <f t="shared" si="145"/>
        <v>2.7907049746469736</v>
      </c>
      <c r="AG567" s="11">
        <f t="shared" si="149"/>
        <v>0.21509386168227662</v>
      </c>
      <c r="AH567" s="11">
        <f t="shared" si="146"/>
        <v>0.21509386168227662</v>
      </c>
      <c r="AI567" s="11">
        <f t="shared" si="150"/>
        <v>0.21509386168227662</v>
      </c>
      <c r="AJ567" s="11">
        <f t="shared" si="147"/>
        <v>0.21509386168227662</v>
      </c>
    </row>
    <row r="568" spans="1:36" x14ac:dyDescent="0.25">
      <c r="A568" s="4" t="s">
        <v>945</v>
      </c>
      <c r="B568" s="4" t="s">
        <v>990</v>
      </c>
      <c r="C568" s="4" t="s">
        <v>17</v>
      </c>
      <c r="D568" s="4" t="s">
        <v>938</v>
      </c>
      <c r="E568" t="s">
        <v>999</v>
      </c>
      <c r="F568" t="s">
        <v>191</v>
      </c>
      <c r="G568" t="s">
        <v>192</v>
      </c>
      <c r="H568">
        <v>16</v>
      </c>
      <c r="I568">
        <v>1</v>
      </c>
      <c r="J568" t="s">
        <v>109</v>
      </c>
      <c r="K568" t="s">
        <v>17</v>
      </c>
      <c r="L568" t="s">
        <v>102</v>
      </c>
      <c r="M568" t="s">
        <v>12</v>
      </c>
      <c r="N568" t="s">
        <v>12</v>
      </c>
      <c r="T568">
        <v>1</v>
      </c>
      <c r="U568" t="s">
        <v>175</v>
      </c>
      <c r="W568">
        <v>7800</v>
      </c>
      <c r="X568" t="s">
        <v>184</v>
      </c>
      <c r="Y568" t="s">
        <v>185</v>
      </c>
      <c r="Z568" t="s">
        <v>107</v>
      </c>
      <c r="AA568" s="13">
        <v>1</v>
      </c>
      <c r="AB568">
        <v>25.3</v>
      </c>
      <c r="AC568">
        <v>1.95</v>
      </c>
      <c r="AD568" s="11">
        <f t="shared" si="144"/>
        <v>1.58125</v>
      </c>
      <c r="AE568" s="11">
        <f>_xlfn.RANK.AVG(Tableau8[[#This Row],[EE ( MJ/m²)]],AD568:AD1723)</f>
        <v>431.5</v>
      </c>
      <c r="AF568" s="11">
        <f t="shared" si="145"/>
        <v>1.58125</v>
      </c>
      <c r="AG568" s="11">
        <f t="shared" si="149"/>
        <v>0.121875</v>
      </c>
      <c r="AH568" s="11">
        <f t="shared" si="146"/>
        <v>0.121875</v>
      </c>
      <c r="AI568" s="11">
        <f t="shared" si="150"/>
        <v>0.121875</v>
      </c>
      <c r="AJ568" s="11">
        <f t="shared" si="147"/>
        <v>0.121875</v>
      </c>
    </row>
    <row r="569" spans="1:36" x14ac:dyDescent="0.25">
      <c r="A569" s="4" t="s">
        <v>945</v>
      </c>
      <c r="B569" s="4" t="s">
        <v>990</v>
      </c>
      <c r="C569" s="4" t="s">
        <v>17</v>
      </c>
      <c r="D569" s="4" t="s">
        <v>938</v>
      </c>
      <c r="E569" t="s">
        <v>999</v>
      </c>
      <c r="F569" t="s">
        <v>191</v>
      </c>
      <c r="G569" t="s">
        <v>192</v>
      </c>
      <c r="H569">
        <v>16</v>
      </c>
      <c r="I569">
        <v>1</v>
      </c>
      <c r="J569" t="s">
        <v>44</v>
      </c>
      <c r="K569" t="s">
        <v>17</v>
      </c>
      <c r="L569" t="s">
        <v>193</v>
      </c>
      <c r="M569" t="s">
        <v>12</v>
      </c>
      <c r="N569" t="s">
        <v>12</v>
      </c>
      <c r="O569" t="s">
        <v>116</v>
      </c>
      <c r="AA569" s="13">
        <v>9</v>
      </c>
      <c r="AB569">
        <v>25.3</v>
      </c>
      <c r="AC569">
        <v>1.95</v>
      </c>
      <c r="AD569" s="11">
        <f t="shared" si="144"/>
        <v>14.231250000000001</v>
      </c>
      <c r="AE569" s="11">
        <f>_xlfn.RANK.AVG(Tableau8[[#This Row],[EE ( MJ/m²)]],AD569:AD1724)</f>
        <v>237.5</v>
      </c>
      <c r="AF569" s="11">
        <f t="shared" si="145"/>
        <v>14.231250000000001</v>
      </c>
      <c r="AG569" s="11">
        <f t="shared" si="149"/>
        <v>1.096875</v>
      </c>
      <c r="AH569" s="11">
        <f t="shared" si="146"/>
        <v>1.096875</v>
      </c>
      <c r="AI569" s="11">
        <f t="shared" si="150"/>
        <v>1.096875</v>
      </c>
      <c r="AJ569" s="11">
        <f t="shared" si="147"/>
        <v>1.096875</v>
      </c>
    </row>
    <row r="570" spans="1:36" x14ac:dyDescent="0.25">
      <c r="A570" s="4" t="s">
        <v>945</v>
      </c>
      <c r="B570" s="4" t="s">
        <v>990</v>
      </c>
      <c r="C570" s="4" t="s">
        <v>17</v>
      </c>
      <c r="D570" s="4" t="s">
        <v>938</v>
      </c>
      <c r="E570" t="s">
        <v>999</v>
      </c>
      <c r="F570" t="s">
        <v>191</v>
      </c>
      <c r="G570" t="s">
        <v>192</v>
      </c>
      <c r="H570">
        <v>16</v>
      </c>
      <c r="I570">
        <v>1</v>
      </c>
      <c r="J570" t="s">
        <v>44</v>
      </c>
      <c r="K570" t="s">
        <v>14</v>
      </c>
      <c r="L570" t="s">
        <v>193</v>
      </c>
      <c r="M570" t="s">
        <v>114</v>
      </c>
      <c r="N570" t="s">
        <v>595</v>
      </c>
      <c r="O570" t="s">
        <v>115</v>
      </c>
      <c r="AA570" s="13">
        <v>7</v>
      </c>
      <c r="AB570">
        <v>55</v>
      </c>
      <c r="AC570">
        <f>9.52</f>
        <v>9.52</v>
      </c>
      <c r="AD570" s="11">
        <f t="shared" si="144"/>
        <v>24.0625</v>
      </c>
      <c r="AE570" s="11">
        <f>_xlfn.RANK.AVG(Tableau8[[#This Row],[EE ( MJ/m²)]],AD570:AD1725)</f>
        <v>177.5</v>
      </c>
      <c r="AF570" s="11">
        <f t="shared" si="145"/>
        <v>24.0625</v>
      </c>
      <c r="AG570" s="11">
        <f t="shared" si="149"/>
        <v>4.165</v>
      </c>
      <c r="AH570" s="11">
        <f t="shared" si="146"/>
        <v>4.165</v>
      </c>
      <c r="AI570" s="11">
        <f t="shared" si="150"/>
        <v>4.165</v>
      </c>
      <c r="AJ570" s="11">
        <f t="shared" si="147"/>
        <v>4.165</v>
      </c>
    </row>
    <row r="571" spans="1:36" x14ac:dyDescent="0.25">
      <c r="A571" s="4" t="s">
        <v>945</v>
      </c>
      <c r="B571" s="4" t="s">
        <v>990</v>
      </c>
      <c r="C571" s="4" t="s">
        <v>17</v>
      </c>
      <c r="D571" s="4" t="s">
        <v>938</v>
      </c>
      <c r="E571" t="s">
        <v>999</v>
      </c>
      <c r="F571" t="s">
        <v>191</v>
      </c>
      <c r="G571" t="s">
        <v>192</v>
      </c>
      <c r="H571">
        <v>16</v>
      </c>
      <c r="I571">
        <v>1</v>
      </c>
      <c r="J571" t="s">
        <v>44</v>
      </c>
      <c r="K571" t="s">
        <v>14</v>
      </c>
      <c r="L571" t="s">
        <v>85</v>
      </c>
      <c r="M571" t="s">
        <v>87</v>
      </c>
      <c r="N571" t="s">
        <v>111</v>
      </c>
      <c r="P571">
        <f>2*0.05*0.0015</f>
        <v>1.5000000000000001E-4</v>
      </c>
      <c r="Q571" t="s">
        <v>180</v>
      </c>
      <c r="R571" t="s">
        <v>187</v>
      </c>
      <c r="T571">
        <v>10</v>
      </c>
      <c r="U571" t="s">
        <v>175</v>
      </c>
      <c r="W571">
        <v>1380</v>
      </c>
      <c r="X571" t="s">
        <v>184</v>
      </c>
      <c r="Y571" t="s">
        <v>194</v>
      </c>
      <c r="Z571" t="s">
        <v>106</v>
      </c>
      <c r="AA571" s="13">
        <f t="shared" ref="AA571:AA589" si="151">W571*T571*P571</f>
        <v>2.0700000000000003</v>
      </c>
      <c r="AB571">
        <v>351</v>
      </c>
      <c r="AC571">
        <v>15.5</v>
      </c>
      <c r="AD571" s="11">
        <f t="shared" si="144"/>
        <v>45.410625000000003</v>
      </c>
      <c r="AE571" s="11">
        <f>_xlfn.RANK.AVG(Tableau8[[#This Row],[EE ( MJ/m²)]],AD571:AD1726)</f>
        <v>130</v>
      </c>
      <c r="AF571" s="11">
        <f t="shared" si="145"/>
        <v>45.410625000000003</v>
      </c>
      <c r="AG571" s="11">
        <f t="shared" si="149"/>
        <v>2.0053125000000005</v>
      </c>
      <c r="AH571" s="11">
        <f t="shared" si="146"/>
        <v>2.0053125000000005</v>
      </c>
      <c r="AI571" s="11">
        <f t="shared" si="150"/>
        <v>2.0053125000000005</v>
      </c>
      <c r="AJ571" s="11">
        <f t="shared" si="147"/>
        <v>2.0053125000000005</v>
      </c>
    </row>
    <row r="572" spans="1:36" x14ac:dyDescent="0.25">
      <c r="A572" s="4" t="s">
        <v>945</v>
      </c>
      <c r="B572" s="4" t="s">
        <v>990</v>
      </c>
      <c r="C572" s="4" t="s">
        <v>17</v>
      </c>
      <c r="D572" s="4" t="s">
        <v>938</v>
      </c>
      <c r="E572" t="s">
        <v>999</v>
      </c>
      <c r="F572" t="s">
        <v>191</v>
      </c>
      <c r="G572" t="s">
        <v>192</v>
      </c>
      <c r="H572">
        <v>16</v>
      </c>
      <c r="I572">
        <v>1</v>
      </c>
      <c r="J572" t="s">
        <v>44</v>
      </c>
      <c r="K572" t="s">
        <v>14</v>
      </c>
      <c r="L572" t="s">
        <v>83</v>
      </c>
      <c r="M572" t="s">
        <v>86</v>
      </c>
      <c r="N572" t="s">
        <v>111</v>
      </c>
      <c r="P572">
        <f>(PI()*(0.004^2))*3</f>
        <v>1.5079644737231007E-4</v>
      </c>
      <c r="Q572" t="s">
        <v>180</v>
      </c>
      <c r="R572" t="s">
        <v>176</v>
      </c>
      <c r="T572">
        <v>6</v>
      </c>
      <c r="U572" t="s">
        <v>175</v>
      </c>
      <c r="W572">
        <v>1380</v>
      </c>
      <c r="X572" t="s">
        <v>184</v>
      </c>
      <c r="Y572" t="s">
        <v>194</v>
      </c>
      <c r="Z572" t="s">
        <v>106</v>
      </c>
      <c r="AA572" s="13">
        <f t="shared" si="151"/>
        <v>1.2485945842427273</v>
      </c>
      <c r="AB572">
        <v>351</v>
      </c>
      <c r="AC572">
        <v>15.5</v>
      </c>
      <c r="AD572" s="11">
        <f t="shared" si="144"/>
        <v>27.39104369182483</v>
      </c>
      <c r="AE572" s="11">
        <f>_xlfn.RANK.AVG(Tableau8[[#This Row],[EE ( MJ/m²)]],AD572:AD1727)</f>
        <v>166</v>
      </c>
      <c r="AF572" s="11">
        <f t="shared" si="145"/>
        <v>27.39104369182483</v>
      </c>
      <c r="AG572" s="11">
        <f t="shared" si="149"/>
        <v>1.2095760034851422</v>
      </c>
      <c r="AH572" s="11">
        <f t="shared" si="146"/>
        <v>1.2095760034851422</v>
      </c>
      <c r="AI572" s="11">
        <f t="shared" si="150"/>
        <v>1.2095760034851422</v>
      </c>
      <c r="AJ572" s="11">
        <f t="shared" si="147"/>
        <v>1.2095760034851422</v>
      </c>
    </row>
    <row r="573" spans="1:36" x14ac:dyDescent="0.25">
      <c r="A573" s="4" t="s">
        <v>945</v>
      </c>
      <c r="B573" s="4" t="s">
        <v>990</v>
      </c>
      <c r="C573" s="4" t="s">
        <v>17</v>
      </c>
      <c r="D573" s="4" t="s">
        <v>938</v>
      </c>
      <c r="E573" t="s">
        <v>999</v>
      </c>
      <c r="F573" t="s">
        <v>191</v>
      </c>
      <c r="G573" t="s">
        <v>192</v>
      </c>
      <c r="H573">
        <v>16</v>
      </c>
      <c r="I573">
        <v>1</v>
      </c>
      <c r="J573" t="s">
        <v>44</v>
      </c>
      <c r="K573" t="s">
        <v>14</v>
      </c>
      <c r="L573" t="s">
        <v>84</v>
      </c>
      <c r="M573" t="s">
        <v>86</v>
      </c>
      <c r="N573" t="s">
        <v>111</v>
      </c>
      <c r="P573">
        <f>(PI()*(0.003^2))*3</f>
        <v>8.4823001646924416E-5</v>
      </c>
      <c r="Q573" t="s">
        <v>180</v>
      </c>
      <c r="R573" t="s">
        <v>176</v>
      </c>
      <c r="T573">
        <v>4</v>
      </c>
      <c r="U573" t="s">
        <v>175</v>
      </c>
      <c r="W573">
        <v>1380</v>
      </c>
      <c r="X573" t="s">
        <v>184</v>
      </c>
      <c r="Y573" t="s">
        <v>194</v>
      </c>
      <c r="Z573" t="s">
        <v>106</v>
      </c>
      <c r="AA573" s="13">
        <f t="shared" si="151"/>
        <v>0.46822296909102279</v>
      </c>
      <c r="AB573">
        <v>351</v>
      </c>
      <c r="AC573">
        <v>15.5</v>
      </c>
      <c r="AD573" s="11">
        <f t="shared" si="144"/>
        <v>10.271641384434313</v>
      </c>
      <c r="AE573" s="11">
        <f>_xlfn.RANK.AVG(Tableau8[[#This Row],[EE ( MJ/m²)]],AD573:AD1728)</f>
        <v>268</v>
      </c>
      <c r="AF573" s="11">
        <f t="shared" si="145"/>
        <v>10.271641384434313</v>
      </c>
      <c r="AG573" s="11">
        <f t="shared" si="149"/>
        <v>0.45359100130692831</v>
      </c>
      <c r="AH573" s="11">
        <f t="shared" si="146"/>
        <v>0.45359100130692831</v>
      </c>
      <c r="AI573" s="11">
        <f t="shared" si="150"/>
        <v>0.45359100130692831</v>
      </c>
      <c r="AJ573" s="11">
        <f t="shared" si="147"/>
        <v>0.45359100130692831</v>
      </c>
    </row>
    <row r="574" spans="1:36" x14ac:dyDescent="0.25">
      <c r="A574" s="4" t="s">
        <v>945</v>
      </c>
      <c r="B574" s="4" t="s">
        <v>990</v>
      </c>
      <c r="C574" s="4" t="s">
        <v>17</v>
      </c>
      <c r="D574" s="4" t="s">
        <v>938</v>
      </c>
      <c r="E574" t="s">
        <v>999</v>
      </c>
      <c r="F574" t="s">
        <v>191</v>
      </c>
      <c r="G574" t="s">
        <v>192</v>
      </c>
      <c r="H574">
        <v>16</v>
      </c>
      <c r="I574">
        <v>1</v>
      </c>
      <c r="J574" t="s">
        <v>40</v>
      </c>
      <c r="K574" t="s">
        <v>14</v>
      </c>
      <c r="L574" t="s">
        <v>105</v>
      </c>
      <c r="M574" t="s">
        <v>78</v>
      </c>
      <c r="N574" t="s">
        <v>79</v>
      </c>
      <c r="P574">
        <f>2.7*2</f>
        <v>5.4</v>
      </c>
      <c r="Q574" t="s">
        <v>179</v>
      </c>
      <c r="R574" t="s">
        <v>187</v>
      </c>
      <c r="T574">
        <v>1</v>
      </c>
      <c r="U574" t="s">
        <v>175</v>
      </c>
      <c r="W574" s="15">
        <v>3.7999999999999999E-2</v>
      </c>
      <c r="X574" t="s">
        <v>183</v>
      </c>
      <c r="Y574" t="s">
        <v>175</v>
      </c>
      <c r="Z574" t="s">
        <v>72</v>
      </c>
      <c r="AA574" s="13">
        <f t="shared" si="151"/>
        <v>0.20520000000000002</v>
      </c>
      <c r="AB574">
        <v>54.3</v>
      </c>
      <c r="AC574">
        <v>1.93</v>
      </c>
      <c r="AD574" s="11">
        <f t="shared" si="144"/>
        <v>0.6963975</v>
      </c>
      <c r="AE574" s="11">
        <f>_xlfn.RANK.AVG(Tableau8[[#This Row],[EE ( MJ/m²)]],AD574:AD1729)</f>
        <v>479</v>
      </c>
      <c r="AF574" s="11">
        <f t="shared" si="145"/>
        <v>0.6963975</v>
      </c>
      <c r="AG574" s="11">
        <f t="shared" si="149"/>
        <v>2.4752250000000003E-2</v>
      </c>
      <c r="AH574" s="11">
        <f t="shared" si="146"/>
        <v>2.4752250000000003E-2</v>
      </c>
      <c r="AI574" s="11">
        <f t="shared" si="150"/>
        <v>2.4752250000000003E-2</v>
      </c>
      <c r="AJ574" s="11">
        <f t="shared" si="147"/>
        <v>2.4752250000000003E-2</v>
      </c>
    </row>
    <row r="575" spans="1:36" x14ac:dyDescent="0.25">
      <c r="A575" s="4" t="s">
        <v>945</v>
      </c>
      <c r="B575" s="4" t="s">
        <v>990</v>
      </c>
      <c r="C575" s="4" t="s">
        <v>17</v>
      </c>
      <c r="D575" s="4" t="s">
        <v>938</v>
      </c>
      <c r="E575" t="s">
        <v>999</v>
      </c>
      <c r="F575" t="s">
        <v>191</v>
      </c>
      <c r="G575" t="s">
        <v>192</v>
      </c>
      <c r="H575">
        <v>16</v>
      </c>
      <c r="I575">
        <v>1</v>
      </c>
      <c r="J575" t="s">
        <v>40</v>
      </c>
      <c r="K575" t="s">
        <v>14</v>
      </c>
      <c r="L575" t="s">
        <v>89</v>
      </c>
      <c r="M575" t="s">
        <v>78</v>
      </c>
      <c r="N575" t="s">
        <v>79</v>
      </c>
      <c r="P575">
        <f>0.216</f>
        <v>0.216</v>
      </c>
      <c r="Q575" t="s">
        <v>179</v>
      </c>
      <c r="R575" t="s">
        <v>176</v>
      </c>
      <c r="T575">
        <v>2</v>
      </c>
      <c r="U575" t="s">
        <v>175</v>
      </c>
      <c r="W575" s="15">
        <v>3.7999999999999999E-2</v>
      </c>
      <c r="X575" t="s">
        <v>183</v>
      </c>
      <c r="Y575" t="s">
        <v>175</v>
      </c>
      <c r="Z575" t="s">
        <v>72</v>
      </c>
      <c r="AA575" s="13">
        <f t="shared" si="151"/>
        <v>1.6416E-2</v>
      </c>
      <c r="AB575">
        <v>54.4</v>
      </c>
      <c r="AC575">
        <v>2.54</v>
      </c>
      <c r="AD575" s="11">
        <f t="shared" si="144"/>
        <v>5.58144E-2</v>
      </c>
      <c r="AE575" s="11">
        <f>_xlfn.RANK.AVG(Tableau8[[#This Row],[EE ( MJ/m²)]],AD575:AD1730)</f>
        <v>538</v>
      </c>
      <c r="AF575" s="11">
        <f t="shared" si="145"/>
        <v>5.58144E-2</v>
      </c>
      <c r="AG575" s="11">
        <f t="shared" si="149"/>
        <v>2.60604E-3</v>
      </c>
      <c r="AH575" s="11">
        <f t="shared" si="146"/>
        <v>2.60604E-3</v>
      </c>
      <c r="AI575" s="11">
        <f t="shared" si="150"/>
        <v>2.60604E-3</v>
      </c>
      <c r="AJ575" s="11">
        <f t="shared" si="147"/>
        <v>2.60604E-3</v>
      </c>
    </row>
    <row r="576" spans="1:36" x14ac:dyDescent="0.25">
      <c r="A576" s="4" t="s">
        <v>945</v>
      </c>
      <c r="B576" s="4" t="s">
        <v>990</v>
      </c>
      <c r="C576" s="4" t="s">
        <v>17</v>
      </c>
      <c r="D576" s="4" t="s">
        <v>938</v>
      </c>
      <c r="E576" t="s">
        <v>999</v>
      </c>
      <c r="F576" t="s">
        <v>191</v>
      </c>
      <c r="G576" t="s">
        <v>192</v>
      </c>
      <c r="H576">
        <v>16</v>
      </c>
      <c r="I576">
        <v>1</v>
      </c>
      <c r="J576" t="s">
        <v>40</v>
      </c>
      <c r="K576" t="s">
        <v>14</v>
      </c>
      <c r="L576" t="s">
        <v>104</v>
      </c>
      <c r="M576" t="s">
        <v>78</v>
      </c>
      <c r="N576" t="s">
        <v>79</v>
      </c>
      <c r="P576">
        <f>(0.25*0.3/2)*2</f>
        <v>7.4999999999999997E-2</v>
      </c>
      <c r="Q576" t="s">
        <v>179</v>
      </c>
      <c r="R576" t="s">
        <v>176</v>
      </c>
      <c r="T576">
        <v>2</v>
      </c>
      <c r="U576" t="s">
        <v>175</v>
      </c>
      <c r="W576" s="15">
        <v>3.7999999999999999E-2</v>
      </c>
      <c r="X576" t="s">
        <v>183</v>
      </c>
      <c r="Y576" t="s">
        <v>175</v>
      </c>
      <c r="Z576" t="s">
        <v>72</v>
      </c>
      <c r="AA576" s="13">
        <f t="shared" si="151"/>
        <v>5.6999999999999993E-3</v>
      </c>
      <c r="AB576">
        <v>54.4</v>
      </c>
      <c r="AC576">
        <v>2.54</v>
      </c>
      <c r="AD576" s="11">
        <f t="shared" si="144"/>
        <v>1.9379999999999998E-2</v>
      </c>
      <c r="AE576" s="11">
        <f>_xlfn.RANK.AVG(Tableau8[[#This Row],[EE ( MJ/m²)]],AD576:AD1731)</f>
        <v>551</v>
      </c>
      <c r="AF576" s="11">
        <f t="shared" si="145"/>
        <v>1.9379999999999998E-2</v>
      </c>
      <c r="AG576" s="11">
        <f t="shared" si="149"/>
        <v>9.0487499999999986E-4</v>
      </c>
      <c r="AH576" s="11">
        <f t="shared" si="146"/>
        <v>9.0487499999999986E-4</v>
      </c>
      <c r="AI576" s="11">
        <f t="shared" si="150"/>
        <v>9.0487499999999986E-4</v>
      </c>
      <c r="AJ576" s="11">
        <f t="shared" si="147"/>
        <v>9.0487499999999986E-4</v>
      </c>
    </row>
    <row r="577" spans="1:36" x14ac:dyDescent="0.25">
      <c r="A577" s="4" t="s">
        <v>945</v>
      </c>
      <c r="B577" s="4" t="s">
        <v>990</v>
      </c>
      <c r="C577" s="4" t="s">
        <v>17</v>
      </c>
      <c r="D577" s="4" t="s">
        <v>938</v>
      </c>
      <c r="E577" t="s">
        <v>999</v>
      </c>
      <c r="F577" t="s">
        <v>191</v>
      </c>
      <c r="G577" t="s">
        <v>192</v>
      </c>
      <c r="H577">
        <v>16</v>
      </c>
      <c r="I577">
        <v>1</v>
      </c>
      <c r="J577" t="s">
        <v>56</v>
      </c>
      <c r="K577" t="s">
        <v>110</v>
      </c>
      <c r="L577" t="s">
        <v>70</v>
      </c>
      <c r="M577" t="s">
        <v>71</v>
      </c>
      <c r="N577" t="s">
        <v>71</v>
      </c>
      <c r="O577" t="s">
        <v>113</v>
      </c>
      <c r="P577">
        <f>8.85+8.85+(4*0.9516)+(2*0.728)</f>
        <v>22.962399999999999</v>
      </c>
      <c r="Q577" t="s">
        <v>179</v>
      </c>
      <c r="R577" t="s">
        <v>187</v>
      </c>
      <c r="T577">
        <v>1</v>
      </c>
      <c r="U577" t="s">
        <v>175</v>
      </c>
      <c r="W577">
        <v>0.35</v>
      </c>
      <c r="X577" t="s">
        <v>183</v>
      </c>
      <c r="Y577" t="s">
        <v>175</v>
      </c>
      <c r="Z577" t="s">
        <v>72</v>
      </c>
      <c r="AA577" s="13">
        <f t="shared" si="151"/>
        <v>8.0368399999999998</v>
      </c>
      <c r="AB577">
        <f>(0.4*452)+(351*0.6)</f>
        <v>391.4</v>
      </c>
      <c r="AC577">
        <f>(0.6*15.5)+(0.4*22.5)</f>
        <v>18.299999999999997</v>
      </c>
      <c r="AD577" s="11">
        <f t="shared" si="144"/>
        <v>196.60119849999998</v>
      </c>
      <c r="AE577" s="11">
        <f>_xlfn.RANK.AVG(Tableau8[[#This Row],[EE ( MJ/m²)]],AD577:AD1732)</f>
        <v>33</v>
      </c>
      <c r="AF577" s="11">
        <f t="shared" si="145"/>
        <v>196.60119849999998</v>
      </c>
      <c r="AG577" s="11">
        <f t="shared" si="149"/>
        <v>9.1921357499999985</v>
      </c>
      <c r="AH577" s="11">
        <f t="shared" si="146"/>
        <v>9.1921357499999985</v>
      </c>
      <c r="AI577" s="11">
        <f t="shared" si="150"/>
        <v>9.1921357499999985</v>
      </c>
      <c r="AJ577" s="11">
        <f t="shared" si="147"/>
        <v>9.1921357499999985</v>
      </c>
    </row>
    <row r="578" spans="1:36" x14ac:dyDescent="0.25">
      <c r="A578" s="4" t="s">
        <v>945</v>
      </c>
      <c r="B578" s="4" t="s">
        <v>990</v>
      </c>
      <c r="C578" s="4" t="s">
        <v>17</v>
      </c>
      <c r="D578" s="4" t="s">
        <v>938</v>
      </c>
      <c r="E578" t="s">
        <v>999</v>
      </c>
      <c r="F578" t="s">
        <v>191</v>
      </c>
      <c r="G578" t="s">
        <v>192</v>
      </c>
      <c r="H578">
        <v>16</v>
      </c>
      <c r="I578">
        <v>1</v>
      </c>
      <c r="J578" t="s">
        <v>40</v>
      </c>
      <c r="K578" t="s">
        <v>110</v>
      </c>
      <c r="L578" t="s">
        <v>73</v>
      </c>
      <c r="M578" t="s">
        <v>71</v>
      </c>
      <c r="N578" t="s">
        <v>71</v>
      </c>
      <c r="O578" t="s">
        <v>112</v>
      </c>
      <c r="P578">
        <f>((5-1.08)*2)+(4*2.359)+(2*3.96*0.4)+(2*1.4*1.6)</f>
        <v>24.923999999999999</v>
      </c>
      <c r="Q578" t="s">
        <v>179</v>
      </c>
      <c r="R578" t="s">
        <v>187</v>
      </c>
      <c r="T578">
        <v>1</v>
      </c>
      <c r="U578" t="s">
        <v>175</v>
      </c>
      <c r="W578">
        <v>0.2</v>
      </c>
      <c r="X578" t="s">
        <v>183</v>
      </c>
      <c r="Y578" t="s">
        <v>175</v>
      </c>
      <c r="Z578" t="s">
        <v>72</v>
      </c>
      <c r="AA578" s="13">
        <f t="shared" si="151"/>
        <v>4.9847999999999999</v>
      </c>
      <c r="AB578">
        <f>(0.4*452)+(351*0.6)</f>
        <v>391.4</v>
      </c>
      <c r="AC578">
        <f>(0.6*15.5)+(0.4*22.5)</f>
        <v>18.299999999999997</v>
      </c>
      <c r="AD578" s="11">
        <f t="shared" si="144"/>
        <v>121.94067</v>
      </c>
      <c r="AE578" s="11">
        <f>_xlfn.RANK.AVG(Tableau8[[#This Row],[EE ( MJ/m²)]],AD578:AD1733)</f>
        <v>62</v>
      </c>
      <c r="AF578" s="11">
        <f t="shared" si="145"/>
        <v>121.94067</v>
      </c>
      <c r="AG578" s="11">
        <f t="shared" si="149"/>
        <v>5.7013649999999991</v>
      </c>
      <c r="AH578" s="11">
        <f t="shared" si="146"/>
        <v>5.7013649999999991</v>
      </c>
      <c r="AI578" s="11">
        <f t="shared" si="150"/>
        <v>5.7013649999999991</v>
      </c>
      <c r="AJ578" s="11">
        <f t="shared" si="147"/>
        <v>5.7013649999999991</v>
      </c>
    </row>
    <row r="579" spans="1:36" x14ac:dyDescent="0.25">
      <c r="A579" s="4" t="s">
        <v>945</v>
      </c>
      <c r="B579" s="4" t="s">
        <v>990</v>
      </c>
      <c r="C579" s="4" t="s">
        <v>17</v>
      </c>
      <c r="D579" s="4" t="s">
        <v>938</v>
      </c>
      <c r="E579" t="s">
        <v>999</v>
      </c>
      <c r="F579" t="s">
        <v>191</v>
      </c>
      <c r="G579" t="s">
        <v>192</v>
      </c>
      <c r="H579">
        <v>16</v>
      </c>
      <c r="I579">
        <v>1</v>
      </c>
      <c r="J579" t="s">
        <v>42</v>
      </c>
      <c r="K579" t="s">
        <v>110</v>
      </c>
      <c r="L579" t="s">
        <v>74</v>
      </c>
      <c r="M579" t="s">
        <v>71</v>
      </c>
      <c r="N579" t="s">
        <v>71</v>
      </c>
      <c r="O579" t="s">
        <v>112</v>
      </c>
      <c r="P579">
        <f>((5-1.08)*2)+(4*2.359)+(2*3.96*0.4)+(6.9)+22</f>
        <v>49.344000000000001</v>
      </c>
      <c r="Q579" t="s">
        <v>179</v>
      </c>
      <c r="R579" t="s">
        <v>187</v>
      </c>
      <c r="T579">
        <v>1</v>
      </c>
      <c r="U579" t="s">
        <v>175</v>
      </c>
      <c r="W579">
        <v>0.13</v>
      </c>
      <c r="X579" t="s">
        <v>183</v>
      </c>
      <c r="Y579" t="s">
        <v>175</v>
      </c>
      <c r="Z579" t="s">
        <v>72</v>
      </c>
      <c r="AA579" s="13">
        <f t="shared" si="151"/>
        <v>6.41472</v>
      </c>
      <c r="AB579">
        <f>(0.4*452)+(351*0.6)</f>
        <v>391.4</v>
      </c>
      <c r="AC579">
        <f>(0.6*15.5)+(0.4*22.5)</f>
        <v>18.299999999999997</v>
      </c>
      <c r="AD579" s="11">
        <f t="shared" si="144"/>
        <v>156.92008799999999</v>
      </c>
      <c r="AE579" s="11">
        <f>_xlfn.RANK.AVG(Tableau8[[#This Row],[EE ( MJ/m²)]],AD579:AD1734)</f>
        <v>45</v>
      </c>
      <c r="AF579" s="11">
        <f t="shared" si="145"/>
        <v>156.92008799999999</v>
      </c>
      <c r="AG579" s="11">
        <f t="shared" si="149"/>
        <v>7.336835999999999</v>
      </c>
      <c r="AH579" s="11">
        <f t="shared" si="146"/>
        <v>7.336835999999999</v>
      </c>
      <c r="AI579" s="11">
        <f t="shared" si="150"/>
        <v>7.336835999999999</v>
      </c>
      <c r="AJ579" s="11">
        <f t="shared" si="147"/>
        <v>7.336835999999999</v>
      </c>
    </row>
    <row r="580" spans="1:36" x14ac:dyDescent="0.25">
      <c r="A580" s="4" t="s">
        <v>945</v>
      </c>
      <c r="B580" s="4" t="s">
        <v>990</v>
      </c>
      <c r="C580" s="4" t="s">
        <v>17</v>
      </c>
      <c r="D580" s="4" t="s">
        <v>938</v>
      </c>
      <c r="E580" t="s">
        <v>999</v>
      </c>
      <c r="F580" t="s">
        <v>191</v>
      </c>
      <c r="G580" t="s">
        <v>192</v>
      </c>
      <c r="H580">
        <v>16</v>
      </c>
      <c r="I580">
        <v>1</v>
      </c>
      <c r="J580" t="s">
        <v>44</v>
      </c>
      <c r="K580" t="s">
        <v>14</v>
      </c>
      <c r="L580" t="s">
        <v>100</v>
      </c>
      <c r="M580" t="s">
        <v>14</v>
      </c>
      <c r="N580" t="s">
        <v>111</v>
      </c>
      <c r="P580">
        <f>((PI()*(0.0015^2))*2)+((PI()*(0.0015^2)*(0.5*PI()*(0.02^2))))</f>
        <v>1.4141608263134558E-5</v>
      </c>
      <c r="Q580" t="s">
        <v>180</v>
      </c>
      <c r="R580" t="s">
        <v>187</v>
      </c>
      <c r="T580">
        <v>16</v>
      </c>
      <c r="U580" t="s">
        <v>175</v>
      </c>
      <c r="W580" s="6">
        <v>1380</v>
      </c>
      <c r="X580" t="s">
        <v>184</v>
      </c>
      <c r="Y580" t="s">
        <v>185</v>
      </c>
      <c r="AA580" s="13">
        <f t="shared" si="151"/>
        <v>0.31224671045001107</v>
      </c>
      <c r="AB580">
        <v>35.6</v>
      </c>
      <c r="AC580">
        <v>3.31</v>
      </c>
      <c r="AD580" s="11">
        <f t="shared" si="144"/>
        <v>0.69474893075127464</v>
      </c>
      <c r="AE580" s="11">
        <f>_xlfn.RANK.AVG(Tableau8[[#This Row],[EE ( MJ/m²)]],AD580:AD1735)</f>
        <v>476</v>
      </c>
      <c r="AF580" s="11">
        <f t="shared" si="145"/>
        <v>0.69474893075127464</v>
      </c>
      <c r="AG580" s="11">
        <f t="shared" si="149"/>
        <v>6.4596038224346036E-2</v>
      </c>
      <c r="AH580" s="11">
        <f t="shared" si="146"/>
        <v>6.4596038224346036E-2</v>
      </c>
      <c r="AI580" s="11">
        <f t="shared" si="150"/>
        <v>6.4596038224346036E-2</v>
      </c>
      <c r="AJ580" s="11">
        <f t="shared" si="147"/>
        <v>6.4596038224346036E-2</v>
      </c>
    </row>
    <row r="581" spans="1:36" x14ac:dyDescent="0.25">
      <c r="A581" s="4" t="s">
        <v>945</v>
      </c>
      <c r="B581" s="4" t="s">
        <v>990</v>
      </c>
      <c r="C581" s="4" t="s">
        <v>17</v>
      </c>
      <c r="D581" s="4" t="s">
        <v>938</v>
      </c>
      <c r="E581" t="s">
        <v>999</v>
      </c>
      <c r="F581" t="s">
        <v>191</v>
      </c>
      <c r="G581" t="s">
        <v>192</v>
      </c>
      <c r="H581">
        <v>16</v>
      </c>
      <c r="I581">
        <v>1</v>
      </c>
      <c r="J581" t="s">
        <v>44</v>
      </c>
      <c r="K581" t="s">
        <v>17</v>
      </c>
      <c r="L581" s="1" t="s">
        <v>96</v>
      </c>
      <c r="M581" t="s">
        <v>98</v>
      </c>
      <c r="N581" t="s">
        <v>99</v>
      </c>
      <c r="P581">
        <f>((PI()*(0.005^2))*0.35)</f>
        <v>2.7488935718910689E-5</v>
      </c>
      <c r="Q581" t="s">
        <v>180</v>
      </c>
      <c r="R581" t="s">
        <v>176</v>
      </c>
      <c r="T581">
        <v>6</v>
      </c>
      <c r="U581" t="s">
        <v>175</v>
      </c>
      <c r="W581">
        <v>7800</v>
      </c>
      <c r="X581" t="s">
        <v>184</v>
      </c>
      <c r="Y581" t="s">
        <v>185</v>
      </c>
      <c r="Z581" t="s">
        <v>107</v>
      </c>
      <c r="AA581" s="13">
        <f t="shared" si="151"/>
        <v>1.2864821916450202</v>
      </c>
      <c r="AB581">
        <v>21.6</v>
      </c>
      <c r="AC581">
        <v>1.86</v>
      </c>
      <c r="AD581" s="11">
        <f t="shared" si="144"/>
        <v>1.7367509587207774</v>
      </c>
      <c r="AE581" s="11">
        <f>_xlfn.RANK.AVG(Tableau8[[#This Row],[EE ( MJ/m²)]],AD581:AD1736)</f>
        <v>421</v>
      </c>
      <c r="AF581" s="11">
        <f t="shared" si="145"/>
        <v>1.7367509587207774</v>
      </c>
      <c r="AG581" s="11">
        <f t="shared" si="149"/>
        <v>0.14955355477873361</v>
      </c>
      <c r="AH581" s="11">
        <f t="shared" si="146"/>
        <v>0.14955355477873361</v>
      </c>
      <c r="AI581" s="11">
        <f t="shared" si="150"/>
        <v>0.14955355477873361</v>
      </c>
      <c r="AJ581" s="11">
        <f t="shared" si="147"/>
        <v>0.14955355477873361</v>
      </c>
    </row>
    <row r="582" spans="1:36" x14ac:dyDescent="0.25">
      <c r="A582" s="4" t="s">
        <v>945</v>
      </c>
      <c r="B582" s="4" t="s">
        <v>990</v>
      </c>
      <c r="C582" s="4" t="s">
        <v>17</v>
      </c>
      <c r="D582" s="4" t="s">
        <v>938</v>
      </c>
      <c r="E582" t="s">
        <v>999</v>
      </c>
      <c r="F582" t="s">
        <v>191</v>
      </c>
      <c r="G582" t="s">
        <v>192</v>
      </c>
      <c r="H582">
        <v>16</v>
      </c>
      <c r="I582">
        <v>1</v>
      </c>
      <c r="J582" t="s">
        <v>44</v>
      </c>
      <c r="K582" t="s">
        <v>17</v>
      </c>
      <c r="L582" t="s">
        <v>97</v>
      </c>
      <c r="M582" t="s">
        <v>98</v>
      </c>
      <c r="N582" t="s">
        <v>99</v>
      </c>
      <c r="P582">
        <f>((PI()*(0.003^2))*0.23)</f>
        <v>6.5030967929308721E-6</v>
      </c>
      <c r="Q582" t="s">
        <v>180</v>
      </c>
      <c r="R582" t="s">
        <v>176</v>
      </c>
      <c r="T582">
        <v>26</v>
      </c>
      <c r="U582" t="s">
        <v>175</v>
      </c>
      <c r="W582">
        <v>7800</v>
      </c>
      <c r="X582" t="s">
        <v>184</v>
      </c>
      <c r="Y582" t="s">
        <v>185</v>
      </c>
      <c r="Z582" t="s">
        <v>107</v>
      </c>
      <c r="AA582" s="13">
        <f t="shared" si="151"/>
        <v>1.3188280296063808</v>
      </c>
      <c r="AB582">
        <v>21.6</v>
      </c>
      <c r="AC582">
        <v>1.86</v>
      </c>
      <c r="AD582" s="11">
        <f t="shared" si="144"/>
        <v>1.7804178399686141</v>
      </c>
      <c r="AE582" s="11">
        <f>_xlfn.RANK.AVG(Tableau8[[#This Row],[EE ( MJ/m²)]],AD582:AD1737)</f>
        <v>419</v>
      </c>
      <c r="AF582" s="11">
        <f t="shared" si="145"/>
        <v>1.7804178399686141</v>
      </c>
      <c r="AG582" s="11">
        <f t="shared" si="149"/>
        <v>0.15331375844174178</v>
      </c>
      <c r="AH582" s="11">
        <f t="shared" si="146"/>
        <v>0.15331375844174178</v>
      </c>
      <c r="AI582" s="11">
        <f t="shared" si="150"/>
        <v>0.15331375844174178</v>
      </c>
      <c r="AJ582" s="11">
        <f t="shared" si="147"/>
        <v>0.15331375844174178</v>
      </c>
    </row>
    <row r="583" spans="1:36" x14ac:dyDescent="0.25">
      <c r="A583" s="4" t="s">
        <v>945</v>
      </c>
      <c r="B583" s="4" t="s">
        <v>990</v>
      </c>
      <c r="C583" s="4" t="s">
        <v>17</v>
      </c>
      <c r="D583" s="4" t="s">
        <v>938</v>
      </c>
      <c r="E583" t="s">
        <v>999</v>
      </c>
      <c r="F583" t="s">
        <v>191</v>
      </c>
      <c r="G583" t="s">
        <v>192</v>
      </c>
      <c r="H583">
        <v>16</v>
      </c>
      <c r="I583">
        <v>1</v>
      </c>
      <c r="J583" t="s">
        <v>40</v>
      </c>
      <c r="K583" t="s">
        <v>14</v>
      </c>
      <c r="L583" t="s">
        <v>75</v>
      </c>
      <c r="M583" t="s">
        <v>77</v>
      </c>
      <c r="N583" t="s">
        <v>35</v>
      </c>
      <c r="P583">
        <f>(0.7*(8+(4*1.838)))</f>
        <v>10.7464</v>
      </c>
      <c r="Q583" t="s">
        <v>179</v>
      </c>
      <c r="R583" t="s">
        <v>187</v>
      </c>
      <c r="T583">
        <v>1</v>
      </c>
      <c r="U583" t="s">
        <v>175</v>
      </c>
      <c r="W583">
        <v>0.18</v>
      </c>
      <c r="X583" t="s">
        <v>183</v>
      </c>
      <c r="Y583" t="s">
        <v>175</v>
      </c>
      <c r="Z583" t="s">
        <v>72</v>
      </c>
      <c r="AA583" s="13">
        <f t="shared" si="151"/>
        <v>1.9343519999999998</v>
      </c>
      <c r="AB583">
        <v>54.3</v>
      </c>
      <c r="AC583">
        <v>1.93</v>
      </c>
      <c r="AD583" s="11">
        <f t="shared" si="144"/>
        <v>6.5647070999999988</v>
      </c>
      <c r="AE583" s="11">
        <f>_xlfn.RANK.AVG(Tableau8[[#This Row],[EE ( MJ/m²)]],AD583:AD1738)</f>
        <v>303</v>
      </c>
      <c r="AF583" s="11">
        <f t="shared" si="145"/>
        <v>6.5647070999999988</v>
      </c>
      <c r="AG583" s="11">
        <f t="shared" si="149"/>
        <v>0.23333120999999998</v>
      </c>
      <c r="AH583" s="11">
        <f t="shared" si="146"/>
        <v>0.23333120999999998</v>
      </c>
      <c r="AI583" s="11">
        <f t="shared" si="150"/>
        <v>0.23333120999999998</v>
      </c>
      <c r="AJ583" s="11">
        <f t="shared" si="147"/>
        <v>0.23333120999999998</v>
      </c>
    </row>
    <row r="584" spans="1:36" x14ac:dyDescent="0.25">
      <c r="A584" s="4" t="s">
        <v>945</v>
      </c>
      <c r="B584" s="4" t="s">
        <v>990</v>
      </c>
      <c r="C584" s="4" t="s">
        <v>17</v>
      </c>
      <c r="D584" s="4" t="s">
        <v>938</v>
      </c>
      <c r="E584" t="s">
        <v>999</v>
      </c>
      <c r="F584" t="s">
        <v>191</v>
      </c>
      <c r="G584" t="s">
        <v>192</v>
      </c>
      <c r="H584">
        <v>16</v>
      </c>
      <c r="I584">
        <v>1</v>
      </c>
      <c r="J584" t="s">
        <v>57</v>
      </c>
      <c r="K584" t="s">
        <v>14</v>
      </c>
      <c r="L584" t="s">
        <v>76</v>
      </c>
      <c r="M584" t="s">
        <v>77</v>
      </c>
      <c r="N584" t="s">
        <v>35</v>
      </c>
      <c r="P584">
        <f>4*5</f>
        <v>20</v>
      </c>
      <c r="Q584" t="s">
        <v>179</v>
      </c>
      <c r="R584" t="s">
        <v>187</v>
      </c>
      <c r="S584" t="s">
        <v>103</v>
      </c>
      <c r="T584">
        <v>1</v>
      </c>
      <c r="U584" t="s">
        <v>175</v>
      </c>
      <c r="W584">
        <v>0.18</v>
      </c>
      <c r="X584" t="s">
        <v>183</v>
      </c>
      <c r="Y584" t="s">
        <v>175</v>
      </c>
      <c r="Z584" t="s">
        <v>72</v>
      </c>
      <c r="AA584" s="13">
        <f t="shared" si="151"/>
        <v>3.5999999999999996</v>
      </c>
      <c r="AB584">
        <v>54.3</v>
      </c>
      <c r="AC584">
        <v>1.93</v>
      </c>
      <c r="AD584" s="11">
        <f t="shared" ref="AD584:AD615" si="152">AB584*AA584/H584</f>
        <v>12.217499999999998</v>
      </c>
      <c r="AE584" s="11">
        <f>_xlfn.RANK.AVG(Tableau8[[#This Row],[EE ( MJ/m²)]],AD584:AD1739)</f>
        <v>246.5</v>
      </c>
      <c r="AF584" s="11">
        <f t="shared" ref="AF584:AF615" si="153">AB584*AA584/H584/I584</f>
        <v>12.217499999999998</v>
      </c>
      <c r="AG584" s="11">
        <f t="shared" si="149"/>
        <v>0.43424999999999997</v>
      </c>
      <c r="AH584" s="11">
        <f t="shared" ref="AH584:AH615" si="154">AC584*AA584/H584</f>
        <v>0.43424999999999997</v>
      </c>
      <c r="AI584" s="11">
        <f t="shared" si="150"/>
        <v>0.43424999999999997</v>
      </c>
      <c r="AJ584" s="11">
        <f t="shared" ref="AJ584:AJ615" si="155">AC584*AA584/H584/I584</f>
        <v>0.43424999999999997</v>
      </c>
    </row>
    <row r="585" spans="1:36" x14ac:dyDescent="0.25">
      <c r="A585" s="4" t="s">
        <v>945</v>
      </c>
      <c r="B585" s="4" t="s">
        <v>990</v>
      </c>
      <c r="C585" s="4" t="s">
        <v>17</v>
      </c>
      <c r="D585" s="4" t="s">
        <v>938</v>
      </c>
      <c r="E585" t="s">
        <v>999</v>
      </c>
      <c r="F585" t="s">
        <v>191</v>
      </c>
      <c r="G585" t="s">
        <v>192</v>
      </c>
      <c r="H585">
        <v>16</v>
      </c>
      <c r="I585">
        <v>1</v>
      </c>
      <c r="J585" t="s">
        <v>40</v>
      </c>
      <c r="K585" t="s">
        <v>17</v>
      </c>
      <c r="L585" t="s">
        <v>92</v>
      </c>
      <c r="M585" t="s">
        <v>90</v>
      </c>
      <c r="N585" t="s">
        <v>91</v>
      </c>
      <c r="P585">
        <f>(((PI()*(0.0125^2))-(PI()*(0.0113^2)))*2.2)</f>
        <v>1.9739254961035401E-4</v>
      </c>
      <c r="Q585" t="s">
        <v>180</v>
      </c>
      <c r="R585" t="s">
        <v>176</v>
      </c>
      <c r="T585">
        <v>2</v>
      </c>
      <c r="U585" t="s">
        <v>175</v>
      </c>
      <c r="W585">
        <v>7800</v>
      </c>
      <c r="X585" t="s">
        <v>184</v>
      </c>
      <c r="Y585" t="s">
        <v>185</v>
      </c>
      <c r="AA585" s="13">
        <f t="shared" si="151"/>
        <v>3.0793237739215225</v>
      </c>
      <c r="AB585">
        <v>24.9</v>
      </c>
      <c r="AC585">
        <v>1.94</v>
      </c>
      <c r="AD585" s="11">
        <f t="shared" si="152"/>
        <v>4.7921976231653689</v>
      </c>
      <c r="AE585" s="11">
        <f>_xlfn.RANK.AVG(Tableau8[[#This Row],[EE ( MJ/m²)]],AD585:AD1740)</f>
        <v>333</v>
      </c>
      <c r="AF585" s="11">
        <f t="shared" si="153"/>
        <v>4.7921976231653689</v>
      </c>
      <c r="AG585" s="11">
        <f t="shared" si="149"/>
        <v>0.37336800758798461</v>
      </c>
      <c r="AH585" s="11">
        <f t="shared" si="154"/>
        <v>0.37336800758798461</v>
      </c>
      <c r="AI585" s="11">
        <f t="shared" si="150"/>
        <v>0.37336800758798461</v>
      </c>
      <c r="AJ585" s="11">
        <f t="shared" si="155"/>
        <v>0.37336800758798461</v>
      </c>
    </row>
    <row r="586" spans="1:36" x14ac:dyDescent="0.25">
      <c r="A586" s="4" t="s">
        <v>945</v>
      </c>
      <c r="B586" s="4" t="s">
        <v>990</v>
      </c>
      <c r="C586" s="4" t="s">
        <v>17</v>
      </c>
      <c r="D586" s="4" t="s">
        <v>938</v>
      </c>
      <c r="E586" t="s">
        <v>999</v>
      </c>
      <c r="F586" t="s">
        <v>191</v>
      </c>
      <c r="G586" t="s">
        <v>192</v>
      </c>
      <c r="H586">
        <v>16</v>
      </c>
      <c r="I586">
        <v>1</v>
      </c>
      <c r="J586" t="s">
        <v>40</v>
      </c>
      <c r="K586" t="s">
        <v>17</v>
      </c>
      <c r="L586" t="s">
        <v>93</v>
      </c>
      <c r="M586" t="s">
        <v>90</v>
      </c>
      <c r="N586" t="s">
        <v>91</v>
      </c>
      <c r="P586">
        <f>(((PI()*(0.015^2))-(PI()*(0.0138^2)))*2.17)</f>
        <v>2.3560436937449715E-4</v>
      </c>
      <c r="Q586" t="s">
        <v>180</v>
      </c>
      <c r="R586" t="s">
        <v>176</v>
      </c>
      <c r="T586">
        <v>1</v>
      </c>
      <c r="U586" t="s">
        <v>175</v>
      </c>
      <c r="W586">
        <v>7800</v>
      </c>
      <c r="X586" t="s">
        <v>184</v>
      </c>
      <c r="Y586" t="s">
        <v>185</v>
      </c>
      <c r="Z586" t="s">
        <v>107</v>
      </c>
      <c r="AA586" s="13">
        <f t="shared" si="151"/>
        <v>1.8377140811210777</v>
      </c>
      <c r="AB586">
        <v>24.9</v>
      </c>
      <c r="AC586">
        <v>1.94</v>
      </c>
      <c r="AD586" s="11">
        <f t="shared" si="152"/>
        <v>2.8599425387446771</v>
      </c>
      <c r="AE586" s="11">
        <f>_xlfn.RANK.AVG(Tableau8[[#This Row],[EE ( MJ/m²)]],AD586:AD1741)</f>
        <v>372</v>
      </c>
      <c r="AF586" s="11">
        <f t="shared" si="153"/>
        <v>2.8599425387446771</v>
      </c>
      <c r="AG586" s="11">
        <f t="shared" si="149"/>
        <v>0.22282283233593067</v>
      </c>
      <c r="AH586" s="11">
        <f t="shared" si="154"/>
        <v>0.22282283233593067</v>
      </c>
      <c r="AI586" s="11">
        <f t="shared" si="150"/>
        <v>0.22282283233593067</v>
      </c>
      <c r="AJ586" s="11">
        <f t="shared" si="155"/>
        <v>0.22282283233593067</v>
      </c>
    </row>
    <row r="587" spans="1:36" x14ac:dyDescent="0.25">
      <c r="A587" s="4" t="s">
        <v>945</v>
      </c>
      <c r="B587" s="4" t="s">
        <v>990</v>
      </c>
      <c r="C587" s="4" t="s">
        <v>17</v>
      </c>
      <c r="D587" s="4" t="s">
        <v>938</v>
      </c>
      <c r="E587" t="s">
        <v>999</v>
      </c>
      <c r="F587" t="s">
        <v>191</v>
      </c>
      <c r="G587" t="s">
        <v>192</v>
      </c>
      <c r="H587">
        <v>16</v>
      </c>
      <c r="I587">
        <v>1</v>
      </c>
      <c r="J587" t="s">
        <v>40</v>
      </c>
      <c r="K587" t="s">
        <v>17</v>
      </c>
      <c r="L587" t="s">
        <v>80</v>
      </c>
      <c r="M587" t="s">
        <v>90</v>
      </c>
      <c r="N587" t="s">
        <v>91</v>
      </c>
      <c r="P587">
        <f>(((PI()*(0.0095^2))-(PI()*(0.0085^2)))*1.25)</f>
        <v>7.068583470577026E-5</v>
      </c>
      <c r="Q587" t="s">
        <v>180</v>
      </c>
      <c r="R587" t="s">
        <v>176</v>
      </c>
      <c r="T587">
        <v>6</v>
      </c>
      <c r="U587" t="s">
        <v>175</v>
      </c>
      <c r="W587">
        <v>7800</v>
      </c>
      <c r="X587" t="s">
        <v>184</v>
      </c>
      <c r="Y587" t="s">
        <v>185</v>
      </c>
      <c r="Z587" t="s">
        <v>107</v>
      </c>
      <c r="AA587" s="13">
        <f t="shared" si="151"/>
        <v>3.308097064230048</v>
      </c>
      <c r="AB587">
        <v>24.9</v>
      </c>
      <c r="AC587">
        <v>1.94</v>
      </c>
      <c r="AD587" s="11">
        <f t="shared" si="152"/>
        <v>5.1482260562080118</v>
      </c>
      <c r="AE587" s="11">
        <f>_xlfn.RANK.AVG(Tableau8[[#This Row],[EE ( MJ/m²)]],AD587:AD1742)</f>
        <v>328</v>
      </c>
      <c r="AF587" s="11">
        <f t="shared" si="153"/>
        <v>5.1482260562080118</v>
      </c>
      <c r="AG587" s="11">
        <f t="shared" si="149"/>
        <v>0.40110676903789333</v>
      </c>
      <c r="AH587" s="11">
        <f t="shared" si="154"/>
        <v>0.40110676903789333</v>
      </c>
      <c r="AI587" s="11">
        <f t="shared" si="150"/>
        <v>0.40110676903789333</v>
      </c>
      <c r="AJ587" s="11">
        <f t="shared" si="155"/>
        <v>0.40110676903789333</v>
      </c>
    </row>
    <row r="588" spans="1:36" x14ac:dyDescent="0.25">
      <c r="A588" s="4" t="s">
        <v>945</v>
      </c>
      <c r="B588" s="4" t="s">
        <v>990</v>
      </c>
      <c r="C588" s="4" t="s">
        <v>17</v>
      </c>
      <c r="D588" s="4" t="s">
        <v>938</v>
      </c>
      <c r="E588" t="s">
        <v>999</v>
      </c>
      <c r="F588" t="s">
        <v>191</v>
      </c>
      <c r="G588" t="s">
        <v>192</v>
      </c>
      <c r="H588">
        <v>16</v>
      </c>
      <c r="I588">
        <v>1</v>
      </c>
      <c r="J588" t="s">
        <v>56</v>
      </c>
      <c r="K588" t="s">
        <v>17</v>
      </c>
      <c r="L588" t="s">
        <v>81</v>
      </c>
      <c r="M588" t="s">
        <v>90</v>
      </c>
      <c r="N588" t="s">
        <v>91</v>
      </c>
      <c r="P588">
        <f>(((PI()*(0.015^2))-(PI()*(0.0138^2)))*4)+((((PI()*((0.01375^2))-(PI()*(0.01255^2)))*0.1)*2))</f>
        <v>4.5412350126171157E-4</v>
      </c>
      <c r="Q588" t="s">
        <v>180</v>
      </c>
      <c r="R588" t="s">
        <v>176</v>
      </c>
      <c r="T588">
        <v>1</v>
      </c>
      <c r="U588" t="s">
        <v>175</v>
      </c>
      <c r="W588">
        <v>7800</v>
      </c>
      <c r="X588" t="s">
        <v>184</v>
      </c>
      <c r="Y588" t="s">
        <v>185</v>
      </c>
      <c r="Z588" t="s">
        <v>107</v>
      </c>
      <c r="AA588" s="13">
        <f t="shared" si="151"/>
        <v>3.5421633098413503</v>
      </c>
      <c r="AB588">
        <v>24.9</v>
      </c>
      <c r="AC588">
        <v>1.94</v>
      </c>
      <c r="AD588" s="11">
        <f t="shared" si="152"/>
        <v>5.5124916509406008</v>
      </c>
      <c r="AE588" s="11">
        <f>_xlfn.RANK.AVG(Tableau8[[#This Row],[EE ( MJ/m²)]],AD588:AD1743)</f>
        <v>321</v>
      </c>
      <c r="AF588" s="11">
        <f t="shared" si="153"/>
        <v>5.5124916509406008</v>
      </c>
      <c r="AG588" s="11">
        <f t="shared" si="149"/>
        <v>0.42948730131826374</v>
      </c>
      <c r="AH588" s="11">
        <f t="shared" si="154"/>
        <v>0.42948730131826374</v>
      </c>
      <c r="AI588" s="11">
        <f t="shared" si="150"/>
        <v>0.42948730131826374</v>
      </c>
      <c r="AJ588" s="11">
        <f t="shared" si="155"/>
        <v>0.42948730131826374</v>
      </c>
    </row>
    <row r="589" spans="1:36" x14ac:dyDescent="0.25">
      <c r="A589" s="4" t="s">
        <v>945</v>
      </c>
      <c r="B589" s="4" t="s">
        <v>990</v>
      </c>
      <c r="C589" s="4" t="s">
        <v>17</v>
      </c>
      <c r="D589" s="4" t="s">
        <v>938</v>
      </c>
      <c r="E589" t="s">
        <v>999</v>
      </c>
      <c r="F589" t="s">
        <v>191</v>
      </c>
      <c r="G589" t="s">
        <v>192</v>
      </c>
      <c r="H589">
        <v>16</v>
      </c>
      <c r="I589">
        <v>1</v>
      </c>
      <c r="J589" t="s">
        <v>40</v>
      </c>
      <c r="K589" t="s">
        <v>17</v>
      </c>
      <c r="L589" t="s">
        <v>82</v>
      </c>
      <c r="M589" t="s">
        <v>90</v>
      </c>
      <c r="N589" t="s">
        <v>91</v>
      </c>
      <c r="P589">
        <f>(((PI()*(0.0095^2))-(PI()*(0.0085^2)))*1.4)</f>
        <v>7.9168134870462697E-5</v>
      </c>
      <c r="Q589" t="s">
        <v>180</v>
      </c>
      <c r="R589" t="s">
        <v>176</v>
      </c>
      <c r="T589">
        <v>4</v>
      </c>
      <c r="U589" t="s">
        <v>175</v>
      </c>
      <c r="W589">
        <v>7800</v>
      </c>
      <c r="X589" t="s">
        <v>184</v>
      </c>
      <c r="Y589" t="s">
        <v>185</v>
      </c>
      <c r="Z589" t="s">
        <v>107</v>
      </c>
      <c r="AA589" s="13">
        <f t="shared" si="151"/>
        <v>2.470045807958436</v>
      </c>
      <c r="AB589">
        <v>24.9</v>
      </c>
      <c r="AC589">
        <v>1.94</v>
      </c>
      <c r="AD589" s="11">
        <f t="shared" si="152"/>
        <v>3.8440087886353158</v>
      </c>
      <c r="AE589" s="11">
        <f>_xlfn.RANK.AVG(Tableau8[[#This Row],[EE ( MJ/m²)]],AD589:AD1744)</f>
        <v>345</v>
      </c>
      <c r="AF589" s="11">
        <f t="shared" si="153"/>
        <v>3.8440087886353158</v>
      </c>
      <c r="AG589" s="11">
        <f t="shared" si="149"/>
        <v>0.29949305421496036</v>
      </c>
      <c r="AH589" s="11">
        <f t="shared" si="154"/>
        <v>0.29949305421496036</v>
      </c>
      <c r="AI589" s="11">
        <f t="shared" si="150"/>
        <v>0.29949305421496036</v>
      </c>
      <c r="AJ589" s="11">
        <f t="shared" si="155"/>
        <v>0.29949305421496036</v>
      </c>
    </row>
    <row r="590" spans="1:36" x14ac:dyDescent="0.25">
      <c r="A590" s="4" t="s">
        <v>945</v>
      </c>
      <c r="B590" s="4" t="s">
        <v>991</v>
      </c>
      <c r="C590" s="4" t="s">
        <v>17</v>
      </c>
      <c r="D590" s="4" t="s">
        <v>938</v>
      </c>
      <c r="E590" t="s">
        <v>117</v>
      </c>
      <c r="F590" t="s">
        <v>191</v>
      </c>
      <c r="G590" t="s">
        <v>192</v>
      </c>
      <c r="H590">
        <v>16</v>
      </c>
      <c r="I590">
        <v>1</v>
      </c>
      <c r="J590" t="s">
        <v>44</v>
      </c>
      <c r="K590" t="s">
        <v>14</v>
      </c>
      <c r="L590" t="s">
        <v>133</v>
      </c>
      <c r="M590" t="s">
        <v>134</v>
      </c>
      <c r="N590" t="s">
        <v>595</v>
      </c>
      <c r="P590">
        <f>(PI()*(0.004^2))*3</f>
        <v>1.5079644737231007E-4</v>
      </c>
      <c r="Q590" t="s">
        <v>180</v>
      </c>
      <c r="R590" t="s">
        <v>176</v>
      </c>
      <c r="T590">
        <v>4</v>
      </c>
      <c r="U590" t="s">
        <v>175</v>
      </c>
      <c r="W590">
        <v>1380</v>
      </c>
      <c r="X590" t="s">
        <v>184</v>
      </c>
      <c r="Y590" t="s">
        <v>194</v>
      </c>
      <c r="AA590" s="13">
        <f>Tableau8[[#This Row],[density (kg/m2) or specific weight (kg/m2)]]*Tableau8[[#This Row],[nb of item used ]]*Tableau8[[#This Row],[volume or area]]</f>
        <v>0.8323963894951516</v>
      </c>
      <c r="AB590">
        <v>351</v>
      </c>
      <c r="AC590">
        <v>15.5</v>
      </c>
      <c r="AD590" s="11">
        <f t="shared" si="152"/>
        <v>18.260695794549889</v>
      </c>
      <c r="AE590" s="11">
        <f>_xlfn.RANK.AVG(Tableau8[[#This Row],[EE ( MJ/m²)]],AD590:AD1745)</f>
        <v>205</v>
      </c>
      <c r="AF590" s="11">
        <f t="shared" si="153"/>
        <v>18.260695794549889</v>
      </c>
      <c r="AG590" s="11">
        <f t="shared" si="149"/>
        <v>0.80638400232342811</v>
      </c>
      <c r="AH590" s="11">
        <f t="shared" si="154"/>
        <v>0.80638400232342811</v>
      </c>
      <c r="AI590" s="11">
        <f t="shared" si="150"/>
        <v>0.80638400232342811</v>
      </c>
      <c r="AJ590" s="11">
        <f t="shared" si="155"/>
        <v>0.80638400232342811</v>
      </c>
    </row>
    <row r="591" spans="1:36" x14ac:dyDescent="0.25">
      <c r="A591" s="4" t="s">
        <v>945</v>
      </c>
      <c r="B591" s="4" t="s">
        <v>991</v>
      </c>
      <c r="C591" s="4" t="s">
        <v>17</v>
      </c>
      <c r="D591" s="4" t="s">
        <v>938</v>
      </c>
      <c r="E591" t="s">
        <v>117</v>
      </c>
      <c r="F591" t="s">
        <v>191</v>
      </c>
      <c r="G591" t="s">
        <v>192</v>
      </c>
      <c r="H591">
        <v>16</v>
      </c>
      <c r="I591">
        <v>1</v>
      </c>
      <c r="J591" t="s">
        <v>44</v>
      </c>
      <c r="K591" t="s">
        <v>14</v>
      </c>
      <c r="L591" t="s">
        <v>132</v>
      </c>
      <c r="M591" t="s">
        <v>134</v>
      </c>
      <c r="N591" t="s">
        <v>595</v>
      </c>
      <c r="P591">
        <f>(PI()*(0.003^2))*3</f>
        <v>8.4823001646924416E-5</v>
      </c>
      <c r="Q591" t="s">
        <v>180</v>
      </c>
      <c r="R591" t="s">
        <v>176</v>
      </c>
      <c r="T591">
        <v>6</v>
      </c>
      <c r="U591" t="s">
        <v>175</v>
      </c>
      <c r="W591">
        <v>1380</v>
      </c>
      <c r="X591" t="s">
        <v>184</v>
      </c>
      <c r="Y591" t="s">
        <v>194</v>
      </c>
      <c r="AA591" s="13">
        <f>Tableau8[[#This Row],[density (kg/m2) or specific weight (kg/m2)]]*Tableau8[[#This Row],[nb of item used ]]*Tableau8[[#This Row],[volume or area]]</f>
        <v>0.70233445363653413</v>
      </c>
      <c r="AB591">
        <v>351</v>
      </c>
      <c r="AC591">
        <v>15.5</v>
      </c>
      <c r="AD591" s="11">
        <f t="shared" si="152"/>
        <v>15.407462076651468</v>
      </c>
      <c r="AE591" s="11">
        <f>_xlfn.RANK.AVG(Tableau8[[#This Row],[EE ( MJ/m²)]],AD591:AD1746)</f>
        <v>224</v>
      </c>
      <c r="AF591" s="11">
        <f t="shared" si="153"/>
        <v>15.407462076651468</v>
      </c>
      <c r="AG591" s="11">
        <f t="shared" si="149"/>
        <v>0.68038650196039241</v>
      </c>
      <c r="AH591" s="11">
        <f t="shared" si="154"/>
        <v>0.68038650196039241</v>
      </c>
      <c r="AI591" s="11">
        <f t="shared" si="150"/>
        <v>0.68038650196039241</v>
      </c>
      <c r="AJ591" s="11">
        <f t="shared" si="155"/>
        <v>0.68038650196039241</v>
      </c>
    </row>
    <row r="592" spans="1:36" x14ac:dyDescent="0.25">
      <c r="A592" s="4" t="s">
        <v>945</v>
      </c>
      <c r="B592" s="4" t="s">
        <v>991</v>
      </c>
      <c r="C592" s="4" t="s">
        <v>17</v>
      </c>
      <c r="D592" s="4" t="s">
        <v>938</v>
      </c>
      <c r="E592" t="s">
        <v>117</v>
      </c>
      <c r="F592" t="s">
        <v>191</v>
      </c>
      <c r="G592" t="s">
        <v>192</v>
      </c>
      <c r="H592">
        <v>16</v>
      </c>
      <c r="I592">
        <v>1</v>
      </c>
      <c r="J592" t="s">
        <v>44</v>
      </c>
      <c r="K592" t="s">
        <v>14</v>
      </c>
      <c r="L592" t="s">
        <v>135</v>
      </c>
      <c r="M592" t="s">
        <v>134</v>
      </c>
      <c r="N592" t="s">
        <v>595</v>
      </c>
      <c r="P592">
        <f>(PI()*(0.004^2))*5</f>
        <v>2.5132741228718343E-4</v>
      </c>
      <c r="Q592" t="s">
        <v>180</v>
      </c>
      <c r="R592" t="s">
        <v>176</v>
      </c>
      <c r="T592">
        <v>1</v>
      </c>
      <c r="U592" t="s">
        <v>175</v>
      </c>
      <c r="W592" s="1">
        <v>1380</v>
      </c>
      <c r="X592" t="s">
        <v>184</v>
      </c>
      <c r="Y592" t="s">
        <v>194</v>
      </c>
      <c r="AA592" s="13">
        <f>Tableau8[[#This Row],[density (kg/m2) or specific weight (kg/m2)]]*Tableau8[[#This Row],[nb of item used ]]*Tableau8[[#This Row],[volume or area]]</f>
        <v>0.34683182895631315</v>
      </c>
      <c r="AB592">
        <v>351</v>
      </c>
      <c r="AC592">
        <v>15.5</v>
      </c>
      <c r="AD592" s="11">
        <f t="shared" si="152"/>
        <v>7.6086232477291196</v>
      </c>
      <c r="AE592" s="11">
        <f>_xlfn.RANK.AVG(Tableau8[[#This Row],[EE ( MJ/m²)]],AD592:AD1747)</f>
        <v>282</v>
      </c>
      <c r="AF592" s="11">
        <f t="shared" si="153"/>
        <v>7.6086232477291196</v>
      </c>
      <c r="AG592" s="11">
        <f t="shared" si="149"/>
        <v>0.33599333430142836</v>
      </c>
      <c r="AH592" s="11">
        <f t="shared" si="154"/>
        <v>0.33599333430142836</v>
      </c>
      <c r="AI592" s="11">
        <f t="shared" si="150"/>
        <v>0.33599333430142836</v>
      </c>
      <c r="AJ592" s="11">
        <f t="shared" si="155"/>
        <v>0.33599333430142836</v>
      </c>
    </row>
    <row r="593" spans="1:36" x14ac:dyDescent="0.25">
      <c r="A593" s="4" t="s">
        <v>945</v>
      </c>
      <c r="B593" s="4" t="s">
        <v>991</v>
      </c>
      <c r="C593" s="4" t="s">
        <v>17</v>
      </c>
      <c r="D593" s="4" t="s">
        <v>938</v>
      </c>
      <c r="E593" t="s">
        <v>117</v>
      </c>
      <c r="F593" t="s">
        <v>191</v>
      </c>
      <c r="G593" t="s">
        <v>192</v>
      </c>
      <c r="H593">
        <v>16</v>
      </c>
      <c r="I593">
        <v>1</v>
      </c>
      <c r="J593" t="s">
        <v>40</v>
      </c>
      <c r="K593" t="s">
        <v>14</v>
      </c>
      <c r="L593" t="s">
        <v>138</v>
      </c>
      <c r="M593" t="s">
        <v>78</v>
      </c>
      <c r="N593" t="s">
        <v>79</v>
      </c>
      <c r="P593">
        <v>3.75</v>
      </c>
      <c r="Q593" t="s">
        <v>179</v>
      </c>
      <c r="R593" t="s">
        <v>187</v>
      </c>
      <c r="T593">
        <v>1</v>
      </c>
      <c r="U593" t="s">
        <v>175</v>
      </c>
      <c r="W593" s="15">
        <v>3.7999999999999999E-2</v>
      </c>
      <c r="X593" t="s">
        <v>183</v>
      </c>
      <c r="Y593" t="s">
        <v>175</v>
      </c>
      <c r="Z593" t="s">
        <v>72</v>
      </c>
      <c r="AA593" s="13">
        <f>Tableau8[[#This Row],[density (kg/m2) or specific weight (kg/m2)]]*Tableau8[[#This Row],[nb of item used ]]*Tableau8[[#This Row],[volume or area]]</f>
        <v>0.14249999999999999</v>
      </c>
      <c r="AB593">
        <v>54.4</v>
      </c>
      <c r="AC593">
        <v>2.54</v>
      </c>
      <c r="AD593" s="11">
        <f t="shared" si="152"/>
        <v>0.48449999999999993</v>
      </c>
      <c r="AE593" s="11">
        <f>_xlfn.RANK.AVG(Tableau8[[#This Row],[EE ( MJ/m²)]],AD593:AD1748)</f>
        <v>477</v>
      </c>
      <c r="AF593" s="11">
        <f t="shared" si="153"/>
        <v>0.48449999999999993</v>
      </c>
      <c r="AG593" s="11">
        <f t="shared" si="149"/>
        <v>2.2621875E-2</v>
      </c>
      <c r="AH593" s="11">
        <f t="shared" si="154"/>
        <v>2.2621875E-2</v>
      </c>
      <c r="AI593" s="11">
        <f t="shared" si="150"/>
        <v>2.2621875E-2</v>
      </c>
      <c r="AJ593" s="11">
        <f t="shared" si="155"/>
        <v>2.2621875E-2</v>
      </c>
    </row>
    <row r="594" spans="1:36" x14ac:dyDescent="0.25">
      <c r="A594" s="4" t="s">
        <v>945</v>
      </c>
      <c r="B594" s="4" t="s">
        <v>991</v>
      </c>
      <c r="C594" s="4" t="s">
        <v>17</v>
      </c>
      <c r="D594" s="4" t="s">
        <v>938</v>
      </c>
      <c r="E594" t="s">
        <v>117</v>
      </c>
      <c r="F594" t="s">
        <v>191</v>
      </c>
      <c r="G594" t="s">
        <v>192</v>
      </c>
      <c r="H594">
        <v>16</v>
      </c>
      <c r="I594">
        <v>1</v>
      </c>
      <c r="J594" t="s">
        <v>40</v>
      </c>
      <c r="K594" t="s">
        <v>14</v>
      </c>
      <c r="L594" t="s">
        <v>130</v>
      </c>
      <c r="M594" t="s">
        <v>78</v>
      </c>
      <c r="N594" t="s">
        <v>79</v>
      </c>
      <c r="P594">
        <v>0.72</v>
      </c>
      <c r="Q594" t="s">
        <v>179</v>
      </c>
      <c r="R594" t="s">
        <v>187</v>
      </c>
      <c r="T594">
        <v>6</v>
      </c>
      <c r="U594" t="s">
        <v>175</v>
      </c>
      <c r="W594" s="15">
        <v>3.7999999999999999E-2</v>
      </c>
      <c r="X594" t="s">
        <v>183</v>
      </c>
      <c r="Y594" t="s">
        <v>175</v>
      </c>
      <c r="AA594" s="13">
        <f>Tableau8[[#This Row],[density (kg/m2) or specific weight (kg/m2)]]*Tableau8[[#This Row],[nb of item used ]]*Tableau8[[#This Row],[volume or area]]</f>
        <v>0.16415999999999997</v>
      </c>
      <c r="AB594">
        <v>54.4</v>
      </c>
      <c r="AC594">
        <v>2.54</v>
      </c>
      <c r="AD594" s="11">
        <f t="shared" si="152"/>
        <v>0.55814399999999986</v>
      </c>
      <c r="AE594" s="11">
        <f>_xlfn.RANK.AVG(Tableau8[[#This Row],[EE ( MJ/m²)]],AD594:AD1749)</f>
        <v>472</v>
      </c>
      <c r="AF594" s="11">
        <f t="shared" si="153"/>
        <v>0.55814399999999986</v>
      </c>
      <c r="AG594" s="11">
        <f t="shared" si="149"/>
        <v>2.6060399999999997E-2</v>
      </c>
      <c r="AH594" s="11">
        <f t="shared" si="154"/>
        <v>2.6060399999999997E-2</v>
      </c>
      <c r="AI594" s="11">
        <f t="shared" si="150"/>
        <v>2.6060399999999997E-2</v>
      </c>
      <c r="AJ594" s="11">
        <f t="shared" si="155"/>
        <v>2.6060399999999997E-2</v>
      </c>
    </row>
    <row r="595" spans="1:36" x14ac:dyDescent="0.25">
      <c r="A595" s="4" t="s">
        <v>945</v>
      </c>
      <c r="B595" s="4" t="s">
        <v>991</v>
      </c>
      <c r="C595" s="4" t="s">
        <v>17</v>
      </c>
      <c r="D595" s="4" t="s">
        <v>938</v>
      </c>
      <c r="E595" t="s">
        <v>117</v>
      </c>
      <c r="F595" t="s">
        <v>191</v>
      </c>
      <c r="G595" t="s">
        <v>192</v>
      </c>
      <c r="H595">
        <v>16</v>
      </c>
      <c r="I595">
        <v>1</v>
      </c>
      <c r="J595" t="s">
        <v>40</v>
      </c>
      <c r="K595" t="s">
        <v>14</v>
      </c>
      <c r="L595" t="s">
        <v>104</v>
      </c>
      <c r="M595" t="s">
        <v>78</v>
      </c>
      <c r="N595" t="s">
        <v>79</v>
      </c>
      <c r="P595">
        <v>7.0000000000000007E-2</v>
      </c>
      <c r="Q595" t="s">
        <v>179</v>
      </c>
      <c r="R595" t="s">
        <v>187</v>
      </c>
      <c r="T595">
        <v>2</v>
      </c>
      <c r="U595" t="s">
        <v>175</v>
      </c>
      <c r="W595" s="15">
        <v>3.7999999999999999E-2</v>
      </c>
      <c r="X595" t="s">
        <v>183</v>
      </c>
      <c r="Y595" t="s">
        <v>175</v>
      </c>
      <c r="AA595" s="13">
        <f>Tableau8[[#This Row],[density (kg/m2) or specific weight (kg/m2)]]*Tableau8[[#This Row],[nb of item used ]]*Tableau8[[#This Row],[volume or area]]</f>
        <v>5.3200000000000001E-3</v>
      </c>
      <c r="AB595">
        <v>54.4</v>
      </c>
      <c r="AC595">
        <v>2.54</v>
      </c>
      <c r="AD595" s="11">
        <f t="shared" si="152"/>
        <v>1.8088E-2</v>
      </c>
      <c r="AE595" s="11">
        <f>_xlfn.RANK.AVG(Tableau8[[#This Row],[EE ( MJ/m²)]],AD595:AD1750)</f>
        <v>533</v>
      </c>
      <c r="AF595" s="11">
        <f t="shared" si="153"/>
        <v>1.8088E-2</v>
      </c>
      <c r="AG595" s="11">
        <f t="shared" si="149"/>
        <v>8.4455000000000001E-4</v>
      </c>
      <c r="AH595" s="11">
        <f t="shared" si="154"/>
        <v>8.4455000000000001E-4</v>
      </c>
      <c r="AI595" s="11">
        <f t="shared" si="150"/>
        <v>8.4455000000000001E-4</v>
      </c>
      <c r="AJ595" s="11">
        <f t="shared" si="155"/>
        <v>8.4455000000000001E-4</v>
      </c>
    </row>
    <row r="596" spans="1:36" x14ac:dyDescent="0.25">
      <c r="A596" s="4" t="s">
        <v>945</v>
      </c>
      <c r="B596" s="4" t="s">
        <v>991</v>
      </c>
      <c r="C596" s="4" t="s">
        <v>17</v>
      </c>
      <c r="D596" s="4" t="s">
        <v>938</v>
      </c>
      <c r="E596" t="s">
        <v>117</v>
      </c>
      <c r="F596" t="s">
        <v>191</v>
      </c>
      <c r="G596" t="s">
        <v>192</v>
      </c>
      <c r="H596">
        <v>16</v>
      </c>
      <c r="I596">
        <v>1</v>
      </c>
      <c r="J596" t="s">
        <v>56</v>
      </c>
      <c r="K596" t="s">
        <v>110</v>
      </c>
      <c r="L596" t="s">
        <v>70</v>
      </c>
      <c r="M596" t="s">
        <v>71</v>
      </c>
      <c r="N596" t="s">
        <v>71</v>
      </c>
      <c r="O596" t="s">
        <v>113</v>
      </c>
      <c r="P596">
        <f>22.185</f>
        <v>22.184999999999999</v>
      </c>
      <c r="Q596" t="s">
        <v>179</v>
      </c>
      <c r="R596" t="s">
        <v>187</v>
      </c>
      <c r="T596">
        <v>1</v>
      </c>
      <c r="U596" t="s">
        <v>175</v>
      </c>
      <c r="W596">
        <v>0.35</v>
      </c>
      <c r="X596" t="s">
        <v>183</v>
      </c>
      <c r="Y596" t="s">
        <v>175</v>
      </c>
      <c r="Z596" t="s">
        <v>72</v>
      </c>
      <c r="AA596" s="13">
        <f>Tableau8[[#This Row],[density (kg/m2) or specific weight (kg/m2)]]*Tableau8[[#This Row],[nb of item used ]]*Tableau8[[#This Row],[volume or area]]</f>
        <v>7.7647499999999994</v>
      </c>
      <c r="AB596">
        <f>(0.4*452)+(351*0.6)</f>
        <v>391.4</v>
      </c>
      <c r="AC596">
        <f>(0.6*15.5)+(0.4*22.5)</f>
        <v>18.299999999999997</v>
      </c>
      <c r="AD596" s="11">
        <f t="shared" si="152"/>
        <v>189.94519687499997</v>
      </c>
      <c r="AE596" s="11">
        <f>_xlfn.RANK.AVG(Tableau8[[#This Row],[EE ( MJ/m²)]],AD596:AD1751)</f>
        <v>34</v>
      </c>
      <c r="AF596" s="11">
        <f t="shared" si="153"/>
        <v>189.94519687499997</v>
      </c>
      <c r="AG596" s="11">
        <f t="shared" si="149"/>
        <v>8.8809328124999976</v>
      </c>
      <c r="AH596" s="11">
        <f t="shared" si="154"/>
        <v>8.8809328124999976</v>
      </c>
      <c r="AI596" s="11">
        <f t="shared" si="150"/>
        <v>8.8809328124999976</v>
      </c>
      <c r="AJ596" s="11">
        <f t="shared" si="155"/>
        <v>8.8809328124999976</v>
      </c>
    </row>
    <row r="597" spans="1:36" x14ac:dyDescent="0.25">
      <c r="A597" s="4" t="s">
        <v>945</v>
      </c>
      <c r="B597" s="4" t="s">
        <v>991</v>
      </c>
      <c r="C597" s="4" t="s">
        <v>17</v>
      </c>
      <c r="D597" s="4" t="s">
        <v>938</v>
      </c>
      <c r="E597" t="s">
        <v>117</v>
      </c>
      <c r="F597" t="s">
        <v>191</v>
      </c>
      <c r="G597" t="s">
        <v>192</v>
      </c>
      <c r="H597">
        <v>16</v>
      </c>
      <c r="I597">
        <v>1</v>
      </c>
      <c r="J597" t="s">
        <v>40</v>
      </c>
      <c r="K597" t="s">
        <v>110</v>
      </c>
      <c r="L597" t="s">
        <v>73</v>
      </c>
      <c r="M597" t="s">
        <v>71</v>
      </c>
      <c r="N597" t="s">
        <v>71</v>
      </c>
      <c r="O597" t="s">
        <v>112</v>
      </c>
      <c r="P597">
        <f>27.5</f>
        <v>27.5</v>
      </c>
      <c r="Q597" t="s">
        <v>179</v>
      </c>
      <c r="R597" t="s">
        <v>187</v>
      </c>
      <c r="T597">
        <v>1</v>
      </c>
      <c r="U597" t="s">
        <v>175</v>
      </c>
      <c r="W597">
        <v>0.2</v>
      </c>
      <c r="X597" t="s">
        <v>183</v>
      </c>
      <c r="Y597" t="s">
        <v>175</v>
      </c>
      <c r="Z597" t="s">
        <v>72</v>
      </c>
      <c r="AA597" s="13">
        <f>Tableau8[[#This Row],[density (kg/m2) or specific weight (kg/m2)]]*Tableau8[[#This Row],[nb of item used ]]*Tableau8[[#This Row],[volume or area]]</f>
        <v>5.5</v>
      </c>
      <c r="AB597">
        <f>(0.4*452)+(351*0.6)</f>
        <v>391.4</v>
      </c>
      <c r="AC597">
        <f>(0.6*15.5)+(0.4*22.5)</f>
        <v>18.299999999999997</v>
      </c>
      <c r="AD597" s="11">
        <f t="shared" si="152"/>
        <v>134.54374999999999</v>
      </c>
      <c r="AE597" s="11">
        <f>_xlfn.RANK.AVG(Tableau8[[#This Row],[EE ( MJ/m²)]],AD597:AD1752)</f>
        <v>54</v>
      </c>
      <c r="AF597" s="11">
        <f t="shared" si="153"/>
        <v>134.54374999999999</v>
      </c>
      <c r="AG597" s="11">
        <f t="shared" si="149"/>
        <v>6.2906249999999986</v>
      </c>
      <c r="AH597" s="11">
        <f t="shared" si="154"/>
        <v>6.2906249999999986</v>
      </c>
      <c r="AI597" s="11">
        <f t="shared" si="150"/>
        <v>6.2906249999999986</v>
      </c>
      <c r="AJ597" s="11">
        <f t="shared" si="155"/>
        <v>6.2906249999999986</v>
      </c>
    </row>
    <row r="598" spans="1:36" x14ac:dyDescent="0.25">
      <c r="A598" s="4" t="s">
        <v>945</v>
      </c>
      <c r="B598" s="4" t="s">
        <v>991</v>
      </c>
      <c r="C598" s="4" t="s">
        <v>17</v>
      </c>
      <c r="D598" s="4" t="s">
        <v>938</v>
      </c>
      <c r="E598" t="s">
        <v>117</v>
      </c>
      <c r="F598" t="s">
        <v>191</v>
      </c>
      <c r="G598" t="s">
        <v>192</v>
      </c>
      <c r="H598">
        <v>16</v>
      </c>
      <c r="I598">
        <v>1</v>
      </c>
      <c r="J598" t="s">
        <v>42</v>
      </c>
      <c r="K598" t="s">
        <v>110</v>
      </c>
      <c r="L598" t="s">
        <v>74</v>
      </c>
      <c r="M598" t="s">
        <v>71</v>
      </c>
      <c r="N598" t="s">
        <v>71</v>
      </c>
      <c r="O598" t="s">
        <v>112</v>
      </c>
      <c r="P598">
        <v>51.03</v>
      </c>
      <c r="Q598" t="s">
        <v>179</v>
      </c>
      <c r="R598" t="s">
        <v>187</v>
      </c>
      <c r="T598">
        <v>1</v>
      </c>
      <c r="U598" t="s">
        <v>175</v>
      </c>
      <c r="W598">
        <v>0.13</v>
      </c>
      <c r="X598" t="s">
        <v>183</v>
      </c>
      <c r="Y598" t="s">
        <v>175</v>
      </c>
      <c r="Z598" t="s">
        <v>72</v>
      </c>
      <c r="AA598" s="13">
        <f>Tableau8[[#This Row],[density (kg/m2) or specific weight (kg/m2)]]*Tableau8[[#This Row],[nb of item used ]]*Tableau8[[#This Row],[volume or area]]</f>
        <v>6.6339000000000006</v>
      </c>
      <c r="AB598">
        <f>(0.4*452)+(351*0.6)</f>
        <v>391.4</v>
      </c>
      <c r="AC598">
        <f>(0.6*15.5)+(0.4*22.5)</f>
        <v>18.299999999999997</v>
      </c>
      <c r="AD598" s="11">
        <f t="shared" si="152"/>
        <v>162.28177875</v>
      </c>
      <c r="AE598" s="11">
        <f>_xlfn.RANK.AVG(Tableau8[[#This Row],[EE ( MJ/m²)]],AD598:AD1753)</f>
        <v>43</v>
      </c>
      <c r="AF598" s="11">
        <f t="shared" si="153"/>
        <v>162.28177875</v>
      </c>
      <c r="AG598" s="11">
        <f t="shared" si="149"/>
        <v>7.5875231249999997</v>
      </c>
      <c r="AH598" s="11">
        <f t="shared" si="154"/>
        <v>7.5875231249999997</v>
      </c>
      <c r="AI598" s="11">
        <f t="shared" si="150"/>
        <v>7.5875231249999997</v>
      </c>
      <c r="AJ598" s="11">
        <f t="shared" si="155"/>
        <v>7.5875231249999997</v>
      </c>
    </row>
    <row r="599" spans="1:36" x14ac:dyDescent="0.25">
      <c r="A599" s="4" t="s">
        <v>945</v>
      </c>
      <c r="B599" s="4" t="s">
        <v>991</v>
      </c>
      <c r="C599" s="4" t="s">
        <v>17</v>
      </c>
      <c r="D599" s="4" t="s">
        <v>938</v>
      </c>
      <c r="E599" t="s">
        <v>117</v>
      </c>
      <c r="F599" t="s">
        <v>191</v>
      </c>
      <c r="G599" t="s">
        <v>192</v>
      </c>
      <c r="H599">
        <v>16</v>
      </c>
      <c r="I599">
        <v>1</v>
      </c>
      <c r="J599" t="s">
        <v>40</v>
      </c>
      <c r="K599" t="s">
        <v>14</v>
      </c>
      <c r="L599" t="s">
        <v>75</v>
      </c>
      <c r="M599" t="s">
        <v>77</v>
      </c>
      <c r="N599" t="s">
        <v>35</v>
      </c>
      <c r="P599">
        <v>6.3179999999999996</v>
      </c>
      <c r="Q599" t="s">
        <v>179</v>
      </c>
      <c r="R599" t="s">
        <v>187</v>
      </c>
      <c r="T599">
        <v>1</v>
      </c>
      <c r="U599" t="s">
        <v>175</v>
      </c>
      <c r="W599">
        <v>0.18</v>
      </c>
      <c r="X599" t="s">
        <v>183</v>
      </c>
      <c r="Y599" t="s">
        <v>175</v>
      </c>
      <c r="Z599" t="s">
        <v>72</v>
      </c>
      <c r="AA599" s="13">
        <f>Tableau8[[#This Row],[density (kg/m2) or specific weight (kg/m2)]]*Tableau8[[#This Row],[nb of item used ]]*Tableau8[[#This Row],[volume or area]]</f>
        <v>1.1372399999999998</v>
      </c>
      <c r="AB599">
        <v>54.3</v>
      </c>
      <c r="AC599">
        <v>1.93</v>
      </c>
      <c r="AD599" s="11">
        <f t="shared" si="152"/>
        <v>3.8595082499999993</v>
      </c>
      <c r="AE599" s="11">
        <f>_xlfn.RANK.AVG(Tableau8[[#This Row],[EE ( MJ/m²)]],AD599:AD1754)</f>
        <v>338</v>
      </c>
      <c r="AF599" s="11">
        <f t="shared" si="153"/>
        <v>3.8595082499999993</v>
      </c>
      <c r="AG599" s="11">
        <f t="shared" si="149"/>
        <v>0.13717957499999997</v>
      </c>
      <c r="AH599" s="11">
        <f t="shared" si="154"/>
        <v>0.13717957499999997</v>
      </c>
      <c r="AI599" s="11">
        <f t="shared" si="150"/>
        <v>0.13717957499999997</v>
      </c>
      <c r="AJ599" s="11">
        <f t="shared" si="155"/>
        <v>0.13717957499999997</v>
      </c>
    </row>
    <row r="600" spans="1:36" x14ac:dyDescent="0.25">
      <c r="A600" s="4" t="s">
        <v>945</v>
      </c>
      <c r="B600" s="4" t="s">
        <v>991</v>
      </c>
      <c r="C600" s="4" t="s">
        <v>17</v>
      </c>
      <c r="D600" s="4" t="s">
        <v>938</v>
      </c>
      <c r="E600" t="s">
        <v>117</v>
      </c>
      <c r="F600" t="s">
        <v>191</v>
      </c>
      <c r="G600" t="s">
        <v>192</v>
      </c>
      <c r="H600">
        <v>16</v>
      </c>
      <c r="I600">
        <v>1</v>
      </c>
      <c r="J600" t="s">
        <v>57</v>
      </c>
      <c r="K600" t="s">
        <v>14</v>
      </c>
      <c r="L600" t="s">
        <v>76</v>
      </c>
      <c r="M600" t="s">
        <v>77</v>
      </c>
      <c r="N600" t="s">
        <v>35</v>
      </c>
      <c r="P600">
        <v>20</v>
      </c>
      <c r="Q600" t="s">
        <v>179</v>
      </c>
      <c r="R600" t="s">
        <v>187</v>
      </c>
      <c r="T600">
        <v>1</v>
      </c>
      <c r="U600" t="s">
        <v>175</v>
      </c>
      <c r="W600">
        <v>0.18</v>
      </c>
      <c r="X600" t="s">
        <v>183</v>
      </c>
      <c r="Y600" t="s">
        <v>175</v>
      </c>
      <c r="Z600" t="s">
        <v>72</v>
      </c>
      <c r="AA600" s="13">
        <f>Tableau8[[#This Row],[density (kg/m2) or specific weight (kg/m2)]]*Tableau8[[#This Row],[nb of item used ]]*Tableau8[[#This Row],[volume or area]]</f>
        <v>3.5999999999999996</v>
      </c>
      <c r="AB600">
        <v>54.3</v>
      </c>
      <c r="AC600">
        <v>1.93</v>
      </c>
      <c r="AD600" s="11">
        <f t="shared" si="152"/>
        <v>12.217499999999998</v>
      </c>
      <c r="AE600" s="11">
        <f>_xlfn.RANK.AVG(Tableau8[[#This Row],[EE ( MJ/m²)]],AD600:AD1755)</f>
        <v>241</v>
      </c>
      <c r="AF600" s="11">
        <f t="shared" si="153"/>
        <v>12.217499999999998</v>
      </c>
      <c r="AG600" s="11">
        <f t="shared" si="149"/>
        <v>0.43424999999999997</v>
      </c>
      <c r="AH600" s="11">
        <f t="shared" si="154"/>
        <v>0.43424999999999997</v>
      </c>
      <c r="AI600" s="11">
        <f t="shared" si="150"/>
        <v>0.43424999999999997</v>
      </c>
      <c r="AJ600" s="11">
        <f t="shared" si="155"/>
        <v>0.43424999999999997</v>
      </c>
    </row>
    <row r="601" spans="1:36" x14ac:dyDescent="0.25">
      <c r="A601" s="4" t="s">
        <v>945</v>
      </c>
      <c r="B601" s="4" t="s">
        <v>991</v>
      </c>
      <c r="C601" s="4" t="s">
        <v>17</v>
      </c>
      <c r="D601" s="4" t="s">
        <v>938</v>
      </c>
      <c r="E601" t="s">
        <v>117</v>
      </c>
      <c r="F601" t="s">
        <v>191</v>
      </c>
      <c r="G601" t="s">
        <v>192</v>
      </c>
      <c r="H601">
        <v>16</v>
      </c>
      <c r="I601">
        <v>1</v>
      </c>
      <c r="J601" t="s">
        <v>44</v>
      </c>
      <c r="K601" t="s">
        <v>15</v>
      </c>
      <c r="L601" t="s">
        <v>136</v>
      </c>
      <c r="M601" t="s">
        <v>137</v>
      </c>
      <c r="N601" t="s">
        <v>137</v>
      </c>
      <c r="P601">
        <f>0.1*0.035*0.012</f>
        <v>4.2000000000000004E-5</v>
      </c>
      <c r="Q601" t="s">
        <v>180</v>
      </c>
      <c r="R601" t="s">
        <v>176</v>
      </c>
      <c r="T601">
        <v>11</v>
      </c>
      <c r="U601" t="s">
        <v>175</v>
      </c>
      <c r="W601">
        <v>90</v>
      </c>
      <c r="X601" t="s">
        <v>184</v>
      </c>
      <c r="Y601" t="s">
        <v>185</v>
      </c>
      <c r="AA601" s="13">
        <f>Tableau8[[#This Row],[density (kg/m2) or specific weight (kg/m2)]]*Tableau8[[#This Row],[nb of item used ]]*Tableau8[[#This Row],[volume or area]]</f>
        <v>4.1580000000000006E-2</v>
      </c>
      <c r="AB601">
        <f>10-4.4</f>
        <v>5.6</v>
      </c>
      <c r="AC601">
        <v>0.72</v>
      </c>
      <c r="AD601" s="11">
        <f t="shared" si="152"/>
        <v>1.4553000000000002E-2</v>
      </c>
      <c r="AE601" s="11">
        <f>_xlfn.RANK.AVG(Tableau8[[#This Row],[EE ( MJ/m²)]],AD601:AD1756)</f>
        <v>529</v>
      </c>
      <c r="AF601" s="11">
        <f t="shared" si="153"/>
        <v>1.4553000000000002E-2</v>
      </c>
      <c r="AG601" s="11">
        <f>(AC601-0.41)*AA601/H601</f>
        <v>8.056125000000001E-4</v>
      </c>
      <c r="AH601" s="11">
        <f t="shared" si="154"/>
        <v>1.8711000000000001E-3</v>
      </c>
      <c r="AI601" s="11">
        <f>(AC601-0.41)*AA601/H601/I601</f>
        <v>8.056125000000001E-4</v>
      </c>
      <c r="AJ601" s="11">
        <f t="shared" si="155"/>
        <v>1.8711000000000001E-3</v>
      </c>
    </row>
    <row r="602" spans="1:36" x14ac:dyDescent="0.25">
      <c r="A602" s="4" t="s">
        <v>945</v>
      </c>
      <c r="B602" s="4" t="s">
        <v>991</v>
      </c>
      <c r="C602" s="4" t="s">
        <v>17</v>
      </c>
      <c r="D602" s="4" t="s">
        <v>938</v>
      </c>
      <c r="E602" t="s">
        <v>117</v>
      </c>
      <c r="F602" t="s">
        <v>191</v>
      </c>
      <c r="G602" t="s">
        <v>192</v>
      </c>
      <c r="H602">
        <v>16</v>
      </c>
      <c r="I602">
        <v>1</v>
      </c>
      <c r="J602" t="s">
        <v>40</v>
      </c>
      <c r="K602" t="s">
        <v>17</v>
      </c>
      <c r="L602" t="s">
        <v>118</v>
      </c>
      <c r="M602" t="s">
        <v>90</v>
      </c>
      <c r="N602" t="s">
        <v>91</v>
      </c>
      <c r="P602">
        <f>(((PI()*(0.0125^2))-(PI()*(0.0113^2)))*0.239)</f>
        <v>2.1444008798579365E-5</v>
      </c>
      <c r="Q602" t="s">
        <v>180</v>
      </c>
      <c r="R602" t="s">
        <v>176</v>
      </c>
      <c r="T602">
        <v>2</v>
      </c>
      <c r="U602" t="s">
        <v>175</v>
      </c>
      <c r="W602">
        <v>7800</v>
      </c>
      <c r="X602" t="s">
        <v>184</v>
      </c>
      <c r="Y602" t="s">
        <v>185</v>
      </c>
      <c r="AA602" s="13">
        <f>Tableau8[[#This Row],[density (kg/m2) or specific weight (kg/m2)]]*Tableau8[[#This Row],[nb of item used ]]*Tableau8[[#This Row],[volume or area]]</f>
        <v>0.3345265372578381</v>
      </c>
      <c r="AB602">
        <v>24.9</v>
      </c>
      <c r="AC602">
        <v>1.94</v>
      </c>
      <c r="AD602" s="11">
        <f t="shared" si="152"/>
        <v>0.52060692360751049</v>
      </c>
      <c r="AE602" s="11">
        <f>_xlfn.RANK.AVG(Tableau8[[#This Row],[EE ( MJ/m²)]],AD602:AD1757)</f>
        <v>468</v>
      </c>
      <c r="AF602" s="11">
        <f t="shared" si="153"/>
        <v>0.52060692360751049</v>
      </c>
      <c r="AG602" s="11">
        <f t="shared" ref="AG602:AG640" si="156">(AC602)*AA602/H602</f>
        <v>4.056134264251287E-2</v>
      </c>
      <c r="AH602" s="11">
        <f t="shared" si="154"/>
        <v>4.056134264251287E-2</v>
      </c>
      <c r="AI602" s="11">
        <f t="shared" ref="AI602:AI640" si="157">(AC602)*AA602/H602/I602</f>
        <v>4.056134264251287E-2</v>
      </c>
      <c r="AJ602" s="11">
        <f t="shared" si="155"/>
        <v>4.056134264251287E-2</v>
      </c>
    </row>
    <row r="603" spans="1:36" x14ac:dyDescent="0.25">
      <c r="A603" s="4" t="s">
        <v>945</v>
      </c>
      <c r="B603" s="4" t="s">
        <v>991</v>
      </c>
      <c r="C603" s="4" t="s">
        <v>17</v>
      </c>
      <c r="D603" s="4" t="s">
        <v>938</v>
      </c>
      <c r="E603" t="s">
        <v>117</v>
      </c>
      <c r="F603" t="s">
        <v>191</v>
      </c>
      <c r="G603" t="s">
        <v>192</v>
      </c>
      <c r="H603">
        <v>16</v>
      </c>
      <c r="I603">
        <v>1</v>
      </c>
      <c r="J603" t="s">
        <v>40</v>
      </c>
      <c r="K603" t="s">
        <v>17</v>
      </c>
      <c r="L603" t="s">
        <v>119</v>
      </c>
      <c r="M603" t="s">
        <v>90</v>
      </c>
      <c r="N603" t="s">
        <v>91</v>
      </c>
      <c r="P603">
        <f>(((PI()*(0.0125^2))-(PI()*(0.0113^2)))*0.156)</f>
        <v>1.3996926245097829E-5</v>
      </c>
      <c r="Q603" t="s">
        <v>180</v>
      </c>
      <c r="R603" t="s">
        <v>176</v>
      </c>
      <c r="T603">
        <v>2</v>
      </c>
      <c r="U603" t="s">
        <v>175</v>
      </c>
      <c r="W603">
        <v>7800</v>
      </c>
      <c r="X603" t="s">
        <v>184</v>
      </c>
      <c r="Y603" t="s">
        <v>185</v>
      </c>
      <c r="AA603" s="13">
        <f>Tableau8[[#This Row],[density (kg/m2) or specific weight (kg/m2)]]*Tableau8[[#This Row],[nb of item used ]]*Tableau8[[#This Row],[volume or area]]</f>
        <v>0.21835204942352612</v>
      </c>
      <c r="AB603">
        <v>24.9</v>
      </c>
      <c r="AC603">
        <v>1.94</v>
      </c>
      <c r="AD603" s="11">
        <f t="shared" si="152"/>
        <v>0.33981037691536253</v>
      </c>
      <c r="AE603" s="11">
        <f>_xlfn.RANK.AVG(Tableau8[[#This Row],[EE ( MJ/m²)]],AD603:AD1758)</f>
        <v>482</v>
      </c>
      <c r="AF603" s="11">
        <f t="shared" si="153"/>
        <v>0.33981037691536253</v>
      </c>
      <c r="AG603" s="11">
        <f t="shared" si="156"/>
        <v>2.647518599260254E-2</v>
      </c>
      <c r="AH603" s="11">
        <f t="shared" si="154"/>
        <v>2.647518599260254E-2</v>
      </c>
      <c r="AI603" s="11">
        <f t="shared" si="157"/>
        <v>2.647518599260254E-2</v>
      </c>
      <c r="AJ603" s="11">
        <f t="shared" si="155"/>
        <v>2.647518599260254E-2</v>
      </c>
    </row>
    <row r="604" spans="1:36" x14ac:dyDescent="0.25">
      <c r="A604" s="4" t="s">
        <v>945</v>
      </c>
      <c r="B604" s="4" t="s">
        <v>991</v>
      </c>
      <c r="C604" s="4" t="s">
        <v>17</v>
      </c>
      <c r="D604" s="4" t="s">
        <v>938</v>
      </c>
      <c r="E604" t="s">
        <v>117</v>
      </c>
      <c r="F604" t="s">
        <v>191</v>
      </c>
      <c r="G604" t="s">
        <v>192</v>
      </c>
      <c r="H604">
        <v>16</v>
      </c>
      <c r="I604">
        <v>1</v>
      </c>
      <c r="J604" t="s">
        <v>40</v>
      </c>
      <c r="K604" t="s">
        <v>17</v>
      </c>
      <c r="L604" t="s">
        <v>120</v>
      </c>
      <c r="M604" t="s">
        <v>90</v>
      </c>
      <c r="N604" t="s">
        <v>91</v>
      </c>
      <c r="P604">
        <f>(((PI()*(0.0125^2))-(PI()*(0.0113^2)))*0.139)</f>
        <v>1.2471620179926914E-5</v>
      </c>
      <c r="Q604" t="s">
        <v>180</v>
      </c>
      <c r="R604" t="s">
        <v>176</v>
      </c>
      <c r="T604">
        <v>6</v>
      </c>
      <c r="U604" t="s">
        <v>175</v>
      </c>
      <c r="W604" s="1">
        <v>7800</v>
      </c>
      <c r="X604" t="s">
        <v>184</v>
      </c>
      <c r="Y604" t="s">
        <v>185</v>
      </c>
      <c r="AA604" s="13">
        <f>Tableau8[[#This Row],[density (kg/m2) or specific weight (kg/m2)]]*Tableau8[[#This Row],[nb of item used ]]*Tableau8[[#This Row],[volume or area]]</f>
        <v>0.58367182442057952</v>
      </c>
      <c r="AB604">
        <v>24.9</v>
      </c>
      <c r="AC604">
        <v>1.94</v>
      </c>
      <c r="AD604" s="11">
        <f t="shared" si="152"/>
        <v>0.90833927675452686</v>
      </c>
      <c r="AE604" s="11">
        <f>_xlfn.RANK.AVG(Tableau8[[#This Row],[EE ( MJ/m²)]],AD604:AD1759)</f>
        <v>445</v>
      </c>
      <c r="AF604" s="11">
        <f t="shared" si="153"/>
        <v>0.90833927675452686</v>
      </c>
      <c r="AG604" s="11">
        <f t="shared" si="156"/>
        <v>7.0770208710995264E-2</v>
      </c>
      <c r="AH604" s="11">
        <f t="shared" si="154"/>
        <v>7.0770208710995264E-2</v>
      </c>
      <c r="AI604" s="11">
        <f t="shared" si="157"/>
        <v>7.0770208710995264E-2</v>
      </c>
      <c r="AJ604" s="11">
        <f t="shared" si="155"/>
        <v>7.0770208710995264E-2</v>
      </c>
    </row>
    <row r="605" spans="1:36" x14ac:dyDescent="0.25">
      <c r="A605" s="4" t="s">
        <v>945</v>
      </c>
      <c r="B605" s="4" t="s">
        <v>991</v>
      </c>
      <c r="C605" s="4" t="s">
        <v>17</v>
      </c>
      <c r="D605" s="4" t="s">
        <v>938</v>
      </c>
      <c r="E605" t="s">
        <v>117</v>
      </c>
      <c r="F605" t="s">
        <v>191</v>
      </c>
      <c r="G605" t="s">
        <v>192</v>
      </c>
      <c r="H605">
        <v>16</v>
      </c>
      <c r="I605">
        <v>1</v>
      </c>
      <c r="J605" t="s">
        <v>56</v>
      </c>
      <c r="K605" t="s">
        <v>17</v>
      </c>
      <c r="L605" t="s">
        <v>121</v>
      </c>
      <c r="M605" t="s">
        <v>90</v>
      </c>
      <c r="N605" t="s">
        <v>91</v>
      </c>
      <c r="P605">
        <f>(((PI()*(0.0125^2))-(PI()*(0.0113^2)))*0.179)</f>
        <v>1.6060575627387893E-5</v>
      </c>
      <c r="Q605" t="s">
        <v>180</v>
      </c>
      <c r="R605" t="s">
        <v>176</v>
      </c>
      <c r="T605">
        <v>12</v>
      </c>
      <c r="U605" t="s">
        <v>175</v>
      </c>
      <c r="W605">
        <v>7800</v>
      </c>
      <c r="X605" t="s">
        <v>184</v>
      </c>
      <c r="Y605" t="s">
        <v>185</v>
      </c>
      <c r="AA605" s="13">
        <f>Tableau8[[#This Row],[density (kg/m2) or specific weight (kg/m2)]]*Tableau8[[#This Row],[nb of item used ]]*Tableau8[[#This Row],[volume or area]]</f>
        <v>1.5032698787235068</v>
      </c>
      <c r="AB605">
        <v>24.9</v>
      </c>
      <c r="AC605">
        <v>1.94</v>
      </c>
      <c r="AD605" s="11">
        <f t="shared" si="152"/>
        <v>2.3394637487634573</v>
      </c>
      <c r="AE605" s="11">
        <f>_xlfn.RANK.AVG(Tableau8[[#This Row],[EE ( MJ/m²)]],AD605:AD1760)</f>
        <v>373</v>
      </c>
      <c r="AF605" s="11">
        <f t="shared" si="153"/>
        <v>2.3394637487634573</v>
      </c>
      <c r="AG605" s="11">
        <f t="shared" si="156"/>
        <v>0.18227147279522521</v>
      </c>
      <c r="AH605" s="11">
        <f t="shared" si="154"/>
        <v>0.18227147279522521</v>
      </c>
      <c r="AI605" s="11">
        <f t="shared" si="157"/>
        <v>0.18227147279522521</v>
      </c>
      <c r="AJ605" s="11">
        <f t="shared" si="155"/>
        <v>0.18227147279522521</v>
      </c>
    </row>
    <row r="606" spans="1:36" x14ac:dyDescent="0.25">
      <c r="A606" s="4" t="s">
        <v>945</v>
      </c>
      <c r="B606" s="4" t="s">
        <v>991</v>
      </c>
      <c r="C606" s="4" t="s">
        <v>17</v>
      </c>
      <c r="D606" s="4" t="s">
        <v>938</v>
      </c>
      <c r="E606" t="s">
        <v>117</v>
      </c>
      <c r="F606" t="s">
        <v>191</v>
      </c>
      <c r="G606" t="s">
        <v>192</v>
      </c>
      <c r="H606">
        <v>16</v>
      </c>
      <c r="I606">
        <v>1</v>
      </c>
      <c r="J606" t="s">
        <v>40</v>
      </c>
      <c r="K606" t="s">
        <v>17</v>
      </c>
      <c r="L606" t="s">
        <v>122</v>
      </c>
      <c r="M606" t="s">
        <v>90</v>
      </c>
      <c r="N606" t="s">
        <v>91</v>
      </c>
      <c r="P606">
        <f>(((PI()*(0.0125^2))-(PI()*(0.0113^2)))*0.16)</f>
        <v>1.4355821789843929E-5</v>
      </c>
      <c r="Q606" t="s">
        <v>180</v>
      </c>
      <c r="R606" t="s">
        <v>176</v>
      </c>
      <c r="T606">
        <v>1</v>
      </c>
      <c r="U606" t="s">
        <v>175</v>
      </c>
      <c r="W606">
        <v>7800</v>
      </c>
      <c r="X606" t="s">
        <v>184</v>
      </c>
      <c r="Y606" t="s">
        <v>185</v>
      </c>
      <c r="AA606" s="13">
        <f>Tableau8[[#This Row],[density (kg/m2) or specific weight (kg/m2)]]*Tableau8[[#This Row],[nb of item used ]]*Tableau8[[#This Row],[volume or area]]</f>
        <v>0.11197540996078265</v>
      </c>
      <c r="AB606">
        <v>24.9</v>
      </c>
      <c r="AC606">
        <v>1.94</v>
      </c>
      <c r="AD606" s="11">
        <f t="shared" si="152"/>
        <v>0.17426173175146797</v>
      </c>
      <c r="AE606" s="11">
        <f>_xlfn.RANK.AVG(Tableau8[[#This Row],[EE ( MJ/m²)]],AD606:AD1761)</f>
        <v>492</v>
      </c>
      <c r="AF606" s="11">
        <f t="shared" si="153"/>
        <v>0.17426173175146797</v>
      </c>
      <c r="AG606" s="11">
        <f t="shared" si="156"/>
        <v>1.3577018457744896E-2</v>
      </c>
      <c r="AH606" s="11">
        <f t="shared" si="154"/>
        <v>1.3577018457744896E-2</v>
      </c>
      <c r="AI606" s="11">
        <f t="shared" si="157"/>
        <v>1.3577018457744896E-2</v>
      </c>
      <c r="AJ606" s="11">
        <f t="shared" si="155"/>
        <v>1.3577018457744896E-2</v>
      </c>
    </row>
    <row r="607" spans="1:36" x14ac:dyDescent="0.25">
      <c r="A607" s="4" t="s">
        <v>945</v>
      </c>
      <c r="B607" s="4" t="s">
        <v>991</v>
      </c>
      <c r="C607" s="4" t="s">
        <v>17</v>
      </c>
      <c r="D607" s="4" t="s">
        <v>938</v>
      </c>
      <c r="E607" t="s">
        <v>117</v>
      </c>
      <c r="F607" t="s">
        <v>191</v>
      </c>
      <c r="G607" t="s">
        <v>192</v>
      </c>
      <c r="H607">
        <v>16</v>
      </c>
      <c r="I607">
        <v>1</v>
      </c>
      <c r="J607" t="s">
        <v>40</v>
      </c>
      <c r="K607" t="s">
        <v>17</v>
      </c>
      <c r="L607" t="s">
        <v>123</v>
      </c>
      <c r="M607" t="s">
        <v>90</v>
      </c>
      <c r="N607" t="s">
        <v>91</v>
      </c>
      <c r="P607">
        <f>(((PI()*(0.0125^2))-(PI()*(0.0113^2)))*0.155)</f>
        <v>1.3907202358911304E-5</v>
      </c>
      <c r="Q607" t="s">
        <v>180</v>
      </c>
      <c r="R607" t="s">
        <v>176</v>
      </c>
      <c r="T607">
        <v>4</v>
      </c>
      <c r="U607" t="s">
        <v>175</v>
      </c>
      <c r="W607">
        <v>7800</v>
      </c>
      <c r="X607" t="s">
        <v>184</v>
      </c>
      <c r="Y607" t="s">
        <v>185</v>
      </c>
      <c r="AA607" s="13">
        <f>Tableau8[[#This Row],[density (kg/m2) or specific weight (kg/m2)]]*Tableau8[[#This Row],[nb of item used ]]*Tableau8[[#This Row],[volume or area]]</f>
        <v>0.43390471359803268</v>
      </c>
      <c r="AB607">
        <v>24.9</v>
      </c>
      <c r="AC607">
        <v>1.94</v>
      </c>
      <c r="AD607" s="11">
        <f t="shared" si="152"/>
        <v>0.6752642105369383</v>
      </c>
      <c r="AE607" s="11">
        <f>_xlfn.RANK.AVG(Tableau8[[#This Row],[EE ( MJ/m²)]],AD607:AD1762)</f>
        <v>457</v>
      </c>
      <c r="AF607" s="11">
        <f t="shared" si="153"/>
        <v>0.6752642105369383</v>
      </c>
      <c r="AG607" s="11">
        <f t="shared" si="156"/>
        <v>5.2610946523761463E-2</v>
      </c>
      <c r="AH607" s="11">
        <f t="shared" si="154"/>
        <v>5.2610946523761463E-2</v>
      </c>
      <c r="AI607" s="11">
        <f t="shared" si="157"/>
        <v>5.2610946523761463E-2</v>
      </c>
      <c r="AJ607" s="11">
        <f t="shared" si="155"/>
        <v>5.2610946523761463E-2</v>
      </c>
    </row>
    <row r="608" spans="1:36" x14ac:dyDescent="0.25">
      <c r="A608" s="4" t="s">
        <v>945</v>
      </c>
      <c r="B608" s="4" t="s">
        <v>991</v>
      </c>
      <c r="C608" s="4" t="s">
        <v>17</v>
      </c>
      <c r="D608" s="4" t="s">
        <v>938</v>
      </c>
      <c r="E608" t="s">
        <v>117</v>
      </c>
      <c r="F608" t="s">
        <v>191</v>
      </c>
      <c r="G608" t="s">
        <v>192</v>
      </c>
      <c r="H608">
        <v>16</v>
      </c>
      <c r="I608">
        <v>1</v>
      </c>
      <c r="J608" t="s">
        <v>44</v>
      </c>
      <c r="K608" t="s">
        <v>17</v>
      </c>
      <c r="L608" t="s">
        <v>124</v>
      </c>
      <c r="M608" t="s">
        <v>90</v>
      </c>
      <c r="N608" t="s">
        <v>91</v>
      </c>
      <c r="P608">
        <f>(((PI()*(0.0125^2))-(PI()*(0.0113^2)))*0.155)</f>
        <v>1.3907202358911304E-5</v>
      </c>
      <c r="Q608" t="s">
        <v>180</v>
      </c>
      <c r="R608" t="s">
        <v>176</v>
      </c>
      <c r="T608">
        <v>1</v>
      </c>
      <c r="U608" t="s">
        <v>175</v>
      </c>
      <c r="W608">
        <v>7800</v>
      </c>
      <c r="X608" t="s">
        <v>184</v>
      </c>
      <c r="Y608" t="s">
        <v>185</v>
      </c>
      <c r="AA608" s="13">
        <f>Tableau8[[#This Row],[density (kg/m2) or specific weight (kg/m2)]]*Tableau8[[#This Row],[nb of item used ]]*Tableau8[[#This Row],[volume or area]]</f>
        <v>0.10847617839950817</v>
      </c>
      <c r="AB608">
        <v>24.9</v>
      </c>
      <c r="AC608">
        <v>1.94</v>
      </c>
      <c r="AD608" s="11">
        <f t="shared" si="152"/>
        <v>0.16881605263423458</v>
      </c>
      <c r="AE608" s="11">
        <f>_xlfn.RANK.AVG(Tableau8[[#This Row],[EE ( MJ/m²)]],AD608:AD1763)</f>
        <v>492</v>
      </c>
      <c r="AF608" s="11">
        <f t="shared" si="153"/>
        <v>0.16881605263423458</v>
      </c>
      <c r="AG608" s="11">
        <f t="shared" si="156"/>
        <v>1.3152736630940366E-2</v>
      </c>
      <c r="AH608" s="11">
        <f t="shared" si="154"/>
        <v>1.3152736630940366E-2</v>
      </c>
      <c r="AI608" s="11">
        <f t="shared" si="157"/>
        <v>1.3152736630940366E-2</v>
      </c>
      <c r="AJ608" s="11">
        <f t="shared" si="155"/>
        <v>1.3152736630940366E-2</v>
      </c>
    </row>
    <row r="609" spans="1:36" x14ac:dyDescent="0.25">
      <c r="A609" s="4" t="s">
        <v>945</v>
      </c>
      <c r="B609" s="4" t="s">
        <v>991</v>
      </c>
      <c r="C609" s="4" t="s">
        <v>17</v>
      </c>
      <c r="D609" s="4" t="s">
        <v>938</v>
      </c>
      <c r="E609" t="s">
        <v>117</v>
      </c>
      <c r="F609" t="s">
        <v>191</v>
      </c>
      <c r="G609" t="s">
        <v>192</v>
      </c>
      <c r="H609">
        <v>16</v>
      </c>
      <c r="I609">
        <v>1</v>
      </c>
      <c r="J609" t="s">
        <v>44</v>
      </c>
      <c r="K609" t="s">
        <v>17</v>
      </c>
      <c r="L609" t="s">
        <v>195</v>
      </c>
      <c r="M609" t="s">
        <v>90</v>
      </c>
      <c r="N609" t="s">
        <v>91</v>
      </c>
      <c r="P609">
        <f>(((PI()*(0.0125^2))-(PI()*(0.0113^2)))*0.15)</f>
        <v>1.3458582927978681E-5</v>
      </c>
      <c r="Q609" t="s">
        <v>180</v>
      </c>
      <c r="R609" t="s">
        <v>176</v>
      </c>
      <c r="T609">
        <v>2</v>
      </c>
      <c r="U609" t="s">
        <v>175</v>
      </c>
      <c r="W609">
        <v>7800</v>
      </c>
      <c r="X609" t="s">
        <v>184</v>
      </c>
      <c r="Y609" t="s">
        <v>185</v>
      </c>
      <c r="AA609" s="13">
        <f>Tableau8[[#This Row],[density (kg/m2) or specific weight (kg/m2)]]*Tableau8[[#This Row],[nb of item used ]]*Tableau8[[#This Row],[volume or area]]</f>
        <v>0.20995389367646741</v>
      </c>
      <c r="AB609">
        <v>24.9</v>
      </c>
      <c r="AC609">
        <v>1.94</v>
      </c>
      <c r="AD609" s="11">
        <f t="shared" si="152"/>
        <v>0.32674074703400241</v>
      </c>
      <c r="AE609" s="11">
        <f>_xlfn.RANK.AVG(Tableau8[[#This Row],[EE ( MJ/m²)]],AD609:AD1764)</f>
        <v>479</v>
      </c>
      <c r="AF609" s="11">
        <f t="shared" si="153"/>
        <v>0.32674074703400241</v>
      </c>
      <c r="AG609" s="11">
        <f t="shared" si="156"/>
        <v>2.5456909608271672E-2</v>
      </c>
      <c r="AH609" s="11">
        <f t="shared" si="154"/>
        <v>2.5456909608271672E-2</v>
      </c>
      <c r="AI609" s="11">
        <f t="shared" si="157"/>
        <v>2.5456909608271672E-2</v>
      </c>
      <c r="AJ609" s="11">
        <f t="shared" si="155"/>
        <v>2.5456909608271672E-2</v>
      </c>
    </row>
    <row r="610" spans="1:36" x14ac:dyDescent="0.25">
      <c r="A610" s="4" t="s">
        <v>945</v>
      </c>
      <c r="B610" s="4" t="s">
        <v>991</v>
      </c>
      <c r="C610" s="4" t="s">
        <v>17</v>
      </c>
      <c r="D610" s="4" t="s">
        <v>938</v>
      </c>
      <c r="E610" t="s">
        <v>117</v>
      </c>
      <c r="F610" t="s">
        <v>191</v>
      </c>
      <c r="G610" t="s">
        <v>192</v>
      </c>
      <c r="H610">
        <v>16</v>
      </c>
      <c r="I610">
        <v>1</v>
      </c>
      <c r="J610" t="s">
        <v>44</v>
      </c>
      <c r="K610" t="s">
        <v>17</v>
      </c>
      <c r="L610" t="s">
        <v>125</v>
      </c>
      <c r="M610" t="s">
        <v>90</v>
      </c>
      <c r="N610" t="s">
        <v>91</v>
      </c>
      <c r="P610">
        <f>(((PI()*(0.0125^2))-(PI()*(0.0113^2)))*0.145)</f>
        <v>1.3009963497046058E-5</v>
      </c>
      <c r="Q610" t="s">
        <v>180</v>
      </c>
      <c r="R610" t="s">
        <v>176</v>
      </c>
      <c r="T610">
        <v>2</v>
      </c>
      <c r="U610" t="s">
        <v>175</v>
      </c>
      <c r="W610">
        <v>7800</v>
      </c>
      <c r="X610" t="s">
        <v>184</v>
      </c>
      <c r="Y610" t="s">
        <v>185</v>
      </c>
      <c r="AA610" s="13">
        <f>Tableau8[[#This Row],[density (kg/m2) or specific weight (kg/m2)]]*Tableau8[[#This Row],[nb of item used ]]*Tableau8[[#This Row],[volume or area]]</f>
        <v>0.20295543055391851</v>
      </c>
      <c r="AB610">
        <v>24.9</v>
      </c>
      <c r="AC610">
        <v>1.94</v>
      </c>
      <c r="AD610" s="11">
        <f t="shared" si="152"/>
        <v>0.31584938879953567</v>
      </c>
      <c r="AE610" s="11">
        <f>_xlfn.RANK.AVG(Tableau8[[#This Row],[EE ( MJ/m²)]],AD610:AD1765)</f>
        <v>481</v>
      </c>
      <c r="AF610" s="11">
        <f t="shared" si="153"/>
        <v>0.31584938879953567</v>
      </c>
      <c r="AG610" s="11">
        <f t="shared" si="156"/>
        <v>2.460834595466262E-2</v>
      </c>
      <c r="AH610" s="11">
        <f t="shared" si="154"/>
        <v>2.460834595466262E-2</v>
      </c>
      <c r="AI610" s="11">
        <f t="shared" si="157"/>
        <v>2.460834595466262E-2</v>
      </c>
      <c r="AJ610" s="11">
        <f t="shared" si="155"/>
        <v>2.460834595466262E-2</v>
      </c>
    </row>
    <row r="611" spans="1:36" x14ac:dyDescent="0.25">
      <c r="A611" s="4" t="s">
        <v>945</v>
      </c>
      <c r="B611" s="4" t="s">
        <v>991</v>
      </c>
      <c r="C611" s="4" t="s">
        <v>17</v>
      </c>
      <c r="D611" s="4" t="s">
        <v>938</v>
      </c>
      <c r="E611" t="s">
        <v>117</v>
      </c>
      <c r="F611" t="s">
        <v>191</v>
      </c>
      <c r="G611" t="s">
        <v>192</v>
      </c>
      <c r="H611">
        <v>16</v>
      </c>
      <c r="I611">
        <v>1</v>
      </c>
      <c r="J611" t="s">
        <v>44</v>
      </c>
      <c r="K611" t="s">
        <v>17</v>
      </c>
      <c r="L611" t="s">
        <v>126</v>
      </c>
      <c r="M611" t="s">
        <v>90</v>
      </c>
      <c r="N611" t="s">
        <v>91</v>
      </c>
      <c r="P611">
        <f>(((PI()*(0.0125^2))-(PI()*(0.0113^2)))*0.14)</f>
        <v>1.2561344066113437E-5</v>
      </c>
      <c r="Q611" t="s">
        <v>180</v>
      </c>
      <c r="R611" t="s">
        <v>176</v>
      </c>
      <c r="T611">
        <v>3</v>
      </c>
      <c r="U611" t="s">
        <v>175</v>
      </c>
      <c r="W611">
        <v>7800</v>
      </c>
      <c r="X611" t="s">
        <v>184</v>
      </c>
      <c r="Y611" t="s">
        <v>185</v>
      </c>
      <c r="AA611" s="13">
        <f>Tableau8[[#This Row],[density (kg/m2) or specific weight (kg/m2)]]*Tableau8[[#This Row],[nb of item used ]]*Tableau8[[#This Row],[volume or area]]</f>
        <v>0.29393545114705444</v>
      </c>
      <c r="AB611">
        <v>24.9</v>
      </c>
      <c r="AC611">
        <v>1.94</v>
      </c>
      <c r="AD611" s="11">
        <f t="shared" si="152"/>
        <v>0.45743704584760342</v>
      </c>
      <c r="AE611" s="11">
        <f>_xlfn.RANK.AVG(Tableau8[[#This Row],[EE ( MJ/m²)]],AD611:AD1766)</f>
        <v>467</v>
      </c>
      <c r="AF611" s="11">
        <f t="shared" si="153"/>
        <v>0.45743704584760342</v>
      </c>
      <c r="AG611" s="11">
        <f t="shared" si="156"/>
        <v>3.5639673451580346E-2</v>
      </c>
      <c r="AH611" s="11">
        <f t="shared" si="154"/>
        <v>3.5639673451580346E-2</v>
      </c>
      <c r="AI611" s="11">
        <f t="shared" si="157"/>
        <v>3.5639673451580346E-2</v>
      </c>
      <c r="AJ611" s="11">
        <f t="shared" si="155"/>
        <v>3.5639673451580346E-2</v>
      </c>
    </row>
    <row r="612" spans="1:36" x14ac:dyDescent="0.25">
      <c r="A612" s="4" t="s">
        <v>945</v>
      </c>
      <c r="B612" s="4" t="s">
        <v>991</v>
      </c>
      <c r="C612" s="4" t="s">
        <v>17</v>
      </c>
      <c r="D612" s="4" t="s">
        <v>938</v>
      </c>
      <c r="E612" t="s">
        <v>117</v>
      </c>
      <c r="F612" t="s">
        <v>191</v>
      </c>
      <c r="G612" t="s">
        <v>192</v>
      </c>
      <c r="H612">
        <v>16</v>
      </c>
      <c r="I612">
        <v>1</v>
      </c>
      <c r="J612" t="s">
        <v>44</v>
      </c>
      <c r="K612" t="s">
        <v>17</v>
      </c>
      <c r="L612" t="s">
        <v>127</v>
      </c>
      <c r="M612" t="s">
        <v>90</v>
      </c>
      <c r="N612" t="s">
        <v>12</v>
      </c>
      <c r="P612">
        <f>(0.05*0.003*0.35)+((PI()*(0.003^2))*0.06)</f>
        <v>5.4196460032938488E-5</v>
      </c>
      <c r="Q612" t="s">
        <v>180</v>
      </c>
      <c r="R612" t="s">
        <v>176</v>
      </c>
      <c r="T612">
        <v>2</v>
      </c>
      <c r="U612" t="s">
        <v>175</v>
      </c>
      <c r="W612">
        <v>7800</v>
      </c>
      <c r="X612" t="s">
        <v>184</v>
      </c>
      <c r="Y612" t="s">
        <v>185</v>
      </c>
      <c r="AA612" s="13">
        <f>Tableau8[[#This Row],[density (kg/m2) or specific weight (kg/m2)]]*Tableau8[[#This Row],[nb of item used ]]*Tableau8[[#This Row],[volume or area]]</f>
        <v>0.84546477651384044</v>
      </c>
      <c r="AB612">
        <v>25.3</v>
      </c>
      <c r="AC612">
        <v>1.95</v>
      </c>
      <c r="AD612" s="11">
        <f t="shared" si="152"/>
        <v>1.3368911778625103</v>
      </c>
      <c r="AE612" s="11">
        <f>_xlfn.RANK.AVG(Tableau8[[#This Row],[EE ( MJ/m²)]],AD612:AD1767)</f>
        <v>418</v>
      </c>
      <c r="AF612" s="11">
        <f t="shared" si="153"/>
        <v>1.3368911778625103</v>
      </c>
      <c r="AG612" s="11">
        <f t="shared" si="156"/>
        <v>0.1030410196376243</v>
      </c>
      <c r="AH612" s="11">
        <f t="shared" si="154"/>
        <v>0.1030410196376243</v>
      </c>
      <c r="AI612" s="11">
        <f t="shared" si="157"/>
        <v>0.1030410196376243</v>
      </c>
      <c r="AJ612" s="11">
        <f t="shared" si="155"/>
        <v>0.1030410196376243</v>
      </c>
    </row>
    <row r="613" spans="1:36" x14ac:dyDescent="0.25">
      <c r="A613" s="4" t="s">
        <v>945</v>
      </c>
      <c r="B613" s="4" t="s">
        <v>991</v>
      </c>
      <c r="C613" s="4" t="s">
        <v>17</v>
      </c>
      <c r="D613" s="4" t="s">
        <v>938</v>
      </c>
      <c r="E613" t="s">
        <v>117</v>
      </c>
      <c r="F613" t="s">
        <v>191</v>
      </c>
      <c r="G613" t="s">
        <v>192</v>
      </c>
      <c r="H613">
        <v>16</v>
      </c>
      <c r="I613">
        <v>1</v>
      </c>
      <c r="J613" t="s">
        <v>44</v>
      </c>
      <c r="K613" t="s">
        <v>17</v>
      </c>
      <c r="L613" t="s">
        <v>128</v>
      </c>
      <c r="M613" t="s">
        <v>90</v>
      </c>
      <c r="N613" t="s">
        <v>12</v>
      </c>
      <c r="P613">
        <f>(0.05*0.003*0.35)+((PI()*(0.003^2))*0.06)</f>
        <v>5.4196460032938488E-5</v>
      </c>
      <c r="Q613" t="s">
        <v>180</v>
      </c>
      <c r="R613" t="s">
        <v>176</v>
      </c>
      <c r="T613">
        <v>5</v>
      </c>
      <c r="U613" t="s">
        <v>175</v>
      </c>
      <c r="W613">
        <v>7800</v>
      </c>
      <c r="X613" t="s">
        <v>184</v>
      </c>
      <c r="Y613" t="s">
        <v>185</v>
      </c>
      <c r="AA613" s="13">
        <f>Tableau8[[#This Row],[density (kg/m2) or specific weight (kg/m2)]]*Tableau8[[#This Row],[nb of item used ]]*Tableau8[[#This Row],[volume or area]]</f>
        <v>2.1136619412846009</v>
      </c>
      <c r="AB613">
        <v>25.3</v>
      </c>
      <c r="AC613">
        <v>1.95</v>
      </c>
      <c r="AD613" s="11">
        <f t="shared" si="152"/>
        <v>3.3422279446562753</v>
      </c>
      <c r="AE613" s="11">
        <f>_xlfn.RANK.AVG(Tableau8[[#This Row],[EE ( MJ/m²)]],AD613:AD1768)</f>
        <v>349</v>
      </c>
      <c r="AF613" s="11">
        <f t="shared" si="153"/>
        <v>3.3422279446562753</v>
      </c>
      <c r="AG613" s="11">
        <f t="shared" si="156"/>
        <v>0.25760254909406072</v>
      </c>
      <c r="AH613" s="11">
        <f t="shared" si="154"/>
        <v>0.25760254909406072</v>
      </c>
      <c r="AI613" s="11">
        <f t="shared" si="157"/>
        <v>0.25760254909406072</v>
      </c>
      <c r="AJ613" s="11">
        <f t="shared" si="155"/>
        <v>0.25760254909406072</v>
      </c>
    </row>
    <row r="614" spans="1:36" x14ac:dyDescent="0.25">
      <c r="A614" s="4" t="s">
        <v>945</v>
      </c>
      <c r="B614" s="4" t="s">
        <v>991</v>
      </c>
      <c r="C614" s="4" t="s">
        <v>17</v>
      </c>
      <c r="D614" s="4" t="s">
        <v>938</v>
      </c>
      <c r="E614" t="s">
        <v>117</v>
      </c>
      <c r="F614" t="s">
        <v>191</v>
      </c>
      <c r="G614" t="s">
        <v>192</v>
      </c>
      <c r="H614">
        <v>16</v>
      </c>
      <c r="I614">
        <v>1</v>
      </c>
      <c r="J614" t="s">
        <v>44</v>
      </c>
      <c r="K614" t="s">
        <v>17</v>
      </c>
      <c r="L614" t="s">
        <v>129</v>
      </c>
      <c r="M614" t="s">
        <v>90</v>
      </c>
      <c r="N614" t="s">
        <v>12</v>
      </c>
      <c r="P614">
        <f>((PI()*(0.005^2))*0.3)</f>
        <v>2.3561944901923446E-5</v>
      </c>
      <c r="Q614" t="s">
        <v>180</v>
      </c>
      <c r="R614" t="s">
        <v>176</v>
      </c>
      <c r="T614">
        <v>6</v>
      </c>
      <c r="U614" t="s">
        <v>175</v>
      </c>
      <c r="W614">
        <v>7800</v>
      </c>
      <c r="X614" t="s">
        <v>184</v>
      </c>
      <c r="Y614" t="s">
        <v>185</v>
      </c>
      <c r="AA614" s="13">
        <f>Tableau8[[#This Row],[density (kg/m2) or specific weight (kg/m2)]]*Tableau8[[#This Row],[nb of item used ]]*Tableau8[[#This Row],[volume or area]]</f>
        <v>1.1026990214100172</v>
      </c>
      <c r="AB614">
        <v>25.3</v>
      </c>
      <c r="AC614">
        <v>1.95</v>
      </c>
      <c r="AD614" s="11">
        <f t="shared" si="152"/>
        <v>1.7436428276045897</v>
      </c>
      <c r="AE614" s="11">
        <f>_xlfn.RANK.AVG(Tableau8[[#This Row],[EE ( MJ/m²)]],AD614:AD1769)</f>
        <v>402</v>
      </c>
      <c r="AF614" s="11">
        <f t="shared" si="153"/>
        <v>1.7436428276045897</v>
      </c>
      <c r="AG614" s="11">
        <f t="shared" si="156"/>
        <v>0.13439144323434585</v>
      </c>
      <c r="AH614" s="11">
        <f t="shared" si="154"/>
        <v>0.13439144323434585</v>
      </c>
      <c r="AI614" s="11">
        <f t="shared" si="157"/>
        <v>0.13439144323434585</v>
      </c>
      <c r="AJ614" s="11">
        <f t="shared" si="155"/>
        <v>0.13439144323434585</v>
      </c>
    </row>
    <row r="615" spans="1:36" x14ac:dyDescent="0.25">
      <c r="A615" s="4" t="s">
        <v>945</v>
      </c>
      <c r="B615" s="4" t="s">
        <v>991</v>
      </c>
      <c r="C615" s="4" t="s">
        <v>17</v>
      </c>
      <c r="D615" s="4" t="s">
        <v>938</v>
      </c>
      <c r="E615" t="s">
        <v>117</v>
      </c>
      <c r="F615" t="s">
        <v>191</v>
      </c>
      <c r="G615" t="s">
        <v>192</v>
      </c>
      <c r="H615">
        <v>16</v>
      </c>
      <c r="I615">
        <v>1</v>
      </c>
      <c r="J615" t="s">
        <v>44</v>
      </c>
      <c r="K615" t="s">
        <v>17</v>
      </c>
      <c r="L615" t="s">
        <v>129</v>
      </c>
      <c r="M615" t="s">
        <v>90</v>
      </c>
      <c r="N615" t="s">
        <v>12</v>
      </c>
      <c r="P615">
        <f>((PI()*(0.003^2))*0.27)</f>
        <v>7.6340701482231983E-6</v>
      </c>
      <c r="Q615" t="s">
        <v>180</v>
      </c>
      <c r="R615" t="s">
        <v>176</v>
      </c>
      <c r="T615">
        <v>16</v>
      </c>
      <c r="U615" t="s">
        <v>175</v>
      </c>
      <c r="W615">
        <v>7800</v>
      </c>
      <c r="X615" t="s">
        <v>184</v>
      </c>
      <c r="Y615" t="s">
        <v>185</v>
      </c>
      <c r="AA615" s="13">
        <f>Tableau8[[#This Row],[density (kg/m2) or specific weight (kg/m2)]]*Tableau8[[#This Row],[nb of item used ]]*Tableau8[[#This Row],[volume or area]]</f>
        <v>0.9527319544982551</v>
      </c>
      <c r="AB615">
        <v>25.3</v>
      </c>
      <c r="AC615">
        <v>1.95</v>
      </c>
      <c r="AD615" s="11">
        <f t="shared" si="152"/>
        <v>1.506507403050366</v>
      </c>
      <c r="AE615" s="11">
        <f>_xlfn.RANK.AVG(Tableau8[[#This Row],[EE ( MJ/m²)]],AD615:AD1770)</f>
        <v>409</v>
      </c>
      <c r="AF615" s="11">
        <f t="shared" si="153"/>
        <v>1.506507403050366</v>
      </c>
      <c r="AG615" s="11">
        <f t="shared" si="156"/>
        <v>0.11611420695447484</v>
      </c>
      <c r="AH615" s="11">
        <f t="shared" si="154"/>
        <v>0.11611420695447484</v>
      </c>
      <c r="AI615" s="11">
        <f t="shared" si="157"/>
        <v>0.11611420695447484</v>
      </c>
      <c r="AJ615" s="11">
        <f t="shared" si="155"/>
        <v>0.11611420695447484</v>
      </c>
    </row>
    <row r="616" spans="1:36" x14ac:dyDescent="0.25">
      <c r="A616" s="4" t="s">
        <v>945</v>
      </c>
      <c r="B616" s="4" t="s">
        <v>991</v>
      </c>
      <c r="C616" s="4" t="s">
        <v>17</v>
      </c>
      <c r="D616" s="4" t="s">
        <v>938</v>
      </c>
      <c r="E616" t="s">
        <v>117</v>
      </c>
      <c r="F616" t="s">
        <v>191</v>
      </c>
      <c r="G616" t="s">
        <v>192</v>
      </c>
      <c r="H616">
        <v>16</v>
      </c>
      <c r="I616">
        <v>1</v>
      </c>
      <c r="J616" t="s">
        <v>44</v>
      </c>
      <c r="K616" t="s">
        <v>17</v>
      </c>
      <c r="L616" t="s">
        <v>131</v>
      </c>
      <c r="M616" t="s">
        <v>90</v>
      </c>
      <c r="N616" t="s">
        <v>12</v>
      </c>
      <c r="T616">
        <v>1</v>
      </c>
      <c r="U616" t="s">
        <v>175</v>
      </c>
      <c r="W616">
        <v>7800</v>
      </c>
      <c r="X616" t="s">
        <v>184</v>
      </c>
      <c r="Y616" t="s">
        <v>185</v>
      </c>
      <c r="AA616" s="13">
        <v>1</v>
      </c>
      <c r="AB616">
        <v>25.3</v>
      </c>
      <c r="AC616">
        <v>1.95</v>
      </c>
      <c r="AD616" s="11">
        <f t="shared" ref="AD616:AD640" si="158">AB616*AA616/H616</f>
        <v>1.58125</v>
      </c>
      <c r="AE616" s="11">
        <f>_xlfn.RANK.AVG(Tableau8[[#This Row],[EE ( MJ/m²)]],AD616:AD1771)</f>
        <v>403</v>
      </c>
      <c r="AF616" s="11">
        <f t="shared" ref="AF616:AF640" si="159">AB616*AA616/H616/I616</f>
        <v>1.58125</v>
      </c>
      <c r="AG616" s="11">
        <f t="shared" si="156"/>
        <v>0.121875</v>
      </c>
      <c r="AH616" s="11">
        <f t="shared" ref="AH616:AH640" si="160">AC616*AA616/H616</f>
        <v>0.121875</v>
      </c>
      <c r="AI616" s="11">
        <f t="shared" si="157"/>
        <v>0.121875</v>
      </c>
      <c r="AJ616" s="11">
        <f t="shared" ref="AJ616:AJ640" si="161">AC616*AA616/H616/I616</f>
        <v>0.121875</v>
      </c>
    </row>
    <row r="617" spans="1:36" x14ac:dyDescent="0.25">
      <c r="A617" s="4" t="s">
        <v>945</v>
      </c>
      <c r="B617" s="4" t="s">
        <v>991</v>
      </c>
      <c r="C617" s="4" t="s">
        <v>17</v>
      </c>
      <c r="D617" s="4" t="s">
        <v>938</v>
      </c>
      <c r="E617" t="s">
        <v>117</v>
      </c>
      <c r="F617" t="s">
        <v>191</v>
      </c>
      <c r="G617" t="s">
        <v>192</v>
      </c>
      <c r="H617">
        <v>16</v>
      </c>
      <c r="I617">
        <v>1</v>
      </c>
      <c r="J617" t="s">
        <v>44</v>
      </c>
      <c r="K617" t="s">
        <v>17</v>
      </c>
      <c r="L617" t="s">
        <v>139</v>
      </c>
      <c r="M617" t="s">
        <v>90</v>
      </c>
      <c r="N617" t="s">
        <v>12</v>
      </c>
      <c r="P617">
        <f>(1.96*(10^(-6)))</f>
        <v>1.9599999999999999E-6</v>
      </c>
      <c r="Q617" t="s">
        <v>180</v>
      </c>
      <c r="R617" t="s">
        <v>176</v>
      </c>
      <c r="T617">
        <v>2</v>
      </c>
      <c r="U617" t="s">
        <v>175</v>
      </c>
      <c r="W617">
        <v>7800</v>
      </c>
      <c r="X617" t="s">
        <v>184</v>
      </c>
      <c r="Y617" t="s">
        <v>185</v>
      </c>
      <c r="AA617" s="13">
        <f>Tableau8[[#This Row],[density (kg/m2) or specific weight (kg/m2)]]*Tableau8[[#This Row],[nb of item used ]]*Tableau8[[#This Row],[volume or area]]</f>
        <v>3.0575999999999999E-2</v>
      </c>
      <c r="AB617">
        <v>25.3</v>
      </c>
      <c r="AC617">
        <v>1.95</v>
      </c>
      <c r="AD617" s="11">
        <f t="shared" si="158"/>
        <v>4.8348299999999997E-2</v>
      </c>
      <c r="AE617" s="11">
        <f>_xlfn.RANK.AVG(Tableau8[[#This Row],[EE ( MJ/m²)]],AD617:AD1772)</f>
        <v>501</v>
      </c>
      <c r="AF617" s="11">
        <f t="shared" si="159"/>
        <v>4.8348299999999997E-2</v>
      </c>
      <c r="AG617" s="11">
        <f t="shared" si="156"/>
        <v>3.7264499999999996E-3</v>
      </c>
      <c r="AH617" s="11">
        <f t="shared" si="160"/>
        <v>3.7264499999999996E-3</v>
      </c>
      <c r="AI617" s="11">
        <f t="shared" si="157"/>
        <v>3.7264499999999996E-3</v>
      </c>
      <c r="AJ617" s="11">
        <f t="shared" si="161"/>
        <v>3.7264499999999996E-3</v>
      </c>
    </row>
    <row r="618" spans="1:36" x14ac:dyDescent="0.25">
      <c r="A618" s="4" t="s">
        <v>945</v>
      </c>
      <c r="B618" s="4" t="s">
        <v>991</v>
      </c>
      <c r="C618" s="4" t="s">
        <v>17</v>
      </c>
      <c r="D618" s="4" t="s">
        <v>938</v>
      </c>
      <c r="E618" t="s">
        <v>117</v>
      </c>
      <c r="F618" t="s">
        <v>191</v>
      </c>
      <c r="G618" t="s">
        <v>192</v>
      </c>
      <c r="H618">
        <v>16</v>
      </c>
      <c r="I618">
        <v>1</v>
      </c>
      <c r="J618" t="s">
        <v>44</v>
      </c>
      <c r="K618" t="s">
        <v>17</v>
      </c>
      <c r="L618" t="s">
        <v>140</v>
      </c>
      <c r="N618" t="s">
        <v>17</v>
      </c>
      <c r="W618">
        <v>7700</v>
      </c>
      <c r="X618" t="s">
        <v>184</v>
      </c>
      <c r="AA618" s="13">
        <v>9</v>
      </c>
      <c r="AB618">
        <v>25.3</v>
      </c>
      <c r="AC618">
        <v>1.86</v>
      </c>
      <c r="AD618" s="11">
        <f t="shared" si="158"/>
        <v>14.231250000000001</v>
      </c>
      <c r="AE618" s="11">
        <f>_xlfn.RANK.AVG(Tableau8[[#This Row],[EE ( MJ/m²)]],AD618:AD1773)</f>
        <v>226</v>
      </c>
      <c r="AF618" s="11">
        <f t="shared" si="159"/>
        <v>14.231250000000001</v>
      </c>
      <c r="AG618" s="11">
        <f t="shared" si="156"/>
        <v>1.0462500000000001</v>
      </c>
      <c r="AH618" s="11">
        <f t="shared" si="160"/>
        <v>1.0462500000000001</v>
      </c>
      <c r="AI618" s="11">
        <f t="shared" si="157"/>
        <v>1.0462500000000001</v>
      </c>
      <c r="AJ618" s="11">
        <f t="shared" si="161"/>
        <v>1.0462500000000001</v>
      </c>
    </row>
    <row r="619" spans="1:36" x14ac:dyDescent="0.25">
      <c r="A619" s="4" t="s">
        <v>945</v>
      </c>
      <c r="B619" s="4" t="s">
        <v>991</v>
      </c>
      <c r="C619" s="4" t="s">
        <v>17</v>
      </c>
      <c r="D619" s="4" t="s">
        <v>938</v>
      </c>
      <c r="E619" t="s">
        <v>117</v>
      </c>
      <c r="F619" t="s">
        <v>191</v>
      </c>
      <c r="G619" t="s">
        <v>192</v>
      </c>
      <c r="H619">
        <v>16</v>
      </c>
      <c r="I619">
        <v>1</v>
      </c>
      <c r="J619" t="s">
        <v>44</v>
      </c>
      <c r="K619" t="s">
        <v>14</v>
      </c>
      <c r="L619" t="s">
        <v>141</v>
      </c>
      <c r="N619" t="s">
        <v>595</v>
      </c>
      <c r="AA619" s="13">
        <v>7</v>
      </c>
      <c r="AB619">
        <v>55</v>
      </c>
      <c r="AC619">
        <f>9.52</f>
        <v>9.52</v>
      </c>
      <c r="AD619" s="11">
        <f t="shared" si="158"/>
        <v>24.0625</v>
      </c>
      <c r="AE619" s="11">
        <f>_xlfn.RANK.AVG(Tableau8[[#This Row],[EE ( MJ/m²)]],AD619:AD1774)</f>
        <v>169</v>
      </c>
      <c r="AF619" s="11">
        <f t="shared" si="159"/>
        <v>24.0625</v>
      </c>
      <c r="AG619" s="11">
        <f t="shared" si="156"/>
        <v>4.165</v>
      </c>
      <c r="AH619" s="11">
        <f t="shared" si="160"/>
        <v>4.165</v>
      </c>
      <c r="AI619" s="11">
        <f t="shared" si="157"/>
        <v>4.165</v>
      </c>
      <c r="AJ619" s="11">
        <f t="shared" si="161"/>
        <v>4.165</v>
      </c>
    </row>
    <row r="620" spans="1:36" x14ac:dyDescent="0.25">
      <c r="A620" s="4" t="s">
        <v>945</v>
      </c>
      <c r="B620" s="4" t="s">
        <v>992</v>
      </c>
      <c r="C620" s="4" t="s">
        <v>17</v>
      </c>
      <c r="D620" s="4" t="s">
        <v>938</v>
      </c>
      <c r="E620" t="s">
        <v>203</v>
      </c>
      <c r="F620" t="s">
        <v>191</v>
      </c>
      <c r="G620" t="s">
        <v>192</v>
      </c>
      <c r="H620">
        <v>17.5</v>
      </c>
      <c r="I620">
        <v>3</v>
      </c>
      <c r="J620" t="s">
        <v>109</v>
      </c>
      <c r="K620" t="s">
        <v>17</v>
      </c>
      <c r="L620" t="s">
        <v>164</v>
      </c>
      <c r="M620" t="s">
        <v>12</v>
      </c>
      <c r="N620" t="s">
        <v>12</v>
      </c>
      <c r="R620" t="s">
        <v>187</v>
      </c>
      <c r="W620">
        <v>7800</v>
      </c>
      <c r="X620" t="s">
        <v>184</v>
      </c>
      <c r="Y620" t="s">
        <v>185</v>
      </c>
      <c r="AA620" s="13">
        <v>3</v>
      </c>
      <c r="AB620">
        <v>25.3</v>
      </c>
      <c r="AC620">
        <v>1.95</v>
      </c>
      <c r="AD620" s="11">
        <f t="shared" si="158"/>
        <v>4.3371428571428572</v>
      </c>
      <c r="AE620" s="11">
        <f>_xlfn.RANK.AVG(Tableau8[[#This Row],[EE ( MJ/m²)]],AD620:AD1775)</f>
        <v>327</v>
      </c>
      <c r="AF620" s="11">
        <f t="shared" si="159"/>
        <v>1.4457142857142857</v>
      </c>
      <c r="AG620" s="11">
        <f t="shared" si="156"/>
        <v>0.33428571428571424</v>
      </c>
      <c r="AH620" s="11">
        <f t="shared" si="160"/>
        <v>0.33428571428571424</v>
      </c>
      <c r="AI620" s="11">
        <f t="shared" si="157"/>
        <v>0.11142857142857142</v>
      </c>
      <c r="AJ620" s="11">
        <f t="shared" si="161"/>
        <v>0.11142857142857142</v>
      </c>
    </row>
    <row r="621" spans="1:36" x14ac:dyDescent="0.25">
      <c r="A621" s="4" t="s">
        <v>945</v>
      </c>
      <c r="B621" s="4" t="s">
        <v>992</v>
      </c>
      <c r="C621" s="4" t="s">
        <v>17</v>
      </c>
      <c r="D621" s="4" t="s">
        <v>938</v>
      </c>
      <c r="E621" t="s">
        <v>203</v>
      </c>
      <c r="F621" t="s">
        <v>191</v>
      </c>
      <c r="G621" t="s">
        <v>192</v>
      </c>
      <c r="H621">
        <v>17.5</v>
      </c>
      <c r="I621">
        <v>3</v>
      </c>
      <c r="J621" t="s">
        <v>40</v>
      </c>
      <c r="K621" t="s">
        <v>14</v>
      </c>
      <c r="L621" t="s">
        <v>161</v>
      </c>
      <c r="M621" t="s">
        <v>134</v>
      </c>
      <c r="N621" t="s">
        <v>79</v>
      </c>
      <c r="P621">
        <f>0.448*0.381</f>
        <v>0.17068800000000001</v>
      </c>
      <c r="Q621" t="s">
        <v>179</v>
      </c>
      <c r="R621" t="s">
        <v>187</v>
      </c>
      <c r="T621">
        <v>4</v>
      </c>
      <c r="W621" s="15">
        <v>3.7999999999999999E-2</v>
      </c>
      <c r="X621" t="s">
        <v>184</v>
      </c>
      <c r="Y621" t="s">
        <v>175</v>
      </c>
      <c r="AA621" s="13">
        <f>Tableau8[[#This Row],[nb of item used ]]*Tableau8[[#This Row],[density (kg/m2) or specific weight (kg/m2)]]*Tableau8[[#This Row],[volume or area]]</f>
        <v>2.5944576E-2</v>
      </c>
      <c r="AB621">
        <v>54.4</v>
      </c>
      <c r="AC621">
        <v>2.54</v>
      </c>
      <c r="AD621" s="11">
        <f t="shared" si="158"/>
        <v>8.0650567680000007E-2</v>
      </c>
      <c r="AE621" s="11">
        <f>_xlfn.RANK.AVG(Tableau8[[#This Row],[EE ( MJ/m²)]],AD621:AD1776)</f>
        <v>491</v>
      </c>
      <c r="AF621" s="11">
        <f t="shared" si="159"/>
        <v>2.6883522560000001E-2</v>
      </c>
      <c r="AG621" s="11">
        <f t="shared" si="156"/>
        <v>3.7656698879999996E-3</v>
      </c>
      <c r="AH621" s="11">
        <f t="shared" si="160"/>
        <v>3.7656698879999996E-3</v>
      </c>
      <c r="AI621" s="11">
        <f t="shared" si="157"/>
        <v>1.2552232959999999E-3</v>
      </c>
      <c r="AJ621" s="11">
        <f t="shared" si="161"/>
        <v>1.2552232959999999E-3</v>
      </c>
    </row>
    <row r="622" spans="1:36" x14ac:dyDescent="0.25">
      <c r="A622" s="4" t="s">
        <v>945</v>
      </c>
      <c r="B622" s="4" t="s">
        <v>992</v>
      </c>
      <c r="C622" s="4" t="s">
        <v>17</v>
      </c>
      <c r="D622" s="4" t="s">
        <v>938</v>
      </c>
      <c r="E622" t="s">
        <v>203</v>
      </c>
      <c r="F622" t="s">
        <v>191</v>
      </c>
      <c r="G622" t="s">
        <v>192</v>
      </c>
      <c r="H622">
        <v>17.5</v>
      </c>
      <c r="I622">
        <v>3</v>
      </c>
      <c r="J622" t="s">
        <v>40</v>
      </c>
      <c r="K622" t="s">
        <v>14</v>
      </c>
      <c r="L622" t="s">
        <v>162</v>
      </c>
      <c r="M622" t="s">
        <v>134</v>
      </c>
      <c r="N622" t="s">
        <v>79</v>
      </c>
      <c r="P622">
        <f>1.7*0.743</f>
        <v>1.2630999999999999</v>
      </c>
      <c r="Q622" t="s">
        <v>179</v>
      </c>
      <c r="R622" t="s">
        <v>187</v>
      </c>
      <c r="T622">
        <v>1</v>
      </c>
      <c r="W622" s="15">
        <v>3.7999999999999999E-2</v>
      </c>
      <c r="X622" t="s">
        <v>204</v>
      </c>
      <c r="Y622" t="s">
        <v>175</v>
      </c>
      <c r="AA622" s="13">
        <f>Tableau8[[#This Row],[nb of item used ]]*Tableau8[[#This Row],[density (kg/m2) or specific weight (kg/m2)]]*Tableau8[[#This Row],[volume or area]]</f>
        <v>4.7997799999999993E-2</v>
      </c>
      <c r="AB622">
        <v>54.4</v>
      </c>
      <c r="AC622">
        <v>2.54</v>
      </c>
      <c r="AD622" s="11">
        <f t="shared" si="158"/>
        <v>0.14920458971428568</v>
      </c>
      <c r="AE622" s="11">
        <f>_xlfn.RANK.AVG(Tableau8[[#This Row],[EE ( MJ/m²)]],AD622:AD1777)</f>
        <v>482</v>
      </c>
      <c r="AF622" s="11">
        <f t="shared" si="159"/>
        <v>4.9734863238095228E-2</v>
      </c>
      <c r="AG622" s="11">
        <f t="shared" si="156"/>
        <v>6.9665378285714277E-3</v>
      </c>
      <c r="AH622" s="11">
        <f t="shared" si="160"/>
        <v>6.9665378285714277E-3</v>
      </c>
      <c r="AI622" s="11">
        <f t="shared" si="157"/>
        <v>2.322179276190476E-3</v>
      </c>
      <c r="AJ622" s="11">
        <f t="shared" si="161"/>
        <v>2.322179276190476E-3</v>
      </c>
    </row>
    <row r="623" spans="1:36" x14ac:dyDescent="0.25">
      <c r="A623" s="4" t="s">
        <v>945</v>
      </c>
      <c r="B623" s="4" t="s">
        <v>992</v>
      </c>
      <c r="C623" s="4" t="s">
        <v>17</v>
      </c>
      <c r="D623" s="4" t="s">
        <v>938</v>
      </c>
      <c r="E623" t="s">
        <v>203</v>
      </c>
      <c r="F623" t="s">
        <v>191</v>
      </c>
      <c r="G623" t="s">
        <v>192</v>
      </c>
      <c r="H623">
        <v>17.5</v>
      </c>
      <c r="I623">
        <v>3</v>
      </c>
      <c r="J623" t="s">
        <v>40</v>
      </c>
      <c r="K623" t="s">
        <v>14</v>
      </c>
      <c r="L623" t="s">
        <v>163</v>
      </c>
      <c r="M623" t="s">
        <v>134</v>
      </c>
      <c r="N623" t="s">
        <v>79</v>
      </c>
      <c r="P623">
        <f>0.41*0.446</f>
        <v>0.18285999999999999</v>
      </c>
      <c r="Q623" t="s">
        <v>179</v>
      </c>
      <c r="R623" t="s">
        <v>187</v>
      </c>
      <c r="T623">
        <v>3</v>
      </c>
      <c r="W623" s="15">
        <v>3.7999999999999999E-2</v>
      </c>
      <c r="X623" t="s">
        <v>205</v>
      </c>
      <c r="Y623" t="s">
        <v>175</v>
      </c>
      <c r="AA623" s="13">
        <f>Tableau8[[#This Row],[nb of item used ]]*Tableau8[[#This Row],[density (kg/m2) or specific weight (kg/m2)]]*Tableau8[[#This Row],[volume or area]]</f>
        <v>2.0846039999999996E-2</v>
      </c>
      <c r="AB623">
        <v>54.4</v>
      </c>
      <c r="AC623">
        <v>2.54</v>
      </c>
      <c r="AD623" s="11">
        <f t="shared" si="158"/>
        <v>6.4801404342857138E-2</v>
      </c>
      <c r="AE623" s="11">
        <f>_xlfn.RANK.AVG(Tableau8[[#This Row],[EE ( MJ/m²)]],AD623:AD1778)</f>
        <v>492</v>
      </c>
      <c r="AF623" s="11">
        <f t="shared" si="159"/>
        <v>2.1600468114285714E-2</v>
      </c>
      <c r="AG623" s="11">
        <f t="shared" si="156"/>
        <v>3.0256538057142853E-3</v>
      </c>
      <c r="AH623" s="11">
        <f t="shared" si="160"/>
        <v>3.0256538057142853E-3</v>
      </c>
      <c r="AI623" s="11">
        <f t="shared" si="157"/>
        <v>1.0085512685714284E-3</v>
      </c>
      <c r="AJ623" s="11">
        <f t="shared" si="161"/>
        <v>1.0085512685714284E-3</v>
      </c>
    </row>
    <row r="624" spans="1:36" x14ac:dyDescent="0.25">
      <c r="A624" s="4" t="s">
        <v>945</v>
      </c>
      <c r="B624" s="4" t="s">
        <v>992</v>
      </c>
      <c r="C624" s="4" t="s">
        <v>17</v>
      </c>
      <c r="D624" s="4" t="s">
        <v>938</v>
      </c>
      <c r="E624" t="s">
        <v>203</v>
      </c>
      <c r="F624" t="s">
        <v>191</v>
      </c>
      <c r="G624" t="s">
        <v>192</v>
      </c>
      <c r="H624">
        <v>17.5</v>
      </c>
      <c r="I624">
        <v>3</v>
      </c>
      <c r="J624" t="s">
        <v>44</v>
      </c>
      <c r="K624" t="s">
        <v>14</v>
      </c>
      <c r="L624" t="s">
        <v>144</v>
      </c>
      <c r="M624" t="s">
        <v>145</v>
      </c>
      <c r="N624" t="s">
        <v>159</v>
      </c>
      <c r="O624" t="s">
        <v>146</v>
      </c>
      <c r="P624">
        <f>(2*(10^-6))</f>
        <v>1.9999999999999999E-6</v>
      </c>
      <c r="Q624" t="s">
        <v>180</v>
      </c>
      <c r="R624" t="s">
        <v>187</v>
      </c>
      <c r="T624">
        <v>356</v>
      </c>
      <c r="W624">
        <v>1380</v>
      </c>
      <c r="X624" t="s">
        <v>184</v>
      </c>
      <c r="Y624" t="s">
        <v>185</v>
      </c>
      <c r="AA624" s="13">
        <f>Tableau8[[#This Row],[density (kg/m2) or specific weight (kg/m2)]]*Tableau8[[#This Row],[nb of item used ]]*Tableau8[[#This Row],[volume or area]]</f>
        <v>0.98255999999999999</v>
      </c>
      <c r="AB624">
        <v>38.6</v>
      </c>
      <c r="AC624">
        <v>9.14</v>
      </c>
      <c r="AD624" s="11">
        <f t="shared" si="158"/>
        <v>2.1672466285714287</v>
      </c>
      <c r="AE624" s="11">
        <f>_xlfn.RANK.AVG(Tableau8[[#This Row],[EE ( MJ/m²)]],AD624:AD1779)</f>
        <v>381</v>
      </c>
      <c r="AF624" s="11">
        <f t="shared" si="159"/>
        <v>0.72241554285714293</v>
      </c>
      <c r="AG624" s="11">
        <f t="shared" si="156"/>
        <v>0.5131770514285714</v>
      </c>
      <c r="AH624" s="11">
        <f t="shared" si="160"/>
        <v>0.5131770514285714</v>
      </c>
      <c r="AI624" s="11">
        <f t="shared" si="157"/>
        <v>0.17105901714285712</v>
      </c>
      <c r="AJ624" s="11">
        <f t="shared" si="161"/>
        <v>0.17105901714285712</v>
      </c>
    </row>
    <row r="625" spans="1:36" x14ac:dyDescent="0.25">
      <c r="A625" s="4" t="s">
        <v>945</v>
      </c>
      <c r="B625" s="4" t="s">
        <v>992</v>
      </c>
      <c r="C625" s="4" t="s">
        <v>17</v>
      </c>
      <c r="D625" s="4" t="s">
        <v>938</v>
      </c>
      <c r="E625" t="s">
        <v>203</v>
      </c>
      <c r="F625" t="s">
        <v>191</v>
      </c>
      <c r="G625" t="s">
        <v>192</v>
      </c>
      <c r="H625">
        <v>17.5</v>
      </c>
      <c r="I625">
        <v>3</v>
      </c>
      <c r="J625" t="s">
        <v>40</v>
      </c>
      <c r="K625" t="s">
        <v>14</v>
      </c>
      <c r="L625" t="s">
        <v>33</v>
      </c>
      <c r="M625" t="s">
        <v>14</v>
      </c>
      <c r="N625" t="s">
        <v>160</v>
      </c>
      <c r="P625">
        <f>1.908*1.066*0.005</f>
        <v>1.0169640000000001E-2</v>
      </c>
      <c r="Q625" t="s">
        <v>180</v>
      </c>
      <c r="R625" t="s">
        <v>187</v>
      </c>
      <c r="T625">
        <v>1</v>
      </c>
      <c r="W625">
        <v>1380</v>
      </c>
      <c r="X625" t="s">
        <v>184</v>
      </c>
      <c r="Y625" t="s">
        <v>185</v>
      </c>
      <c r="AA625" s="13">
        <f>Tableau8[[#This Row],[nb of item used ]]*Tableau8[[#This Row],[density (kg/m2) or specific weight (kg/m2)]]*Tableau8[[#This Row],[volume or area]]</f>
        <v>14.034103200000001</v>
      </c>
      <c r="AB625">
        <v>28.1</v>
      </c>
      <c r="AC625">
        <v>3.23</v>
      </c>
      <c r="AD625" s="11">
        <f t="shared" si="158"/>
        <v>22.534759995428573</v>
      </c>
      <c r="AE625" s="11">
        <f>_xlfn.RANK.AVG(Tableau8[[#This Row],[EE ( MJ/m²)]],AD625:AD1780)</f>
        <v>179</v>
      </c>
      <c r="AF625" s="11">
        <f t="shared" si="159"/>
        <v>7.5115866651428576</v>
      </c>
      <c r="AG625" s="11">
        <f t="shared" si="156"/>
        <v>2.5902944763428573</v>
      </c>
      <c r="AH625" s="11">
        <f t="shared" si="160"/>
        <v>2.5902944763428573</v>
      </c>
      <c r="AI625" s="11">
        <f t="shared" si="157"/>
        <v>0.86343149211428571</v>
      </c>
      <c r="AJ625" s="11">
        <f t="shared" si="161"/>
        <v>0.86343149211428571</v>
      </c>
    </row>
    <row r="626" spans="1:36" x14ac:dyDescent="0.25">
      <c r="A626" s="4" t="s">
        <v>945</v>
      </c>
      <c r="B626" s="4" t="s">
        <v>992</v>
      </c>
      <c r="C626" s="4" t="s">
        <v>17</v>
      </c>
      <c r="D626" s="4" t="s">
        <v>938</v>
      </c>
      <c r="E626" t="s">
        <v>203</v>
      </c>
      <c r="F626" t="s">
        <v>191</v>
      </c>
      <c r="G626" t="s">
        <v>192</v>
      </c>
      <c r="H626">
        <v>17.5</v>
      </c>
      <c r="I626">
        <v>3</v>
      </c>
      <c r="J626" t="s">
        <v>40</v>
      </c>
      <c r="K626" t="s">
        <v>14</v>
      </c>
      <c r="L626" t="s">
        <v>34</v>
      </c>
      <c r="M626" t="s">
        <v>14</v>
      </c>
      <c r="N626" t="s">
        <v>160</v>
      </c>
      <c r="P626">
        <f>0.448*0.381*0.005</f>
        <v>8.5344000000000001E-4</v>
      </c>
      <c r="Q626" t="s">
        <v>180</v>
      </c>
      <c r="R626" t="s">
        <v>187</v>
      </c>
      <c r="T626">
        <v>4</v>
      </c>
      <c r="W626">
        <v>1380</v>
      </c>
      <c r="X626" t="s">
        <v>184</v>
      </c>
      <c r="Y626" t="s">
        <v>185</v>
      </c>
      <c r="AA626" s="13">
        <f>Tableau8[[#This Row],[nb of item used ]]*Tableau8[[#This Row],[density (kg/m2) or specific weight (kg/m2)]]*Tableau8[[#This Row],[volume or area]]</f>
        <v>4.7109888</v>
      </c>
      <c r="AB626">
        <v>28.1</v>
      </c>
      <c r="AC626">
        <v>3.23</v>
      </c>
      <c r="AD626" s="11">
        <f t="shared" si="158"/>
        <v>7.5645020160000014</v>
      </c>
      <c r="AE626" s="11">
        <f>_xlfn.RANK.AVG(Tableau8[[#This Row],[EE ( MJ/m²)]],AD626:AD1781)</f>
        <v>276</v>
      </c>
      <c r="AF626" s="11">
        <f t="shared" si="159"/>
        <v>2.5215006720000006</v>
      </c>
      <c r="AG626" s="11">
        <f t="shared" si="156"/>
        <v>0.8695139328</v>
      </c>
      <c r="AH626" s="11">
        <f t="shared" si="160"/>
        <v>0.8695139328</v>
      </c>
      <c r="AI626" s="11">
        <f t="shared" si="157"/>
        <v>0.28983797760000002</v>
      </c>
      <c r="AJ626" s="11">
        <f t="shared" si="161"/>
        <v>0.28983797760000002</v>
      </c>
    </row>
    <row r="627" spans="1:36" x14ac:dyDescent="0.25">
      <c r="A627" s="4" t="s">
        <v>945</v>
      </c>
      <c r="B627" s="4" t="s">
        <v>992</v>
      </c>
      <c r="C627" s="4" t="s">
        <v>17</v>
      </c>
      <c r="D627" s="4" t="s">
        <v>938</v>
      </c>
      <c r="E627" t="s">
        <v>203</v>
      </c>
      <c r="F627" t="s">
        <v>191</v>
      </c>
      <c r="G627" t="s">
        <v>192</v>
      </c>
      <c r="H627">
        <v>17.5</v>
      </c>
      <c r="I627">
        <v>3</v>
      </c>
      <c r="J627" t="s">
        <v>40</v>
      </c>
      <c r="K627" t="s">
        <v>14</v>
      </c>
      <c r="L627" t="s">
        <v>143</v>
      </c>
      <c r="M627" t="s">
        <v>14</v>
      </c>
      <c r="N627" t="s">
        <v>160</v>
      </c>
      <c r="P627">
        <f>0.41*0.446*0.005</f>
        <v>9.1429999999999994E-4</v>
      </c>
      <c r="Q627" t="s">
        <v>180</v>
      </c>
      <c r="R627" t="s">
        <v>187</v>
      </c>
      <c r="T627">
        <v>3</v>
      </c>
      <c r="W627">
        <v>1380</v>
      </c>
      <c r="X627" t="s">
        <v>184</v>
      </c>
      <c r="Y627" t="s">
        <v>185</v>
      </c>
      <c r="AA627" s="13">
        <f>Tableau8[[#This Row],[nb of item used ]]*Tableau8[[#This Row],[density (kg/m2) or specific weight (kg/m2)]]*Tableau8[[#This Row],[volume or area]]</f>
        <v>3.785202</v>
      </c>
      <c r="AB627">
        <v>28.1</v>
      </c>
      <c r="AC627">
        <v>3.23</v>
      </c>
      <c r="AD627" s="11">
        <f t="shared" si="158"/>
        <v>6.0779529257142855</v>
      </c>
      <c r="AE627" s="11">
        <f>_xlfn.RANK.AVG(Tableau8[[#This Row],[EE ( MJ/m²)]],AD627:AD1782)</f>
        <v>299</v>
      </c>
      <c r="AF627" s="11">
        <f t="shared" si="159"/>
        <v>2.0259843085714286</v>
      </c>
      <c r="AG627" s="11">
        <f t="shared" si="156"/>
        <v>0.69864014057142854</v>
      </c>
      <c r="AH627" s="11">
        <f t="shared" si="160"/>
        <v>0.69864014057142854</v>
      </c>
      <c r="AI627" s="11">
        <f t="shared" si="157"/>
        <v>0.23288004685714284</v>
      </c>
      <c r="AJ627" s="11">
        <f t="shared" si="161"/>
        <v>0.23288004685714284</v>
      </c>
    </row>
    <row r="628" spans="1:36" x14ac:dyDescent="0.25">
      <c r="A628" s="4" t="s">
        <v>945</v>
      </c>
      <c r="B628" s="4" t="s">
        <v>992</v>
      </c>
      <c r="C628" s="4" t="s">
        <v>17</v>
      </c>
      <c r="D628" s="4" t="s">
        <v>938</v>
      </c>
      <c r="E628" t="s">
        <v>203</v>
      </c>
      <c r="F628" t="s">
        <v>191</v>
      </c>
      <c r="G628" t="s">
        <v>192</v>
      </c>
      <c r="H628">
        <v>17.5</v>
      </c>
      <c r="I628">
        <v>3</v>
      </c>
      <c r="J628" t="s">
        <v>57</v>
      </c>
      <c r="K628" t="s">
        <v>14</v>
      </c>
      <c r="L628" t="s">
        <v>157</v>
      </c>
      <c r="M628" t="s">
        <v>158</v>
      </c>
      <c r="N628" t="s">
        <v>35</v>
      </c>
      <c r="P628">
        <f>5.8*3.5</f>
        <v>20.3</v>
      </c>
      <c r="Q628" t="s">
        <v>179</v>
      </c>
      <c r="R628" t="s">
        <v>187</v>
      </c>
      <c r="T628">
        <v>1</v>
      </c>
      <c r="W628" s="1">
        <v>0.18</v>
      </c>
      <c r="X628" t="s">
        <v>183</v>
      </c>
      <c r="Y628" t="s">
        <v>175</v>
      </c>
      <c r="AA628" s="13">
        <f>Tableau8[[#This Row],[nb of item used ]]*Tableau8[[#This Row],[density (kg/m2) or specific weight (kg/m2)]]*Tableau8[[#This Row],[volume or area]]</f>
        <v>3.6539999999999999</v>
      </c>
      <c r="AB628">
        <v>54.3</v>
      </c>
      <c r="AC628">
        <v>1.93</v>
      </c>
      <c r="AD628" s="11">
        <f t="shared" si="158"/>
        <v>11.33784</v>
      </c>
      <c r="AE628" s="11">
        <f>_xlfn.RANK.AVG(Tableau8[[#This Row],[EE ( MJ/m²)]],AD628:AD1783)</f>
        <v>242</v>
      </c>
      <c r="AF628" s="11">
        <f t="shared" si="159"/>
        <v>3.77928</v>
      </c>
      <c r="AG628" s="11">
        <f t="shared" si="156"/>
        <v>0.40298399999999995</v>
      </c>
      <c r="AH628" s="11">
        <f t="shared" si="160"/>
        <v>0.40298399999999995</v>
      </c>
      <c r="AI628" s="11">
        <f t="shared" si="157"/>
        <v>0.13432799999999998</v>
      </c>
      <c r="AJ628" s="11">
        <f t="shared" si="161"/>
        <v>0.13432799999999998</v>
      </c>
    </row>
    <row r="629" spans="1:36" x14ac:dyDescent="0.25">
      <c r="A629" s="4" t="s">
        <v>945</v>
      </c>
      <c r="B629" s="4" t="s">
        <v>992</v>
      </c>
      <c r="C629" s="4" t="s">
        <v>17</v>
      </c>
      <c r="D629" s="4" t="s">
        <v>938</v>
      </c>
      <c r="E629" t="s">
        <v>203</v>
      </c>
      <c r="F629" t="s">
        <v>191</v>
      </c>
      <c r="G629" t="s">
        <v>192</v>
      </c>
      <c r="H629">
        <v>17.5</v>
      </c>
      <c r="I629">
        <v>3</v>
      </c>
      <c r="J629" t="s">
        <v>40</v>
      </c>
      <c r="K629" t="s">
        <v>17</v>
      </c>
      <c r="L629" t="s">
        <v>149</v>
      </c>
      <c r="M629" t="s">
        <v>148</v>
      </c>
      <c r="N629" t="s">
        <v>91</v>
      </c>
      <c r="P629">
        <f>(((PI()*(0.0125^2))-(PI()*(0.0113^2)))*1.83)</f>
        <v>1.6419471172133992E-4</v>
      </c>
      <c r="Q629" t="s">
        <v>180</v>
      </c>
      <c r="R629" t="s">
        <v>187</v>
      </c>
      <c r="T629">
        <v>8</v>
      </c>
      <c r="W629" s="5">
        <v>7800</v>
      </c>
      <c r="X629" t="s">
        <v>184</v>
      </c>
      <c r="Y629" t="s">
        <v>185</v>
      </c>
      <c r="AA629" s="13">
        <f>Tableau8[[#This Row],[nb of item used ]]*Tableau8[[#This Row],[density (kg/m2) or specific weight (kg/m2)]]*Tableau8[[#This Row],[volume or area]]</f>
        <v>10.24575001141161</v>
      </c>
      <c r="AB629">
        <v>24.9</v>
      </c>
      <c r="AC629">
        <v>1.94</v>
      </c>
      <c r="AD629" s="11">
        <f t="shared" si="158"/>
        <v>14.578238587665663</v>
      </c>
      <c r="AE629" s="11">
        <f>_xlfn.RANK.AVG(Tableau8[[#This Row],[EE ( MJ/m²)]],AD629:AD1784)</f>
        <v>223</v>
      </c>
      <c r="AF629" s="11">
        <f t="shared" si="159"/>
        <v>4.8594128625552209</v>
      </c>
      <c r="AG629" s="11">
        <f t="shared" si="156"/>
        <v>1.13581457269363</v>
      </c>
      <c r="AH629" s="11">
        <f t="shared" si="160"/>
        <v>1.13581457269363</v>
      </c>
      <c r="AI629" s="11">
        <f t="shared" si="157"/>
        <v>0.37860485756454332</v>
      </c>
      <c r="AJ629" s="11">
        <f t="shared" si="161"/>
        <v>0.37860485756454332</v>
      </c>
    </row>
    <row r="630" spans="1:36" x14ac:dyDescent="0.25">
      <c r="A630" s="4" t="s">
        <v>945</v>
      </c>
      <c r="B630" s="4" t="s">
        <v>992</v>
      </c>
      <c r="C630" s="4" t="s">
        <v>17</v>
      </c>
      <c r="D630" s="4" t="s">
        <v>938</v>
      </c>
      <c r="E630" t="s">
        <v>203</v>
      </c>
      <c r="F630" t="s">
        <v>191</v>
      </c>
      <c r="G630" t="s">
        <v>192</v>
      </c>
      <c r="H630">
        <v>17.5</v>
      </c>
      <c r="I630">
        <v>3</v>
      </c>
      <c r="J630" t="s">
        <v>57</v>
      </c>
      <c r="K630" t="s">
        <v>17</v>
      </c>
      <c r="L630" t="s">
        <v>150</v>
      </c>
      <c r="M630" t="s">
        <v>148</v>
      </c>
      <c r="N630" t="s">
        <v>91</v>
      </c>
      <c r="P630">
        <f>(((PI()*(0.0125^2))-(PI()*(0.0113^2)))*1.59)</f>
        <v>1.4266097903657403E-4</v>
      </c>
      <c r="Q630" t="s">
        <v>180</v>
      </c>
      <c r="R630" t="s">
        <v>187</v>
      </c>
      <c r="T630">
        <v>4</v>
      </c>
      <c r="W630" s="5">
        <v>7800</v>
      </c>
      <c r="X630" t="s">
        <v>184</v>
      </c>
      <c r="Y630" t="s">
        <v>185</v>
      </c>
      <c r="AA630" s="13">
        <f>Tableau8[[#This Row],[nb of item used ]]*Tableau8[[#This Row],[density (kg/m2) or specific weight (kg/m2)]]*Tableau8[[#This Row],[volume or area]]</f>
        <v>4.4510225459411092</v>
      </c>
      <c r="AB630">
        <v>24.9</v>
      </c>
      <c r="AC630">
        <v>1.94</v>
      </c>
      <c r="AD630" s="11">
        <f t="shared" si="158"/>
        <v>6.3331692225104925</v>
      </c>
      <c r="AE630" s="11">
        <f>_xlfn.RANK.AVG(Tableau8[[#This Row],[EE ( MJ/m²)]],AD630:AD1785)</f>
        <v>293.5</v>
      </c>
      <c r="AF630" s="11">
        <f t="shared" si="159"/>
        <v>2.1110564075034977</v>
      </c>
      <c r="AG630" s="11">
        <f t="shared" si="156"/>
        <v>0.49342764223575719</v>
      </c>
      <c r="AH630" s="11">
        <f t="shared" si="160"/>
        <v>0.49342764223575719</v>
      </c>
      <c r="AI630" s="11">
        <f t="shared" si="157"/>
        <v>0.16447588074525241</v>
      </c>
      <c r="AJ630" s="11">
        <f t="shared" si="161"/>
        <v>0.16447588074525241</v>
      </c>
    </row>
    <row r="631" spans="1:36" x14ac:dyDescent="0.25">
      <c r="A631" s="4" t="s">
        <v>945</v>
      </c>
      <c r="B631" s="4" t="s">
        <v>992</v>
      </c>
      <c r="C631" s="4" t="s">
        <v>17</v>
      </c>
      <c r="D631" s="4" t="s">
        <v>938</v>
      </c>
      <c r="E631" t="s">
        <v>203</v>
      </c>
      <c r="F631" t="s">
        <v>191</v>
      </c>
      <c r="G631" t="s">
        <v>192</v>
      </c>
      <c r="H631">
        <v>17.5</v>
      </c>
      <c r="I631">
        <v>3</v>
      </c>
      <c r="J631" t="s">
        <v>40</v>
      </c>
      <c r="K631" t="s">
        <v>17</v>
      </c>
      <c r="L631" t="s">
        <v>151</v>
      </c>
      <c r="M631" t="s">
        <v>148</v>
      </c>
      <c r="N631" t="s">
        <v>91</v>
      </c>
      <c r="P631">
        <f>(((PI()*(0.0125^2))-(PI()*(0.0113^2)))*1.88)</f>
        <v>1.6868090603066615E-4</v>
      </c>
      <c r="Q631" t="s">
        <v>180</v>
      </c>
      <c r="R631" t="s">
        <v>187</v>
      </c>
      <c r="T631">
        <v>20</v>
      </c>
      <c r="W631" s="5">
        <v>7800</v>
      </c>
      <c r="X631" t="s">
        <v>184</v>
      </c>
      <c r="Y631" t="s">
        <v>185</v>
      </c>
      <c r="AA631" s="13">
        <f>Tableau8[[#This Row],[nb of item used ]]*Tableau8[[#This Row],[density (kg/m2) or specific weight (kg/m2)]]*Tableau8[[#This Row],[volume or area]]</f>
        <v>26.31422134078392</v>
      </c>
      <c r="AB631">
        <v>24.9</v>
      </c>
      <c r="AC631">
        <v>1.94</v>
      </c>
      <c r="AD631" s="11">
        <f t="shared" si="158"/>
        <v>37.441377793458258</v>
      </c>
      <c r="AE631" s="11">
        <f>_xlfn.RANK.AVG(Tableau8[[#This Row],[EE ( MJ/m²)]],AD631:AD1786)</f>
        <v>136</v>
      </c>
      <c r="AF631" s="11">
        <f t="shared" si="159"/>
        <v>12.480459264486086</v>
      </c>
      <c r="AG631" s="11">
        <f t="shared" si="156"/>
        <v>2.9171193943497604</v>
      </c>
      <c r="AH631" s="11">
        <f t="shared" si="160"/>
        <v>2.9171193943497604</v>
      </c>
      <c r="AI631" s="11">
        <f t="shared" si="157"/>
        <v>0.9723731314499201</v>
      </c>
      <c r="AJ631" s="11">
        <f t="shared" si="161"/>
        <v>0.9723731314499201</v>
      </c>
    </row>
    <row r="632" spans="1:36" x14ac:dyDescent="0.25">
      <c r="A632" s="4" t="s">
        <v>945</v>
      </c>
      <c r="B632" s="4" t="s">
        <v>992</v>
      </c>
      <c r="C632" s="4" t="s">
        <v>17</v>
      </c>
      <c r="D632" s="4" t="s">
        <v>938</v>
      </c>
      <c r="E632" t="s">
        <v>203</v>
      </c>
      <c r="F632" t="s">
        <v>191</v>
      </c>
      <c r="G632" t="s">
        <v>192</v>
      </c>
      <c r="H632">
        <v>17.5</v>
      </c>
      <c r="I632">
        <v>3</v>
      </c>
      <c r="J632" t="s">
        <v>56</v>
      </c>
      <c r="K632" t="s">
        <v>17</v>
      </c>
      <c r="L632" t="s">
        <v>152</v>
      </c>
      <c r="M632" t="s">
        <v>148</v>
      </c>
      <c r="N632" t="s">
        <v>91</v>
      </c>
      <c r="P632">
        <f>(((PI()*(0.0125^2))-(PI()*(0.0113^2)))*0.92)</f>
        <v>8.2545975291602582E-5</v>
      </c>
      <c r="Q632" t="s">
        <v>180</v>
      </c>
      <c r="R632" t="s">
        <v>187</v>
      </c>
      <c r="T632">
        <v>12</v>
      </c>
      <c r="W632" s="5">
        <v>7800</v>
      </c>
      <c r="X632" t="s">
        <v>184</v>
      </c>
      <c r="Y632" t="s">
        <v>185</v>
      </c>
      <c r="AA632" s="13">
        <f>Tableau8[[#This Row],[nb of item used ]]*Tableau8[[#This Row],[density (kg/m2) or specific weight (kg/m2)]]*Tableau8[[#This Row],[volume or area]]</f>
        <v>7.7263032872940016</v>
      </c>
      <c r="AB632">
        <v>24.9</v>
      </c>
      <c r="AC632">
        <v>1.94</v>
      </c>
      <c r="AD632" s="11">
        <f t="shared" si="158"/>
        <v>10.993425820206893</v>
      </c>
      <c r="AE632" s="11">
        <f>_xlfn.RANK.AVG(Tableau8[[#This Row],[EE ( MJ/m²)]],AD632:AD1787)</f>
        <v>244</v>
      </c>
      <c r="AF632" s="11">
        <f t="shared" si="159"/>
        <v>3.6644752734022976</v>
      </c>
      <c r="AG632" s="11">
        <f t="shared" si="156"/>
        <v>0.85651590727716354</v>
      </c>
      <c r="AH632" s="11">
        <f t="shared" si="160"/>
        <v>0.85651590727716354</v>
      </c>
      <c r="AI632" s="11">
        <f t="shared" si="157"/>
        <v>0.2855053024257212</v>
      </c>
      <c r="AJ632" s="11">
        <f t="shared" si="161"/>
        <v>0.2855053024257212</v>
      </c>
    </row>
    <row r="633" spans="1:36" x14ac:dyDescent="0.25">
      <c r="A633" s="4" t="s">
        <v>945</v>
      </c>
      <c r="B633" s="4" t="s">
        <v>992</v>
      </c>
      <c r="C633" s="4" t="s">
        <v>17</v>
      </c>
      <c r="D633" s="4" t="s">
        <v>938</v>
      </c>
      <c r="E633" t="s">
        <v>203</v>
      </c>
      <c r="F633" t="s">
        <v>191</v>
      </c>
      <c r="G633" t="s">
        <v>192</v>
      </c>
      <c r="H633">
        <v>17.5</v>
      </c>
      <c r="I633">
        <v>3</v>
      </c>
      <c r="J633" t="s">
        <v>56</v>
      </c>
      <c r="K633" t="s">
        <v>17</v>
      </c>
      <c r="L633" t="s">
        <v>153</v>
      </c>
      <c r="M633" t="s">
        <v>148</v>
      </c>
      <c r="N633" t="s">
        <v>91</v>
      </c>
      <c r="P633">
        <f>(((PI()*(0.0125^2))-(PI()*(0.0113^2)))*1.59)</f>
        <v>1.4266097903657403E-4</v>
      </c>
      <c r="Q633" t="s">
        <v>180</v>
      </c>
      <c r="R633" t="s">
        <v>187</v>
      </c>
      <c r="T633">
        <v>4</v>
      </c>
      <c r="W633" s="5">
        <v>7800</v>
      </c>
      <c r="X633" t="s">
        <v>184</v>
      </c>
      <c r="Y633" t="s">
        <v>185</v>
      </c>
      <c r="AA633" s="13">
        <f>Tableau8[[#This Row],[nb of item used ]]*Tableau8[[#This Row],[density (kg/m2) or specific weight (kg/m2)]]*Tableau8[[#This Row],[volume or area]]</f>
        <v>4.4510225459411092</v>
      </c>
      <c r="AB633">
        <v>24.9</v>
      </c>
      <c r="AC633">
        <v>1.94</v>
      </c>
      <c r="AD633" s="11">
        <f t="shared" si="158"/>
        <v>6.3331692225104925</v>
      </c>
      <c r="AE633" s="11">
        <f>_xlfn.RANK.AVG(Tableau8[[#This Row],[EE ( MJ/m²)]],AD633:AD1788)</f>
        <v>291</v>
      </c>
      <c r="AF633" s="11">
        <f t="shared" si="159"/>
        <v>2.1110564075034977</v>
      </c>
      <c r="AG633" s="11">
        <f t="shared" si="156"/>
        <v>0.49342764223575719</v>
      </c>
      <c r="AH633" s="11">
        <f t="shared" si="160"/>
        <v>0.49342764223575719</v>
      </c>
      <c r="AI633" s="11">
        <f t="shared" si="157"/>
        <v>0.16447588074525241</v>
      </c>
      <c r="AJ633" s="11">
        <f t="shared" si="161"/>
        <v>0.16447588074525241</v>
      </c>
    </row>
    <row r="634" spans="1:36" x14ac:dyDescent="0.25">
      <c r="A634" s="4" t="s">
        <v>945</v>
      </c>
      <c r="B634" s="4" t="s">
        <v>992</v>
      </c>
      <c r="C634" s="4" t="s">
        <v>17</v>
      </c>
      <c r="D634" s="4" t="s">
        <v>938</v>
      </c>
      <c r="E634" t="s">
        <v>203</v>
      </c>
      <c r="F634" t="s">
        <v>191</v>
      </c>
      <c r="G634" t="s">
        <v>192</v>
      </c>
      <c r="H634">
        <v>17.5</v>
      </c>
      <c r="I634">
        <v>3</v>
      </c>
      <c r="J634" t="s">
        <v>56</v>
      </c>
      <c r="K634" t="s">
        <v>17</v>
      </c>
      <c r="L634" t="s">
        <v>154</v>
      </c>
      <c r="M634" t="s">
        <v>148</v>
      </c>
      <c r="N634" t="s">
        <v>91</v>
      </c>
      <c r="P634">
        <f>(((PI()*(0.0125^2))-(PI()*(0.0113^2)))*1.91)</f>
        <v>1.7137262261626189E-4</v>
      </c>
      <c r="Q634" t="s">
        <v>180</v>
      </c>
      <c r="R634" t="s">
        <v>187</v>
      </c>
      <c r="T634">
        <v>14</v>
      </c>
      <c r="W634" s="5">
        <v>7800</v>
      </c>
      <c r="X634" t="s">
        <v>184</v>
      </c>
      <c r="Y634" t="s">
        <v>185</v>
      </c>
      <c r="AA634" s="13">
        <f>Tableau8[[#This Row],[nb of item used ]]*Tableau8[[#This Row],[density (kg/m2) or specific weight (kg/m2)]]*Tableau8[[#This Row],[volume or area]]</f>
        <v>18.713890389695798</v>
      </c>
      <c r="AB634">
        <v>24.9</v>
      </c>
      <c r="AC634">
        <v>1.94</v>
      </c>
      <c r="AD634" s="11">
        <f t="shared" si="158"/>
        <v>26.627192611624306</v>
      </c>
      <c r="AE634" s="11">
        <f>_xlfn.RANK.AVG(Tableau8[[#This Row],[EE ( MJ/m²)]],AD634:AD1789)</f>
        <v>160</v>
      </c>
      <c r="AF634" s="11">
        <f t="shared" si="159"/>
        <v>8.8757308705414353</v>
      </c>
      <c r="AG634" s="11">
        <f t="shared" si="156"/>
        <v>2.0745684203434198</v>
      </c>
      <c r="AH634" s="11">
        <f t="shared" si="160"/>
        <v>2.0745684203434198</v>
      </c>
      <c r="AI634" s="11">
        <f t="shared" si="157"/>
        <v>0.69152280678113998</v>
      </c>
      <c r="AJ634" s="11">
        <f t="shared" si="161"/>
        <v>0.69152280678113998</v>
      </c>
    </row>
    <row r="635" spans="1:36" x14ac:dyDescent="0.25">
      <c r="A635" s="4" t="s">
        <v>945</v>
      </c>
      <c r="B635" s="4" t="s">
        <v>992</v>
      </c>
      <c r="C635" s="4" t="s">
        <v>17</v>
      </c>
      <c r="D635" s="4" t="s">
        <v>938</v>
      </c>
      <c r="E635" t="s">
        <v>203</v>
      </c>
      <c r="F635" t="s">
        <v>191</v>
      </c>
      <c r="G635" t="s">
        <v>192</v>
      </c>
      <c r="H635">
        <v>17.5</v>
      </c>
      <c r="I635">
        <v>3</v>
      </c>
      <c r="J635" t="s">
        <v>56</v>
      </c>
      <c r="K635" t="s">
        <v>17</v>
      </c>
      <c r="L635" t="s">
        <v>155</v>
      </c>
      <c r="M635" t="s">
        <v>148</v>
      </c>
      <c r="N635" t="s">
        <v>91</v>
      </c>
      <c r="P635">
        <f>(((PI()*(0.0125^2))-(PI()*(0.0113^2)))*0.95)</f>
        <v>8.5237691877198312E-5</v>
      </c>
      <c r="Q635" t="s">
        <v>180</v>
      </c>
      <c r="R635" t="s">
        <v>187</v>
      </c>
      <c r="T635">
        <v>2</v>
      </c>
      <c r="W635" s="5">
        <v>7800</v>
      </c>
      <c r="X635" t="s">
        <v>184</v>
      </c>
      <c r="Y635" t="s">
        <v>185</v>
      </c>
      <c r="AA635" s="13">
        <f>Tableau8[[#This Row],[nb of item used ]]*Tableau8[[#This Row],[density (kg/m2) or specific weight (kg/m2)]]*Tableau8[[#This Row],[volume or area]]</f>
        <v>1.3297079932842937</v>
      </c>
      <c r="AB635">
        <v>24.9</v>
      </c>
      <c r="AC635">
        <v>1.94</v>
      </c>
      <c r="AD635" s="11">
        <f t="shared" si="158"/>
        <v>1.8919845161587947</v>
      </c>
      <c r="AE635" s="11">
        <f>_xlfn.RANK.AVG(Tableau8[[#This Row],[EE ( MJ/m²)]],AD635:AD1790)</f>
        <v>382</v>
      </c>
      <c r="AF635" s="11">
        <f t="shared" si="159"/>
        <v>0.63066150538626486</v>
      </c>
      <c r="AG635" s="11">
        <f t="shared" si="156"/>
        <v>0.1474076289698017</v>
      </c>
      <c r="AH635" s="11">
        <f t="shared" si="160"/>
        <v>0.1474076289698017</v>
      </c>
      <c r="AI635" s="11">
        <f t="shared" si="157"/>
        <v>4.9135876323267234E-2</v>
      </c>
      <c r="AJ635" s="11">
        <f t="shared" si="161"/>
        <v>4.9135876323267234E-2</v>
      </c>
    </row>
    <row r="636" spans="1:36" x14ac:dyDescent="0.25">
      <c r="A636" s="4" t="s">
        <v>945</v>
      </c>
      <c r="B636" s="4" t="s">
        <v>992</v>
      </c>
      <c r="C636" s="4" t="s">
        <v>17</v>
      </c>
      <c r="D636" s="4" t="s">
        <v>938</v>
      </c>
      <c r="E636" t="s">
        <v>203</v>
      </c>
      <c r="F636" t="s">
        <v>191</v>
      </c>
      <c r="G636" t="s">
        <v>192</v>
      </c>
      <c r="H636">
        <v>17.5</v>
      </c>
      <c r="I636">
        <v>3</v>
      </c>
      <c r="J636" t="s">
        <v>44</v>
      </c>
      <c r="K636" t="s">
        <v>17</v>
      </c>
      <c r="L636" t="s">
        <v>156</v>
      </c>
      <c r="M636" t="s">
        <v>148</v>
      </c>
      <c r="N636" t="s">
        <v>95</v>
      </c>
      <c r="P636">
        <f>0.05*0.05*0.003</f>
        <v>7.5000000000000019E-6</v>
      </c>
      <c r="Q636" t="s">
        <v>180</v>
      </c>
      <c r="R636" t="s">
        <v>187</v>
      </c>
      <c r="T636">
        <f>10+40</f>
        <v>50</v>
      </c>
      <c r="W636">
        <v>7800</v>
      </c>
      <c r="X636" t="s">
        <v>184</v>
      </c>
      <c r="Y636" t="s">
        <v>185</v>
      </c>
      <c r="AA636" s="13">
        <f>Tableau8[[#This Row],[nb of item used ]]*Tableau8[[#This Row],[density (kg/m2) or specific weight (kg/m2)]]*Tableau8[[#This Row],[volume or area]]</f>
        <v>2.9250000000000007</v>
      </c>
      <c r="AB636">
        <v>25.3</v>
      </c>
      <c r="AC636">
        <v>1.95</v>
      </c>
      <c r="AD636" s="11">
        <f t="shared" si="158"/>
        <v>4.228714285714287</v>
      </c>
      <c r="AE636" s="11">
        <f>_xlfn.RANK.AVG(Tableau8[[#This Row],[EE ( MJ/m²)]],AD636:AD1791)</f>
        <v>317</v>
      </c>
      <c r="AF636" s="11">
        <f t="shared" si="159"/>
        <v>1.4095714285714289</v>
      </c>
      <c r="AG636" s="11">
        <f t="shared" si="156"/>
        <v>0.32592857142857151</v>
      </c>
      <c r="AH636" s="11">
        <f t="shared" si="160"/>
        <v>0.32592857142857151</v>
      </c>
      <c r="AI636" s="11">
        <f t="shared" si="157"/>
        <v>0.10864285714285717</v>
      </c>
      <c r="AJ636" s="11">
        <f t="shared" si="161"/>
        <v>0.10864285714285717</v>
      </c>
    </row>
    <row r="637" spans="1:36" x14ac:dyDescent="0.25">
      <c r="A637" s="23" t="s">
        <v>945</v>
      </c>
      <c r="B637" s="23" t="s">
        <v>992</v>
      </c>
      <c r="C637" s="23" t="s">
        <v>17</v>
      </c>
      <c r="D637" s="23" t="s">
        <v>938</v>
      </c>
      <c r="E637" s="20" t="s">
        <v>203</v>
      </c>
      <c r="F637" s="20" t="s">
        <v>191</v>
      </c>
      <c r="G637" s="20" t="s">
        <v>192</v>
      </c>
      <c r="H637" s="20">
        <v>17.5</v>
      </c>
      <c r="I637" s="20">
        <v>3</v>
      </c>
      <c r="J637" s="20" t="s">
        <v>42</v>
      </c>
      <c r="K637" t="s">
        <v>14</v>
      </c>
      <c r="L637" s="20" t="s">
        <v>142</v>
      </c>
      <c r="M637" s="20" t="s">
        <v>147</v>
      </c>
      <c r="N637" s="20" t="s">
        <v>111</v>
      </c>
      <c r="P637" s="20">
        <f>61.5*0.0085</f>
        <v>0.52275000000000005</v>
      </c>
      <c r="Q637" s="20" t="s">
        <v>180</v>
      </c>
      <c r="R637" s="20" t="s">
        <v>187</v>
      </c>
      <c r="S637" s="20"/>
      <c r="T637" s="20">
        <v>1</v>
      </c>
      <c r="U637" s="20" t="s">
        <v>187</v>
      </c>
      <c r="V637" s="20"/>
      <c r="W637" s="20">
        <v>45</v>
      </c>
      <c r="X637" s="20" t="s">
        <v>184</v>
      </c>
      <c r="Y637" s="20" t="s">
        <v>185</v>
      </c>
      <c r="Z637" s="20"/>
      <c r="AA637" s="24">
        <f>Tableau8[[#This Row],[nb of item used ]]*Tableau8[[#This Row],[density (kg/m2) or specific weight (kg/m2)]]*Tableau8[[#This Row],[volume or area]]</f>
        <v>23.523750000000003</v>
      </c>
      <c r="AB637" s="20">
        <v>35.6</v>
      </c>
      <c r="AC637">
        <v>3.31</v>
      </c>
      <c r="AD637" s="11">
        <f t="shared" si="158"/>
        <v>47.854028571428579</v>
      </c>
      <c r="AE637" s="11">
        <f>_xlfn.RANK.AVG(Tableau8[[#This Row],[EE ( MJ/m²)]],AD637:AD1792)</f>
        <v>123</v>
      </c>
      <c r="AF637" s="11">
        <f t="shared" si="159"/>
        <v>15.95134285714286</v>
      </c>
      <c r="AG637" s="11">
        <f t="shared" si="156"/>
        <v>4.4493492857142867</v>
      </c>
      <c r="AH637" s="11">
        <f t="shared" si="160"/>
        <v>4.4493492857142867</v>
      </c>
      <c r="AI637" s="11">
        <f t="shared" si="157"/>
        <v>1.4831164285714289</v>
      </c>
      <c r="AJ637" s="11">
        <f t="shared" si="161"/>
        <v>1.4831164285714289</v>
      </c>
    </row>
    <row r="638" spans="1:36" x14ac:dyDescent="0.25">
      <c r="A638" s="4" t="s">
        <v>945</v>
      </c>
      <c r="B638" s="4" t="s">
        <v>946</v>
      </c>
      <c r="C638" s="4" t="s">
        <v>15</v>
      </c>
      <c r="D638" s="4" t="s">
        <v>940</v>
      </c>
      <c r="E638" t="s">
        <v>600</v>
      </c>
      <c r="F638" t="s">
        <v>256</v>
      </c>
      <c r="G638" t="s">
        <v>589</v>
      </c>
      <c r="H638">
        <f t="shared" ref="H638:H643" si="162">3*6</f>
        <v>18</v>
      </c>
      <c r="I638">
        <v>4</v>
      </c>
      <c r="J638" t="s">
        <v>40</v>
      </c>
      <c r="K638" t="s">
        <v>17</v>
      </c>
      <c r="L638" t="s">
        <v>278</v>
      </c>
      <c r="M638" t="s">
        <v>12</v>
      </c>
      <c r="N638" t="s">
        <v>12</v>
      </c>
      <c r="R638" t="s">
        <v>175</v>
      </c>
      <c r="T638">
        <v>2</v>
      </c>
      <c r="W638">
        <v>7800</v>
      </c>
      <c r="X638" t="s">
        <v>184</v>
      </c>
      <c r="Y638" t="s">
        <v>185</v>
      </c>
      <c r="AA638" s="13">
        <v>0.53800000000000003</v>
      </c>
      <c r="AB638">
        <v>25.3</v>
      </c>
      <c r="AC638">
        <v>1.95</v>
      </c>
      <c r="AD638" s="11">
        <f t="shared" si="158"/>
        <v>0.75618888888888902</v>
      </c>
      <c r="AE638" s="11">
        <f>_xlfn.RANK.AVG(Tableau8[[#This Row],[EE ( MJ/m²)]],AD638:AD1793)</f>
        <v>427</v>
      </c>
      <c r="AF638" s="11">
        <f t="shared" si="159"/>
        <v>0.18904722222222226</v>
      </c>
      <c r="AG638" s="11">
        <f t="shared" si="156"/>
        <v>5.828333333333334E-2</v>
      </c>
      <c r="AH638" s="11">
        <f t="shared" si="160"/>
        <v>5.828333333333334E-2</v>
      </c>
      <c r="AI638" s="11">
        <f t="shared" si="157"/>
        <v>1.4570833333333335E-2</v>
      </c>
      <c r="AJ638" s="11">
        <f t="shared" si="161"/>
        <v>1.4570833333333335E-2</v>
      </c>
    </row>
    <row r="639" spans="1:36" x14ac:dyDescent="0.25">
      <c r="A639" s="4" t="s">
        <v>945</v>
      </c>
      <c r="B639" s="4" t="s">
        <v>946</v>
      </c>
      <c r="C639" s="4" t="s">
        <v>15</v>
      </c>
      <c r="D639" s="4" t="s">
        <v>940</v>
      </c>
      <c r="E639" t="s">
        <v>600</v>
      </c>
      <c r="F639" t="s">
        <v>256</v>
      </c>
      <c r="G639" t="s">
        <v>589</v>
      </c>
      <c r="H639">
        <f t="shared" si="162"/>
        <v>18</v>
      </c>
      <c r="I639">
        <v>2</v>
      </c>
      <c r="J639" t="s">
        <v>44</v>
      </c>
      <c r="K639" t="s">
        <v>14</v>
      </c>
      <c r="L639" t="s">
        <v>602</v>
      </c>
      <c r="M639" t="s">
        <v>159</v>
      </c>
      <c r="N639" t="s">
        <v>159</v>
      </c>
      <c r="P639">
        <f>100*(0.15*0.0012*0.0035)</f>
        <v>6.3E-5</v>
      </c>
      <c r="Q639" t="s">
        <v>180</v>
      </c>
      <c r="R639" t="s">
        <v>187</v>
      </c>
      <c r="S639" t="s">
        <v>603</v>
      </c>
      <c r="T639">
        <v>5</v>
      </c>
      <c r="W639">
        <v>1380</v>
      </c>
      <c r="X639" t="s">
        <v>184</v>
      </c>
      <c r="AA639" s="13">
        <f>Tableau8[[#This Row],[density (kg/m2) or specific weight (kg/m2)]]*Tableau8[[#This Row],[nb of item used ]]*Tableau8[[#This Row],[volume or area]]</f>
        <v>0.43469999999999998</v>
      </c>
      <c r="AB639">
        <v>38.6</v>
      </c>
      <c r="AC639">
        <v>9.14</v>
      </c>
      <c r="AD639" s="11">
        <f t="shared" si="158"/>
        <v>0.93218999999999985</v>
      </c>
      <c r="AE639" s="11">
        <f>_xlfn.RANK.AVG(Tableau8[[#This Row],[EE ( MJ/m²)]],AD639:AD1794)</f>
        <v>419</v>
      </c>
      <c r="AF639" s="11">
        <f t="shared" si="159"/>
        <v>0.46609499999999993</v>
      </c>
      <c r="AG639" s="11">
        <f t="shared" si="156"/>
        <v>0.22073100000000001</v>
      </c>
      <c r="AH639" s="11">
        <f t="shared" si="160"/>
        <v>0.22073100000000001</v>
      </c>
      <c r="AI639" s="11">
        <f t="shared" si="157"/>
        <v>0.11036550000000001</v>
      </c>
      <c r="AJ639" s="11">
        <f t="shared" si="161"/>
        <v>0.11036550000000001</v>
      </c>
    </row>
    <row r="640" spans="1:36" x14ac:dyDescent="0.25">
      <c r="A640" s="4" t="s">
        <v>945</v>
      </c>
      <c r="B640" s="4" t="s">
        <v>946</v>
      </c>
      <c r="C640" s="4" t="s">
        <v>15</v>
      </c>
      <c r="D640" s="4" t="s">
        <v>940</v>
      </c>
      <c r="E640" t="s">
        <v>600</v>
      </c>
      <c r="F640" t="s">
        <v>256</v>
      </c>
      <c r="G640" t="s">
        <v>589</v>
      </c>
      <c r="H640">
        <f t="shared" si="162"/>
        <v>18</v>
      </c>
      <c r="I640">
        <v>3</v>
      </c>
      <c r="J640" t="s">
        <v>42</v>
      </c>
      <c r="K640" t="s">
        <v>14</v>
      </c>
      <c r="L640" t="s">
        <v>0</v>
      </c>
      <c r="M640" t="s">
        <v>35</v>
      </c>
      <c r="N640" t="s">
        <v>35</v>
      </c>
      <c r="P640">
        <f>(PI()*2.4*6)+(PI()*(2.4^2))-(0.75*1.75)</f>
        <v>62.022007896370226</v>
      </c>
      <c r="Q640" t="s">
        <v>179</v>
      </c>
      <c r="T640">
        <v>1</v>
      </c>
      <c r="W640">
        <v>0.18</v>
      </c>
      <c r="X640" t="s">
        <v>183</v>
      </c>
      <c r="AA640" s="13">
        <f>Tableau8[[#This Row],[nb of item used ]]*Tableau8[[#This Row],[density (kg/m2) or specific weight (kg/m2)]]*Tableau8[[#This Row],[volume or area]]</f>
        <v>11.16396142134664</v>
      </c>
      <c r="AB640">
        <v>54.3</v>
      </c>
      <c r="AC640">
        <v>1.93</v>
      </c>
      <c r="AD640" s="11">
        <f t="shared" si="158"/>
        <v>33.677950287729033</v>
      </c>
      <c r="AE640" s="11">
        <f>_xlfn.RANK.AVG(Tableau8[[#This Row],[EE ( MJ/m²)]],AD640:AD1795)</f>
        <v>141</v>
      </c>
      <c r="AF640" s="11">
        <f t="shared" si="159"/>
        <v>11.22598342924301</v>
      </c>
      <c r="AG640" s="11">
        <f t="shared" si="156"/>
        <v>1.1970247523999451</v>
      </c>
      <c r="AH640" s="11">
        <f t="shared" si="160"/>
        <v>1.1970247523999451</v>
      </c>
      <c r="AI640" s="11">
        <f t="shared" si="157"/>
        <v>0.3990082507999817</v>
      </c>
      <c r="AJ640" s="11">
        <f t="shared" si="161"/>
        <v>0.3990082507999817</v>
      </c>
    </row>
    <row r="641" spans="1:36" x14ac:dyDescent="0.25">
      <c r="A641" s="4" t="s">
        <v>945</v>
      </c>
      <c r="B641" s="4" t="s">
        <v>946</v>
      </c>
      <c r="C641" s="4" t="s">
        <v>15</v>
      </c>
      <c r="D641" s="4" t="s">
        <v>940</v>
      </c>
      <c r="E641" t="s">
        <v>600</v>
      </c>
      <c r="F641" t="s">
        <v>256</v>
      </c>
      <c r="G641" t="s">
        <v>589</v>
      </c>
      <c r="H641">
        <f t="shared" si="162"/>
        <v>18</v>
      </c>
      <c r="I641">
        <v>2</v>
      </c>
      <c r="J641" t="s">
        <v>42</v>
      </c>
      <c r="K641" t="s">
        <v>15</v>
      </c>
      <c r="L641" t="s">
        <v>335</v>
      </c>
      <c r="M641" t="s">
        <v>507</v>
      </c>
      <c r="N641" t="s">
        <v>335</v>
      </c>
      <c r="P641">
        <f>(((PI()*2.4*6)+((PI()*(2.4^2))*2)-(0.75*1.75)))*0.004</f>
        <v>0.32047032632418976</v>
      </c>
      <c r="Q641" t="s">
        <v>180</v>
      </c>
      <c r="T641">
        <v>1</v>
      </c>
      <c r="W641">
        <v>178.2</v>
      </c>
      <c r="X641" t="s">
        <v>184</v>
      </c>
      <c r="AA641" s="13">
        <f>Tableau8[[#This Row],[density (kg/m2) or specific weight (kg/m2)]]*Tableau8[[#This Row],[nb of item used ]]*Tableau8[[#This Row],[volume or area]]</f>
        <v>57.107812150970609</v>
      </c>
      <c r="AB641">
        <v>28.58</v>
      </c>
      <c r="AC641">
        <v>26.91</v>
      </c>
      <c r="AD641" s="11">
        <f>AB641*(AA641/Tableau8[[#This Row],[density (kg/m2) or specific weight (kg/m2)]])/H641</f>
        <v>0.50883566257474122</v>
      </c>
      <c r="AE641" s="11">
        <f>_xlfn.RANK.AVG(Tableau8[[#This Row],[EE ( MJ/m²)]],AD641:AD1796)</f>
        <v>440</v>
      </c>
      <c r="AF641" s="11">
        <f>AB641*(AA641/Tableau8[[#This Row],[density (kg/m2) or specific weight (kg/m2)]])/H641/I641</f>
        <v>0.25441783128737061</v>
      </c>
      <c r="AG641" s="11">
        <f>(AC641)*(AA641/Tableau8[[#This Row],[density (kg/m2) or specific weight (kg/m2)]])/H641</f>
        <v>0.47910313785466369</v>
      </c>
      <c r="AH641" s="11">
        <f>AC641*(AA641/Tableau8[[#This Row],[density (kg/m2) or specific weight (kg/m2)]])/H641</f>
        <v>0.47910313785466369</v>
      </c>
      <c r="AI641" s="11">
        <f>(AC641)*(AA641/Tableau8[[#This Row],[density (kg/m2) or specific weight (kg/m2)]])/H641/I641</f>
        <v>0.23955156892733184</v>
      </c>
      <c r="AJ641" s="11">
        <f>AC641*(AA641/Tableau8[[#This Row],[density (kg/m2) or specific weight (kg/m2)]])/H641/I641</f>
        <v>0.23955156892733184</v>
      </c>
    </row>
    <row r="642" spans="1:36" x14ac:dyDescent="0.25">
      <c r="A642" s="4" t="s">
        <v>945</v>
      </c>
      <c r="B642" s="4" t="s">
        <v>946</v>
      </c>
      <c r="C642" s="4" t="s">
        <v>15</v>
      </c>
      <c r="D642" s="4" t="s">
        <v>940</v>
      </c>
      <c r="E642" t="s">
        <v>600</v>
      </c>
      <c r="F642" t="s">
        <v>256</v>
      </c>
      <c r="G642" t="s">
        <v>589</v>
      </c>
      <c r="H642">
        <f t="shared" si="162"/>
        <v>18</v>
      </c>
      <c r="I642">
        <v>2</v>
      </c>
      <c r="J642" t="s">
        <v>42</v>
      </c>
      <c r="K642" t="s">
        <v>15</v>
      </c>
      <c r="L642" t="s">
        <v>601</v>
      </c>
      <c r="M642" t="s">
        <v>235</v>
      </c>
      <c r="N642" t="s">
        <v>235</v>
      </c>
      <c r="P642">
        <f>((PI()*(0.025^2))-(PI()*(0.018^2)))*7</f>
        <v>6.6193357211136962E-3</v>
      </c>
      <c r="Q642" t="s">
        <v>180</v>
      </c>
      <c r="T642">
        <v>33</v>
      </c>
      <c r="W642">
        <v>178.2</v>
      </c>
      <c r="X642" t="s">
        <v>183</v>
      </c>
      <c r="AA642" s="13">
        <f>Tableau8[[#This Row],[density (kg/m2) or specific weight (kg/m2)]]*Tableau8[[#This Row],[nb of item used ]]*Tableau8[[#This Row],[volume or area]]</f>
        <v>38.925665641581197</v>
      </c>
      <c r="AB642">
        <v>13.13</v>
      </c>
      <c r="AC642">
        <v>12.37</v>
      </c>
      <c r="AD642" s="11">
        <f>AB642*(AA642/Tableau8[[#This Row],[density (kg/m2) or specific weight (kg/m2)]])/H642</f>
        <v>0.15933844303340849</v>
      </c>
      <c r="AE642" s="11">
        <f>_xlfn.RANK.AVG(Tableau8[[#This Row],[EE ( MJ/m²)]],AD642:AD1797)</f>
        <v>463</v>
      </c>
      <c r="AF642" s="11">
        <f>AB642*(AA642/Tableau8[[#This Row],[density (kg/m2) or specific weight (kg/m2)]])/H642/I642</f>
        <v>7.9669221516704247E-2</v>
      </c>
      <c r="AG642" s="11">
        <f>(AC642)*(AA642/Tableau8[[#This Row],[density (kg/m2) or specific weight (kg/m2)]])/H642</f>
        <v>0.15011550192865675</v>
      </c>
      <c r="AH642" s="11">
        <f>AC642*(AA642/Tableau8[[#This Row],[density (kg/m2) or specific weight (kg/m2)]])/H642</f>
        <v>0.15011550192865675</v>
      </c>
      <c r="AI642" s="11">
        <f>(AC642)*(AA642/Tableau8[[#This Row],[density (kg/m2) or specific weight (kg/m2)]])/H642/I642</f>
        <v>7.5057750964328374E-2</v>
      </c>
      <c r="AJ642" s="11">
        <f>AC642*(AA642/Tableau8[[#This Row],[density (kg/m2) or specific weight (kg/m2)]])/H642/I642</f>
        <v>7.5057750964328374E-2</v>
      </c>
    </row>
    <row r="643" spans="1:36" x14ac:dyDescent="0.25">
      <c r="A643" s="4" t="s">
        <v>945</v>
      </c>
      <c r="B643" s="4" t="s">
        <v>946</v>
      </c>
      <c r="C643" s="4" t="s">
        <v>15</v>
      </c>
      <c r="D643" s="4" t="s">
        <v>940</v>
      </c>
      <c r="E643" t="s">
        <v>600</v>
      </c>
      <c r="F643" t="s">
        <v>256</v>
      </c>
      <c r="G643" t="s">
        <v>589</v>
      </c>
      <c r="H643">
        <f t="shared" si="162"/>
        <v>18</v>
      </c>
      <c r="I643">
        <v>2</v>
      </c>
      <c r="J643" t="s">
        <v>40</v>
      </c>
      <c r="K643" t="s">
        <v>15</v>
      </c>
      <c r="L643" t="s">
        <v>604</v>
      </c>
      <c r="M643" t="s">
        <v>235</v>
      </c>
      <c r="N643" t="s">
        <v>235</v>
      </c>
      <c r="P643">
        <f>((PI()*(0.025^2))-(PI()*(0.018^2)))*1.75</f>
        <v>1.654833930278424E-3</v>
      </c>
      <c r="Q643" t="s">
        <v>180</v>
      </c>
      <c r="T643">
        <v>7.5</v>
      </c>
      <c r="W643">
        <v>100</v>
      </c>
      <c r="X643" t="s">
        <v>184</v>
      </c>
      <c r="AA643" s="13">
        <f>Tableau8[[#This Row],[density (kg/m2) or specific weight (kg/m2)]]*Tableau8[[#This Row],[nb of item used ]]*Tableau8[[#This Row],[volume or area]]</f>
        <v>1.2411254477088181</v>
      </c>
      <c r="AB643">
        <v>13.13</v>
      </c>
      <c r="AC643">
        <v>12.37</v>
      </c>
      <c r="AD643" s="11">
        <f>AB643*(AA643/Tableau8[[#This Row],[density (kg/m2) or specific weight (kg/m2)]])/H643</f>
        <v>9.0533206268982105E-3</v>
      </c>
      <c r="AE643" s="11">
        <f>_xlfn.RANK.AVG(Tableau8[[#This Row],[EE ( MJ/m²)]],AD643:AD1798)</f>
        <v>496</v>
      </c>
      <c r="AF643" s="11">
        <f>AB643*(AA643/Tableau8[[#This Row],[density (kg/m2) or specific weight (kg/m2)]])/H643/I643</f>
        <v>4.5266603134491053E-3</v>
      </c>
      <c r="AG643" s="11">
        <f>(AC643)*(AA643/Tableau8[[#This Row],[density (kg/m2) or specific weight (kg/m2)]])/H643</f>
        <v>8.5292898823100434E-3</v>
      </c>
      <c r="AH643" s="11">
        <f>AC643*(AA643/Tableau8[[#This Row],[density (kg/m2) or specific weight (kg/m2)]])/H643</f>
        <v>8.5292898823100434E-3</v>
      </c>
      <c r="AI643" s="11">
        <f>(AC643)*(AA643/Tableau8[[#This Row],[density (kg/m2) or specific weight (kg/m2)]])/H643/I643</f>
        <v>4.2646449411550217E-3</v>
      </c>
      <c r="AJ643" s="11">
        <f>AC643*(AA643/Tableau8[[#This Row],[density (kg/m2) or specific weight (kg/m2)]])/H643/I643</f>
        <v>4.2646449411550217E-3</v>
      </c>
    </row>
    <row r="644" spans="1:36" x14ac:dyDescent="0.25">
      <c r="A644" s="4" t="s">
        <v>945</v>
      </c>
      <c r="B644" s="4" t="s">
        <v>961</v>
      </c>
      <c r="C644" s="4" t="s">
        <v>15</v>
      </c>
      <c r="D644" s="4" t="s">
        <v>942</v>
      </c>
      <c r="E644" t="s">
        <v>713</v>
      </c>
      <c r="F644" t="s">
        <v>256</v>
      </c>
      <c r="G644" t="s">
        <v>714</v>
      </c>
      <c r="H644">
        <f t="shared" ref="H644:H678" si="163">6*4</f>
        <v>24</v>
      </c>
      <c r="I644">
        <v>2.5</v>
      </c>
      <c r="J644" t="s">
        <v>56</v>
      </c>
      <c r="K644" t="s">
        <v>386</v>
      </c>
      <c r="L644" t="s">
        <v>746</v>
      </c>
      <c r="M644" t="s">
        <v>747</v>
      </c>
      <c r="N644" t="s">
        <v>437</v>
      </c>
      <c r="P644">
        <f>0.411*0.233*0.015</f>
        <v>1.436445E-3</v>
      </c>
      <c r="Q644" t="s">
        <v>180</v>
      </c>
      <c r="R644" t="s">
        <v>175</v>
      </c>
      <c r="T644">
        <v>455</v>
      </c>
      <c r="W644">
        <v>1890</v>
      </c>
      <c r="X644" t="s">
        <v>184</v>
      </c>
      <c r="AA644" s="13">
        <f>Tableau8[[#This Row],[density (kg/m2) or specific weight (kg/m2)]]*Tableau8[[#This Row],[nb of item used ]]*Tableau8[[#This Row],[volume or area]]</f>
        <v>1235.27087775</v>
      </c>
      <c r="AB644">
        <v>6.5</v>
      </c>
      <c r="AC644">
        <v>0.48</v>
      </c>
      <c r="AD644" s="11">
        <f>AB644*AA644/H644</f>
        <v>334.55252939062501</v>
      </c>
      <c r="AE644" s="11">
        <f>_xlfn.RANK.AVG(Tableau8[[#This Row],[EE ( MJ/m²)]],AD644:AD1799)</f>
        <v>19</v>
      </c>
      <c r="AF644" s="11">
        <f>AB644*AA644/H644/I644</f>
        <v>133.82101175625002</v>
      </c>
      <c r="AG644" s="11">
        <f>(AC644)*AA644/H644</f>
        <v>24.705417554999997</v>
      </c>
      <c r="AH644" s="11">
        <f>AC644*AA644/H644</f>
        <v>24.705417554999997</v>
      </c>
      <c r="AI644" s="11">
        <f>(AC644)*AA644/H644/I644</f>
        <v>9.8821670219999991</v>
      </c>
      <c r="AJ644" s="11">
        <f>AC644*AA644/H644/I644</f>
        <v>9.8821670219999991</v>
      </c>
    </row>
    <row r="645" spans="1:36" x14ac:dyDescent="0.25">
      <c r="A645" s="4" t="s">
        <v>945</v>
      </c>
      <c r="B645" s="4" t="s">
        <v>961</v>
      </c>
      <c r="C645" s="4" t="s">
        <v>15</v>
      </c>
      <c r="D645" s="4" t="s">
        <v>942</v>
      </c>
      <c r="E645" t="s">
        <v>713</v>
      </c>
      <c r="F645" t="s">
        <v>256</v>
      </c>
      <c r="G645" t="s">
        <v>714</v>
      </c>
      <c r="H645">
        <f t="shared" si="163"/>
        <v>24</v>
      </c>
      <c r="I645">
        <v>2.5</v>
      </c>
      <c r="J645" t="s">
        <v>13</v>
      </c>
      <c r="K645" t="s">
        <v>17</v>
      </c>
      <c r="L645" t="s">
        <v>715</v>
      </c>
      <c r="M645" t="s">
        <v>12</v>
      </c>
      <c r="N645" t="s">
        <v>99</v>
      </c>
      <c r="P645">
        <f>2*PI()*(0.005^2)</f>
        <v>1.5707963267948965E-4</v>
      </c>
      <c r="R645" t="s">
        <v>175</v>
      </c>
      <c r="T645">
        <v>1</v>
      </c>
      <c r="W645">
        <v>7800</v>
      </c>
      <c r="X645" t="s">
        <v>184</v>
      </c>
      <c r="AA645" s="13">
        <f>Tableau8[[#This Row],[density (kg/m2) or specific weight (kg/m2)]]*Tableau8[[#This Row],[nb of item used ]]*Tableau8[[#This Row],[volume or area]]</f>
        <v>1.2252211349000193</v>
      </c>
      <c r="AB645">
        <v>21.6</v>
      </c>
      <c r="AC645">
        <v>1.86</v>
      </c>
      <c r="AD645" s="11">
        <f>AB645*AA645/H645</f>
        <v>1.1026990214100174</v>
      </c>
      <c r="AE645" s="11">
        <f>_xlfn.RANK.AVG(Tableau8[[#This Row],[EE ( MJ/m²)]],AD645:AD1800)</f>
        <v>407</v>
      </c>
      <c r="AF645" s="11">
        <f>AB645*AA645/H645/I645</f>
        <v>0.44107960856400696</v>
      </c>
      <c r="AG645" s="11">
        <f>(AC645)*AA645/H645</f>
        <v>9.4954637954751495E-2</v>
      </c>
      <c r="AH645" s="11">
        <f>AC645*AA645/H645</f>
        <v>9.4954637954751495E-2</v>
      </c>
      <c r="AI645" s="11">
        <f>(AC645)*AA645/H645/I645</f>
        <v>3.7981855181900601E-2</v>
      </c>
      <c r="AJ645" s="11">
        <f>AC645*AA645/H645/I645</f>
        <v>3.7981855181900601E-2</v>
      </c>
    </row>
    <row r="646" spans="1:36" x14ac:dyDescent="0.25">
      <c r="A646" s="4" t="s">
        <v>945</v>
      </c>
      <c r="B646" s="4" t="s">
        <v>961</v>
      </c>
      <c r="C646" s="4" t="s">
        <v>15</v>
      </c>
      <c r="D646" s="4" t="s">
        <v>942</v>
      </c>
      <c r="E646" t="s">
        <v>713</v>
      </c>
      <c r="F646" t="s">
        <v>256</v>
      </c>
      <c r="G646" t="s">
        <v>714</v>
      </c>
      <c r="H646">
        <f t="shared" si="163"/>
        <v>24</v>
      </c>
      <c r="I646">
        <v>2.5</v>
      </c>
      <c r="J646" t="s">
        <v>44</v>
      </c>
      <c r="K646" t="s">
        <v>17</v>
      </c>
      <c r="L646" t="s">
        <v>510</v>
      </c>
      <c r="M646" t="s">
        <v>12</v>
      </c>
      <c r="N646" t="s">
        <v>12</v>
      </c>
      <c r="T646">
        <v>1</v>
      </c>
      <c r="W646">
        <v>7800</v>
      </c>
      <c r="X646" t="s">
        <v>184</v>
      </c>
      <c r="AA646" s="13">
        <v>8.4</v>
      </c>
      <c r="AB646">
        <v>25.3</v>
      </c>
      <c r="AC646">
        <v>1.95</v>
      </c>
      <c r="AD646" s="11">
        <f>AB646*AA646/H646</f>
        <v>8.8550000000000004</v>
      </c>
      <c r="AE646" s="11">
        <f>_xlfn.RANK.AVG(Tableau8[[#This Row],[EE ( MJ/m²)]],AD646:AD1801)</f>
        <v>255.5</v>
      </c>
      <c r="AF646" s="11">
        <f>AB646*AA646/H646/I646</f>
        <v>3.5420000000000003</v>
      </c>
      <c r="AG646" s="11">
        <f>(AC646)*AA646/H646</f>
        <v>0.6825</v>
      </c>
      <c r="AH646" s="11">
        <f>AC646*AA646/H646</f>
        <v>0.6825</v>
      </c>
      <c r="AI646" s="11">
        <f>(AC646)*AA646/H646/I646</f>
        <v>0.27300000000000002</v>
      </c>
      <c r="AJ646" s="11">
        <f>AC646*AA646/H646/I646</f>
        <v>0.27300000000000002</v>
      </c>
    </row>
    <row r="647" spans="1:36" x14ac:dyDescent="0.25">
      <c r="A647" s="4" t="s">
        <v>945</v>
      </c>
      <c r="B647" s="4" t="s">
        <v>961</v>
      </c>
      <c r="C647" s="4" t="s">
        <v>15</v>
      </c>
      <c r="D647" s="4" t="s">
        <v>942</v>
      </c>
      <c r="E647" t="s">
        <v>713</v>
      </c>
      <c r="F647" t="s">
        <v>256</v>
      </c>
      <c r="G647" t="s">
        <v>714</v>
      </c>
      <c r="H647">
        <f t="shared" si="163"/>
        <v>24</v>
      </c>
      <c r="I647">
        <v>2.5</v>
      </c>
      <c r="J647" t="s">
        <v>13</v>
      </c>
      <c r="K647" t="s">
        <v>29</v>
      </c>
      <c r="L647" t="s">
        <v>368</v>
      </c>
      <c r="M647" t="s">
        <v>364</v>
      </c>
      <c r="N647" t="s">
        <v>432</v>
      </c>
      <c r="P647">
        <v>0.32</v>
      </c>
      <c r="Q647" t="s">
        <v>180</v>
      </c>
      <c r="R647" t="s">
        <v>175</v>
      </c>
      <c r="T647">
        <v>1</v>
      </c>
      <c r="W647">
        <v>2240</v>
      </c>
      <c r="X647" t="s">
        <v>184</v>
      </c>
      <c r="AA647" s="13">
        <f>Tableau8[[#This Row],[density (kg/m2) or specific weight (kg/m2)]]*Tableau8[[#This Row],[nb of item used ]]*Tableau8[[#This Row],[volume or area]]</f>
        <v>716.80000000000007</v>
      </c>
      <c r="AB647">
        <v>8.0999999999999996E-3</v>
      </c>
      <c r="AC647">
        <v>5.1000000000000004E-3</v>
      </c>
      <c r="AD647" s="11">
        <f>AB647*AA647/H647</f>
        <v>0.24192000000000002</v>
      </c>
      <c r="AE647" s="11">
        <f>_xlfn.RANK.AVG(Tableau8[[#This Row],[EE ( MJ/m²)]],AD647:AD1802)</f>
        <v>456</v>
      </c>
      <c r="AF647" s="11">
        <f>AB647*AA647/H647/I647</f>
        <v>9.6768000000000007E-2</v>
      </c>
      <c r="AG647" s="11">
        <f>(AC647)*AA647/H647</f>
        <v>0.15232000000000004</v>
      </c>
      <c r="AH647" s="11">
        <f>AC647*AA647/H647</f>
        <v>0.15232000000000004</v>
      </c>
      <c r="AI647" s="11">
        <f>(AC647)*AA647/H647/I647</f>
        <v>6.0928000000000017E-2</v>
      </c>
      <c r="AJ647" s="11">
        <f>AC647*AA647/H647/I647</f>
        <v>6.0928000000000017E-2</v>
      </c>
    </row>
    <row r="648" spans="1:36" x14ac:dyDescent="0.25">
      <c r="A648" s="4" t="s">
        <v>945</v>
      </c>
      <c r="B648" s="4" t="s">
        <v>961</v>
      </c>
      <c r="C648" s="4" t="s">
        <v>15</v>
      </c>
      <c r="D648" s="4" t="s">
        <v>942</v>
      </c>
      <c r="E648" t="s">
        <v>713</v>
      </c>
      <c r="F648" t="s">
        <v>256</v>
      </c>
      <c r="G648" t="s">
        <v>714</v>
      </c>
      <c r="H648">
        <f t="shared" si="163"/>
        <v>24</v>
      </c>
      <c r="I648">
        <v>2.5</v>
      </c>
      <c r="J648" t="s">
        <v>13</v>
      </c>
      <c r="K648" t="s">
        <v>18</v>
      </c>
      <c r="L648" t="s">
        <v>416</v>
      </c>
      <c r="M648" t="s">
        <v>363</v>
      </c>
      <c r="N648" t="s">
        <v>431</v>
      </c>
      <c r="R648" t="s">
        <v>175</v>
      </c>
      <c r="T648">
        <v>1</v>
      </c>
      <c r="W648">
        <v>1860</v>
      </c>
      <c r="X648" t="s">
        <v>184</v>
      </c>
      <c r="AA648" s="13">
        <f>2*42.5</f>
        <v>85</v>
      </c>
      <c r="AB648">
        <v>4.51</v>
      </c>
      <c r="AC648">
        <v>0.74</v>
      </c>
      <c r="AD648" s="11">
        <f>AB648*AA648/H648</f>
        <v>15.972916666666665</v>
      </c>
      <c r="AE648" s="11">
        <f>_xlfn.RANK.AVG(Tableau8[[#This Row],[EE ( MJ/m²)]],AD648:AD1803)</f>
        <v>206</v>
      </c>
      <c r="AF648" s="11">
        <f>AB648*AA648/H648/I648</f>
        <v>6.3891666666666662</v>
      </c>
      <c r="AG648" s="11">
        <f>(AC648)*AA648/H648</f>
        <v>2.6208333333333331</v>
      </c>
      <c r="AH648" s="11">
        <f>AC648*AA648/H648</f>
        <v>2.6208333333333331</v>
      </c>
      <c r="AI648" s="11">
        <f>(AC648)*AA648/H648/I648</f>
        <v>1.0483333333333333</v>
      </c>
      <c r="AJ648" s="11">
        <f>AC648*AA648/H648/I648</f>
        <v>1.0483333333333333</v>
      </c>
    </row>
    <row r="649" spans="1:36" x14ac:dyDescent="0.25">
      <c r="A649" s="4" t="s">
        <v>945</v>
      </c>
      <c r="B649" s="4" t="s">
        <v>961</v>
      </c>
      <c r="C649" s="4" t="s">
        <v>15</v>
      </c>
      <c r="D649" s="4" t="s">
        <v>942</v>
      </c>
      <c r="E649" t="s">
        <v>713</v>
      </c>
      <c r="F649" t="s">
        <v>256</v>
      </c>
      <c r="G649" t="s">
        <v>714</v>
      </c>
      <c r="H649">
        <f t="shared" si="163"/>
        <v>24</v>
      </c>
      <c r="I649">
        <v>2.5</v>
      </c>
      <c r="J649" t="s">
        <v>40</v>
      </c>
      <c r="K649" t="s">
        <v>15</v>
      </c>
      <c r="L649" t="s">
        <v>716</v>
      </c>
      <c r="M649" t="s">
        <v>443</v>
      </c>
      <c r="N649" t="s">
        <v>235</v>
      </c>
      <c r="P649">
        <f>((PI()*(0.04^2))-(PI()*(0.0328^2)))*0.45</f>
        <v>7.4101374238753144E-4</v>
      </c>
      <c r="Q649" t="s">
        <v>180</v>
      </c>
      <c r="R649" t="s">
        <v>175</v>
      </c>
      <c r="T649">
        <v>5</v>
      </c>
      <c r="W649">
        <v>100</v>
      </c>
      <c r="X649" t="s">
        <v>184</v>
      </c>
      <c r="AA649" s="13">
        <f>Tableau8[[#This Row],[density (kg/m2) or specific weight (kg/m2)]]*Tableau8[[#This Row],[nb of item used ]]*Tableau8[[#This Row],[volume or area]]</f>
        <v>0.37050687119376574</v>
      </c>
      <c r="AB649">
        <v>13.13</v>
      </c>
      <c r="AC649">
        <v>12.37</v>
      </c>
      <c r="AD649" s="11">
        <f>AB649*(AA649/Tableau8[[#This Row],[density (kg/m2) or specific weight (kg/m2)]])/H649</f>
        <v>2.0269813411558936E-3</v>
      </c>
      <c r="AE649" s="11">
        <f>_xlfn.RANK.AVG(Tableau8[[#This Row],[EE ( MJ/m²)]],AD649:AD1804)</f>
        <v>506</v>
      </c>
      <c r="AF649" s="11">
        <f>AB649*(AA649/Tableau8[[#This Row],[density (kg/m2) or specific weight (kg/m2)]])/H649/I649</f>
        <v>8.1079253646235746E-4</v>
      </c>
      <c r="AG649" s="11">
        <f>(AC649)*(AA649/Tableau8[[#This Row],[density (kg/m2) or specific weight (kg/m2)]])/H649</f>
        <v>1.9096541652778673E-3</v>
      </c>
      <c r="AH649" s="11">
        <f>AC649*(AA649/Tableau8[[#This Row],[density (kg/m2) or specific weight (kg/m2)]])/H649</f>
        <v>1.9096541652778673E-3</v>
      </c>
      <c r="AI649" s="11">
        <f>(AC649)*(AA649/Tableau8[[#This Row],[density (kg/m2) or specific weight (kg/m2)]])/H649/I649</f>
        <v>7.6386166611114694E-4</v>
      </c>
      <c r="AJ649" s="11">
        <f>AC649*(AA649/Tableau8[[#This Row],[density (kg/m2) or specific weight (kg/m2)]])/H649/I649</f>
        <v>7.6386166611114694E-4</v>
      </c>
    </row>
    <row r="650" spans="1:36" x14ac:dyDescent="0.25">
      <c r="A650" s="4" t="s">
        <v>945</v>
      </c>
      <c r="B650" s="4" t="s">
        <v>961</v>
      </c>
      <c r="C650" s="4" t="s">
        <v>15</v>
      </c>
      <c r="D650" s="4" t="s">
        <v>942</v>
      </c>
      <c r="E650" t="s">
        <v>713</v>
      </c>
      <c r="F650" t="s">
        <v>256</v>
      </c>
      <c r="G650" t="s">
        <v>714</v>
      </c>
      <c r="H650">
        <f t="shared" si="163"/>
        <v>24</v>
      </c>
      <c r="I650">
        <v>2.5</v>
      </c>
      <c r="J650" t="s">
        <v>40</v>
      </c>
      <c r="K650" t="s">
        <v>15</v>
      </c>
      <c r="L650" t="s">
        <v>717</v>
      </c>
      <c r="M650" t="s">
        <v>443</v>
      </c>
      <c r="N650" t="s">
        <v>235</v>
      </c>
      <c r="P650">
        <f>((PI()*(0.075^2))-(PI()*(0.0625^2)))*2.66</f>
        <v>1.4362968913130839E-2</v>
      </c>
      <c r="Q650" t="s">
        <v>180</v>
      </c>
      <c r="R650" t="s">
        <v>175</v>
      </c>
      <c r="T650">
        <v>4</v>
      </c>
      <c r="W650">
        <v>100</v>
      </c>
      <c r="X650" t="s">
        <v>184</v>
      </c>
      <c r="AA650" s="13">
        <f>Tableau8[[#This Row],[density (kg/m2) or specific weight (kg/m2)]]*Tableau8[[#This Row],[nb of item used ]]*Tableau8[[#This Row],[volume or area]]</f>
        <v>5.7451875652523352</v>
      </c>
      <c r="AB650">
        <v>13.13</v>
      </c>
      <c r="AC650">
        <v>12.37</v>
      </c>
      <c r="AD650" s="11">
        <f>AB650*(AA650/Tableau8[[#This Row],[density (kg/m2) or specific weight (kg/m2)]])/H650</f>
        <v>3.1430963638234652E-2</v>
      </c>
      <c r="AE650" s="11">
        <f>_xlfn.RANK.AVG(Tableau8[[#This Row],[EE ( MJ/m²)]],AD650:AD1805)</f>
        <v>477</v>
      </c>
      <c r="AF650" s="11">
        <f>AB650*(AA650/Tableau8[[#This Row],[density (kg/m2) or specific weight (kg/m2)]])/H650/I650</f>
        <v>1.257238545529386E-2</v>
      </c>
      <c r="AG650" s="11">
        <f>(AC650)*(AA650/Tableau8[[#This Row],[density (kg/m2) or specific weight (kg/m2)]])/H650</f>
        <v>2.9611654242571409E-2</v>
      </c>
      <c r="AH650" s="11">
        <f>AC650*(AA650/Tableau8[[#This Row],[density (kg/m2) or specific weight (kg/m2)]])/H650</f>
        <v>2.9611654242571409E-2</v>
      </c>
      <c r="AI650" s="11">
        <f>(AC650)*(AA650/Tableau8[[#This Row],[density (kg/m2) or specific weight (kg/m2)]])/H650/I650</f>
        <v>1.1844661697028563E-2</v>
      </c>
      <c r="AJ650" s="11">
        <f>AC650*(AA650/Tableau8[[#This Row],[density (kg/m2) or specific weight (kg/m2)]])/H650/I650</f>
        <v>1.1844661697028563E-2</v>
      </c>
    </row>
    <row r="651" spans="1:36" x14ac:dyDescent="0.25">
      <c r="A651" s="4" t="s">
        <v>945</v>
      </c>
      <c r="B651" s="4" t="s">
        <v>961</v>
      </c>
      <c r="C651" s="4" t="s">
        <v>15</v>
      </c>
      <c r="D651" s="4" t="s">
        <v>942</v>
      </c>
      <c r="E651" t="s">
        <v>713</v>
      </c>
      <c r="F651" t="s">
        <v>256</v>
      </c>
      <c r="G651" t="s">
        <v>714</v>
      </c>
      <c r="H651">
        <f t="shared" si="163"/>
        <v>24</v>
      </c>
      <c r="I651">
        <v>2.5</v>
      </c>
      <c r="J651" t="s">
        <v>730</v>
      </c>
      <c r="K651" t="s">
        <v>15</v>
      </c>
      <c r="L651" t="s">
        <v>718</v>
      </c>
      <c r="M651" t="s">
        <v>443</v>
      </c>
      <c r="N651" t="s">
        <v>235</v>
      </c>
      <c r="P651">
        <f>((PI()*(0.04^2))-(PI()*(0.0328^2)))*6.08</f>
        <v>1.0011919008258202E-2</v>
      </c>
      <c r="Q651" t="s">
        <v>180</v>
      </c>
      <c r="R651" t="s">
        <v>175</v>
      </c>
      <c r="T651">
        <v>4</v>
      </c>
      <c r="W651">
        <v>100</v>
      </c>
      <c r="X651" t="s">
        <v>184</v>
      </c>
      <c r="AA651" s="13">
        <f>Tableau8[[#This Row],[density (kg/m2) or specific weight (kg/m2)]]*Tableau8[[#This Row],[nb of item used ]]*Tableau8[[#This Row],[volume or area]]</f>
        <v>4.0047676033032813</v>
      </c>
      <c r="AB651">
        <v>13.13</v>
      </c>
      <c r="AC651">
        <v>12.37</v>
      </c>
      <c r="AD651" s="11">
        <f>AB651*(AA651/Tableau8[[#This Row],[density (kg/m2) or specific weight (kg/m2)]])/H651</f>
        <v>2.1909416096405034E-2</v>
      </c>
      <c r="AE651" s="11">
        <f>_xlfn.RANK.AVG(Tableau8[[#This Row],[EE ( MJ/m²)]],AD651:AD1806)</f>
        <v>480</v>
      </c>
      <c r="AF651" s="11">
        <f>AB651*(AA651/Tableau8[[#This Row],[density (kg/m2) or specific weight (kg/m2)]])/H651/I651</f>
        <v>8.7637664385620141E-3</v>
      </c>
      <c r="AG651" s="11">
        <f>(AC651)*(AA651/Tableau8[[#This Row],[density (kg/m2) or specific weight (kg/m2)]])/H651</f>
        <v>2.0641239688692328E-2</v>
      </c>
      <c r="AH651" s="11">
        <f>AC651*(AA651/Tableau8[[#This Row],[density (kg/m2) or specific weight (kg/m2)]])/H651</f>
        <v>2.0641239688692328E-2</v>
      </c>
      <c r="AI651" s="11">
        <f>(AC651)*(AA651/Tableau8[[#This Row],[density (kg/m2) or specific weight (kg/m2)]])/H651/I651</f>
        <v>8.2564958754769314E-3</v>
      </c>
      <c r="AJ651" s="11">
        <f>AC651*(AA651/Tableau8[[#This Row],[density (kg/m2) or specific weight (kg/m2)]])/H651/I651</f>
        <v>8.2564958754769314E-3</v>
      </c>
    </row>
    <row r="652" spans="1:36" x14ac:dyDescent="0.25">
      <c r="A652" s="4" t="s">
        <v>945</v>
      </c>
      <c r="B652" s="4" t="s">
        <v>961</v>
      </c>
      <c r="C652" s="4" t="s">
        <v>15</v>
      </c>
      <c r="D652" s="4" t="s">
        <v>942</v>
      </c>
      <c r="E652" t="s">
        <v>713</v>
      </c>
      <c r="F652" t="s">
        <v>256</v>
      </c>
      <c r="G652" t="s">
        <v>714</v>
      </c>
      <c r="H652">
        <f t="shared" si="163"/>
        <v>24</v>
      </c>
      <c r="I652">
        <v>2.5</v>
      </c>
      <c r="J652" t="s">
        <v>730</v>
      </c>
      <c r="K652" t="s">
        <v>15</v>
      </c>
      <c r="L652" t="s">
        <v>719</v>
      </c>
      <c r="M652" t="s">
        <v>443</v>
      </c>
      <c r="N652" t="s">
        <v>235</v>
      </c>
      <c r="P652">
        <f>((PI()*(0.04^2))-(PI()*(0.0328^2)))*4</f>
        <v>6.5867888212225011E-3</v>
      </c>
      <c r="Q652" t="s">
        <v>180</v>
      </c>
      <c r="R652" t="s">
        <v>175</v>
      </c>
      <c r="T652">
        <v>5</v>
      </c>
      <c r="W652">
        <v>100</v>
      </c>
      <c r="X652" t="s">
        <v>184</v>
      </c>
      <c r="AA652" s="13">
        <f>Tableau8[[#This Row],[density (kg/m2) or specific weight (kg/m2)]]*Tableau8[[#This Row],[nb of item used ]]*Tableau8[[#This Row],[volume or area]]</f>
        <v>3.2933944106112505</v>
      </c>
      <c r="AB652">
        <v>13.13</v>
      </c>
      <c r="AC652">
        <v>12.37</v>
      </c>
      <c r="AD652" s="11">
        <f>AB652*(AA652/Tableau8[[#This Row],[density (kg/m2) or specific weight (kg/m2)]])/H652</f>
        <v>1.8017611921385717E-2</v>
      </c>
      <c r="AE652" s="11">
        <f>_xlfn.RANK.AVG(Tableau8[[#This Row],[EE ( MJ/m²)]],AD652:AD1807)</f>
        <v>480</v>
      </c>
      <c r="AF652" s="11">
        <f>AB652*(AA652/Tableau8[[#This Row],[density (kg/m2) or specific weight (kg/m2)]])/H652/I652</f>
        <v>7.2070447685542872E-3</v>
      </c>
      <c r="AG652" s="11">
        <f>(AC652)*(AA652/Tableau8[[#This Row],[density (kg/m2) or specific weight (kg/m2)]])/H652</f>
        <v>1.6974703691358822E-2</v>
      </c>
      <c r="AH652" s="11">
        <f>AC652*(AA652/Tableau8[[#This Row],[density (kg/m2) or specific weight (kg/m2)]])/H652</f>
        <v>1.6974703691358822E-2</v>
      </c>
      <c r="AI652" s="11">
        <f>(AC652)*(AA652/Tableau8[[#This Row],[density (kg/m2) or specific weight (kg/m2)]])/H652/I652</f>
        <v>6.7898814765435288E-3</v>
      </c>
      <c r="AJ652" s="11">
        <f>AC652*(AA652/Tableau8[[#This Row],[density (kg/m2) or specific weight (kg/m2)]])/H652/I652</f>
        <v>6.7898814765435288E-3</v>
      </c>
    </row>
    <row r="653" spans="1:36" x14ac:dyDescent="0.25">
      <c r="A653" s="4" t="s">
        <v>945</v>
      </c>
      <c r="B653" s="4" t="s">
        <v>961</v>
      </c>
      <c r="C653" s="4" t="s">
        <v>15</v>
      </c>
      <c r="D653" s="4" t="s">
        <v>942</v>
      </c>
      <c r="E653" t="s">
        <v>713</v>
      </c>
      <c r="F653" t="s">
        <v>256</v>
      </c>
      <c r="G653" t="s">
        <v>714</v>
      </c>
      <c r="H653">
        <f t="shared" si="163"/>
        <v>24</v>
      </c>
      <c r="I653">
        <v>2.5</v>
      </c>
      <c r="J653" t="s">
        <v>40</v>
      </c>
      <c r="K653" t="s">
        <v>15</v>
      </c>
      <c r="L653" t="s">
        <v>720</v>
      </c>
      <c r="M653" t="s">
        <v>443</v>
      </c>
      <c r="N653" t="s">
        <v>235</v>
      </c>
      <c r="P653">
        <f>((PI()*(0.04^2))-(PI()*(0.0328^2)))*3.5</f>
        <v>5.7634402185696883E-3</v>
      </c>
      <c r="Q653" t="s">
        <v>180</v>
      </c>
      <c r="R653" t="s">
        <v>175</v>
      </c>
      <c r="T653">
        <v>10</v>
      </c>
      <c r="W653">
        <v>100</v>
      </c>
      <c r="X653" t="s">
        <v>184</v>
      </c>
      <c r="AA653" s="13">
        <f>Tableau8[[#This Row],[density (kg/m2) or specific weight (kg/m2)]]*Tableau8[[#This Row],[nb of item used ]]*Tableau8[[#This Row],[volume or area]]</f>
        <v>5.7634402185696887</v>
      </c>
      <c r="AB653">
        <v>13.13</v>
      </c>
      <c r="AC653">
        <v>12.37</v>
      </c>
      <c r="AD653" s="11">
        <f>AB653*(AA653/Tableau8[[#This Row],[density (kg/m2) or specific weight (kg/m2)]])/H653</f>
        <v>3.1530820862425007E-2</v>
      </c>
      <c r="AE653" s="11">
        <f>_xlfn.RANK.AVG(Tableau8[[#This Row],[EE ( MJ/m²)]],AD653:AD1808)</f>
        <v>476</v>
      </c>
      <c r="AF653" s="11">
        <f>AB653*(AA653/Tableau8[[#This Row],[density (kg/m2) or specific weight (kg/m2)]])/H653/I653</f>
        <v>1.2612328344970003E-2</v>
      </c>
      <c r="AG653" s="11">
        <f>(AC653)*(AA653/Tableau8[[#This Row],[density (kg/m2) or specific weight (kg/m2)]])/H653</f>
        <v>2.9705731459877937E-2</v>
      </c>
      <c r="AH653" s="11">
        <f>AC653*(AA653/Tableau8[[#This Row],[density (kg/m2) or specific weight (kg/m2)]])/H653</f>
        <v>2.9705731459877937E-2</v>
      </c>
      <c r="AI653" s="11">
        <f>(AC653)*(AA653/Tableau8[[#This Row],[density (kg/m2) or specific weight (kg/m2)]])/H653/I653</f>
        <v>1.1882292583951175E-2</v>
      </c>
      <c r="AJ653" s="11">
        <f>AC653*(AA653/Tableau8[[#This Row],[density (kg/m2) or specific weight (kg/m2)]])/H653/I653</f>
        <v>1.1882292583951175E-2</v>
      </c>
    </row>
    <row r="654" spans="1:36" x14ac:dyDescent="0.25">
      <c r="A654" s="4" t="s">
        <v>945</v>
      </c>
      <c r="B654" s="4" t="s">
        <v>961</v>
      </c>
      <c r="C654" s="4" t="s">
        <v>15</v>
      </c>
      <c r="D654" s="4" t="s">
        <v>942</v>
      </c>
      <c r="E654" t="s">
        <v>713</v>
      </c>
      <c r="F654" t="s">
        <v>256</v>
      </c>
      <c r="G654" t="s">
        <v>714</v>
      </c>
      <c r="H654">
        <f t="shared" si="163"/>
        <v>24</v>
      </c>
      <c r="I654">
        <v>2.5</v>
      </c>
      <c r="J654" t="s">
        <v>40</v>
      </c>
      <c r="K654" t="s">
        <v>15</v>
      </c>
      <c r="L654" t="s">
        <v>721</v>
      </c>
      <c r="M654" t="s">
        <v>443</v>
      </c>
      <c r="N654" t="s">
        <v>235</v>
      </c>
      <c r="P654">
        <f>((PI()*(0.04^2))-(PI()*(0.0328^2)))*2.75</f>
        <v>4.5284173145904699E-3</v>
      </c>
      <c r="Q654" t="s">
        <v>180</v>
      </c>
      <c r="R654" t="s">
        <v>175</v>
      </c>
      <c r="T654">
        <v>2</v>
      </c>
      <c r="W654">
        <v>100</v>
      </c>
      <c r="X654" t="s">
        <v>184</v>
      </c>
      <c r="AA654" s="13">
        <f>Tableau8[[#This Row],[density (kg/m2) or specific weight (kg/m2)]]*Tableau8[[#This Row],[nb of item used ]]*Tableau8[[#This Row],[volume or area]]</f>
        <v>0.90568346291809398</v>
      </c>
      <c r="AB654">
        <v>13.13</v>
      </c>
      <c r="AC654">
        <v>12.37</v>
      </c>
      <c r="AD654" s="11">
        <f>AB654*(AA654/Tableau8[[#This Row],[density (kg/m2) or specific weight (kg/m2)]])/H654</f>
        <v>4.954843278381073E-3</v>
      </c>
      <c r="AE654" s="11">
        <f>_xlfn.RANK.AVG(Tableau8[[#This Row],[EE ( MJ/m²)]],AD654:AD1809)</f>
        <v>497</v>
      </c>
      <c r="AF654" s="11">
        <f>AB654*(AA654/Tableau8[[#This Row],[density (kg/m2) or specific weight (kg/m2)]])/H654/I654</f>
        <v>1.9819373113524291E-3</v>
      </c>
      <c r="AG654" s="11">
        <f>(AC654)*(AA654/Tableau8[[#This Row],[density (kg/m2) or specific weight (kg/m2)]])/H654</f>
        <v>4.6680435151236757E-3</v>
      </c>
      <c r="AH654" s="11">
        <f>AC654*(AA654/Tableau8[[#This Row],[density (kg/m2) or specific weight (kg/m2)]])/H654</f>
        <v>4.6680435151236757E-3</v>
      </c>
      <c r="AI654" s="11">
        <f>(AC654)*(AA654/Tableau8[[#This Row],[density (kg/m2) or specific weight (kg/m2)]])/H654/I654</f>
        <v>1.8672174060494703E-3</v>
      </c>
      <c r="AJ654" s="11">
        <f>AC654*(AA654/Tableau8[[#This Row],[density (kg/m2) or specific weight (kg/m2)]])/H654/I654</f>
        <v>1.8672174060494703E-3</v>
      </c>
    </row>
    <row r="655" spans="1:36" x14ac:dyDescent="0.25">
      <c r="A655" s="4" t="s">
        <v>945</v>
      </c>
      <c r="B655" s="4" t="s">
        <v>961</v>
      </c>
      <c r="C655" s="4" t="s">
        <v>15</v>
      </c>
      <c r="D655" s="4" t="s">
        <v>942</v>
      </c>
      <c r="E655" t="s">
        <v>713</v>
      </c>
      <c r="F655" t="s">
        <v>256</v>
      </c>
      <c r="G655" t="s">
        <v>714</v>
      </c>
      <c r="H655">
        <f t="shared" si="163"/>
        <v>24</v>
      </c>
      <c r="I655">
        <v>2.5</v>
      </c>
      <c r="J655" t="s">
        <v>40</v>
      </c>
      <c r="K655" t="s">
        <v>15</v>
      </c>
      <c r="L655" t="s">
        <v>722</v>
      </c>
      <c r="M655" t="s">
        <v>443</v>
      </c>
      <c r="N655" t="s">
        <v>235</v>
      </c>
      <c r="P655">
        <f>((PI()*(0.04^2))-(PI()*(0.0328^2)))*2.15</f>
        <v>3.5403989914070942E-3</v>
      </c>
      <c r="Q655" t="s">
        <v>180</v>
      </c>
      <c r="R655" t="s">
        <v>175</v>
      </c>
      <c r="T655">
        <v>1</v>
      </c>
      <c r="W655">
        <v>100</v>
      </c>
      <c r="X655" t="s">
        <v>184</v>
      </c>
      <c r="AA655" s="13">
        <f>Tableau8[[#This Row],[density (kg/m2) or specific weight (kg/m2)]]*Tableau8[[#This Row],[nb of item used ]]*Tableau8[[#This Row],[volume or area]]</f>
        <v>0.35403989914070944</v>
      </c>
      <c r="AB655">
        <v>13.13</v>
      </c>
      <c r="AC655">
        <v>12.37</v>
      </c>
      <c r="AD655" s="11">
        <f>AB655*(AA655/Tableau8[[#This Row],[density (kg/m2) or specific weight (kg/m2)]])/H655</f>
        <v>1.9368932815489643E-3</v>
      </c>
      <c r="AE655" s="11">
        <f>_xlfn.RANK.AVG(Tableau8[[#This Row],[EE ( MJ/m²)]],AD655:AD1810)</f>
        <v>501</v>
      </c>
      <c r="AF655" s="11">
        <f>AB655*(AA655/Tableau8[[#This Row],[density (kg/m2) or specific weight (kg/m2)]])/H655/I655</f>
        <v>7.7475731261958576E-4</v>
      </c>
      <c r="AG655" s="11">
        <f>(AC655)*(AA655/Tableau8[[#This Row],[density (kg/m2) or specific weight (kg/m2)]])/H655</f>
        <v>1.8247806468210731E-3</v>
      </c>
      <c r="AH655" s="11">
        <f>AC655*(AA655/Tableau8[[#This Row],[density (kg/m2) or specific weight (kg/m2)]])/H655</f>
        <v>1.8247806468210731E-3</v>
      </c>
      <c r="AI655" s="11">
        <f>(AC655)*(AA655/Tableau8[[#This Row],[density (kg/m2) or specific weight (kg/m2)]])/H655/I655</f>
        <v>7.2991225872842918E-4</v>
      </c>
      <c r="AJ655" s="11">
        <f>AC655*(AA655/Tableau8[[#This Row],[density (kg/m2) or specific weight (kg/m2)]])/H655/I655</f>
        <v>7.2991225872842918E-4</v>
      </c>
    </row>
    <row r="656" spans="1:36" x14ac:dyDescent="0.25">
      <c r="A656" s="4" t="s">
        <v>945</v>
      </c>
      <c r="B656" s="4" t="s">
        <v>961</v>
      </c>
      <c r="C656" s="4" t="s">
        <v>15</v>
      </c>
      <c r="D656" s="4" t="s">
        <v>942</v>
      </c>
      <c r="E656" t="s">
        <v>713</v>
      </c>
      <c r="F656" t="s">
        <v>256</v>
      </c>
      <c r="G656" t="s">
        <v>714</v>
      </c>
      <c r="H656">
        <f t="shared" si="163"/>
        <v>24</v>
      </c>
      <c r="I656">
        <v>2.5</v>
      </c>
      <c r="J656" t="s">
        <v>56</v>
      </c>
      <c r="K656" t="s">
        <v>15</v>
      </c>
      <c r="L656" t="s">
        <v>723</v>
      </c>
      <c r="M656" t="s">
        <v>443</v>
      </c>
      <c r="N656" t="s">
        <v>235</v>
      </c>
      <c r="P656">
        <f>((PI()*(0.04^2))-(PI()*(0.0328^2)))*1.65</f>
        <v>2.7170503887542817E-3</v>
      </c>
      <c r="Q656" t="s">
        <v>180</v>
      </c>
      <c r="R656" t="s">
        <v>175</v>
      </c>
      <c r="T656">
        <v>4</v>
      </c>
      <c r="W656">
        <v>100</v>
      </c>
      <c r="X656" t="s">
        <v>184</v>
      </c>
      <c r="AA656" s="13">
        <f>Tableau8[[#This Row],[density (kg/m2) or specific weight (kg/m2)]]*Tableau8[[#This Row],[nb of item used ]]*Tableau8[[#This Row],[volume or area]]</f>
        <v>1.0868201555017127</v>
      </c>
      <c r="AB656">
        <v>13.13</v>
      </c>
      <c r="AC656">
        <v>12.37</v>
      </c>
      <c r="AD656" s="11">
        <f>AB656*(AA656/Tableau8[[#This Row],[density (kg/m2) or specific weight (kg/m2)]])/H656</f>
        <v>5.9458119340572877E-3</v>
      </c>
      <c r="AE656" s="11">
        <f>_xlfn.RANK.AVG(Tableau8[[#This Row],[EE ( MJ/m²)]],AD656:AD1811)</f>
        <v>495</v>
      </c>
      <c r="AF656" s="11">
        <f>AB656*(AA656/Tableau8[[#This Row],[density (kg/m2) or specific weight (kg/m2)]])/H656/I656</f>
        <v>2.3783247736229151E-3</v>
      </c>
      <c r="AG656" s="11">
        <f>(AC656)*(AA656/Tableau8[[#This Row],[density (kg/m2) or specific weight (kg/m2)]])/H656</f>
        <v>5.6016522181484103E-3</v>
      </c>
      <c r="AH656" s="11">
        <f>AC656*(AA656/Tableau8[[#This Row],[density (kg/m2) or specific weight (kg/m2)]])/H656</f>
        <v>5.6016522181484103E-3</v>
      </c>
      <c r="AI656" s="11">
        <f>(AC656)*(AA656/Tableau8[[#This Row],[density (kg/m2) or specific weight (kg/m2)]])/H656/I656</f>
        <v>2.2406608872593643E-3</v>
      </c>
      <c r="AJ656" s="11">
        <f>AC656*(AA656/Tableau8[[#This Row],[density (kg/m2) or specific weight (kg/m2)]])/H656/I656</f>
        <v>2.2406608872593643E-3</v>
      </c>
    </row>
    <row r="657" spans="1:36" x14ac:dyDescent="0.25">
      <c r="A657" s="4" t="s">
        <v>945</v>
      </c>
      <c r="B657" s="4" t="s">
        <v>961</v>
      </c>
      <c r="C657" s="4" t="s">
        <v>15</v>
      </c>
      <c r="D657" s="4" t="s">
        <v>942</v>
      </c>
      <c r="E657" t="s">
        <v>713</v>
      </c>
      <c r="F657" t="s">
        <v>256</v>
      </c>
      <c r="G657" t="s">
        <v>714</v>
      </c>
      <c r="H657">
        <f t="shared" si="163"/>
        <v>24</v>
      </c>
      <c r="I657">
        <v>2.5</v>
      </c>
      <c r="J657" t="s">
        <v>56</v>
      </c>
      <c r="K657" t="s">
        <v>15</v>
      </c>
      <c r="L657" t="s">
        <v>724</v>
      </c>
      <c r="M657" t="s">
        <v>443</v>
      </c>
      <c r="N657" t="s">
        <v>235</v>
      </c>
      <c r="P657">
        <f>((PI()*(0.04^2))-(PI()*(0.0328^2)))*3.5</f>
        <v>5.7634402185696883E-3</v>
      </c>
      <c r="Q657" t="s">
        <v>180</v>
      </c>
      <c r="R657" t="s">
        <v>175</v>
      </c>
      <c r="T657">
        <v>2</v>
      </c>
      <c r="W657">
        <v>100</v>
      </c>
      <c r="X657" t="s">
        <v>184</v>
      </c>
      <c r="AA657" s="13">
        <f>Tableau8[[#This Row],[density (kg/m2) or specific weight (kg/m2)]]*Tableau8[[#This Row],[nb of item used ]]*Tableau8[[#This Row],[volume or area]]</f>
        <v>1.1526880437139377</v>
      </c>
      <c r="AB657">
        <v>13.13</v>
      </c>
      <c r="AC657">
        <v>12.37</v>
      </c>
      <c r="AD657" s="11">
        <f>AB657*(AA657/Tableau8[[#This Row],[density (kg/m2) or specific weight (kg/m2)]])/H657</f>
        <v>6.3061641724850015E-3</v>
      </c>
      <c r="AE657" s="11">
        <f>_xlfn.RANK.AVG(Tableau8[[#This Row],[EE ( MJ/m²)]],AD657:AD1812)</f>
        <v>492</v>
      </c>
      <c r="AF657" s="11">
        <f>AB657*(AA657/Tableau8[[#This Row],[density (kg/m2) or specific weight (kg/m2)]])/H657/I657</f>
        <v>2.5224656689940006E-3</v>
      </c>
      <c r="AG657" s="11">
        <f>(AC657)*(AA657/Tableau8[[#This Row],[density (kg/m2) or specific weight (kg/m2)]])/H657</f>
        <v>5.9411462919755865E-3</v>
      </c>
      <c r="AH657" s="11">
        <f>AC657*(AA657/Tableau8[[#This Row],[density (kg/m2) or specific weight (kg/m2)]])/H657</f>
        <v>5.9411462919755865E-3</v>
      </c>
      <c r="AI657" s="11">
        <f>(AC657)*(AA657/Tableau8[[#This Row],[density (kg/m2) or specific weight (kg/m2)]])/H657/I657</f>
        <v>2.3764585167902344E-3</v>
      </c>
      <c r="AJ657" s="11">
        <f>AC657*(AA657/Tableau8[[#This Row],[density (kg/m2) or specific weight (kg/m2)]])/H657/I657</f>
        <v>2.3764585167902344E-3</v>
      </c>
    </row>
    <row r="658" spans="1:36" x14ac:dyDescent="0.25">
      <c r="A658" s="4" t="s">
        <v>945</v>
      </c>
      <c r="B658" s="4" t="s">
        <v>961</v>
      </c>
      <c r="C658" s="4" t="s">
        <v>15</v>
      </c>
      <c r="D658" s="4" t="s">
        <v>942</v>
      </c>
      <c r="E658" t="s">
        <v>713</v>
      </c>
      <c r="F658" t="s">
        <v>256</v>
      </c>
      <c r="G658" t="s">
        <v>714</v>
      </c>
      <c r="H658">
        <f t="shared" si="163"/>
        <v>24</v>
      </c>
      <c r="I658">
        <v>2.5</v>
      </c>
      <c r="J658" t="s">
        <v>56</v>
      </c>
      <c r="K658" t="s">
        <v>15</v>
      </c>
      <c r="L658" t="s">
        <v>725</v>
      </c>
      <c r="M658" t="s">
        <v>443</v>
      </c>
      <c r="N658" t="s">
        <v>235</v>
      </c>
      <c r="P658">
        <f>((PI()*(0.04^2))-(PI()*(0.0328^2)))*6.08</f>
        <v>1.0011919008258202E-2</v>
      </c>
      <c r="Q658" t="s">
        <v>180</v>
      </c>
      <c r="R658" t="s">
        <v>175</v>
      </c>
      <c r="T658">
        <v>2</v>
      </c>
      <c r="W658">
        <v>100</v>
      </c>
      <c r="X658" t="s">
        <v>184</v>
      </c>
      <c r="AA658" s="13">
        <f>Tableau8[[#This Row],[density (kg/m2) or specific weight (kg/m2)]]*Tableau8[[#This Row],[nb of item used ]]*Tableau8[[#This Row],[volume or area]]</f>
        <v>2.0023838016516406</v>
      </c>
      <c r="AB658">
        <v>13.13</v>
      </c>
      <c r="AC658">
        <v>12.37</v>
      </c>
      <c r="AD658" s="11">
        <f>AB658*(AA658/Tableau8[[#This Row],[density (kg/m2) or specific weight (kg/m2)]])/H658</f>
        <v>1.0954708048202517E-2</v>
      </c>
      <c r="AE658" s="11">
        <f>_xlfn.RANK.AVG(Tableau8[[#This Row],[EE ( MJ/m²)]],AD658:AD1813)</f>
        <v>484</v>
      </c>
      <c r="AF658" s="11">
        <f>AB658*(AA658/Tableau8[[#This Row],[density (kg/m2) or specific weight (kg/m2)]])/H658/I658</f>
        <v>4.381883219281007E-3</v>
      </c>
      <c r="AG658" s="11">
        <f>(AC658)*(AA658/Tableau8[[#This Row],[density (kg/m2) or specific weight (kg/m2)]])/H658</f>
        <v>1.0320619844346164E-2</v>
      </c>
      <c r="AH658" s="11">
        <f>AC658*(AA658/Tableau8[[#This Row],[density (kg/m2) or specific weight (kg/m2)]])/H658</f>
        <v>1.0320619844346164E-2</v>
      </c>
      <c r="AI658" s="11">
        <f>(AC658)*(AA658/Tableau8[[#This Row],[density (kg/m2) or specific weight (kg/m2)]])/H658/I658</f>
        <v>4.1282479377384657E-3</v>
      </c>
      <c r="AJ658" s="11">
        <f>AC658*(AA658/Tableau8[[#This Row],[density (kg/m2) or specific weight (kg/m2)]])/H658/I658</f>
        <v>4.1282479377384657E-3</v>
      </c>
    </row>
    <row r="659" spans="1:36" x14ac:dyDescent="0.25">
      <c r="A659" s="4" t="s">
        <v>945</v>
      </c>
      <c r="B659" s="4" t="s">
        <v>961</v>
      </c>
      <c r="C659" s="4" t="s">
        <v>15</v>
      </c>
      <c r="D659" s="4" t="s">
        <v>942</v>
      </c>
      <c r="E659" t="s">
        <v>713</v>
      </c>
      <c r="F659" t="s">
        <v>256</v>
      </c>
      <c r="G659" t="s">
        <v>714</v>
      </c>
      <c r="H659">
        <f t="shared" si="163"/>
        <v>24</v>
      </c>
      <c r="I659">
        <v>2.5</v>
      </c>
      <c r="J659" t="s">
        <v>56</v>
      </c>
      <c r="K659" t="s">
        <v>15</v>
      </c>
      <c r="L659" t="s">
        <v>726</v>
      </c>
      <c r="M659" t="s">
        <v>443</v>
      </c>
      <c r="N659" t="s">
        <v>235</v>
      </c>
      <c r="P659">
        <f>((PI()*(0.04^2))-(PI()*(0.0328^2)))*1.8</f>
        <v>2.9640549695501258E-3</v>
      </c>
      <c r="Q659" t="s">
        <v>180</v>
      </c>
      <c r="R659" t="s">
        <v>175</v>
      </c>
      <c r="T659">
        <v>2</v>
      </c>
      <c r="W659">
        <v>100</v>
      </c>
      <c r="X659" t="s">
        <v>184</v>
      </c>
      <c r="AA659" s="13">
        <f>Tableau8[[#This Row],[density (kg/m2) or specific weight (kg/m2)]]*Tableau8[[#This Row],[nb of item used ]]*Tableau8[[#This Row],[volume or area]]</f>
        <v>0.59281099391002512</v>
      </c>
      <c r="AB659">
        <v>13.13</v>
      </c>
      <c r="AC659">
        <v>12.37</v>
      </c>
      <c r="AD659" s="11">
        <f>AB659*(AA659/Tableau8[[#This Row],[density (kg/m2) or specific weight (kg/m2)]])/H659</f>
        <v>3.2431701458494294E-3</v>
      </c>
      <c r="AE659" s="11">
        <f>_xlfn.RANK.AVG(Tableau8[[#This Row],[EE ( MJ/m²)]],AD659:AD1814)</f>
        <v>497</v>
      </c>
      <c r="AF659" s="11">
        <f>AB659*(AA659/Tableau8[[#This Row],[density (kg/m2) or specific weight (kg/m2)]])/H659/I659</f>
        <v>1.2972680583397717E-3</v>
      </c>
      <c r="AG659" s="11">
        <f>(AC659)*(AA659/Tableau8[[#This Row],[density (kg/m2) or specific weight (kg/m2)]])/H659</f>
        <v>3.0554466644445877E-3</v>
      </c>
      <c r="AH659" s="11">
        <f>AC659*(AA659/Tableau8[[#This Row],[density (kg/m2) or specific weight (kg/m2)]])/H659</f>
        <v>3.0554466644445877E-3</v>
      </c>
      <c r="AI659" s="11">
        <f>(AC659)*(AA659/Tableau8[[#This Row],[density (kg/m2) or specific weight (kg/m2)]])/H659/I659</f>
        <v>1.2221786657778352E-3</v>
      </c>
      <c r="AJ659" s="11">
        <f>AC659*(AA659/Tableau8[[#This Row],[density (kg/m2) or specific weight (kg/m2)]])/H659/I659</f>
        <v>1.2221786657778352E-3</v>
      </c>
    </row>
    <row r="660" spans="1:36" x14ac:dyDescent="0.25">
      <c r="A660" s="4" t="s">
        <v>945</v>
      </c>
      <c r="B660" s="4" t="s">
        <v>961</v>
      </c>
      <c r="C660" s="4" t="s">
        <v>15</v>
      </c>
      <c r="D660" s="4" t="s">
        <v>942</v>
      </c>
      <c r="E660" t="s">
        <v>713</v>
      </c>
      <c r="F660" t="s">
        <v>256</v>
      </c>
      <c r="G660" t="s">
        <v>714</v>
      </c>
      <c r="H660">
        <f t="shared" si="163"/>
        <v>24</v>
      </c>
      <c r="I660">
        <v>2.5</v>
      </c>
      <c r="J660" t="s">
        <v>56</v>
      </c>
      <c r="K660" t="s">
        <v>15</v>
      </c>
      <c r="L660" t="s">
        <v>727</v>
      </c>
      <c r="M660" t="s">
        <v>443</v>
      </c>
      <c r="N660" t="s">
        <v>235</v>
      </c>
      <c r="P660">
        <f>((PI()*(0.04^2))-(PI()*(0.0328^2)))*1.3</f>
        <v>2.1407063668973129E-3</v>
      </c>
      <c r="Q660" t="s">
        <v>180</v>
      </c>
      <c r="R660" t="s">
        <v>175</v>
      </c>
      <c r="T660">
        <v>3</v>
      </c>
      <c r="W660">
        <v>100</v>
      </c>
      <c r="X660" t="s">
        <v>184</v>
      </c>
      <c r="AA660" s="13">
        <f>Tableau8[[#This Row],[density (kg/m2) or specific weight (kg/m2)]]*Tableau8[[#This Row],[nb of item used ]]*Tableau8[[#This Row],[volume or area]]</f>
        <v>0.64221191006919387</v>
      </c>
      <c r="AB660">
        <v>13.13</v>
      </c>
      <c r="AC660">
        <v>12.37</v>
      </c>
      <c r="AD660" s="11">
        <f>AB660*(AA660/Tableau8[[#This Row],[density (kg/m2) or specific weight (kg/m2)]])/H660</f>
        <v>3.5134343246702149E-3</v>
      </c>
      <c r="AE660" s="11">
        <f>_xlfn.RANK.AVG(Tableau8[[#This Row],[EE ( MJ/m²)]],AD660:AD1815)</f>
        <v>496</v>
      </c>
      <c r="AF660" s="11">
        <f>AB660*(AA660/Tableau8[[#This Row],[density (kg/m2) or specific weight (kg/m2)]])/H660/I660</f>
        <v>1.405373729868086E-3</v>
      </c>
      <c r="AG660" s="11">
        <f>(AC660)*(AA660/Tableau8[[#This Row],[density (kg/m2) or specific weight (kg/m2)]])/H660</f>
        <v>3.3100672198149699E-3</v>
      </c>
      <c r="AH660" s="11">
        <f>AC660*(AA660/Tableau8[[#This Row],[density (kg/m2) or specific weight (kg/m2)]])/H660</f>
        <v>3.3100672198149699E-3</v>
      </c>
      <c r="AI660" s="11">
        <f>(AC660)*(AA660/Tableau8[[#This Row],[density (kg/m2) or specific weight (kg/m2)]])/H660/I660</f>
        <v>1.324026887925988E-3</v>
      </c>
      <c r="AJ660" s="11">
        <f>AC660*(AA660/Tableau8[[#This Row],[density (kg/m2) or specific weight (kg/m2)]])/H660/I660</f>
        <v>1.324026887925988E-3</v>
      </c>
    </row>
    <row r="661" spans="1:36" x14ac:dyDescent="0.25">
      <c r="A661" s="4" t="s">
        <v>945</v>
      </c>
      <c r="B661" s="4" t="s">
        <v>961</v>
      </c>
      <c r="C661" s="4" t="s">
        <v>15</v>
      </c>
      <c r="D661" s="4" t="s">
        <v>942</v>
      </c>
      <c r="E661" t="s">
        <v>713</v>
      </c>
      <c r="F661" t="s">
        <v>256</v>
      </c>
      <c r="G661" t="s">
        <v>714</v>
      </c>
      <c r="H661">
        <f t="shared" si="163"/>
        <v>24</v>
      </c>
      <c r="I661">
        <v>2.5</v>
      </c>
      <c r="J661" t="s">
        <v>56</v>
      </c>
      <c r="K661" t="s">
        <v>15</v>
      </c>
      <c r="L661" t="s">
        <v>728</v>
      </c>
      <c r="M661" t="s">
        <v>443</v>
      </c>
      <c r="N661" t="s">
        <v>235</v>
      </c>
      <c r="P661">
        <f>((PI()*(0.075^2))-(PI()*(0.0625^2)))*2.66</f>
        <v>1.4362968913130839E-2</v>
      </c>
      <c r="Q661" t="s">
        <v>180</v>
      </c>
      <c r="R661" t="s">
        <v>175</v>
      </c>
      <c r="T661">
        <v>1</v>
      </c>
      <c r="W661">
        <v>100</v>
      </c>
      <c r="X661" t="s">
        <v>184</v>
      </c>
      <c r="AA661" s="13">
        <f>Tableau8[[#This Row],[density (kg/m2) or specific weight (kg/m2)]]*Tableau8[[#This Row],[nb of item used ]]*Tableau8[[#This Row],[volume or area]]</f>
        <v>1.4362968913130838</v>
      </c>
      <c r="AB661">
        <v>13.13</v>
      </c>
      <c r="AC661">
        <v>12.37</v>
      </c>
      <c r="AD661" s="11">
        <f>AB661*(AA661/Tableau8[[#This Row],[density (kg/m2) or specific weight (kg/m2)]])/H661</f>
        <v>7.857740909558663E-3</v>
      </c>
      <c r="AE661" s="11">
        <f>_xlfn.RANK.AVG(Tableau8[[#This Row],[EE ( MJ/m²)]],AD661:AD1816)</f>
        <v>487</v>
      </c>
      <c r="AF661" s="11">
        <f>AB661*(AA661/Tableau8[[#This Row],[density (kg/m2) or specific weight (kg/m2)]])/H661/I661</f>
        <v>3.143096363823465E-3</v>
      </c>
      <c r="AG661" s="11">
        <f>(AC661)*(AA661/Tableau8[[#This Row],[density (kg/m2) or specific weight (kg/m2)]])/H661</f>
        <v>7.4029135606428521E-3</v>
      </c>
      <c r="AH661" s="11">
        <f>AC661*(AA661/Tableau8[[#This Row],[density (kg/m2) or specific weight (kg/m2)]])/H661</f>
        <v>7.4029135606428521E-3</v>
      </c>
      <c r="AI661" s="11">
        <f>(AC661)*(AA661/Tableau8[[#This Row],[density (kg/m2) or specific weight (kg/m2)]])/H661/I661</f>
        <v>2.9611654242571407E-3</v>
      </c>
      <c r="AJ661" s="11">
        <f>AC661*(AA661/Tableau8[[#This Row],[density (kg/m2) or specific weight (kg/m2)]])/H661/I661</f>
        <v>2.9611654242571407E-3</v>
      </c>
    </row>
    <row r="662" spans="1:36" x14ac:dyDescent="0.25">
      <c r="A662" s="4" t="s">
        <v>945</v>
      </c>
      <c r="B662" s="4" t="s">
        <v>961</v>
      </c>
      <c r="C662" s="4" t="s">
        <v>15</v>
      </c>
      <c r="D662" s="4" t="s">
        <v>942</v>
      </c>
      <c r="E662" t="s">
        <v>713</v>
      </c>
      <c r="F662" t="s">
        <v>256</v>
      </c>
      <c r="G662" t="s">
        <v>714</v>
      </c>
      <c r="H662">
        <f t="shared" si="163"/>
        <v>24</v>
      </c>
      <c r="I662">
        <v>2.5</v>
      </c>
      <c r="J662" t="s">
        <v>56</v>
      </c>
      <c r="K662" t="s">
        <v>15</v>
      </c>
      <c r="L662" t="s">
        <v>729</v>
      </c>
      <c r="M662" t="s">
        <v>443</v>
      </c>
      <c r="N662" t="s">
        <v>235</v>
      </c>
      <c r="P662">
        <f>((PI()*(0.04^2))-(PI()*(0.0328^2)))*4</f>
        <v>6.5867888212225011E-3</v>
      </c>
      <c r="Q662" t="s">
        <v>180</v>
      </c>
      <c r="R662" t="s">
        <v>175</v>
      </c>
      <c r="T662">
        <v>4</v>
      </c>
      <c r="W662">
        <v>100</v>
      </c>
      <c r="X662" t="s">
        <v>184</v>
      </c>
      <c r="AA662" s="13">
        <f>Tableau8[[#This Row],[density (kg/m2) or specific weight (kg/m2)]]*Tableau8[[#This Row],[nb of item used ]]*Tableau8[[#This Row],[volume or area]]</f>
        <v>2.6347155284890005</v>
      </c>
      <c r="AB662">
        <v>13.13</v>
      </c>
      <c r="AC662">
        <v>12.37</v>
      </c>
      <c r="AD662" s="11">
        <f>AB662*(AA662/Tableau8[[#This Row],[density (kg/m2) or specific weight (kg/m2)]])/H662</f>
        <v>1.4414089537108573E-2</v>
      </c>
      <c r="AE662" s="11">
        <f>_xlfn.RANK.AVG(Tableau8[[#This Row],[EE ( MJ/m²)]],AD662:AD1817)</f>
        <v>479</v>
      </c>
      <c r="AF662" s="11">
        <f>AB662*(AA662/Tableau8[[#This Row],[density (kg/m2) or specific weight (kg/m2)]])/H662/I662</f>
        <v>5.7656358148434287E-3</v>
      </c>
      <c r="AG662" s="11">
        <f>(AC662)*(AA662/Tableau8[[#This Row],[density (kg/m2) or specific weight (kg/m2)]])/H662</f>
        <v>1.3579762953087056E-2</v>
      </c>
      <c r="AH662" s="11">
        <f>AC662*(AA662/Tableau8[[#This Row],[density (kg/m2) or specific weight (kg/m2)]])/H662</f>
        <v>1.3579762953087056E-2</v>
      </c>
      <c r="AI662" s="11">
        <f>(AC662)*(AA662/Tableau8[[#This Row],[density (kg/m2) or specific weight (kg/m2)]])/H662/I662</f>
        <v>5.4319051812348222E-3</v>
      </c>
      <c r="AJ662" s="11">
        <f>AC662*(AA662/Tableau8[[#This Row],[density (kg/m2) or specific weight (kg/m2)]])/H662/I662</f>
        <v>5.4319051812348222E-3</v>
      </c>
    </row>
    <row r="663" spans="1:36" x14ac:dyDescent="0.25">
      <c r="A663" s="4" t="s">
        <v>945</v>
      </c>
      <c r="B663" s="4" t="s">
        <v>961</v>
      </c>
      <c r="C663" s="4" t="s">
        <v>15</v>
      </c>
      <c r="D663" s="4" t="s">
        <v>942</v>
      </c>
      <c r="E663" t="s">
        <v>713</v>
      </c>
      <c r="F663" t="s">
        <v>256</v>
      </c>
      <c r="G663" t="s">
        <v>714</v>
      </c>
      <c r="H663">
        <f t="shared" si="163"/>
        <v>24</v>
      </c>
      <c r="I663">
        <v>2.5</v>
      </c>
      <c r="J663" t="s">
        <v>40</v>
      </c>
      <c r="K663" t="s">
        <v>15</v>
      </c>
      <c r="L663" t="s">
        <v>731</v>
      </c>
      <c r="M663" t="s">
        <v>443</v>
      </c>
      <c r="N663" t="s">
        <v>235</v>
      </c>
      <c r="P663">
        <f>((PI()*(0.04^2))-(PI()*(0.0328^2)))*2.86</f>
        <v>4.7095540071740881E-3</v>
      </c>
      <c r="Q663" t="s">
        <v>180</v>
      </c>
      <c r="R663" t="s">
        <v>175</v>
      </c>
      <c r="T663">
        <v>10</v>
      </c>
      <c r="W663">
        <v>100</v>
      </c>
      <c r="X663" t="s">
        <v>184</v>
      </c>
      <c r="AA663" s="13">
        <f>Tableau8[[#This Row],[density (kg/m2) or specific weight (kg/m2)]]*Tableau8[[#This Row],[nb of item used ]]*Tableau8[[#This Row],[volume or area]]</f>
        <v>4.7095540071740878</v>
      </c>
      <c r="AB663">
        <v>13.13</v>
      </c>
      <c r="AC663">
        <v>12.37</v>
      </c>
      <c r="AD663" s="11">
        <f>AB663*(AA663/Tableau8[[#This Row],[density (kg/m2) or specific weight (kg/m2)]])/H663</f>
        <v>2.5765185047581574E-2</v>
      </c>
      <c r="AE663" s="11">
        <f>_xlfn.RANK.AVG(Tableau8[[#This Row],[EE ( MJ/m²)]],AD663:AD1818)</f>
        <v>478</v>
      </c>
      <c r="AF663" s="11">
        <f>AB663*(AA663/Tableau8[[#This Row],[density (kg/m2) or specific weight (kg/m2)]])/H663/I663</f>
        <v>1.030607401903263E-2</v>
      </c>
      <c r="AG663" s="11">
        <f>(AC663)*(AA663/Tableau8[[#This Row],[density (kg/m2) or specific weight (kg/m2)]])/H663</f>
        <v>2.4273826278643107E-2</v>
      </c>
      <c r="AH663" s="11">
        <f>AC663*(AA663/Tableau8[[#This Row],[density (kg/m2) or specific weight (kg/m2)]])/H663</f>
        <v>2.4273826278643107E-2</v>
      </c>
      <c r="AI663" s="11">
        <f>(AC663)*(AA663/Tableau8[[#This Row],[density (kg/m2) or specific weight (kg/m2)]])/H663/I663</f>
        <v>9.7095305114572421E-3</v>
      </c>
      <c r="AJ663" s="11">
        <f>AC663*(AA663/Tableau8[[#This Row],[density (kg/m2) or specific weight (kg/m2)]])/H663/I663</f>
        <v>9.7095305114572421E-3</v>
      </c>
    </row>
    <row r="664" spans="1:36" x14ac:dyDescent="0.25">
      <c r="A664" s="4" t="s">
        <v>945</v>
      </c>
      <c r="B664" s="4" t="s">
        <v>961</v>
      </c>
      <c r="C664" s="4" t="s">
        <v>15</v>
      </c>
      <c r="D664" s="4" t="s">
        <v>942</v>
      </c>
      <c r="E664" t="s">
        <v>713</v>
      </c>
      <c r="F664" t="s">
        <v>256</v>
      </c>
      <c r="G664" t="s">
        <v>714</v>
      </c>
      <c r="H664">
        <f t="shared" si="163"/>
        <v>24</v>
      </c>
      <c r="I664">
        <v>2.5</v>
      </c>
      <c r="J664" t="s">
        <v>40</v>
      </c>
      <c r="K664" t="s">
        <v>15</v>
      </c>
      <c r="L664" t="s">
        <v>732</v>
      </c>
      <c r="M664" t="s">
        <v>443</v>
      </c>
      <c r="N664" t="s">
        <v>235</v>
      </c>
      <c r="P664">
        <f>((PI()*(0.04^2))-(PI()*(0.0328^2)))*1</f>
        <v>1.6466972053056253E-3</v>
      </c>
      <c r="Q664" t="s">
        <v>180</v>
      </c>
      <c r="R664" t="s">
        <v>175</v>
      </c>
      <c r="T664">
        <v>8</v>
      </c>
      <c r="W664">
        <v>100</v>
      </c>
      <c r="X664" t="s">
        <v>184</v>
      </c>
      <c r="AA664" s="13">
        <f>Tableau8[[#This Row],[density (kg/m2) or specific weight (kg/m2)]]*Tableau8[[#This Row],[nb of item used ]]*Tableau8[[#This Row],[volume or area]]</f>
        <v>1.3173577642445002</v>
      </c>
      <c r="AB664">
        <v>13.13</v>
      </c>
      <c r="AC664">
        <v>12.37</v>
      </c>
      <c r="AD664" s="11">
        <f>AB664*(AA664/Tableau8[[#This Row],[density (kg/m2) or specific weight (kg/m2)]])/H664</f>
        <v>7.2070447685542863E-3</v>
      </c>
      <c r="AE664" s="11">
        <f>_xlfn.RANK.AVG(Tableau8[[#This Row],[EE ( MJ/m²)]],AD664:AD1819)</f>
        <v>487</v>
      </c>
      <c r="AF664" s="11">
        <f>AB664*(AA664/Tableau8[[#This Row],[density (kg/m2) or specific weight (kg/m2)]])/H664/I664</f>
        <v>2.8828179074217143E-3</v>
      </c>
      <c r="AG664" s="11">
        <f>(AC664)*(AA664/Tableau8[[#This Row],[density (kg/m2) or specific weight (kg/m2)]])/H664</f>
        <v>6.7898814765435279E-3</v>
      </c>
      <c r="AH664" s="11">
        <f>AC664*(AA664/Tableau8[[#This Row],[density (kg/m2) or specific weight (kg/m2)]])/H664</f>
        <v>6.7898814765435279E-3</v>
      </c>
      <c r="AI664" s="11">
        <f>(AC664)*(AA664/Tableau8[[#This Row],[density (kg/m2) or specific weight (kg/m2)]])/H664/I664</f>
        <v>2.7159525906174111E-3</v>
      </c>
      <c r="AJ664" s="11">
        <f>AC664*(AA664/Tableau8[[#This Row],[density (kg/m2) or specific weight (kg/m2)]])/H664/I664</f>
        <v>2.7159525906174111E-3</v>
      </c>
    </row>
    <row r="665" spans="1:36" x14ac:dyDescent="0.25">
      <c r="A665" s="4" t="s">
        <v>945</v>
      </c>
      <c r="B665" s="4" t="s">
        <v>961</v>
      </c>
      <c r="C665" s="4" t="s">
        <v>15</v>
      </c>
      <c r="D665" s="4" t="s">
        <v>942</v>
      </c>
      <c r="E665" t="s">
        <v>713</v>
      </c>
      <c r="F665" t="s">
        <v>256</v>
      </c>
      <c r="G665" t="s">
        <v>714</v>
      </c>
      <c r="H665">
        <f t="shared" si="163"/>
        <v>24</v>
      </c>
      <c r="I665">
        <v>2.5</v>
      </c>
      <c r="J665" t="s">
        <v>56</v>
      </c>
      <c r="K665" t="s">
        <v>15</v>
      </c>
      <c r="L665" t="s">
        <v>733</v>
      </c>
      <c r="M665" t="s">
        <v>443</v>
      </c>
      <c r="N665" t="s">
        <v>235</v>
      </c>
      <c r="P665">
        <f>((PI()*(0.04^2))-(PI()*(0.0328^2)))*3.84</f>
        <v>6.3233172683736004E-3</v>
      </c>
      <c r="Q665" t="s">
        <v>180</v>
      </c>
      <c r="R665" t="s">
        <v>175</v>
      </c>
      <c r="T665">
        <v>4</v>
      </c>
      <c r="W665">
        <v>100</v>
      </c>
      <c r="X665" t="s">
        <v>184</v>
      </c>
      <c r="AA665" s="13">
        <f>Tableau8[[#This Row],[density (kg/m2) or specific weight (kg/m2)]]*Tableau8[[#This Row],[nb of item used ]]*Tableau8[[#This Row],[volume or area]]</f>
        <v>2.5293269073494402</v>
      </c>
      <c r="AB665">
        <v>13.13</v>
      </c>
      <c r="AC665">
        <v>12.37</v>
      </c>
      <c r="AD665" s="11">
        <f>AB665*(AA665/Tableau8[[#This Row],[density (kg/m2) or specific weight (kg/m2)]])/H665</f>
        <v>1.3837525955624229E-2</v>
      </c>
      <c r="AE665" s="11">
        <f>_xlfn.RANK.AVG(Tableau8[[#This Row],[EE ( MJ/m²)]],AD665:AD1820)</f>
        <v>478</v>
      </c>
      <c r="AF665" s="11">
        <f>AB665*(AA665/Tableau8[[#This Row],[density (kg/m2) or specific weight (kg/m2)]])/H665/I665</f>
        <v>5.5350103822496919E-3</v>
      </c>
      <c r="AG665" s="11">
        <f>(AC665)*(AA665/Tableau8[[#This Row],[density (kg/m2) or specific weight (kg/m2)]])/H665</f>
        <v>1.3036572434963574E-2</v>
      </c>
      <c r="AH665" s="11">
        <f>AC665*(AA665/Tableau8[[#This Row],[density (kg/m2) or specific weight (kg/m2)]])/H665</f>
        <v>1.3036572434963574E-2</v>
      </c>
      <c r="AI665" s="11">
        <f>(AC665)*(AA665/Tableau8[[#This Row],[density (kg/m2) or specific weight (kg/m2)]])/H665/I665</f>
        <v>5.2146289739854294E-3</v>
      </c>
      <c r="AJ665" s="11">
        <f>AC665*(AA665/Tableau8[[#This Row],[density (kg/m2) or specific weight (kg/m2)]])/H665/I665</f>
        <v>5.2146289739854294E-3</v>
      </c>
    </row>
    <row r="666" spans="1:36" x14ac:dyDescent="0.25">
      <c r="A666" s="4" t="s">
        <v>945</v>
      </c>
      <c r="B666" s="4" t="s">
        <v>961</v>
      </c>
      <c r="C666" s="4" t="s">
        <v>15</v>
      </c>
      <c r="D666" s="4" t="s">
        <v>942</v>
      </c>
      <c r="E666" t="s">
        <v>713</v>
      </c>
      <c r="F666" t="s">
        <v>256</v>
      </c>
      <c r="G666" t="s">
        <v>714</v>
      </c>
      <c r="H666">
        <f t="shared" si="163"/>
        <v>24</v>
      </c>
      <c r="I666">
        <v>2.5</v>
      </c>
      <c r="J666" t="s">
        <v>56</v>
      </c>
      <c r="K666" t="s">
        <v>15</v>
      </c>
      <c r="L666" t="s">
        <v>734</v>
      </c>
      <c r="M666" t="s">
        <v>443</v>
      </c>
      <c r="N666" t="s">
        <v>235</v>
      </c>
      <c r="P666">
        <f>((PI()*(0.04^2))-(PI()*(0.0328^2)))*3.5</f>
        <v>5.7634402185696883E-3</v>
      </c>
      <c r="Q666" t="s">
        <v>180</v>
      </c>
      <c r="R666" t="s">
        <v>175</v>
      </c>
      <c r="T666">
        <v>55</v>
      </c>
      <c r="W666">
        <v>100</v>
      </c>
      <c r="X666" t="s">
        <v>184</v>
      </c>
      <c r="AA666" s="13">
        <f>Tableau8[[#This Row],[density (kg/m2) or specific weight (kg/m2)]]*Tableau8[[#This Row],[nb of item used ]]*Tableau8[[#This Row],[volume or area]]</f>
        <v>31.698921202133285</v>
      </c>
      <c r="AB666">
        <v>13.13</v>
      </c>
      <c r="AC666">
        <v>12.37</v>
      </c>
      <c r="AD666" s="11">
        <f>AB666*(AA666/Tableau8[[#This Row],[density (kg/m2) or specific weight (kg/m2)]])/H666</f>
        <v>0.17341951474333753</v>
      </c>
      <c r="AE666" s="11">
        <f>_xlfn.RANK.AVG(Tableau8[[#This Row],[EE ( MJ/m²)]],AD666:AD1821)</f>
        <v>457</v>
      </c>
      <c r="AF666" s="11">
        <f>AB666*(AA666/Tableau8[[#This Row],[density (kg/m2) or specific weight (kg/m2)]])/H666/I666</f>
        <v>6.9367805897335016E-2</v>
      </c>
      <c r="AG666" s="11">
        <f>(AC666)*(AA666/Tableau8[[#This Row],[density (kg/m2) or specific weight (kg/m2)]])/H666</f>
        <v>0.16338152302932862</v>
      </c>
      <c r="AH666" s="11">
        <f>AC666*(AA666/Tableau8[[#This Row],[density (kg/m2) or specific weight (kg/m2)]])/H666</f>
        <v>0.16338152302932862</v>
      </c>
      <c r="AI666" s="11">
        <f>(AC666)*(AA666/Tableau8[[#This Row],[density (kg/m2) or specific weight (kg/m2)]])/H666/I666</f>
        <v>6.5352609211731444E-2</v>
      </c>
      <c r="AJ666" s="11">
        <f>AC666*(AA666/Tableau8[[#This Row],[density (kg/m2) or specific weight (kg/m2)]])/H666/I666</f>
        <v>6.5352609211731444E-2</v>
      </c>
    </row>
    <row r="667" spans="1:36" x14ac:dyDescent="0.25">
      <c r="A667" s="4" t="s">
        <v>945</v>
      </c>
      <c r="B667" s="4" t="s">
        <v>961</v>
      </c>
      <c r="C667" s="4" t="s">
        <v>15</v>
      </c>
      <c r="D667" s="4" t="s">
        <v>942</v>
      </c>
      <c r="E667" t="s">
        <v>713</v>
      </c>
      <c r="F667" t="s">
        <v>256</v>
      </c>
      <c r="G667" t="s">
        <v>714</v>
      </c>
      <c r="H667">
        <f t="shared" si="163"/>
        <v>24</v>
      </c>
      <c r="I667">
        <v>2.5</v>
      </c>
      <c r="J667" t="s">
        <v>57</v>
      </c>
      <c r="K667" t="s">
        <v>15</v>
      </c>
      <c r="L667" t="s">
        <v>735</v>
      </c>
      <c r="M667" t="s">
        <v>443</v>
      </c>
      <c r="N667" t="s">
        <v>235</v>
      </c>
      <c r="P667">
        <f>((PI()*(0.04^2))-(PI()*(0.0328^2)))*5.85</f>
        <v>9.6331786510379068E-3</v>
      </c>
      <c r="Q667" t="s">
        <v>180</v>
      </c>
      <c r="R667" t="s">
        <v>175</v>
      </c>
      <c r="T667">
        <v>2</v>
      </c>
      <c r="W667">
        <v>100</v>
      </c>
      <c r="X667" t="s">
        <v>184</v>
      </c>
      <c r="AA667" s="13">
        <f>Tableau8[[#This Row],[density (kg/m2) or specific weight (kg/m2)]]*Tableau8[[#This Row],[nb of item used ]]*Tableau8[[#This Row],[volume or area]]</f>
        <v>1.9266357302075814</v>
      </c>
      <c r="AB667">
        <v>13.13</v>
      </c>
      <c r="AC667">
        <v>12.37</v>
      </c>
      <c r="AD667" s="11">
        <f>AB667*(AA667/Tableau8[[#This Row],[density (kg/m2) or specific weight (kg/m2)]])/H667</f>
        <v>1.0540302974010644E-2</v>
      </c>
      <c r="AE667" s="11">
        <f>_xlfn.RANK.AVG(Tableau8[[#This Row],[EE ( MJ/m²)]],AD667:AD1822)</f>
        <v>480</v>
      </c>
      <c r="AF667" s="11">
        <f>AB667*(AA667/Tableau8[[#This Row],[density (kg/m2) or specific weight (kg/m2)]])/H667/I667</f>
        <v>4.2161211896042574E-3</v>
      </c>
      <c r="AG667" s="11">
        <f>(AC667)*(AA667/Tableau8[[#This Row],[density (kg/m2) or specific weight (kg/m2)]])/H667</f>
        <v>9.930201659444908E-3</v>
      </c>
      <c r="AH667" s="11">
        <f>AC667*(AA667/Tableau8[[#This Row],[density (kg/m2) or specific weight (kg/m2)]])/H667</f>
        <v>9.930201659444908E-3</v>
      </c>
      <c r="AI667" s="11">
        <f>(AC667)*(AA667/Tableau8[[#This Row],[density (kg/m2) or specific weight (kg/m2)]])/H667/I667</f>
        <v>3.9720806637779634E-3</v>
      </c>
      <c r="AJ667" s="11">
        <f>AC667*(AA667/Tableau8[[#This Row],[density (kg/m2) or specific weight (kg/m2)]])/H667/I667</f>
        <v>3.9720806637779634E-3</v>
      </c>
    </row>
    <row r="668" spans="1:36" x14ac:dyDescent="0.25">
      <c r="A668" s="4" t="s">
        <v>945</v>
      </c>
      <c r="B668" s="4" t="s">
        <v>961</v>
      </c>
      <c r="C668" s="4" t="s">
        <v>15</v>
      </c>
      <c r="D668" s="4" t="s">
        <v>942</v>
      </c>
      <c r="E668" t="s">
        <v>713</v>
      </c>
      <c r="F668" t="s">
        <v>256</v>
      </c>
      <c r="G668" t="s">
        <v>714</v>
      </c>
      <c r="H668">
        <f t="shared" si="163"/>
        <v>24</v>
      </c>
      <c r="I668">
        <v>2.5</v>
      </c>
      <c r="J668" t="s">
        <v>57</v>
      </c>
      <c r="K668" t="s">
        <v>15</v>
      </c>
      <c r="L668" t="s">
        <v>736</v>
      </c>
      <c r="M668" t="s">
        <v>443</v>
      </c>
      <c r="N668" t="s">
        <v>235</v>
      </c>
      <c r="P668">
        <f>((PI()*(0.04^2))-(PI()*(0.0328^2)))*3</f>
        <v>4.9400916159168754E-3</v>
      </c>
      <c r="Q668" t="s">
        <v>180</v>
      </c>
      <c r="R668" t="s">
        <v>175</v>
      </c>
      <c r="T668">
        <v>2</v>
      </c>
      <c r="W668">
        <v>100</v>
      </c>
      <c r="X668" t="s">
        <v>184</v>
      </c>
      <c r="AA668" s="13">
        <f>Tableau8[[#This Row],[density (kg/m2) or specific weight (kg/m2)]]*Tableau8[[#This Row],[nb of item used ]]*Tableau8[[#This Row],[volume or area]]</f>
        <v>0.98801832318337512</v>
      </c>
      <c r="AB668">
        <v>13.13</v>
      </c>
      <c r="AC668">
        <v>12.37</v>
      </c>
      <c r="AD668" s="11">
        <f>AB668*(AA668/Tableau8[[#This Row],[density (kg/m2) or specific weight (kg/m2)]])/H668</f>
        <v>5.4052835764157149E-3</v>
      </c>
      <c r="AE668" s="11">
        <f>_xlfn.RANK.AVG(Tableau8[[#This Row],[EE ( MJ/m²)]],AD668:AD1823)</f>
        <v>486</v>
      </c>
      <c r="AF668" s="11">
        <f>AB668*(AA668/Tableau8[[#This Row],[density (kg/m2) or specific weight (kg/m2)]])/H668/I668</f>
        <v>2.162113430566286E-3</v>
      </c>
      <c r="AG668" s="11">
        <f>(AC668)*(AA668/Tableau8[[#This Row],[density (kg/m2) or specific weight (kg/m2)]])/H668</f>
        <v>5.092411107407646E-3</v>
      </c>
      <c r="AH668" s="11">
        <f>AC668*(AA668/Tableau8[[#This Row],[density (kg/m2) or specific weight (kg/m2)]])/H668</f>
        <v>5.092411107407646E-3</v>
      </c>
      <c r="AI668" s="11">
        <f>(AC668)*(AA668/Tableau8[[#This Row],[density (kg/m2) or specific weight (kg/m2)]])/H668/I668</f>
        <v>2.0369644429630582E-3</v>
      </c>
      <c r="AJ668" s="11">
        <f>AC668*(AA668/Tableau8[[#This Row],[density (kg/m2) or specific weight (kg/m2)]])/H668/I668</f>
        <v>2.0369644429630582E-3</v>
      </c>
    </row>
    <row r="669" spans="1:36" x14ac:dyDescent="0.25">
      <c r="A669" s="4" t="s">
        <v>945</v>
      </c>
      <c r="B669" s="4" t="s">
        <v>961</v>
      </c>
      <c r="C669" s="4" t="s">
        <v>15</v>
      </c>
      <c r="D669" s="4" t="s">
        <v>942</v>
      </c>
      <c r="E669" t="s">
        <v>713</v>
      </c>
      <c r="F669" t="s">
        <v>256</v>
      </c>
      <c r="G669" t="s">
        <v>714</v>
      </c>
      <c r="H669">
        <f t="shared" si="163"/>
        <v>24</v>
      </c>
      <c r="I669">
        <v>2.5</v>
      </c>
      <c r="J669" t="s">
        <v>57</v>
      </c>
      <c r="K669" t="s">
        <v>15</v>
      </c>
      <c r="L669" t="s">
        <v>737</v>
      </c>
      <c r="M669" t="s">
        <v>443</v>
      </c>
      <c r="N669" t="s">
        <v>235</v>
      </c>
      <c r="P669">
        <f>((PI()*(0.04^2))-(PI()*(0.0328^2)))*4.08</f>
        <v>6.718524597646951E-3</v>
      </c>
      <c r="Q669" t="s">
        <v>180</v>
      </c>
      <c r="R669" t="s">
        <v>175</v>
      </c>
      <c r="T669">
        <v>10</v>
      </c>
      <c r="W669">
        <v>100</v>
      </c>
      <c r="X669" t="s">
        <v>184</v>
      </c>
      <c r="AA669" s="13">
        <f>Tableau8[[#This Row],[density (kg/m2) or specific weight (kg/m2)]]*Tableau8[[#This Row],[nb of item used ]]*Tableau8[[#This Row],[volume or area]]</f>
        <v>6.718524597646951</v>
      </c>
      <c r="AB669">
        <v>13.13</v>
      </c>
      <c r="AC669">
        <v>12.37</v>
      </c>
      <c r="AD669" s="11">
        <f>AB669*(AA669/Tableau8[[#This Row],[density (kg/m2) or specific weight (kg/m2)]])/H669</f>
        <v>3.675592831962686E-2</v>
      </c>
      <c r="AE669" s="11">
        <f>_xlfn.RANK.AVG(Tableau8[[#This Row],[EE ( MJ/m²)]],AD669:AD1824)</f>
        <v>472</v>
      </c>
      <c r="AF669" s="11">
        <f>AB669*(AA669/Tableau8[[#This Row],[density (kg/m2) or specific weight (kg/m2)]])/H669/I669</f>
        <v>1.4702371327850744E-2</v>
      </c>
      <c r="AG669" s="11">
        <f>(AC669)*(AA669/Tableau8[[#This Row],[density (kg/m2) or specific weight (kg/m2)]])/H669</f>
        <v>3.4628395530371989E-2</v>
      </c>
      <c r="AH669" s="11">
        <f>AC669*(AA669/Tableau8[[#This Row],[density (kg/m2) or specific weight (kg/m2)]])/H669</f>
        <v>3.4628395530371989E-2</v>
      </c>
      <c r="AI669" s="11">
        <f>(AC669)*(AA669/Tableau8[[#This Row],[density (kg/m2) or specific weight (kg/m2)]])/H669/I669</f>
        <v>1.3851358212148796E-2</v>
      </c>
      <c r="AJ669" s="11">
        <f>AC669*(AA669/Tableau8[[#This Row],[density (kg/m2) or specific weight (kg/m2)]])/H669/I669</f>
        <v>1.3851358212148796E-2</v>
      </c>
    </row>
    <row r="670" spans="1:36" x14ac:dyDescent="0.25">
      <c r="A670" s="4" t="s">
        <v>945</v>
      </c>
      <c r="B670" s="4" t="s">
        <v>961</v>
      </c>
      <c r="C670" s="4" t="s">
        <v>15</v>
      </c>
      <c r="D670" s="4" t="s">
        <v>942</v>
      </c>
      <c r="E670" t="s">
        <v>713</v>
      </c>
      <c r="F670" t="s">
        <v>256</v>
      </c>
      <c r="G670" t="s">
        <v>714</v>
      </c>
      <c r="H670">
        <f t="shared" si="163"/>
        <v>24</v>
      </c>
      <c r="I670">
        <v>2.5</v>
      </c>
      <c r="J670" t="s">
        <v>40</v>
      </c>
      <c r="K670" t="s">
        <v>15</v>
      </c>
      <c r="L670" t="s">
        <v>738</v>
      </c>
      <c r="M670" t="s">
        <v>443</v>
      </c>
      <c r="N670" t="s">
        <v>235</v>
      </c>
      <c r="P670">
        <f>((PI()*(0.04^2))-(PI()*(0.0328^2)))*1.3</f>
        <v>2.1407063668973129E-3</v>
      </c>
      <c r="Q670" t="s">
        <v>180</v>
      </c>
      <c r="R670" t="s">
        <v>175</v>
      </c>
      <c r="T670">
        <v>4</v>
      </c>
      <c r="W670">
        <v>100</v>
      </c>
      <c r="X670" t="s">
        <v>184</v>
      </c>
      <c r="AA670" s="13">
        <f>Tableau8[[#This Row],[density (kg/m2) or specific weight (kg/m2)]]*Tableau8[[#This Row],[nb of item used ]]*Tableau8[[#This Row],[volume or area]]</f>
        <v>0.85628254675892512</v>
      </c>
      <c r="AB670">
        <v>13.13</v>
      </c>
      <c r="AC670">
        <v>12.37</v>
      </c>
      <c r="AD670" s="11">
        <f>AB670*(AA670/Tableau8[[#This Row],[density (kg/m2) or specific weight (kg/m2)]])/H670</f>
        <v>4.6845790995602866E-3</v>
      </c>
      <c r="AE670" s="11">
        <f>_xlfn.RANK.AVG(Tableau8[[#This Row],[EE ( MJ/m²)]],AD670:AD1825)</f>
        <v>485</v>
      </c>
      <c r="AF670" s="11">
        <f>AB670*(AA670/Tableau8[[#This Row],[density (kg/m2) or specific weight (kg/m2)]])/H670/I670</f>
        <v>1.8738316398241145E-3</v>
      </c>
      <c r="AG670" s="11">
        <f>(AC670)*(AA670/Tableau8[[#This Row],[density (kg/m2) or specific weight (kg/m2)]])/H670</f>
        <v>4.4134229597532935E-3</v>
      </c>
      <c r="AH670" s="11">
        <f>AC670*(AA670/Tableau8[[#This Row],[density (kg/m2) or specific weight (kg/m2)]])/H670</f>
        <v>4.4134229597532935E-3</v>
      </c>
      <c r="AI670" s="11">
        <f>(AC670)*(AA670/Tableau8[[#This Row],[density (kg/m2) or specific weight (kg/m2)]])/H670/I670</f>
        <v>1.7653691839013175E-3</v>
      </c>
      <c r="AJ670" s="11">
        <f>AC670*(AA670/Tableau8[[#This Row],[density (kg/m2) or specific weight (kg/m2)]])/H670/I670</f>
        <v>1.7653691839013175E-3</v>
      </c>
    </row>
    <row r="671" spans="1:36" x14ac:dyDescent="0.25">
      <c r="A671" s="4" t="s">
        <v>945</v>
      </c>
      <c r="B671" s="4" t="s">
        <v>961</v>
      </c>
      <c r="C671" s="4" t="s">
        <v>15</v>
      </c>
      <c r="D671" s="4" t="s">
        <v>942</v>
      </c>
      <c r="E671" t="s">
        <v>713</v>
      </c>
      <c r="F671" t="s">
        <v>256</v>
      </c>
      <c r="G671" t="s">
        <v>714</v>
      </c>
      <c r="H671">
        <f t="shared" si="163"/>
        <v>24</v>
      </c>
      <c r="I671">
        <v>2.5</v>
      </c>
      <c r="J671" t="s">
        <v>56</v>
      </c>
      <c r="K671" t="s">
        <v>15</v>
      </c>
      <c r="L671" t="s">
        <v>739</v>
      </c>
      <c r="M671" t="s">
        <v>443</v>
      </c>
      <c r="N671" t="s">
        <v>235</v>
      </c>
      <c r="P671">
        <f>((PI()*(0.04^2))-(PI()*(0.0328^2)))*5.13</f>
        <v>8.4475566632178575E-3</v>
      </c>
      <c r="Q671" t="s">
        <v>180</v>
      </c>
      <c r="R671" t="s">
        <v>175</v>
      </c>
      <c r="T671">
        <v>2</v>
      </c>
      <c r="W671">
        <v>100</v>
      </c>
      <c r="X671" t="s">
        <v>184</v>
      </c>
      <c r="AA671" s="13">
        <f>Tableau8[[#This Row],[density (kg/m2) or specific weight (kg/m2)]]*Tableau8[[#This Row],[nb of item used ]]*Tableau8[[#This Row],[volume or area]]</f>
        <v>1.6895113326435716</v>
      </c>
      <c r="AB671">
        <v>13.13</v>
      </c>
      <c r="AC671">
        <v>12.37</v>
      </c>
      <c r="AD671" s="11">
        <f>AB671*(AA671/Tableau8[[#This Row],[density (kg/m2) or specific weight (kg/m2)]])/H671</f>
        <v>9.2430349156708731E-3</v>
      </c>
      <c r="AE671" s="11">
        <f>_xlfn.RANK.AVG(Tableau8[[#This Row],[EE ( MJ/m²)]],AD671:AD1826)</f>
        <v>479</v>
      </c>
      <c r="AF671" s="11">
        <f>AB671*(AA671/Tableau8[[#This Row],[density (kg/m2) or specific weight (kg/m2)]])/H671/I671</f>
        <v>3.6972139662683492E-3</v>
      </c>
      <c r="AG671" s="11">
        <f>(AC671)*(AA671/Tableau8[[#This Row],[density (kg/m2) or specific weight (kg/m2)]])/H671</f>
        <v>8.7080229936670733E-3</v>
      </c>
      <c r="AH671" s="11">
        <f>AC671*(AA671/Tableau8[[#This Row],[density (kg/m2) or specific weight (kg/m2)]])/H671</f>
        <v>8.7080229936670733E-3</v>
      </c>
      <c r="AI671" s="11">
        <f>(AC671)*(AA671/Tableau8[[#This Row],[density (kg/m2) or specific weight (kg/m2)]])/H671/I671</f>
        <v>3.4832091974668295E-3</v>
      </c>
      <c r="AJ671" s="11">
        <f>AC671*(AA671/Tableau8[[#This Row],[density (kg/m2) or specific weight (kg/m2)]])/H671/I671</f>
        <v>3.4832091974668295E-3</v>
      </c>
    </row>
    <row r="672" spans="1:36" x14ac:dyDescent="0.25">
      <c r="A672" s="4" t="s">
        <v>945</v>
      </c>
      <c r="B672" s="4" t="s">
        <v>961</v>
      </c>
      <c r="C672" s="4" t="s">
        <v>15</v>
      </c>
      <c r="D672" s="4" t="s">
        <v>942</v>
      </c>
      <c r="E672" t="s">
        <v>713</v>
      </c>
      <c r="F672" t="s">
        <v>256</v>
      </c>
      <c r="G672" t="s">
        <v>714</v>
      </c>
      <c r="H672">
        <f t="shared" si="163"/>
        <v>24</v>
      </c>
      <c r="I672">
        <v>2.5</v>
      </c>
      <c r="J672" t="s">
        <v>56</v>
      </c>
      <c r="K672" t="s">
        <v>15</v>
      </c>
      <c r="L672" t="s">
        <v>740</v>
      </c>
      <c r="M672" t="s">
        <v>443</v>
      </c>
      <c r="N672" t="s">
        <v>235</v>
      </c>
      <c r="P672">
        <f>((PI()*(0.04^2))-(PI()*(0.0328^2)))*7.13</f>
        <v>1.1740951073829107E-2</v>
      </c>
      <c r="Q672" t="s">
        <v>180</v>
      </c>
      <c r="R672" t="s">
        <v>175</v>
      </c>
      <c r="T672">
        <v>2</v>
      </c>
      <c r="W672">
        <v>100</v>
      </c>
      <c r="X672" t="s">
        <v>184</v>
      </c>
      <c r="AA672" s="13">
        <f>Tableau8[[#This Row],[density (kg/m2) or specific weight (kg/m2)]]*Tableau8[[#This Row],[nb of item used ]]*Tableau8[[#This Row],[volume or area]]</f>
        <v>2.3481902147658213</v>
      </c>
      <c r="AB672">
        <v>13.13</v>
      </c>
      <c r="AC672">
        <v>12.37</v>
      </c>
      <c r="AD672" s="11">
        <f>AB672*(AA672/Tableau8[[#This Row],[density (kg/m2) or specific weight (kg/m2)]])/H672</f>
        <v>1.2846557299948014E-2</v>
      </c>
      <c r="AE672" s="11">
        <f>_xlfn.RANK.AVG(Tableau8[[#This Row],[EE ( MJ/m²)]],AD672:AD1827)</f>
        <v>476</v>
      </c>
      <c r="AF672" s="11">
        <f>AB672*(AA672/Tableau8[[#This Row],[density (kg/m2) or specific weight (kg/m2)]])/H672/I672</f>
        <v>5.1386229199792055E-3</v>
      </c>
      <c r="AG672" s="11">
        <f>(AC672)*(AA672/Tableau8[[#This Row],[density (kg/m2) or specific weight (kg/m2)]])/H672</f>
        <v>1.2102963731938837E-2</v>
      </c>
      <c r="AH672" s="11">
        <f>AC672*(AA672/Tableau8[[#This Row],[density (kg/m2) or specific weight (kg/m2)]])/H672</f>
        <v>1.2102963731938837E-2</v>
      </c>
      <c r="AI672" s="11">
        <f>(AC672)*(AA672/Tableau8[[#This Row],[density (kg/m2) or specific weight (kg/m2)]])/H672/I672</f>
        <v>4.8411854927755352E-3</v>
      </c>
      <c r="AJ672" s="11">
        <f>AC672*(AA672/Tableau8[[#This Row],[density (kg/m2) or specific weight (kg/m2)]])/H672/I672</f>
        <v>4.8411854927755352E-3</v>
      </c>
    </row>
    <row r="673" spans="1:36" x14ac:dyDescent="0.25">
      <c r="A673" s="4" t="s">
        <v>945</v>
      </c>
      <c r="B673" s="4" t="s">
        <v>961</v>
      </c>
      <c r="C673" s="4" t="s">
        <v>15</v>
      </c>
      <c r="D673" s="4" t="s">
        <v>942</v>
      </c>
      <c r="E673" t="s">
        <v>713</v>
      </c>
      <c r="F673" t="s">
        <v>256</v>
      </c>
      <c r="G673" t="s">
        <v>714</v>
      </c>
      <c r="H673">
        <f t="shared" si="163"/>
        <v>24</v>
      </c>
      <c r="I673">
        <v>2.5</v>
      </c>
      <c r="J673" t="s">
        <v>56</v>
      </c>
      <c r="K673" t="s">
        <v>15</v>
      </c>
      <c r="L673" t="s">
        <v>741</v>
      </c>
      <c r="M673" t="s">
        <v>443</v>
      </c>
      <c r="N673" t="s">
        <v>235</v>
      </c>
      <c r="P673">
        <f>((PI()*(0.04^2))-(PI()*(0.0328^2)))*0.4</f>
        <v>6.5867888212225013E-4</v>
      </c>
      <c r="Q673" t="s">
        <v>180</v>
      </c>
      <c r="R673" t="s">
        <v>175</v>
      </c>
      <c r="T673">
        <v>4</v>
      </c>
      <c r="W673">
        <v>100</v>
      </c>
      <c r="X673" t="s">
        <v>184</v>
      </c>
      <c r="AA673" s="13">
        <f>Tableau8[[#This Row],[density (kg/m2) or specific weight (kg/m2)]]*Tableau8[[#This Row],[nb of item used ]]*Tableau8[[#This Row],[volume or area]]</f>
        <v>0.26347155284890006</v>
      </c>
      <c r="AB673">
        <v>13.13</v>
      </c>
      <c r="AC673">
        <v>12.37</v>
      </c>
      <c r="AD673" s="11">
        <f>AB673*(AA673/Tableau8[[#This Row],[density (kg/m2) or specific weight (kg/m2)]])/H673</f>
        <v>1.4414089537108574E-3</v>
      </c>
      <c r="AE673" s="11">
        <f>_xlfn.RANK.AVG(Tableau8[[#This Row],[EE ( MJ/m²)]],AD673:AD1828)</f>
        <v>484</v>
      </c>
      <c r="AF673" s="11">
        <f>AB673*(AA673/Tableau8[[#This Row],[density (kg/m2) or specific weight (kg/m2)]])/H673/I673</f>
        <v>5.7656358148434298E-4</v>
      </c>
      <c r="AG673" s="11">
        <f>(AC673)*(AA673/Tableau8[[#This Row],[density (kg/m2) or specific weight (kg/m2)]])/H673</f>
        <v>1.3579762953087055E-3</v>
      </c>
      <c r="AH673" s="11">
        <f>AC673*(AA673/Tableau8[[#This Row],[density (kg/m2) or specific weight (kg/m2)]])/H673</f>
        <v>1.3579762953087055E-3</v>
      </c>
      <c r="AI673" s="11">
        <f>(AC673)*(AA673/Tableau8[[#This Row],[density (kg/m2) or specific weight (kg/m2)]])/H673/I673</f>
        <v>5.431905181234822E-4</v>
      </c>
      <c r="AJ673" s="11">
        <f>AC673*(AA673/Tableau8[[#This Row],[density (kg/m2) or specific weight (kg/m2)]])/H673/I673</f>
        <v>5.431905181234822E-4</v>
      </c>
    </row>
    <row r="674" spans="1:36" x14ac:dyDescent="0.25">
      <c r="A674" s="4" t="s">
        <v>945</v>
      </c>
      <c r="B674" s="4" t="s">
        <v>961</v>
      </c>
      <c r="C674" s="4" t="s">
        <v>15</v>
      </c>
      <c r="D674" s="4" t="s">
        <v>942</v>
      </c>
      <c r="E674" t="s">
        <v>713</v>
      </c>
      <c r="F674" t="s">
        <v>256</v>
      </c>
      <c r="G674" t="s">
        <v>714</v>
      </c>
      <c r="H674">
        <f t="shared" si="163"/>
        <v>24</v>
      </c>
      <c r="I674">
        <v>2.5</v>
      </c>
      <c r="J674" t="s">
        <v>56</v>
      </c>
      <c r="K674" t="s">
        <v>15</v>
      </c>
      <c r="L674" t="s">
        <v>742</v>
      </c>
      <c r="M674" t="s">
        <v>443</v>
      </c>
      <c r="N674" t="s">
        <v>235</v>
      </c>
      <c r="P674">
        <f>((PI()*(0.04^2))-(PI()*(0.0328^2)))*0.5</f>
        <v>8.2334860265281264E-4</v>
      </c>
      <c r="Q674" t="s">
        <v>180</v>
      </c>
      <c r="R674" t="s">
        <v>175</v>
      </c>
      <c r="T674">
        <v>8</v>
      </c>
      <c r="W674">
        <v>100</v>
      </c>
      <c r="X674" t="s">
        <v>184</v>
      </c>
      <c r="AA674" s="13">
        <f>Tableau8[[#This Row],[density (kg/m2) or specific weight (kg/m2)]]*Tableau8[[#This Row],[nb of item used ]]*Tableau8[[#This Row],[volume or area]]</f>
        <v>0.65867888212225012</v>
      </c>
      <c r="AB674">
        <v>13.13</v>
      </c>
      <c r="AC674">
        <v>12.37</v>
      </c>
      <c r="AD674" s="11">
        <f>AB674*(AA674/Tableau8[[#This Row],[density (kg/m2) or specific weight (kg/m2)]])/H674</f>
        <v>3.6035223842771432E-3</v>
      </c>
      <c r="AE674" s="11">
        <f>_xlfn.RANK.AVG(Tableau8[[#This Row],[EE ( MJ/m²)]],AD674:AD1829)</f>
        <v>483</v>
      </c>
      <c r="AF674" s="11">
        <f>AB674*(AA674/Tableau8[[#This Row],[density (kg/m2) or specific weight (kg/m2)]])/H674/I674</f>
        <v>1.4414089537108572E-3</v>
      </c>
      <c r="AG674" s="11">
        <f>(AC674)*(AA674/Tableau8[[#This Row],[density (kg/m2) or specific weight (kg/m2)]])/H674</f>
        <v>3.394940738271764E-3</v>
      </c>
      <c r="AH674" s="11">
        <f>AC674*(AA674/Tableau8[[#This Row],[density (kg/m2) or specific weight (kg/m2)]])/H674</f>
        <v>3.394940738271764E-3</v>
      </c>
      <c r="AI674" s="11">
        <f>(AC674)*(AA674/Tableau8[[#This Row],[density (kg/m2) or specific weight (kg/m2)]])/H674/I674</f>
        <v>1.3579762953087055E-3</v>
      </c>
      <c r="AJ674" s="11">
        <f>AC674*(AA674/Tableau8[[#This Row],[density (kg/m2) or specific weight (kg/m2)]])/H674/I674</f>
        <v>1.3579762953087055E-3</v>
      </c>
    </row>
    <row r="675" spans="1:36" x14ac:dyDescent="0.25">
      <c r="A675" s="4" t="s">
        <v>945</v>
      </c>
      <c r="B675" s="4" t="s">
        <v>961</v>
      </c>
      <c r="C675" s="4" t="s">
        <v>15</v>
      </c>
      <c r="D675" s="4" t="s">
        <v>942</v>
      </c>
      <c r="E675" t="s">
        <v>713</v>
      </c>
      <c r="F675" t="s">
        <v>256</v>
      </c>
      <c r="G675" t="s">
        <v>714</v>
      </c>
      <c r="H675">
        <f t="shared" si="163"/>
        <v>24</v>
      </c>
      <c r="I675">
        <v>2.5</v>
      </c>
      <c r="J675" t="s">
        <v>56</v>
      </c>
      <c r="K675" t="s">
        <v>15</v>
      </c>
      <c r="L675" t="s">
        <v>743</v>
      </c>
      <c r="M675" t="s">
        <v>443</v>
      </c>
      <c r="N675" t="s">
        <v>235</v>
      </c>
      <c r="P675">
        <f>((PI()*(0.04^2))-(PI()*(0.0328^2)))*4.08</f>
        <v>6.718524597646951E-3</v>
      </c>
      <c r="Q675" t="s">
        <v>180</v>
      </c>
      <c r="R675" t="s">
        <v>175</v>
      </c>
      <c r="T675">
        <v>2</v>
      </c>
      <c r="W675">
        <v>100</v>
      </c>
      <c r="X675" t="s">
        <v>184</v>
      </c>
      <c r="AA675" s="13">
        <f>Tableau8[[#This Row],[density (kg/m2) or specific weight (kg/m2)]]*Tableau8[[#This Row],[nb of item used ]]*Tableau8[[#This Row],[volume or area]]</f>
        <v>1.3437049195293902</v>
      </c>
      <c r="AB675">
        <v>13.13</v>
      </c>
      <c r="AC675">
        <v>12.37</v>
      </c>
      <c r="AD675" s="11">
        <f>AB675*(AA675/Tableau8[[#This Row],[density (kg/m2) or specific weight (kg/m2)]])/H675</f>
        <v>7.3511856639253727E-3</v>
      </c>
      <c r="AE675" s="11">
        <f>_xlfn.RANK.AVG(Tableau8[[#This Row],[EE ( MJ/m²)]],AD675:AD1830)</f>
        <v>480</v>
      </c>
      <c r="AF675" s="11">
        <f>AB675*(AA675/Tableau8[[#This Row],[density (kg/m2) or specific weight (kg/m2)]])/H675/I675</f>
        <v>2.940474265570149E-3</v>
      </c>
      <c r="AG675" s="11">
        <f>(AC675)*(AA675/Tableau8[[#This Row],[density (kg/m2) or specific weight (kg/m2)]])/H675</f>
        <v>6.925679106074399E-3</v>
      </c>
      <c r="AH675" s="11">
        <f>AC675*(AA675/Tableau8[[#This Row],[density (kg/m2) or specific weight (kg/m2)]])/H675</f>
        <v>6.925679106074399E-3</v>
      </c>
      <c r="AI675" s="11">
        <f>(AC675)*(AA675/Tableau8[[#This Row],[density (kg/m2) or specific weight (kg/m2)]])/H675/I675</f>
        <v>2.7702716424297595E-3</v>
      </c>
      <c r="AJ675" s="11">
        <f>AC675*(AA675/Tableau8[[#This Row],[density (kg/m2) or specific weight (kg/m2)]])/H675/I675</f>
        <v>2.7702716424297595E-3</v>
      </c>
    </row>
    <row r="676" spans="1:36" x14ac:dyDescent="0.25">
      <c r="A676" s="4" t="s">
        <v>945</v>
      </c>
      <c r="B676" s="4" t="s">
        <v>961</v>
      </c>
      <c r="C676" s="4" t="s">
        <v>15</v>
      </c>
      <c r="D676" s="4" t="s">
        <v>942</v>
      </c>
      <c r="E676" t="s">
        <v>713</v>
      </c>
      <c r="F676" t="s">
        <v>256</v>
      </c>
      <c r="G676" t="s">
        <v>714</v>
      </c>
      <c r="H676">
        <f t="shared" si="163"/>
        <v>24</v>
      </c>
      <c r="I676">
        <v>2.5</v>
      </c>
      <c r="J676" t="s">
        <v>57</v>
      </c>
      <c r="K676" t="s">
        <v>15</v>
      </c>
      <c r="L676" t="s">
        <v>744</v>
      </c>
      <c r="M676" t="s">
        <v>235</v>
      </c>
      <c r="N676" t="s">
        <v>583</v>
      </c>
      <c r="P676">
        <f>55*0.0072</f>
        <v>0.39599999999999996</v>
      </c>
      <c r="Q676" t="s">
        <v>180</v>
      </c>
      <c r="R676" t="s">
        <v>175</v>
      </c>
      <c r="T676">
        <v>1</v>
      </c>
      <c r="W676">
        <v>176.8</v>
      </c>
      <c r="X676" t="s">
        <v>184</v>
      </c>
      <c r="AA676" s="13">
        <f>Tableau8[[#This Row],[density (kg/m2) or specific weight (kg/m2)]]*Tableau8[[#This Row],[nb of item used ]]*Tableau8[[#This Row],[volume or area]]</f>
        <v>70.012799999999999</v>
      </c>
      <c r="AB676">
        <v>26.9</v>
      </c>
      <c r="AC676">
        <v>25.03</v>
      </c>
      <c r="AD676" s="11">
        <f>AB676*(AA676/Tableau8[[#This Row],[density (kg/m2) or specific weight (kg/m2)]])/H676</f>
        <v>0.44384999999999991</v>
      </c>
      <c r="AE676" s="11">
        <f>_xlfn.RANK.AVG(Tableau8[[#This Row],[EE ( MJ/m²)]],AD676:AD1831)</f>
        <v>439</v>
      </c>
      <c r="AF676" s="11">
        <f>AB676*(AA676/Tableau8[[#This Row],[density (kg/m2) or specific weight (kg/m2)]])/H676/I676</f>
        <v>0.17753999999999998</v>
      </c>
      <c r="AG676" s="11">
        <f>(AC676)*(AA676/Tableau8[[#This Row],[density (kg/m2) or specific weight (kg/m2)]])/H676</f>
        <v>0.412995</v>
      </c>
      <c r="AH676" s="11">
        <f>AC676*(AA676/Tableau8[[#This Row],[density (kg/m2) or specific weight (kg/m2)]])/H676</f>
        <v>0.412995</v>
      </c>
      <c r="AI676" s="11">
        <f>(AC676)*(AA676/Tableau8[[#This Row],[density (kg/m2) or specific weight (kg/m2)]])/H676/I676</f>
        <v>0.16519800000000001</v>
      </c>
      <c r="AJ676" s="11">
        <f>AC676*(AA676/Tableau8[[#This Row],[density (kg/m2) or specific weight (kg/m2)]])/H676/I676</f>
        <v>0.16519800000000001</v>
      </c>
    </row>
    <row r="677" spans="1:36" x14ac:dyDescent="0.25">
      <c r="A677" s="4" t="s">
        <v>945</v>
      </c>
      <c r="B677" s="4" t="s">
        <v>961</v>
      </c>
      <c r="C677" s="4" t="s">
        <v>15</v>
      </c>
      <c r="D677" s="4" t="s">
        <v>942</v>
      </c>
      <c r="E677" t="s">
        <v>713</v>
      </c>
      <c r="F677" t="s">
        <v>256</v>
      </c>
      <c r="G677" t="s">
        <v>714</v>
      </c>
      <c r="H677">
        <f t="shared" si="163"/>
        <v>24</v>
      </c>
      <c r="I677">
        <v>2.5</v>
      </c>
      <c r="J677" t="s">
        <v>40</v>
      </c>
      <c r="K677" t="s">
        <v>15</v>
      </c>
      <c r="L677" t="s">
        <v>745</v>
      </c>
      <c r="M677" t="s">
        <v>235</v>
      </c>
      <c r="N677" t="s">
        <v>335</v>
      </c>
      <c r="P677">
        <f>95*0.004</f>
        <v>0.38</v>
      </c>
      <c r="R677" t="s">
        <v>175</v>
      </c>
      <c r="T677">
        <v>1</v>
      </c>
      <c r="W677">
        <v>178.2</v>
      </c>
      <c r="X677" t="s">
        <v>184</v>
      </c>
      <c r="AA677" s="13">
        <f>Tableau8[[#This Row],[density (kg/m2) or specific weight (kg/m2)]]*Tableau8[[#This Row],[nb of item used ]]*Tableau8[[#This Row],[volume or area]]</f>
        <v>67.715999999999994</v>
      </c>
      <c r="AB677">
        <v>28.58</v>
      </c>
      <c r="AC677">
        <v>26.91</v>
      </c>
      <c r="AD677" s="11">
        <f>AB677*(AA677/Tableau8[[#This Row],[density (kg/m2) or specific weight (kg/m2)]])/H677</f>
        <v>0.45251666666666668</v>
      </c>
      <c r="AE677" s="11">
        <f>_xlfn.RANK.AVG(Tableau8[[#This Row],[EE ( MJ/m²)]],AD677:AD1832)</f>
        <v>437</v>
      </c>
      <c r="AF677" s="11">
        <f>AB677*(AA677/Tableau8[[#This Row],[density (kg/m2) or specific weight (kg/m2)]])/H677/I677</f>
        <v>0.18100666666666668</v>
      </c>
      <c r="AG677" s="11">
        <f>(AC677)*(AA677/Tableau8[[#This Row],[density (kg/m2) or specific weight (kg/m2)]])/H677</f>
        <v>0.42607499999999998</v>
      </c>
      <c r="AH677" s="11">
        <f>AC677*(AA677/Tableau8[[#This Row],[density (kg/m2) or specific weight (kg/m2)]])/H677</f>
        <v>0.42607499999999998</v>
      </c>
      <c r="AI677" s="11">
        <f>(AC677)*(AA677/Tableau8[[#This Row],[density (kg/m2) or specific weight (kg/m2)]])/H677/I677</f>
        <v>0.17043</v>
      </c>
      <c r="AJ677" s="11">
        <f>AC677*(AA677/Tableau8[[#This Row],[density (kg/m2) or specific weight (kg/m2)]])/H677/I677</f>
        <v>0.17043</v>
      </c>
    </row>
    <row r="678" spans="1:36" x14ac:dyDescent="0.25">
      <c r="A678" s="4" t="s">
        <v>945</v>
      </c>
      <c r="B678" s="4" t="s">
        <v>961</v>
      </c>
      <c r="C678" s="4" t="s">
        <v>15</v>
      </c>
      <c r="D678" s="4" t="s">
        <v>942</v>
      </c>
      <c r="E678" t="s">
        <v>713</v>
      </c>
      <c r="F678" t="s">
        <v>256</v>
      </c>
      <c r="G678" t="s">
        <v>714</v>
      </c>
      <c r="H678">
        <f t="shared" si="163"/>
        <v>24</v>
      </c>
      <c r="I678">
        <v>2.5</v>
      </c>
      <c r="J678" t="s">
        <v>13</v>
      </c>
      <c r="K678" t="s">
        <v>29</v>
      </c>
      <c r="L678" t="s">
        <v>607</v>
      </c>
      <c r="M678" t="s">
        <v>366</v>
      </c>
      <c r="N678" t="s">
        <v>433</v>
      </c>
      <c r="P678">
        <v>0.16</v>
      </c>
      <c r="Q678" t="s">
        <v>180</v>
      </c>
      <c r="R678" t="s">
        <v>175</v>
      </c>
      <c r="T678">
        <v>1</v>
      </c>
      <c r="U678" t="s">
        <v>175</v>
      </c>
      <c r="W678">
        <v>2240</v>
      </c>
      <c r="X678" t="s">
        <v>184</v>
      </c>
      <c r="AA678" s="13">
        <f>Tableau8[[#This Row],[density (kg/m2) or specific weight (kg/m2)]]*Tableau8[[#This Row],[nb of item used ]]*Tableau8[[#This Row],[volume or area]]</f>
        <v>358.40000000000003</v>
      </c>
      <c r="AB678">
        <v>8.3000000000000004E-2</v>
      </c>
      <c r="AC678">
        <v>5.1999999999999998E-3</v>
      </c>
      <c r="AD678" s="11">
        <f t="shared" ref="AD678:AD692" si="164">AB678*AA678/H678</f>
        <v>1.2394666666666667</v>
      </c>
      <c r="AE678" s="11">
        <f>_xlfn.RANK.AVG(Tableau8[[#This Row],[EE ( MJ/m²)]],AD678:AD1833)</f>
        <v>396</v>
      </c>
      <c r="AF678" s="11">
        <f t="shared" ref="AF678:AF692" si="165">AB678*AA678/H678/I678</f>
        <v>0.49578666666666671</v>
      </c>
      <c r="AG678" s="11">
        <f>(AC678)*AA678/H678</f>
        <v>7.7653333333333338E-2</v>
      </c>
      <c r="AH678" s="11">
        <f t="shared" ref="AH678:AH692" si="166">AC678*AA678/H678</f>
        <v>7.7653333333333338E-2</v>
      </c>
      <c r="AI678" s="11">
        <f>(AC678)*AA678/H678/I678</f>
        <v>3.1061333333333337E-2</v>
      </c>
      <c r="AJ678" s="11">
        <f t="shared" ref="AJ678:AJ692" si="167">AC678*AA678/H678/I678</f>
        <v>3.1061333333333337E-2</v>
      </c>
    </row>
    <row r="679" spans="1:36" x14ac:dyDescent="0.25">
      <c r="A679" s="4" t="s">
        <v>945</v>
      </c>
      <c r="B679" s="4" t="s">
        <v>962</v>
      </c>
      <c r="C679" s="4" t="s">
        <v>15</v>
      </c>
      <c r="D679" s="4" t="s">
        <v>942</v>
      </c>
      <c r="E679" t="s">
        <v>748</v>
      </c>
      <c r="F679" t="s">
        <v>256</v>
      </c>
      <c r="G679" t="s">
        <v>714</v>
      </c>
      <c r="H679">
        <f t="shared" ref="H679:H700" si="168">4.5*4</f>
        <v>18</v>
      </c>
      <c r="I679">
        <v>1</v>
      </c>
      <c r="J679" t="s">
        <v>57</v>
      </c>
      <c r="K679" t="s">
        <v>15</v>
      </c>
      <c r="L679" t="s">
        <v>750</v>
      </c>
      <c r="M679" t="s">
        <v>15</v>
      </c>
      <c r="N679" t="s">
        <v>15</v>
      </c>
      <c r="P679">
        <f>0.05*0.1*4</f>
        <v>2.0000000000000004E-2</v>
      </c>
      <c r="T679">
        <v>2</v>
      </c>
      <c r="W679">
        <v>510</v>
      </c>
      <c r="X679" t="s">
        <v>184</v>
      </c>
      <c r="AA679" s="13">
        <f>Tableau8[[#This Row],[nb of item used ]]*Tableau8[[#This Row],[density (kg/m2) or specific weight (kg/m2)]]*Tableau8[[#This Row],[volume or area]]</f>
        <v>20.400000000000006</v>
      </c>
      <c r="AB679">
        <f t="shared" ref="AB679:AB692" si="169">10-4.4</f>
        <v>5.6</v>
      </c>
      <c r="AC679">
        <f t="shared" ref="AC679:AC692" si="170">0.31+0.41</f>
        <v>0.72</v>
      </c>
      <c r="AD679" s="11">
        <f t="shared" si="164"/>
        <v>6.3466666666666676</v>
      </c>
      <c r="AE679" s="11">
        <f>_xlfn.RANK.AVG(Tableau8[[#This Row],[EE ( MJ/m²)]],AD679:AD1834)</f>
        <v>284</v>
      </c>
      <c r="AF679" s="11">
        <f t="shared" si="165"/>
        <v>6.3466666666666676</v>
      </c>
      <c r="AG679" s="11">
        <f t="shared" ref="AG679:AG692" si="171">(AC679-0.41)*AA679/H679</f>
        <v>0.35133333333333344</v>
      </c>
      <c r="AH679" s="11">
        <f t="shared" si="166"/>
        <v>0.81600000000000028</v>
      </c>
      <c r="AI679" s="11">
        <f t="shared" ref="AI679:AI692" si="172">(AC679-0.41)*AA679/H679/I679</f>
        <v>0.35133333333333344</v>
      </c>
      <c r="AJ679" s="11">
        <f t="shared" si="167"/>
        <v>0.81600000000000028</v>
      </c>
    </row>
    <row r="680" spans="1:36" x14ac:dyDescent="0.25">
      <c r="A680" s="4" t="s">
        <v>945</v>
      </c>
      <c r="B680" s="4" t="s">
        <v>962</v>
      </c>
      <c r="C680" s="4" t="s">
        <v>15</v>
      </c>
      <c r="D680" s="4" t="s">
        <v>942</v>
      </c>
      <c r="E680" t="s">
        <v>748</v>
      </c>
      <c r="F680" t="s">
        <v>256</v>
      </c>
      <c r="G680" t="s">
        <v>714</v>
      </c>
      <c r="H680">
        <f t="shared" si="168"/>
        <v>18</v>
      </c>
      <c r="I680">
        <v>1</v>
      </c>
      <c r="J680" t="s">
        <v>56</v>
      </c>
      <c r="K680" t="s">
        <v>15</v>
      </c>
      <c r="L680" t="s">
        <v>751</v>
      </c>
      <c r="M680" t="s">
        <v>15</v>
      </c>
      <c r="N680" t="s">
        <v>15</v>
      </c>
      <c r="P680">
        <f>0.05*0.1*4</f>
        <v>2.0000000000000004E-2</v>
      </c>
      <c r="T680">
        <v>3</v>
      </c>
      <c r="W680">
        <v>510</v>
      </c>
      <c r="X680" t="s">
        <v>184</v>
      </c>
      <c r="AA680" s="13">
        <f>Tableau8[[#This Row],[nb of item used ]]*Tableau8[[#This Row],[density (kg/m2) or specific weight (kg/m2)]]*Tableau8[[#This Row],[volume or area]]</f>
        <v>30.600000000000005</v>
      </c>
      <c r="AB680">
        <f t="shared" si="169"/>
        <v>5.6</v>
      </c>
      <c r="AC680">
        <f t="shared" si="170"/>
        <v>0.72</v>
      </c>
      <c r="AD680" s="11">
        <f t="shared" si="164"/>
        <v>9.5200000000000014</v>
      </c>
      <c r="AE680" s="11">
        <f>_xlfn.RANK.AVG(Tableau8[[#This Row],[EE ( MJ/m²)]],AD680:AD1835)</f>
        <v>248</v>
      </c>
      <c r="AF680" s="11">
        <f t="shared" si="165"/>
        <v>9.5200000000000014</v>
      </c>
      <c r="AG680" s="11">
        <f t="shared" si="171"/>
        <v>0.52700000000000002</v>
      </c>
      <c r="AH680" s="11">
        <f t="shared" si="166"/>
        <v>1.2240000000000002</v>
      </c>
      <c r="AI680" s="11">
        <f t="shared" si="172"/>
        <v>0.52700000000000002</v>
      </c>
      <c r="AJ680" s="11">
        <f t="shared" si="167"/>
        <v>1.2240000000000002</v>
      </c>
    </row>
    <row r="681" spans="1:36" x14ac:dyDescent="0.25">
      <c r="A681" s="4" t="s">
        <v>945</v>
      </c>
      <c r="B681" s="4" t="s">
        <v>962</v>
      </c>
      <c r="C681" s="4" t="s">
        <v>15</v>
      </c>
      <c r="D681" s="4" t="s">
        <v>942</v>
      </c>
      <c r="E681" t="s">
        <v>748</v>
      </c>
      <c r="F681" t="s">
        <v>256</v>
      </c>
      <c r="G681" t="s">
        <v>714</v>
      </c>
      <c r="H681">
        <f t="shared" si="168"/>
        <v>18</v>
      </c>
      <c r="I681">
        <v>1</v>
      </c>
      <c r="J681" t="s">
        <v>57</v>
      </c>
      <c r="K681" t="s">
        <v>15</v>
      </c>
      <c r="L681" t="s">
        <v>752</v>
      </c>
      <c r="M681" t="s">
        <v>15</v>
      </c>
      <c r="N681" t="s">
        <v>15</v>
      </c>
      <c r="P681">
        <f>0.05*0.1*4.5</f>
        <v>2.2500000000000006E-2</v>
      </c>
      <c r="T681">
        <v>3</v>
      </c>
      <c r="W681" s="1">
        <v>510</v>
      </c>
      <c r="X681" t="s">
        <v>184</v>
      </c>
      <c r="AA681" s="13">
        <f>Tableau8[[#This Row],[nb of item used ]]*Tableau8[[#This Row],[density (kg/m2) or specific weight (kg/m2)]]*Tableau8[[#This Row],[volume or area]]</f>
        <v>34.425000000000011</v>
      </c>
      <c r="AB681">
        <f t="shared" si="169"/>
        <v>5.6</v>
      </c>
      <c r="AC681">
        <f t="shared" si="170"/>
        <v>0.72</v>
      </c>
      <c r="AD681" s="11">
        <f t="shared" si="164"/>
        <v>10.710000000000003</v>
      </c>
      <c r="AE681" s="11">
        <f>_xlfn.RANK.AVG(Tableau8[[#This Row],[EE ( MJ/m²)]],AD681:AD1836)</f>
        <v>240</v>
      </c>
      <c r="AF681" s="11">
        <f t="shared" si="165"/>
        <v>10.710000000000003</v>
      </c>
      <c r="AG681" s="11">
        <f t="shared" si="171"/>
        <v>0.59287500000000015</v>
      </c>
      <c r="AH681" s="11">
        <f t="shared" si="166"/>
        <v>1.3770000000000004</v>
      </c>
      <c r="AI681" s="11">
        <f t="shared" si="172"/>
        <v>0.59287500000000015</v>
      </c>
      <c r="AJ681" s="11">
        <f t="shared" si="167"/>
        <v>1.3770000000000004</v>
      </c>
    </row>
    <row r="682" spans="1:36" x14ac:dyDescent="0.25">
      <c r="A682" s="4" t="s">
        <v>945</v>
      </c>
      <c r="B682" s="4" t="s">
        <v>962</v>
      </c>
      <c r="C682" s="4" t="s">
        <v>15</v>
      </c>
      <c r="D682" s="4" t="s">
        <v>942</v>
      </c>
      <c r="E682" t="s">
        <v>748</v>
      </c>
      <c r="F682" t="s">
        <v>256</v>
      </c>
      <c r="G682" t="s">
        <v>714</v>
      </c>
      <c r="H682">
        <f t="shared" si="168"/>
        <v>18</v>
      </c>
      <c r="I682">
        <v>1</v>
      </c>
      <c r="J682" t="s">
        <v>56</v>
      </c>
      <c r="K682" t="s">
        <v>15</v>
      </c>
      <c r="L682" t="s">
        <v>753</v>
      </c>
      <c r="M682" t="s">
        <v>15</v>
      </c>
      <c r="N682" t="s">
        <v>15</v>
      </c>
      <c r="P682">
        <f>0.05*0.1*4.5</f>
        <v>2.2500000000000006E-2</v>
      </c>
      <c r="T682">
        <v>1</v>
      </c>
      <c r="W682" s="1">
        <v>510</v>
      </c>
      <c r="X682" t="s">
        <v>184</v>
      </c>
      <c r="AA682" s="13">
        <f>Tableau8[[#This Row],[nb of item used ]]*Tableau8[[#This Row],[density (kg/m2) or specific weight (kg/m2)]]*Tableau8[[#This Row],[volume or area]]</f>
        <v>11.475000000000003</v>
      </c>
      <c r="AB682">
        <f t="shared" si="169"/>
        <v>5.6</v>
      </c>
      <c r="AC682">
        <f t="shared" si="170"/>
        <v>0.72</v>
      </c>
      <c r="AD682" s="11">
        <f t="shared" si="164"/>
        <v>3.5700000000000012</v>
      </c>
      <c r="AE682" s="11">
        <f>_xlfn.RANK.AVG(Tableau8[[#This Row],[EE ( MJ/m²)]],AD682:AD1837)</f>
        <v>318</v>
      </c>
      <c r="AF682" s="11">
        <f t="shared" si="165"/>
        <v>3.5700000000000012</v>
      </c>
      <c r="AG682" s="11">
        <f t="shared" si="171"/>
        <v>0.19762500000000005</v>
      </c>
      <c r="AH682" s="11">
        <f t="shared" si="166"/>
        <v>0.45900000000000013</v>
      </c>
      <c r="AI682" s="11">
        <f t="shared" si="172"/>
        <v>0.19762500000000005</v>
      </c>
      <c r="AJ682" s="11">
        <f t="shared" si="167"/>
        <v>0.45900000000000013</v>
      </c>
    </row>
    <row r="683" spans="1:36" x14ac:dyDescent="0.25">
      <c r="A683" s="4" t="s">
        <v>945</v>
      </c>
      <c r="B683" s="4" t="s">
        <v>962</v>
      </c>
      <c r="C683" s="4" t="s">
        <v>15</v>
      </c>
      <c r="D683" s="4" t="s">
        <v>942</v>
      </c>
      <c r="E683" t="s">
        <v>748</v>
      </c>
      <c r="F683" t="s">
        <v>256</v>
      </c>
      <c r="G683" t="s">
        <v>714</v>
      </c>
      <c r="H683">
        <f t="shared" si="168"/>
        <v>18</v>
      </c>
      <c r="I683">
        <v>1</v>
      </c>
      <c r="J683" t="s">
        <v>56</v>
      </c>
      <c r="K683" t="s">
        <v>15</v>
      </c>
      <c r="L683" t="s">
        <v>754</v>
      </c>
      <c r="M683" t="s">
        <v>15</v>
      </c>
      <c r="N683" t="s">
        <v>15</v>
      </c>
      <c r="P683">
        <f>0.05*0.1*4.5</f>
        <v>2.2500000000000006E-2</v>
      </c>
      <c r="T683">
        <v>2</v>
      </c>
      <c r="W683" s="1">
        <v>510</v>
      </c>
      <c r="X683" t="s">
        <v>184</v>
      </c>
      <c r="AA683" s="13">
        <f>Tableau8[[#This Row],[nb of item used ]]*Tableau8[[#This Row],[density (kg/m2) or specific weight (kg/m2)]]*Tableau8[[#This Row],[volume or area]]</f>
        <v>22.950000000000006</v>
      </c>
      <c r="AB683">
        <f t="shared" si="169"/>
        <v>5.6</v>
      </c>
      <c r="AC683">
        <f t="shared" si="170"/>
        <v>0.72</v>
      </c>
      <c r="AD683" s="11">
        <f t="shared" si="164"/>
        <v>7.1400000000000023</v>
      </c>
      <c r="AE683" s="11">
        <f>_xlfn.RANK.AVG(Tableau8[[#This Row],[EE ( MJ/m²)]],AD683:AD1838)</f>
        <v>268</v>
      </c>
      <c r="AF683" s="11">
        <f t="shared" si="165"/>
        <v>7.1400000000000023</v>
      </c>
      <c r="AG683" s="11">
        <f t="shared" si="171"/>
        <v>0.3952500000000001</v>
      </c>
      <c r="AH683" s="11">
        <f t="shared" si="166"/>
        <v>0.91800000000000026</v>
      </c>
      <c r="AI683" s="11">
        <f t="shared" si="172"/>
        <v>0.3952500000000001</v>
      </c>
      <c r="AJ683" s="11">
        <f t="shared" si="167"/>
        <v>0.91800000000000026</v>
      </c>
    </row>
    <row r="684" spans="1:36" x14ac:dyDescent="0.25">
      <c r="A684" s="4" t="s">
        <v>945</v>
      </c>
      <c r="B684" s="4" t="s">
        <v>962</v>
      </c>
      <c r="C684" s="4" t="s">
        <v>15</v>
      </c>
      <c r="D684" s="4" t="s">
        <v>942</v>
      </c>
      <c r="E684" t="s">
        <v>748</v>
      </c>
      <c r="F684" t="s">
        <v>256</v>
      </c>
      <c r="G684" t="s">
        <v>714</v>
      </c>
      <c r="H684">
        <f t="shared" si="168"/>
        <v>18</v>
      </c>
      <c r="I684">
        <v>1</v>
      </c>
      <c r="J684" t="s">
        <v>57</v>
      </c>
      <c r="K684" t="s">
        <v>15</v>
      </c>
      <c r="L684" t="s">
        <v>755</v>
      </c>
      <c r="M684" t="s">
        <v>15</v>
      </c>
      <c r="N684" t="s">
        <v>15</v>
      </c>
      <c r="P684">
        <f>0.05*0.1*4.5</f>
        <v>2.2500000000000006E-2</v>
      </c>
      <c r="T684">
        <v>7</v>
      </c>
      <c r="W684" s="1">
        <v>510</v>
      </c>
      <c r="X684" t="s">
        <v>184</v>
      </c>
      <c r="AA684" s="13">
        <f>Tableau8[[#This Row],[nb of item used ]]*Tableau8[[#This Row],[density (kg/m2) or specific weight (kg/m2)]]*Tableau8[[#This Row],[volume or area]]</f>
        <v>80.325000000000017</v>
      </c>
      <c r="AB684">
        <f t="shared" si="169"/>
        <v>5.6</v>
      </c>
      <c r="AC684">
        <f t="shared" si="170"/>
        <v>0.72</v>
      </c>
      <c r="AD684" s="11">
        <f t="shared" si="164"/>
        <v>24.990000000000002</v>
      </c>
      <c r="AE684" s="11">
        <f>_xlfn.RANK.AVG(Tableau8[[#This Row],[EE ( MJ/m²)]],AD684:AD1839)</f>
        <v>161</v>
      </c>
      <c r="AF684" s="11">
        <f t="shared" si="165"/>
        <v>24.990000000000002</v>
      </c>
      <c r="AG684" s="11">
        <f t="shared" si="171"/>
        <v>1.3833750000000002</v>
      </c>
      <c r="AH684" s="11">
        <f t="shared" si="166"/>
        <v>3.2130000000000005</v>
      </c>
      <c r="AI684" s="11">
        <f t="shared" si="172"/>
        <v>1.3833750000000002</v>
      </c>
      <c r="AJ684" s="11">
        <f t="shared" si="167"/>
        <v>3.2130000000000005</v>
      </c>
    </row>
    <row r="685" spans="1:36" x14ac:dyDescent="0.25">
      <c r="A685" s="4" t="s">
        <v>945</v>
      </c>
      <c r="B685" s="4" t="s">
        <v>962</v>
      </c>
      <c r="C685" s="4" t="s">
        <v>15</v>
      </c>
      <c r="D685" s="4" t="s">
        <v>942</v>
      </c>
      <c r="E685" t="s">
        <v>748</v>
      </c>
      <c r="F685" t="s">
        <v>256</v>
      </c>
      <c r="G685" t="s">
        <v>714</v>
      </c>
      <c r="H685">
        <f t="shared" si="168"/>
        <v>18</v>
      </c>
      <c r="I685">
        <v>1</v>
      </c>
      <c r="J685" t="s">
        <v>40</v>
      </c>
      <c r="K685" t="s">
        <v>15</v>
      </c>
      <c r="L685" t="s">
        <v>756</v>
      </c>
      <c r="M685" t="s">
        <v>15</v>
      </c>
      <c r="N685" t="s">
        <v>15</v>
      </c>
      <c r="P685">
        <f>0.05*0.1*2.75</f>
        <v>1.3750000000000002E-2</v>
      </c>
      <c r="T685">
        <v>6</v>
      </c>
      <c r="W685" s="1">
        <v>510</v>
      </c>
      <c r="X685" t="s">
        <v>184</v>
      </c>
      <c r="AA685" s="13">
        <f>Tableau8[[#This Row],[nb of item used ]]*Tableau8[[#This Row],[density (kg/m2) or specific weight (kg/m2)]]*Tableau8[[#This Row],[volume or area]]</f>
        <v>42.075000000000003</v>
      </c>
      <c r="AB685">
        <f t="shared" si="169"/>
        <v>5.6</v>
      </c>
      <c r="AC685">
        <f t="shared" si="170"/>
        <v>0.72</v>
      </c>
      <c r="AD685" s="11">
        <f t="shared" si="164"/>
        <v>13.09</v>
      </c>
      <c r="AE685" s="11">
        <f>_xlfn.RANK.AVG(Tableau8[[#This Row],[EE ( MJ/m²)]],AD685:AD1840)</f>
        <v>223</v>
      </c>
      <c r="AF685" s="11">
        <f t="shared" si="165"/>
        <v>13.09</v>
      </c>
      <c r="AG685" s="11">
        <f t="shared" si="171"/>
        <v>0.72462500000000007</v>
      </c>
      <c r="AH685" s="11">
        <f t="shared" si="166"/>
        <v>1.6830000000000001</v>
      </c>
      <c r="AI685" s="11">
        <f t="shared" si="172"/>
        <v>0.72462500000000007</v>
      </c>
      <c r="AJ685" s="11">
        <f t="shared" si="167"/>
        <v>1.6830000000000001</v>
      </c>
    </row>
    <row r="686" spans="1:36" x14ac:dyDescent="0.25">
      <c r="A686" s="4" t="s">
        <v>945</v>
      </c>
      <c r="B686" s="4" t="s">
        <v>962</v>
      </c>
      <c r="C686" s="4" t="s">
        <v>15</v>
      </c>
      <c r="D686" s="4" t="s">
        <v>942</v>
      </c>
      <c r="E686" t="s">
        <v>748</v>
      </c>
      <c r="F686" t="s">
        <v>256</v>
      </c>
      <c r="G686" t="s">
        <v>714</v>
      </c>
      <c r="H686">
        <f t="shared" si="168"/>
        <v>18</v>
      </c>
      <c r="I686">
        <v>1</v>
      </c>
      <c r="J686" t="s">
        <v>40</v>
      </c>
      <c r="K686" t="s">
        <v>15</v>
      </c>
      <c r="L686" t="s">
        <v>757</v>
      </c>
      <c r="M686" t="s">
        <v>15</v>
      </c>
      <c r="N686" t="s">
        <v>15</v>
      </c>
      <c r="P686">
        <f>0.05*0.1*3.65</f>
        <v>1.8250000000000002E-2</v>
      </c>
      <c r="T686">
        <v>2</v>
      </c>
      <c r="W686" s="1">
        <v>510</v>
      </c>
      <c r="X686" t="s">
        <v>184</v>
      </c>
      <c r="AA686" s="13">
        <f>Tableau8[[#This Row],[nb of item used ]]*Tableau8[[#This Row],[density (kg/m2) or specific weight (kg/m2)]]*Tableau8[[#This Row],[volume or area]]</f>
        <v>18.615000000000002</v>
      </c>
      <c r="AB686">
        <f t="shared" si="169"/>
        <v>5.6</v>
      </c>
      <c r="AC686">
        <f t="shared" si="170"/>
        <v>0.72</v>
      </c>
      <c r="AD686" s="11">
        <f t="shared" si="164"/>
        <v>5.7913333333333332</v>
      </c>
      <c r="AE686" s="11">
        <f>_xlfn.RANK.AVG(Tableau8[[#This Row],[EE ( MJ/m²)]],AD686:AD1841)</f>
        <v>285</v>
      </c>
      <c r="AF686" s="11">
        <f t="shared" si="165"/>
        <v>5.7913333333333332</v>
      </c>
      <c r="AG686" s="11">
        <f t="shared" si="171"/>
        <v>0.32059166666666672</v>
      </c>
      <c r="AH686" s="11">
        <f t="shared" si="166"/>
        <v>0.74460000000000004</v>
      </c>
      <c r="AI686" s="11">
        <f t="shared" si="172"/>
        <v>0.32059166666666672</v>
      </c>
      <c r="AJ686" s="11">
        <f t="shared" si="167"/>
        <v>0.74460000000000004</v>
      </c>
    </row>
    <row r="687" spans="1:36" x14ac:dyDescent="0.25">
      <c r="A687" s="4" t="s">
        <v>945</v>
      </c>
      <c r="B687" s="4" t="s">
        <v>962</v>
      </c>
      <c r="C687" s="4" t="s">
        <v>15</v>
      </c>
      <c r="D687" s="4" t="s">
        <v>942</v>
      </c>
      <c r="E687" t="s">
        <v>748</v>
      </c>
      <c r="F687" t="s">
        <v>256</v>
      </c>
      <c r="G687" t="s">
        <v>714</v>
      </c>
      <c r="H687">
        <f t="shared" si="168"/>
        <v>18</v>
      </c>
      <c r="I687">
        <v>1</v>
      </c>
      <c r="J687" t="s">
        <v>40</v>
      </c>
      <c r="K687" t="s">
        <v>15</v>
      </c>
      <c r="L687" t="s">
        <v>758</v>
      </c>
      <c r="M687" t="s">
        <v>15</v>
      </c>
      <c r="N687" t="s">
        <v>15</v>
      </c>
      <c r="P687">
        <f>0.07*0.1*2.2</f>
        <v>1.5400000000000004E-2</v>
      </c>
      <c r="T687">
        <v>16</v>
      </c>
      <c r="W687" s="1">
        <v>510</v>
      </c>
      <c r="X687" t="s">
        <v>184</v>
      </c>
      <c r="AA687" s="13">
        <f>Tableau8[[#This Row],[nb of item used ]]*Tableau8[[#This Row],[density (kg/m2) or specific weight (kg/m2)]]*Tableau8[[#This Row],[volume or area]]</f>
        <v>125.66400000000003</v>
      </c>
      <c r="AB687">
        <f t="shared" si="169"/>
        <v>5.6</v>
      </c>
      <c r="AC687">
        <f t="shared" si="170"/>
        <v>0.72</v>
      </c>
      <c r="AD687" s="11">
        <f t="shared" si="164"/>
        <v>39.095466666666674</v>
      </c>
      <c r="AE687" s="11">
        <f>_xlfn.RANK.AVG(Tableau8[[#This Row],[EE ( MJ/m²)]],AD687:AD1842)</f>
        <v>132</v>
      </c>
      <c r="AF687" s="11">
        <f t="shared" si="165"/>
        <v>39.095466666666674</v>
      </c>
      <c r="AG687" s="11">
        <f t="shared" si="171"/>
        <v>2.164213333333334</v>
      </c>
      <c r="AH687" s="11">
        <f t="shared" si="166"/>
        <v>5.0265600000000008</v>
      </c>
      <c r="AI687" s="11">
        <f t="shared" si="172"/>
        <v>2.164213333333334</v>
      </c>
      <c r="AJ687" s="11">
        <f t="shared" si="167"/>
        <v>5.0265600000000008</v>
      </c>
    </row>
    <row r="688" spans="1:36" x14ac:dyDescent="0.25">
      <c r="A688" s="4" t="s">
        <v>945</v>
      </c>
      <c r="B688" s="4" t="s">
        <v>962</v>
      </c>
      <c r="C688" s="4" t="s">
        <v>15</v>
      </c>
      <c r="D688" s="4" t="s">
        <v>942</v>
      </c>
      <c r="E688" t="s">
        <v>748</v>
      </c>
      <c r="F688" t="s">
        <v>256</v>
      </c>
      <c r="G688" t="s">
        <v>714</v>
      </c>
      <c r="H688">
        <f t="shared" si="168"/>
        <v>18</v>
      </c>
      <c r="I688">
        <v>1</v>
      </c>
      <c r="J688" t="s">
        <v>40</v>
      </c>
      <c r="K688" t="s">
        <v>15</v>
      </c>
      <c r="L688" t="s">
        <v>759</v>
      </c>
      <c r="M688" t="s">
        <v>15</v>
      </c>
      <c r="N688" t="s">
        <v>15</v>
      </c>
      <c r="P688">
        <f>0.05*0.1*0.65</f>
        <v>3.2500000000000007E-3</v>
      </c>
      <c r="T688">
        <v>10</v>
      </c>
      <c r="W688" s="1">
        <v>510</v>
      </c>
      <c r="X688" t="s">
        <v>184</v>
      </c>
      <c r="AA688" s="13">
        <f>Tableau8[[#This Row],[nb of item used ]]*Tableau8[[#This Row],[density (kg/m2) or specific weight (kg/m2)]]*Tableau8[[#This Row],[volume or area]]</f>
        <v>16.575000000000003</v>
      </c>
      <c r="AB688">
        <f t="shared" si="169"/>
        <v>5.6</v>
      </c>
      <c r="AC688">
        <f t="shared" si="170"/>
        <v>0.72</v>
      </c>
      <c r="AD688" s="11">
        <f t="shared" si="164"/>
        <v>5.1566666666666672</v>
      </c>
      <c r="AE688" s="11">
        <f>_xlfn.RANK.AVG(Tableau8[[#This Row],[EE ( MJ/m²)]],AD688:AD1843)</f>
        <v>294</v>
      </c>
      <c r="AF688" s="11">
        <f t="shared" si="165"/>
        <v>5.1566666666666672</v>
      </c>
      <c r="AG688" s="11">
        <f t="shared" si="171"/>
        <v>0.28545833333333337</v>
      </c>
      <c r="AH688" s="11">
        <f t="shared" si="166"/>
        <v>0.66300000000000003</v>
      </c>
      <c r="AI688" s="11">
        <f t="shared" si="172"/>
        <v>0.28545833333333337</v>
      </c>
      <c r="AJ688" s="11">
        <f t="shared" si="167"/>
        <v>0.66300000000000003</v>
      </c>
    </row>
    <row r="689" spans="1:36" x14ac:dyDescent="0.25">
      <c r="A689" s="4" t="s">
        <v>945</v>
      </c>
      <c r="B689" s="4" t="s">
        <v>962</v>
      </c>
      <c r="C689" s="4" t="s">
        <v>15</v>
      </c>
      <c r="D689" s="4" t="s">
        <v>942</v>
      </c>
      <c r="E689" t="s">
        <v>748</v>
      </c>
      <c r="F689" t="s">
        <v>256</v>
      </c>
      <c r="G689" t="s">
        <v>714</v>
      </c>
      <c r="H689">
        <f t="shared" si="168"/>
        <v>18</v>
      </c>
      <c r="I689">
        <v>1</v>
      </c>
      <c r="J689" t="s">
        <v>56</v>
      </c>
      <c r="K689" t="s">
        <v>15</v>
      </c>
      <c r="L689" t="s">
        <v>760</v>
      </c>
      <c r="M689" t="s">
        <v>15</v>
      </c>
      <c r="N689" t="s">
        <v>15</v>
      </c>
      <c r="P689">
        <f>0.07*0.1*0.8</f>
        <v>5.6000000000000008E-3</v>
      </c>
      <c r="T689">
        <v>6</v>
      </c>
      <c r="W689" s="1">
        <v>510</v>
      </c>
      <c r="X689" t="s">
        <v>184</v>
      </c>
      <c r="AA689" s="13">
        <f>Tableau8[[#This Row],[nb of item used ]]*Tableau8[[#This Row],[density (kg/m2) or specific weight (kg/m2)]]*Tableau8[[#This Row],[volume or area]]</f>
        <v>17.136000000000003</v>
      </c>
      <c r="AB689">
        <f t="shared" si="169"/>
        <v>5.6</v>
      </c>
      <c r="AC689">
        <f t="shared" si="170"/>
        <v>0.72</v>
      </c>
      <c r="AD689" s="11">
        <f t="shared" si="164"/>
        <v>5.3311999999999999</v>
      </c>
      <c r="AE689" s="11">
        <f>_xlfn.RANK.AVG(Tableau8[[#This Row],[EE ( MJ/m²)]],AD689:AD1844)</f>
        <v>290</v>
      </c>
      <c r="AF689" s="11">
        <f t="shared" si="165"/>
        <v>5.3311999999999999</v>
      </c>
      <c r="AG689" s="11">
        <f t="shared" si="171"/>
        <v>0.29512000000000005</v>
      </c>
      <c r="AH689" s="11">
        <f t="shared" si="166"/>
        <v>0.68544000000000016</v>
      </c>
      <c r="AI689" s="11">
        <f t="shared" si="172"/>
        <v>0.29512000000000005</v>
      </c>
      <c r="AJ689" s="11">
        <f t="shared" si="167"/>
        <v>0.68544000000000016</v>
      </c>
    </row>
    <row r="690" spans="1:36" x14ac:dyDescent="0.25">
      <c r="A690" s="4" t="s">
        <v>945</v>
      </c>
      <c r="B690" s="4" t="s">
        <v>962</v>
      </c>
      <c r="C690" s="4" t="s">
        <v>15</v>
      </c>
      <c r="D690" s="4" t="s">
        <v>942</v>
      </c>
      <c r="E690" t="s">
        <v>748</v>
      </c>
      <c r="F690" t="s">
        <v>256</v>
      </c>
      <c r="G690" t="s">
        <v>714</v>
      </c>
      <c r="H690">
        <f t="shared" si="168"/>
        <v>18</v>
      </c>
      <c r="I690">
        <v>1</v>
      </c>
      <c r="J690" t="s">
        <v>56</v>
      </c>
      <c r="K690" t="s">
        <v>15</v>
      </c>
      <c r="L690" t="s">
        <v>761</v>
      </c>
      <c r="M690" t="s">
        <v>15</v>
      </c>
      <c r="N690" t="s">
        <v>15</v>
      </c>
      <c r="P690">
        <f>0.07*0.1*0.95</f>
        <v>6.6500000000000005E-3</v>
      </c>
      <c r="T690">
        <v>1</v>
      </c>
      <c r="W690" s="1">
        <v>510</v>
      </c>
      <c r="X690" t="s">
        <v>184</v>
      </c>
      <c r="AA690" s="13">
        <f>Tableau8[[#This Row],[nb of item used ]]*Tableau8[[#This Row],[density (kg/m2) or specific weight (kg/m2)]]*Tableau8[[#This Row],[volume or area]]</f>
        <v>3.3915000000000002</v>
      </c>
      <c r="AB690">
        <f t="shared" si="169"/>
        <v>5.6</v>
      </c>
      <c r="AC690">
        <f t="shared" si="170"/>
        <v>0.72</v>
      </c>
      <c r="AD690" s="11">
        <f t="shared" si="164"/>
        <v>1.0551333333333333</v>
      </c>
      <c r="AE690" s="11">
        <f>_xlfn.RANK.AVG(Tableau8[[#This Row],[EE ( MJ/m²)]],AD690:AD1845)</f>
        <v>393</v>
      </c>
      <c r="AF690" s="11">
        <f t="shared" si="165"/>
        <v>1.0551333333333333</v>
      </c>
      <c r="AG690" s="11">
        <f t="shared" si="171"/>
        <v>5.8409166666666672E-2</v>
      </c>
      <c r="AH690" s="11">
        <f t="shared" si="166"/>
        <v>0.13566</v>
      </c>
      <c r="AI690" s="11">
        <f t="shared" si="172"/>
        <v>5.8409166666666672E-2</v>
      </c>
      <c r="AJ690" s="11">
        <f t="shared" si="167"/>
        <v>0.13566</v>
      </c>
    </row>
    <row r="691" spans="1:36" x14ac:dyDescent="0.25">
      <c r="A691" s="4" t="s">
        <v>945</v>
      </c>
      <c r="B691" s="4" t="s">
        <v>962</v>
      </c>
      <c r="C691" s="4" t="s">
        <v>15</v>
      </c>
      <c r="D691" s="4" t="s">
        <v>942</v>
      </c>
      <c r="E691" t="s">
        <v>748</v>
      </c>
      <c r="F691" t="s">
        <v>256</v>
      </c>
      <c r="G691" t="s">
        <v>714</v>
      </c>
      <c r="H691">
        <f t="shared" si="168"/>
        <v>18</v>
      </c>
      <c r="I691">
        <v>1</v>
      </c>
      <c r="J691" t="s">
        <v>56</v>
      </c>
      <c r="K691" t="s">
        <v>15</v>
      </c>
      <c r="L691" t="s">
        <v>762</v>
      </c>
      <c r="M691" t="s">
        <v>15</v>
      </c>
      <c r="N691" t="s">
        <v>15</v>
      </c>
      <c r="P691">
        <f>0.07*0.1*2.8</f>
        <v>1.9600000000000003E-2</v>
      </c>
      <c r="T691">
        <v>6</v>
      </c>
      <c r="W691" s="1">
        <v>510</v>
      </c>
      <c r="X691" t="s">
        <v>184</v>
      </c>
      <c r="AA691" s="13">
        <f>Tableau8[[#This Row],[nb of item used ]]*Tableau8[[#This Row],[density (kg/m2) or specific weight (kg/m2)]]*Tableau8[[#This Row],[volume or area]]</f>
        <v>59.976000000000006</v>
      </c>
      <c r="AB691">
        <f t="shared" si="169"/>
        <v>5.6</v>
      </c>
      <c r="AC691">
        <f t="shared" si="170"/>
        <v>0.72</v>
      </c>
      <c r="AD691" s="11">
        <f t="shared" si="164"/>
        <v>18.659200000000002</v>
      </c>
      <c r="AE691" s="11">
        <f>_xlfn.RANK.AVG(Tableau8[[#This Row],[EE ( MJ/m²)]],AD691:AD1846)</f>
        <v>190</v>
      </c>
      <c r="AF691" s="11">
        <f t="shared" si="165"/>
        <v>18.659200000000002</v>
      </c>
      <c r="AG691" s="11">
        <f t="shared" si="171"/>
        <v>1.0329200000000001</v>
      </c>
      <c r="AH691" s="11">
        <f t="shared" si="166"/>
        <v>2.3990400000000003</v>
      </c>
      <c r="AI691" s="11">
        <f t="shared" si="172"/>
        <v>1.0329200000000001</v>
      </c>
      <c r="AJ691" s="11">
        <f t="shared" si="167"/>
        <v>2.3990400000000003</v>
      </c>
    </row>
    <row r="692" spans="1:36" x14ac:dyDescent="0.25">
      <c r="A692" s="4" t="s">
        <v>945</v>
      </c>
      <c r="B692" s="4" t="s">
        <v>962</v>
      </c>
      <c r="C692" s="4" t="s">
        <v>15</v>
      </c>
      <c r="D692" s="4" t="s">
        <v>942</v>
      </c>
      <c r="E692" t="s">
        <v>748</v>
      </c>
      <c r="F692" t="s">
        <v>256</v>
      </c>
      <c r="G692" t="s">
        <v>714</v>
      </c>
      <c r="H692">
        <f t="shared" si="168"/>
        <v>18</v>
      </c>
      <c r="I692">
        <v>1</v>
      </c>
      <c r="J692" t="s">
        <v>56</v>
      </c>
      <c r="K692" t="s">
        <v>15</v>
      </c>
      <c r="L692" t="s">
        <v>763</v>
      </c>
      <c r="M692" t="s">
        <v>15</v>
      </c>
      <c r="N692" t="s">
        <v>15</v>
      </c>
      <c r="P692">
        <f>0.07*0.1*2.25</f>
        <v>1.5750000000000004E-2</v>
      </c>
      <c r="T692">
        <v>6</v>
      </c>
      <c r="W692" s="1">
        <v>510</v>
      </c>
      <c r="X692" t="s">
        <v>184</v>
      </c>
      <c r="AA692" s="13">
        <f>Tableau8[[#This Row],[nb of item used ]]*Tableau8[[#This Row],[density (kg/m2) or specific weight (kg/m2)]]*Tableau8[[#This Row],[volume or area]]</f>
        <v>48.195000000000014</v>
      </c>
      <c r="AB692">
        <f t="shared" si="169"/>
        <v>5.6</v>
      </c>
      <c r="AC692">
        <f t="shared" si="170"/>
        <v>0.72</v>
      </c>
      <c r="AD692" s="11">
        <f t="shared" si="164"/>
        <v>14.994000000000003</v>
      </c>
      <c r="AE692" s="11">
        <f>_xlfn.RANK.AVG(Tableau8[[#This Row],[EE ( MJ/m²)]],AD692:AD1847)</f>
        <v>211</v>
      </c>
      <c r="AF692" s="11">
        <f t="shared" si="165"/>
        <v>14.994000000000003</v>
      </c>
      <c r="AG692" s="11">
        <f t="shared" si="171"/>
        <v>0.83002500000000023</v>
      </c>
      <c r="AH692" s="11">
        <f t="shared" si="166"/>
        <v>1.9278000000000004</v>
      </c>
      <c r="AI692" s="11">
        <f t="shared" si="172"/>
        <v>0.83002500000000023</v>
      </c>
      <c r="AJ692" s="11">
        <f t="shared" si="167"/>
        <v>1.9278000000000004</v>
      </c>
    </row>
    <row r="693" spans="1:36" x14ac:dyDescent="0.25">
      <c r="A693" s="4" t="s">
        <v>945</v>
      </c>
      <c r="B693" s="4" t="s">
        <v>962</v>
      </c>
      <c r="C693" s="4" t="s">
        <v>15</v>
      </c>
      <c r="D693" s="4" t="s">
        <v>942</v>
      </c>
      <c r="E693" t="s">
        <v>748</v>
      </c>
      <c r="F693" t="s">
        <v>256</v>
      </c>
      <c r="G693" t="s">
        <v>714</v>
      </c>
      <c r="H693">
        <f t="shared" si="168"/>
        <v>18</v>
      </c>
      <c r="I693">
        <v>1</v>
      </c>
      <c r="J693" t="s">
        <v>40</v>
      </c>
      <c r="K693" t="s">
        <v>15</v>
      </c>
      <c r="L693" t="s">
        <v>764</v>
      </c>
      <c r="M693" t="s">
        <v>15</v>
      </c>
      <c r="N693" t="s">
        <v>335</v>
      </c>
      <c r="P693">
        <f>1*2*0.004</f>
        <v>8.0000000000000002E-3</v>
      </c>
      <c r="T693">
        <v>1</v>
      </c>
      <c r="W693" s="1">
        <v>178.2</v>
      </c>
      <c r="X693" t="s">
        <v>184</v>
      </c>
      <c r="AA693" s="13">
        <f>Tableau8[[#This Row],[nb of item used ]]*Tableau8[[#This Row],[density (kg/m2) or specific weight (kg/m2)]]*Tableau8[[#This Row],[volume or area]]</f>
        <v>1.4256</v>
      </c>
      <c r="AB693">
        <v>28.58</v>
      </c>
      <c r="AC693">
        <v>26.91</v>
      </c>
      <c r="AD693" s="11">
        <f>AB693*(AA693/Tableau8[[#This Row],[density (kg/m2) or specific weight (kg/m2)]])/H693</f>
        <v>1.2702222222222221E-2</v>
      </c>
      <c r="AE693" s="11">
        <f>_xlfn.RANK.AVG(Tableau8[[#This Row],[EE ( MJ/m²)]],AD693:AD1848)</f>
        <v>459</v>
      </c>
      <c r="AF693" s="11">
        <f>AB693*(AA693/Tableau8[[#This Row],[density (kg/m2) or specific weight (kg/m2)]])/H693/I693</f>
        <v>1.2702222222222221E-2</v>
      </c>
      <c r="AG693" s="11">
        <f>(AC693)*(AA693/Tableau8[[#This Row],[density (kg/m2) or specific weight (kg/m2)]])/H693</f>
        <v>1.196E-2</v>
      </c>
      <c r="AH693" s="11">
        <f>AC693*(AA693/Tableau8[[#This Row],[density (kg/m2) or specific weight (kg/m2)]])/H693</f>
        <v>1.196E-2</v>
      </c>
      <c r="AI693" s="11">
        <f>(AC693)*(AA693/Tableau8[[#This Row],[density (kg/m2) or specific weight (kg/m2)]])/H693/I693</f>
        <v>1.196E-2</v>
      </c>
      <c r="AJ693" s="11">
        <f>AC693*(AA693/Tableau8[[#This Row],[density (kg/m2) or specific weight (kg/m2)]])/H693/I693</f>
        <v>1.196E-2</v>
      </c>
    </row>
    <row r="694" spans="1:36" x14ac:dyDescent="0.25">
      <c r="A694" s="4" t="s">
        <v>945</v>
      </c>
      <c r="B694" s="4" t="s">
        <v>962</v>
      </c>
      <c r="C694" s="4" t="s">
        <v>15</v>
      </c>
      <c r="D694" s="4" t="s">
        <v>942</v>
      </c>
      <c r="E694" t="s">
        <v>748</v>
      </c>
      <c r="F694" t="s">
        <v>256</v>
      </c>
      <c r="G694" t="s">
        <v>714</v>
      </c>
      <c r="H694">
        <f t="shared" si="168"/>
        <v>18</v>
      </c>
      <c r="I694">
        <v>1</v>
      </c>
      <c r="J694" t="s">
        <v>57</v>
      </c>
      <c r="K694" t="s">
        <v>15</v>
      </c>
      <c r="L694" t="s">
        <v>766</v>
      </c>
      <c r="M694" t="s">
        <v>15</v>
      </c>
      <c r="N694" t="s">
        <v>15</v>
      </c>
      <c r="P694">
        <f>18*0.025</f>
        <v>0.45</v>
      </c>
      <c r="T694">
        <v>1</v>
      </c>
      <c r="W694" s="1">
        <v>510</v>
      </c>
      <c r="X694" t="s">
        <v>184</v>
      </c>
      <c r="AA694" s="13">
        <f>Tableau8[[#This Row],[nb of item used ]]*Tableau8[[#This Row],[density (kg/m2) or specific weight (kg/m2)]]*Tableau8[[#This Row],[volume or area]]</f>
        <v>229.5</v>
      </c>
      <c r="AB694">
        <f>10-4.4</f>
        <v>5.6</v>
      </c>
      <c r="AC694">
        <f>0.31+0.41</f>
        <v>0.72</v>
      </c>
      <c r="AD694" s="11">
        <f t="shared" ref="AD694:AD738" si="173">AB694*AA694/H694</f>
        <v>71.399999999999991</v>
      </c>
      <c r="AE694" s="11">
        <f>_xlfn.RANK.AVG(Tableau8[[#This Row],[EE ( MJ/m²)]],AD694:AD1849)</f>
        <v>95</v>
      </c>
      <c r="AF694" s="11">
        <f t="shared" ref="AF694:AF718" si="174">AB694*AA694/H694/I694</f>
        <v>71.399999999999991</v>
      </c>
      <c r="AG694" s="11">
        <f>(AC694-0.41)*AA694/H694</f>
        <v>3.9524999999999997</v>
      </c>
      <c r="AH694" s="11">
        <f t="shared" ref="AH694:AH738" si="175">AC694*AA694/H694</f>
        <v>9.18</v>
      </c>
      <c r="AI694" s="11">
        <f>(AC694-0.41)*AA694/H694/I694</f>
        <v>3.9524999999999997</v>
      </c>
      <c r="AJ694" s="11">
        <f t="shared" ref="AJ694:AJ718" si="176">AC694*AA694/H694/I694</f>
        <v>9.18</v>
      </c>
    </row>
    <row r="695" spans="1:36" x14ac:dyDescent="0.25">
      <c r="A695" s="4" t="s">
        <v>945</v>
      </c>
      <c r="B695" s="4" t="s">
        <v>962</v>
      </c>
      <c r="C695" s="4" t="s">
        <v>15</v>
      </c>
      <c r="D695" s="4" t="s">
        <v>942</v>
      </c>
      <c r="E695" t="s">
        <v>748</v>
      </c>
      <c r="F695" t="s">
        <v>256</v>
      </c>
      <c r="G695" t="s">
        <v>714</v>
      </c>
      <c r="H695">
        <f t="shared" si="168"/>
        <v>18</v>
      </c>
      <c r="I695">
        <v>1</v>
      </c>
      <c r="J695" t="s">
        <v>44</v>
      </c>
      <c r="K695" t="s">
        <v>17</v>
      </c>
      <c r="L695" t="s">
        <v>767</v>
      </c>
      <c r="M695" t="s">
        <v>12</v>
      </c>
      <c r="N695" t="s">
        <v>12</v>
      </c>
      <c r="T695">
        <v>1</v>
      </c>
      <c r="W695">
        <v>7800</v>
      </c>
      <c r="X695" t="s">
        <v>184</v>
      </c>
      <c r="AA695" s="13">
        <v>3</v>
      </c>
      <c r="AB695">
        <v>25.3</v>
      </c>
      <c r="AC695">
        <v>1.95</v>
      </c>
      <c r="AD695" s="11">
        <f t="shared" si="173"/>
        <v>4.2166666666666668</v>
      </c>
      <c r="AE695" s="11">
        <f>_xlfn.RANK.AVG(Tableau8[[#This Row],[EE ( MJ/m²)]],AD695:AD1850)</f>
        <v>299.5</v>
      </c>
      <c r="AF695" s="11">
        <f t="shared" si="174"/>
        <v>4.2166666666666668</v>
      </c>
      <c r="AG695" s="11">
        <f t="shared" ref="AG695:AG700" si="177">(AC695)*AA695/H695</f>
        <v>0.32499999999999996</v>
      </c>
      <c r="AH695" s="11">
        <f t="shared" si="175"/>
        <v>0.32499999999999996</v>
      </c>
      <c r="AI695" s="11">
        <f t="shared" ref="AI695:AI700" si="178">(AC695)*AA695/H695/I695</f>
        <v>0.32499999999999996</v>
      </c>
      <c r="AJ695" s="11">
        <f t="shared" si="176"/>
        <v>0.32499999999999996</v>
      </c>
    </row>
    <row r="696" spans="1:36" x14ac:dyDescent="0.25">
      <c r="A696" s="4" t="s">
        <v>945</v>
      </c>
      <c r="B696" s="4" t="s">
        <v>962</v>
      </c>
      <c r="C696" s="4" t="s">
        <v>15</v>
      </c>
      <c r="D696" s="4" t="s">
        <v>942</v>
      </c>
      <c r="E696" t="s">
        <v>748</v>
      </c>
      <c r="F696" t="s">
        <v>256</v>
      </c>
      <c r="G696" t="s">
        <v>714</v>
      </c>
      <c r="H696">
        <f t="shared" si="168"/>
        <v>18</v>
      </c>
      <c r="I696">
        <v>1</v>
      </c>
      <c r="J696" t="s">
        <v>44</v>
      </c>
      <c r="K696" t="s">
        <v>17</v>
      </c>
      <c r="L696" t="s">
        <v>768</v>
      </c>
      <c r="M696" t="s">
        <v>12</v>
      </c>
      <c r="N696" t="s">
        <v>12</v>
      </c>
      <c r="T696">
        <v>1</v>
      </c>
      <c r="W696">
        <v>7800</v>
      </c>
      <c r="X696" t="s">
        <v>184</v>
      </c>
      <c r="AA696" s="13">
        <f>0.079*18</f>
        <v>1.4219999999999999</v>
      </c>
      <c r="AB696">
        <v>25.3</v>
      </c>
      <c r="AC696">
        <v>1.95</v>
      </c>
      <c r="AD696" s="11">
        <f t="shared" si="173"/>
        <v>1.9986999999999999</v>
      </c>
      <c r="AE696" s="11">
        <f>_xlfn.RANK.AVG(Tableau8[[#This Row],[EE ( MJ/m²)]],AD696:AD1851)</f>
        <v>355</v>
      </c>
      <c r="AF696" s="11">
        <f t="shared" si="174"/>
        <v>1.9986999999999999</v>
      </c>
      <c r="AG696" s="11">
        <f t="shared" si="177"/>
        <v>0.15404999999999999</v>
      </c>
      <c r="AH696" s="11">
        <f t="shared" si="175"/>
        <v>0.15404999999999999</v>
      </c>
      <c r="AI696" s="11">
        <f t="shared" si="178"/>
        <v>0.15404999999999999</v>
      </c>
      <c r="AJ696" s="11">
        <f t="shared" si="176"/>
        <v>0.15404999999999999</v>
      </c>
    </row>
    <row r="697" spans="1:36" x14ac:dyDescent="0.25">
      <c r="A697" s="4" t="s">
        <v>945</v>
      </c>
      <c r="B697" s="4" t="s">
        <v>962</v>
      </c>
      <c r="C697" s="4" t="s">
        <v>15</v>
      </c>
      <c r="D697" s="4" t="s">
        <v>942</v>
      </c>
      <c r="E697" t="s">
        <v>748</v>
      </c>
      <c r="F697" t="s">
        <v>256</v>
      </c>
      <c r="G697" t="s">
        <v>714</v>
      </c>
      <c r="H697">
        <f t="shared" si="168"/>
        <v>18</v>
      </c>
      <c r="I697">
        <v>1</v>
      </c>
      <c r="J697" t="s">
        <v>44</v>
      </c>
      <c r="K697" t="s">
        <v>17</v>
      </c>
      <c r="L697" t="s">
        <v>659</v>
      </c>
      <c r="M697" t="s">
        <v>12</v>
      </c>
      <c r="N697" t="s">
        <v>12</v>
      </c>
      <c r="P697">
        <f>0.014*0.1*0.05</f>
        <v>7.0000000000000007E-5</v>
      </c>
      <c r="Q697" t="s">
        <v>180</v>
      </c>
      <c r="R697" t="s">
        <v>187</v>
      </c>
      <c r="T697">
        <v>8</v>
      </c>
      <c r="W697">
        <v>7800</v>
      </c>
      <c r="X697" t="s">
        <v>184</v>
      </c>
      <c r="AA697" s="13">
        <f>Tableau8[[#This Row],[density (kg/m2) or specific weight (kg/m2)]]*Tableau8[[#This Row],[nb of item used ]]*Tableau8[[#This Row],[volume or area]]</f>
        <v>4.3680000000000003</v>
      </c>
      <c r="AB697">
        <v>25.3</v>
      </c>
      <c r="AC697">
        <v>1.95</v>
      </c>
      <c r="AD697" s="11">
        <f t="shared" si="173"/>
        <v>6.1394666666666673</v>
      </c>
      <c r="AE697" s="11">
        <f>_xlfn.RANK.AVG(Tableau8[[#This Row],[EE ( MJ/m²)]],AD697:AD1852)</f>
        <v>275</v>
      </c>
      <c r="AF697" s="11">
        <f t="shared" si="174"/>
        <v>6.1394666666666673</v>
      </c>
      <c r="AG697" s="11">
        <f t="shared" si="177"/>
        <v>0.47320000000000001</v>
      </c>
      <c r="AH697" s="11">
        <f t="shared" si="175"/>
        <v>0.47320000000000001</v>
      </c>
      <c r="AI697" s="11">
        <f t="shared" si="178"/>
        <v>0.47320000000000001</v>
      </c>
      <c r="AJ697" s="11">
        <f t="shared" si="176"/>
        <v>0.47320000000000001</v>
      </c>
    </row>
    <row r="698" spans="1:36" x14ac:dyDescent="0.25">
      <c r="A698" s="4" t="s">
        <v>945</v>
      </c>
      <c r="B698" s="4" t="s">
        <v>962</v>
      </c>
      <c r="C698" s="4" t="s">
        <v>15</v>
      </c>
      <c r="D698" s="4" t="s">
        <v>942</v>
      </c>
      <c r="E698" t="s">
        <v>748</v>
      </c>
      <c r="F698" t="s">
        <v>256</v>
      </c>
      <c r="G698" t="s">
        <v>714</v>
      </c>
      <c r="H698">
        <f t="shared" si="168"/>
        <v>18</v>
      </c>
      <c r="I698">
        <v>1</v>
      </c>
      <c r="J698" t="s">
        <v>13</v>
      </c>
      <c r="K698" t="s">
        <v>29</v>
      </c>
      <c r="L698" t="s">
        <v>749</v>
      </c>
      <c r="M698" t="s">
        <v>364</v>
      </c>
      <c r="N698" t="s">
        <v>432</v>
      </c>
      <c r="P698">
        <v>0.26700000000000002</v>
      </c>
      <c r="Q698" t="s">
        <v>180</v>
      </c>
      <c r="T698">
        <v>1</v>
      </c>
      <c r="W698">
        <v>2240</v>
      </c>
      <c r="X698" t="s">
        <v>184</v>
      </c>
      <c r="AA698" s="13">
        <f>Tableau8[[#This Row],[density (kg/m2) or specific weight (kg/m2)]]*Tableau8[[#This Row],[nb of item used ]]*Tableau8[[#This Row],[volume or area]]</f>
        <v>598.08000000000004</v>
      </c>
      <c r="AB698">
        <v>8.0999999999999996E-3</v>
      </c>
      <c r="AC698">
        <v>5.1000000000000004E-3</v>
      </c>
      <c r="AD698" s="11">
        <f t="shared" si="173"/>
        <v>0.26913599999999999</v>
      </c>
      <c r="AE698" s="11">
        <f>_xlfn.RANK.AVG(Tableau8[[#This Row],[EE ( MJ/m²)]],AD698:AD1853)</f>
        <v>431</v>
      </c>
      <c r="AF698" s="11">
        <f t="shared" si="174"/>
        <v>0.26913599999999999</v>
      </c>
      <c r="AG698" s="11">
        <f t="shared" si="177"/>
        <v>0.16945600000000002</v>
      </c>
      <c r="AH698" s="11">
        <f t="shared" si="175"/>
        <v>0.16945600000000002</v>
      </c>
      <c r="AI698" s="11">
        <f t="shared" si="178"/>
        <v>0.16945600000000002</v>
      </c>
      <c r="AJ698" s="11">
        <f t="shared" si="176"/>
        <v>0.16945600000000002</v>
      </c>
    </row>
    <row r="699" spans="1:36" x14ac:dyDescent="0.25">
      <c r="A699" s="4" t="s">
        <v>945</v>
      </c>
      <c r="B699" s="4" t="s">
        <v>962</v>
      </c>
      <c r="C699" s="4" t="s">
        <v>15</v>
      </c>
      <c r="D699" s="4" t="s">
        <v>942</v>
      </c>
      <c r="E699" t="s">
        <v>748</v>
      </c>
      <c r="F699" t="s">
        <v>256</v>
      </c>
      <c r="G699" t="s">
        <v>714</v>
      </c>
      <c r="H699">
        <f t="shared" si="168"/>
        <v>18</v>
      </c>
      <c r="I699">
        <v>1</v>
      </c>
      <c r="J699" t="s">
        <v>56</v>
      </c>
      <c r="K699" t="s">
        <v>14</v>
      </c>
      <c r="L699" t="s">
        <v>765</v>
      </c>
      <c r="M699" t="s">
        <v>35</v>
      </c>
      <c r="N699" t="s">
        <v>35</v>
      </c>
      <c r="P699">
        <v>24</v>
      </c>
      <c r="T699">
        <v>1</v>
      </c>
      <c r="W699">
        <v>0.18</v>
      </c>
      <c r="X699" t="s">
        <v>183</v>
      </c>
      <c r="AA699" s="13">
        <f>Tableau8[[#This Row],[nb of item used ]]*Tableau8[[#This Row],[density (kg/m2) or specific weight (kg/m2)]]*Tableau8[[#This Row],[volume or area]]</f>
        <v>4.32</v>
      </c>
      <c r="AB699">
        <v>54.3</v>
      </c>
      <c r="AC699">
        <v>1.93</v>
      </c>
      <c r="AD699" s="11">
        <f t="shared" si="173"/>
        <v>13.032</v>
      </c>
      <c r="AE699" s="11">
        <f>_xlfn.RANK.AVG(Tableau8[[#This Row],[EE ( MJ/m²)]],AD699:AD1854)</f>
        <v>219</v>
      </c>
      <c r="AF699" s="11">
        <f t="shared" si="174"/>
        <v>13.032</v>
      </c>
      <c r="AG699" s="11">
        <f t="shared" si="177"/>
        <v>0.4632</v>
      </c>
      <c r="AH699" s="11">
        <f t="shared" si="175"/>
        <v>0.4632</v>
      </c>
      <c r="AI699" s="11">
        <f t="shared" si="178"/>
        <v>0.4632</v>
      </c>
      <c r="AJ699" s="11">
        <f t="shared" si="176"/>
        <v>0.4632</v>
      </c>
    </row>
    <row r="700" spans="1:36" x14ac:dyDescent="0.25">
      <c r="A700" s="4" t="s">
        <v>945</v>
      </c>
      <c r="B700" s="4" t="s">
        <v>962</v>
      </c>
      <c r="C700" s="4" t="s">
        <v>15</v>
      </c>
      <c r="D700" s="4" t="s">
        <v>942</v>
      </c>
      <c r="E700" t="s">
        <v>748</v>
      </c>
      <c r="F700" t="s">
        <v>256</v>
      </c>
      <c r="G700" t="s">
        <v>714</v>
      </c>
      <c r="H700">
        <f t="shared" si="168"/>
        <v>18</v>
      </c>
      <c r="I700">
        <v>1</v>
      </c>
      <c r="J700" t="s">
        <v>13</v>
      </c>
      <c r="K700" t="s">
        <v>18</v>
      </c>
      <c r="L700" t="s">
        <v>363</v>
      </c>
      <c r="M700" t="s">
        <v>363</v>
      </c>
      <c r="N700" t="s">
        <v>431</v>
      </c>
      <c r="T700">
        <v>1</v>
      </c>
      <c r="W700">
        <v>1860</v>
      </c>
      <c r="X700" t="s">
        <v>184</v>
      </c>
      <c r="AA700" s="13">
        <f>2*42.5</f>
        <v>85</v>
      </c>
      <c r="AB700">
        <v>4.51</v>
      </c>
      <c r="AC700">
        <v>0.74</v>
      </c>
      <c r="AD700" s="11">
        <f t="shared" si="173"/>
        <v>21.297222222222221</v>
      </c>
      <c r="AE700" s="11">
        <f>_xlfn.RANK.AVG(Tableau8[[#This Row],[EE ( MJ/m²)]],AD700:AD1855)</f>
        <v>177.5</v>
      </c>
      <c r="AF700" s="11">
        <f t="shared" si="174"/>
        <v>21.297222222222221</v>
      </c>
      <c r="AG700" s="11">
        <f t="shared" si="177"/>
        <v>3.4944444444444445</v>
      </c>
      <c r="AH700" s="11">
        <f t="shared" si="175"/>
        <v>3.4944444444444445</v>
      </c>
      <c r="AI700" s="11">
        <f t="shared" si="178"/>
        <v>3.4944444444444445</v>
      </c>
      <c r="AJ700" s="11">
        <f t="shared" si="176"/>
        <v>3.4944444444444445</v>
      </c>
    </row>
    <row r="701" spans="1:36" s="20" customFormat="1" x14ac:dyDescent="0.25">
      <c r="A701" s="4" t="s">
        <v>945</v>
      </c>
      <c r="B701" s="4" t="s">
        <v>963</v>
      </c>
      <c r="C701" s="4" t="s">
        <v>15</v>
      </c>
      <c r="D701" s="4" t="s">
        <v>942</v>
      </c>
      <c r="E701" t="s">
        <v>787</v>
      </c>
      <c r="F701" t="s">
        <v>256</v>
      </c>
      <c r="G701" t="s">
        <v>788</v>
      </c>
      <c r="H701">
        <f t="shared" ref="H701:H731" si="179">3*6</f>
        <v>18</v>
      </c>
      <c r="I701">
        <v>2</v>
      </c>
      <c r="J701" t="s">
        <v>40</v>
      </c>
      <c r="K701" t="s">
        <v>15</v>
      </c>
      <c r="L701" t="s">
        <v>795</v>
      </c>
      <c r="M701" t="s">
        <v>15</v>
      </c>
      <c r="N701" t="s">
        <v>15</v>
      </c>
      <c r="O701"/>
      <c r="P701">
        <f>0.025*0.05*2.5</f>
        <v>3.1250000000000006E-3</v>
      </c>
      <c r="Q701"/>
      <c r="R701"/>
      <c r="S701"/>
      <c r="T701">
        <v>13</v>
      </c>
      <c r="U701"/>
      <c r="V701"/>
      <c r="W701">
        <v>510</v>
      </c>
      <c r="X701" t="s">
        <v>184</v>
      </c>
      <c r="Y701"/>
      <c r="Z701"/>
      <c r="AA701" s="13">
        <f>Tableau8[[#This Row],[nb of item used ]]*Tableau8[[#This Row],[density (kg/m2) or specific weight (kg/m2)]]*Tableau8[[#This Row],[volume or area]]</f>
        <v>20.718750000000004</v>
      </c>
      <c r="AB701">
        <f t="shared" ref="AB701:AB720" si="180">10-4.4</f>
        <v>5.6</v>
      </c>
      <c r="AC701">
        <f t="shared" ref="AC701:AC720" si="181">0.31+0.41</f>
        <v>0.72</v>
      </c>
      <c r="AD701" s="11">
        <f t="shared" si="173"/>
        <v>6.4458333333333337</v>
      </c>
      <c r="AE701" s="11">
        <f>_xlfn.RANK.AVG(Tableau8[[#This Row],[EE ( MJ/m²)]],AD701:AD1856)</f>
        <v>271</v>
      </c>
      <c r="AF701" s="11">
        <f t="shared" si="174"/>
        <v>3.2229166666666669</v>
      </c>
      <c r="AG701" s="11">
        <f t="shared" ref="AG701:AG720" si="182">(AC701-0.41)*AA701/H701</f>
        <v>0.35682291666666671</v>
      </c>
      <c r="AH701" s="11">
        <f t="shared" si="175"/>
        <v>0.8287500000000001</v>
      </c>
      <c r="AI701" s="11">
        <f t="shared" ref="AI701:AI720" si="183">(AC701-0.41)*AA701/H701/I701</f>
        <v>0.17841145833333336</v>
      </c>
      <c r="AJ701" s="11">
        <f t="shared" si="176"/>
        <v>0.41437500000000005</v>
      </c>
    </row>
    <row r="702" spans="1:36" x14ac:dyDescent="0.25">
      <c r="A702" s="4" t="s">
        <v>945</v>
      </c>
      <c r="B702" s="4" t="s">
        <v>963</v>
      </c>
      <c r="C702" s="4" t="s">
        <v>15</v>
      </c>
      <c r="D702" s="4" t="s">
        <v>942</v>
      </c>
      <c r="E702" t="s">
        <v>787</v>
      </c>
      <c r="F702" t="s">
        <v>256</v>
      </c>
      <c r="G702" t="s">
        <v>788</v>
      </c>
      <c r="H702">
        <f t="shared" si="179"/>
        <v>18</v>
      </c>
      <c r="I702">
        <v>2</v>
      </c>
      <c r="J702" t="s">
        <v>56</v>
      </c>
      <c r="K702" t="s">
        <v>15</v>
      </c>
      <c r="L702" t="s">
        <v>796</v>
      </c>
      <c r="M702" t="s">
        <v>15</v>
      </c>
      <c r="N702" t="s">
        <v>15</v>
      </c>
      <c r="P702">
        <f>0.025*0.05*3</f>
        <v>3.7500000000000007E-3</v>
      </c>
      <c r="T702">
        <v>2</v>
      </c>
      <c r="W702">
        <v>510</v>
      </c>
      <c r="X702" t="s">
        <v>184</v>
      </c>
      <c r="AA702" s="13">
        <f>Tableau8[[#This Row],[nb of item used ]]*Tableau8[[#This Row],[density (kg/m2) or specific weight (kg/m2)]]*Tableau8[[#This Row],[volume or area]]</f>
        <v>3.8250000000000006</v>
      </c>
      <c r="AB702">
        <f t="shared" si="180"/>
        <v>5.6</v>
      </c>
      <c r="AC702">
        <f t="shared" si="181"/>
        <v>0.72</v>
      </c>
      <c r="AD702" s="11">
        <f t="shared" si="173"/>
        <v>1.1900000000000002</v>
      </c>
      <c r="AE702" s="11">
        <f>_xlfn.RANK.AVG(Tableau8[[#This Row],[EE ( MJ/m²)]],AD702:AD1857)</f>
        <v>378</v>
      </c>
      <c r="AF702" s="11">
        <f t="shared" si="174"/>
        <v>0.59500000000000008</v>
      </c>
      <c r="AG702" s="11">
        <f t="shared" si="182"/>
        <v>6.5875000000000003E-2</v>
      </c>
      <c r="AH702" s="11">
        <f t="shared" si="175"/>
        <v>0.15300000000000002</v>
      </c>
      <c r="AI702" s="11">
        <f t="shared" si="183"/>
        <v>3.2937500000000001E-2</v>
      </c>
      <c r="AJ702" s="11">
        <f t="shared" si="176"/>
        <v>7.6500000000000012E-2</v>
      </c>
    </row>
    <row r="703" spans="1:36" x14ac:dyDescent="0.25">
      <c r="A703" s="4" t="s">
        <v>945</v>
      </c>
      <c r="B703" s="4" t="s">
        <v>963</v>
      </c>
      <c r="C703" s="4" t="s">
        <v>15</v>
      </c>
      <c r="D703" s="4" t="s">
        <v>942</v>
      </c>
      <c r="E703" t="s">
        <v>787</v>
      </c>
      <c r="F703" t="s">
        <v>256</v>
      </c>
      <c r="G703" t="s">
        <v>788</v>
      </c>
      <c r="H703">
        <f t="shared" si="179"/>
        <v>18</v>
      </c>
      <c r="I703">
        <v>2</v>
      </c>
      <c r="J703" t="s">
        <v>56</v>
      </c>
      <c r="K703" t="s">
        <v>15</v>
      </c>
      <c r="L703" t="s">
        <v>797</v>
      </c>
      <c r="M703" t="s">
        <v>15</v>
      </c>
      <c r="N703" t="s">
        <v>15</v>
      </c>
      <c r="P703">
        <f>0.025*0.05*2.9</f>
        <v>3.6250000000000006E-3</v>
      </c>
      <c r="T703">
        <v>2</v>
      </c>
      <c r="W703">
        <v>510</v>
      </c>
      <c r="X703" t="s">
        <v>184</v>
      </c>
      <c r="AA703" s="13">
        <f>Tableau8[[#This Row],[nb of item used ]]*Tableau8[[#This Row],[density (kg/m2) or specific weight (kg/m2)]]*Tableau8[[#This Row],[volume or area]]</f>
        <v>3.6975000000000007</v>
      </c>
      <c r="AB703">
        <f t="shared" si="180"/>
        <v>5.6</v>
      </c>
      <c r="AC703">
        <f t="shared" si="181"/>
        <v>0.72</v>
      </c>
      <c r="AD703" s="11">
        <f t="shared" si="173"/>
        <v>1.1503333333333334</v>
      </c>
      <c r="AE703" s="11">
        <f>_xlfn.RANK.AVG(Tableau8[[#This Row],[EE ( MJ/m²)]],AD703:AD1858)</f>
        <v>378.5</v>
      </c>
      <c r="AF703" s="11">
        <f t="shared" si="174"/>
        <v>0.57516666666666671</v>
      </c>
      <c r="AG703" s="11">
        <f t="shared" si="182"/>
        <v>6.3679166666666676E-2</v>
      </c>
      <c r="AH703" s="11">
        <f t="shared" si="175"/>
        <v>0.14790000000000003</v>
      </c>
      <c r="AI703" s="11">
        <f t="shared" si="183"/>
        <v>3.1839583333333338E-2</v>
      </c>
      <c r="AJ703" s="11">
        <f t="shared" si="176"/>
        <v>7.3950000000000016E-2</v>
      </c>
    </row>
    <row r="704" spans="1:36" x14ac:dyDescent="0.25">
      <c r="A704" s="4" t="s">
        <v>945</v>
      </c>
      <c r="B704" s="4" t="s">
        <v>963</v>
      </c>
      <c r="C704" s="4" t="s">
        <v>15</v>
      </c>
      <c r="D704" s="4" t="s">
        <v>942</v>
      </c>
      <c r="E704" t="s">
        <v>787</v>
      </c>
      <c r="F704" t="s">
        <v>256</v>
      </c>
      <c r="G704" t="s">
        <v>788</v>
      </c>
      <c r="H704">
        <f t="shared" si="179"/>
        <v>18</v>
      </c>
      <c r="I704">
        <v>2</v>
      </c>
      <c r="J704" t="s">
        <v>56</v>
      </c>
      <c r="K704" t="s">
        <v>15</v>
      </c>
      <c r="L704" t="s">
        <v>798</v>
      </c>
      <c r="M704" t="s">
        <v>15</v>
      </c>
      <c r="N704" t="s">
        <v>15</v>
      </c>
      <c r="P704">
        <f>0.025*0.05*3</f>
        <v>3.7500000000000007E-3</v>
      </c>
      <c r="T704">
        <v>4</v>
      </c>
      <c r="W704">
        <v>510</v>
      </c>
      <c r="X704" t="s">
        <v>184</v>
      </c>
      <c r="AA704" s="13">
        <f>Tableau8[[#This Row],[nb of item used ]]*Tableau8[[#This Row],[density (kg/m2) or specific weight (kg/m2)]]*Tableau8[[#This Row],[volume or area]]</f>
        <v>7.6500000000000012</v>
      </c>
      <c r="AB704">
        <f t="shared" si="180"/>
        <v>5.6</v>
      </c>
      <c r="AC704">
        <f t="shared" si="181"/>
        <v>0.72</v>
      </c>
      <c r="AD704" s="11">
        <f t="shared" si="173"/>
        <v>2.3800000000000003</v>
      </c>
      <c r="AE704" s="11">
        <f>_xlfn.RANK.AVG(Tableau8[[#This Row],[EE ( MJ/m²)]],AD704:AD1859)</f>
        <v>332</v>
      </c>
      <c r="AF704" s="11">
        <f t="shared" si="174"/>
        <v>1.1900000000000002</v>
      </c>
      <c r="AG704" s="11">
        <f t="shared" si="182"/>
        <v>0.13175000000000001</v>
      </c>
      <c r="AH704" s="11">
        <f t="shared" si="175"/>
        <v>0.30600000000000005</v>
      </c>
      <c r="AI704" s="11">
        <f t="shared" si="183"/>
        <v>6.5875000000000003E-2</v>
      </c>
      <c r="AJ704" s="11">
        <f t="shared" si="176"/>
        <v>0.15300000000000002</v>
      </c>
    </row>
    <row r="705" spans="1:36" x14ac:dyDescent="0.25">
      <c r="A705" s="4" t="s">
        <v>945</v>
      </c>
      <c r="B705" s="4" t="s">
        <v>963</v>
      </c>
      <c r="C705" s="4" t="s">
        <v>15</v>
      </c>
      <c r="D705" s="4" t="s">
        <v>942</v>
      </c>
      <c r="E705" t="s">
        <v>787</v>
      </c>
      <c r="F705" t="s">
        <v>256</v>
      </c>
      <c r="G705" t="s">
        <v>788</v>
      </c>
      <c r="H705">
        <f t="shared" si="179"/>
        <v>18</v>
      </c>
      <c r="I705">
        <v>2</v>
      </c>
      <c r="J705" t="s">
        <v>57</v>
      </c>
      <c r="K705" t="s">
        <v>15</v>
      </c>
      <c r="L705" t="s">
        <v>799</v>
      </c>
      <c r="M705" t="s">
        <v>15</v>
      </c>
      <c r="N705" t="s">
        <v>15</v>
      </c>
      <c r="P705">
        <f>0.025*0.05*2.9</f>
        <v>3.6250000000000006E-3</v>
      </c>
      <c r="T705">
        <v>2</v>
      </c>
      <c r="W705">
        <v>510</v>
      </c>
      <c r="X705" t="s">
        <v>184</v>
      </c>
      <c r="AA705" s="13">
        <f>Tableau8[[#This Row],[nb of item used ]]*Tableau8[[#This Row],[density (kg/m2) or specific weight (kg/m2)]]*Tableau8[[#This Row],[volume or area]]</f>
        <v>3.6975000000000007</v>
      </c>
      <c r="AB705">
        <f t="shared" si="180"/>
        <v>5.6</v>
      </c>
      <c r="AC705">
        <f t="shared" si="181"/>
        <v>0.72</v>
      </c>
      <c r="AD705" s="11">
        <f t="shared" si="173"/>
        <v>1.1503333333333334</v>
      </c>
      <c r="AE705" s="11">
        <f>_xlfn.RANK.AVG(Tableau8[[#This Row],[EE ( MJ/m²)]],AD705:AD1860)</f>
        <v>377</v>
      </c>
      <c r="AF705" s="11">
        <f t="shared" si="174"/>
        <v>0.57516666666666671</v>
      </c>
      <c r="AG705" s="11">
        <f t="shared" si="182"/>
        <v>6.3679166666666676E-2</v>
      </c>
      <c r="AH705" s="11">
        <f t="shared" si="175"/>
        <v>0.14790000000000003</v>
      </c>
      <c r="AI705" s="11">
        <f t="shared" si="183"/>
        <v>3.1839583333333338E-2</v>
      </c>
      <c r="AJ705" s="11">
        <f t="shared" si="176"/>
        <v>7.3950000000000016E-2</v>
      </c>
    </row>
    <row r="706" spans="1:36" x14ac:dyDescent="0.25">
      <c r="A706" s="4" t="s">
        <v>945</v>
      </c>
      <c r="B706" s="4" t="s">
        <v>963</v>
      </c>
      <c r="C706" s="4" t="s">
        <v>15</v>
      </c>
      <c r="D706" s="4" t="s">
        <v>942</v>
      </c>
      <c r="E706" t="s">
        <v>787</v>
      </c>
      <c r="F706" t="s">
        <v>256</v>
      </c>
      <c r="G706" t="s">
        <v>788</v>
      </c>
      <c r="H706">
        <f t="shared" si="179"/>
        <v>18</v>
      </c>
      <c r="I706">
        <v>2</v>
      </c>
      <c r="J706" t="s">
        <v>57</v>
      </c>
      <c r="K706" t="s">
        <v>15</v>
      </c>
      <c r="L706" t="s">
        <v>800</v>
      </c>
      <c r="M706" t="s">
        <v>15</v>
      </c>
      <c r="N706" t="s">
        <v>15</v>
      </c>
      <c r="P706">
        <f>0.025*0.05*3</f>
        <v>3.7500000000000007E-3</v>
      </c>
      <c r="T706">
        <v>4</v>
      </c>
      <c r="W706">
        <v>510</v>
      </c>
      <c r="X706" t="s">
        <v>184</v>
      </c>
      <c r="AA706" s="13">
        <f>Tableau8[[#This Row],[nb of item used ]]*Tableau8[[#This Row],[density (kg/m2) or specific weight (kg/m2)]]*Tableau8[[#This Row],[volume or area]]</f>
        <v>7.6500000000000012</v>
      </c>
      <c r="AB706">
        <f t="shared" si="180"/>
        <v>5.6</v>
      </c>
      <c r="AC706">
        <f t="shared" si="181"/>
        <v>0.72</v>
      </c>
      <c r="AD706" s="11">
        <f t="shared" si="173"/>
        <v>2.3800000000000003</v>
      </c>
      <c r="AE706" s="11">
        <f>_xlfn.RANK.AVG(Tableau8[[#This Row],[EE ( MJ/m²)]],AD706:AD1861)</f>
        <v>331.5</v>
      </c>
      <c r="AF706" s="11">
        <f t="shared" si="174"/>
        <v>1.1900000000000002</v>
      </c>
      <c r="AG706" s="11">
        <f t="shared" si="182"/>
        <v>0.13175000000000001</v>
      </c>
      <c r="AH706" s="11">
        <f t="shared" si="175"/>
        <v>0.30600000000000005</v>
      </c>
      <c r="AI706" s="11">
        <f t="shared" si="183"/>
        <v>6.5875000000000003E-2</v>
      </c>
      <c r="AJ706" s="11">
        <f t="shared" si="176"/>
        <v>0.15300000000000002</v>
      </c>
    </row>
    <row r="707" spans="1:36" x14ac:dyDescent="0.25">
      <c r="A707" s="4" t="s">
        <v>945</v>
      </c>
      <c r="B707" s="4" t="s">
        <v>963</v>
      </c>
      <c r="C707" s="4" t="s">
        <v>15</v>
      </c>
      <c r="D707" s="4" t="s">
        <v>942</v>
      </c>
      <c r="E707" t="s">
        <v>787</v>
      </c>
      <c r="F707" t="s">
        <v>256</v>
      </c>
      <c r="G707" t="s">
        <v>788</v>
      </c>
      <c r="H707">
        <f t="shared" si="179"/>
        <v>18</v>
      </c>
      <c r="I707">
        <v>2</v>
      </c>
      <c r="J707" t="s">
        <v>40</v>
      </c>
      <c r="K707" t="s">
        <v>15</v>
      </c>
      <c r="L707" t="s">
        <v>801</v>
      </c>
      <c r="M707" t="s">
        <v>15</v>
      </c>
      <c r="N707" t="s">
        <v>15</v>
      </c>
      <c r="P707">
        <f>0.025*0.05*3</f>
        <v>3.7500000000000007E-3</v>
      </c>
      <c r="T707">
        <v>6</v>
      </c>
      <c r="W707">
        <v>510</v>
      </c>
      <c r="X707" t="s">
        <v>184</v>
      </c>
      <c r="AA707" s="13">
        <f>Tableau8[[#This Row],[nb of item used ]]*Tableau8[[#This Row],[density (kg/m2) or specific weight (kg/m2)]]*Tableau8[[#This Row],[volume or area]]</f>
        <v>11.475000000000001</v>
      </c>
      <c r="AB707">
        <f t="shared" si="180"/>
        <v>5.6</v>
      </c>
      <c r="AC707">
        <f t="shared" si="181"/>
        <v>0.72</v>
      </c>
      <c r="AD707" s="11">
        <f t="shared" si="173"/>
        <v>3.5700000000000003</v>
      </c>
      <c r="AE707" s="11">
        <f>_xlfn.RANK.AVG(Tableau8[[#This Row],[EE ( MJ/m²)]],AD707:AD1862)</f>
        <v>305</v>
      </c>
      <c r="AF707" s="11">
        <f t="shared" si="174"/>
        <v>1.7850000000000001</v>
      </c>
      <c r="AG707" s="11">
        <f t="shared" si="182"/>
        <v>0.19762500000000002</v>
      </c>
      <c r="AH707" s="11">
        <f t="shared" si="175"/>
        <v>0.45900000000000002</v>
      </c>
      <c r="AI707" s="11">
        <f t="shared" si="183"/>
        <v>9.8812500000000011E-2</v>
      </c>
      <c r="AJ707" s="11">
        <f t="shared" si="176"/>
        <v>0.22950000000000001</v>
      </c>
    </row>
    <row r="708" spans="1:36" x14ac:dyDescent="0.25">
      <c r="A708" s="4" t="s">
        <v>945</v>
      </c>
      <c r="B708" s="4" t="s">
        <v>963</v>
      </c>
      <c r="C708" s="4" t="s">
        <v>15</v>
      </c>
      <c r="D708" s="4" t="s">
        <v>942</v>
      </c>
      <c r="E708" t="s">
        <v>787</v>
      </c>
      <c r="F708" t="s">
        <v>256</v>
      </c>
      <c r="G708" t="s">
        <v>788</v>
      </c>
      <c r="H708">
        <f t="shared" si="179"/>
        <v>18</v>
      </c>
      <c r="I708">
        <v>2</v>
      </c>
      <c r="J708" t="s">
        <v>56</v>
      </c>
      <c r="K708" t="s">
        <v>15</v>
      </c>
      <c r="L708" t="s">
        <v>802</v>
      </c>
      <c r="M708" t="s">
        <v>15</v>
      </c>
      <c r="N708" t="s">
        <v>15</v>
      </c>
      <c r="P708">
        <f>0.025*0.05*3</f>
        <v>3.7500000000000007E-3</v>
      </c>
      <c r="T708">
        <v>4</v>
      </c>
      <c r="W708">
        <v>510</v>
      </c>
      <c r="X708" t="s">
        <v>184</v>
      </c>
      <c r="AA708" s="13">
        <f>Tableau8[[#This Row],[nb of item used ]]*Tableau8[[#This Row],[density (kg/m2) or specific weight (kg/m2)]]*Tableau8[[#This Row],[volume or area]]</f>
        <v>7.6500000000000012</v>
      </c>
      <c r="AB708">
        <f t="shared" si="180"/>
        <v>5.6</v>
      </c>
      <c r="AC708">
        <f t="shared" si="181"/>
        <v>0.72</v>
      </c>
      <c r="AD708" s="11">
        <f t="shared" si="173"/>
        <v>2.3800000000000003</v>
      </c>
      <c r="AE708" s="11">
        <f>_xlfn.RANK.AVG(Tableau8[[#This Row],[EE ( MJ/m²)]],AD708:AD1863)</f>
        <v>330</v>
      </c>
      <c r="AF708" s="11">
        <f t="shared" si="174"/>
        <v>1.1900000000000002</v>
      </c>
      <c r="AG708" s="11">
        <f t="shared" si="182"/>
        <v>0.13175000000000001</v>
      </c>
      <c r="AH708" s="11">
        <f t="shared" si="175"/>
        <v>0.30600000000000005</v>
      </c>
      <c r="AI708" s="11">
        <f t="shared" si="183"/>
        <v>6.5875000000000003E-2</v>
      </c>
      <c r="AJ708" s="11">
        <f t="shared" si="176"/>
        <v>0.15300000000000002</v>
      </c>
    </row>
    <row r="709" spans="1:36" x14ac:dyDescent="0.25">
      <c r="A709" s="4" t="s">
        <v>945</v>
      </c>
      <c r="B709" s="4" t="s">
        <v>963</v>
      </c>
      <c r="C709" s="4" t="s">
        <v>15</v>
      </c>
      <c r="D709" s="4" t="s">
        <v>942</v>
      </c>
      <c r="E709" t="s">
        <v>787</v>
      </c>
      <c r="F709" t="s">
        <v>256</v>
      </c>
      <c r="G709" t="s">
        <v>788</v>
      </c>
      <c r="H709">
        <f t="shared" si="179"/>
        <v>18</v>
      </c>
      <c r="I709">
        <v>2</v>
      </c>
      <c r="J709" t="s">
        <v>40</v>
      </c>
      <c r="K709" t="s">
        <v>15</v>
      </c>
      <c r="L709" t="s">
        <v>803</v>
      </c>
      <c r="M709" t="s">
        <v>15</v>
      </c>
      <c r="N709" t="s">
        <v>15</v>
      </c>
      <c r="P709">
        <f>0.025*0.05*3</f>
        <v>3.7500000000000007E-3</v>
      </c>
      <c r="T709">
        <v>6</v>
      </c>
      <c r="W709">
        <v>510</v>
      </c>
      <c r="X709" t="s">
        <v>184</v>
      </c>
      <c r="AA709" s="13">
        <f>Tableau8[[#This Row],[nb of item used ]]*Tableau8[[#This Row],[density (kg/m2) or specific weight (kg/m2)]]*Tableau8[[#This Row],[volume or area]]</f>
        <v>11.475000000000001</v>
      </c>
      <c r="AB709">
        <f t="shared" si="180"/>
        <v>5.6</v>
      </c>
      <c r="AC709">
        <f t="shared" si="181"/>
        <v>0.72</v>
      </c>
      <c r="AD709" s="11">
        <f t="shared" si="173"/>
        <v>3.5700000000000003</v>
      </c>
      <c r="AE709" s="11">
        <f>_xlfn.RANK.AVG(Tableau8[[#This Row],[EE ( MJ/m²)]],AD709:AD1864)</f>
        <v>304.5</v>
      </c>
      <c r="AF709" s="11">
        <f t="shared" si="174"/>
        <v>1.7850000000000001</v>
      </c>
      <c r="AG709" s="11">
        <f t="shared" si="182"/>
        <v>0.19762500000000002</v>
      </c>
      <c r="AH709" s="11">
        <f t="shared" si="175"/>
        <v>0.45900000000000002</v>
      </c>
      <c r="AI709" s="11">
        <f t="shared" si="183"/>
        <v>9.8812500000000011E-2</v>
      </c>
      <c r="AJ709" s="11">
        <f t="shared" si="176"/>
        <v>0.22950000000000001</v>
      </c>
    </row>
    <row r="710" spans="1:36" x14ac:dyDescent="0.25">
      <c r="A710" s="4" t="s">
        <v>945</v>
      </c>
      <c r="B710" s="4" t="s">
        <v>963</v>
      </c>
      <c r="C710" s="4" t="s">
        <v>15</v>
      </c>
      <c r="D710" s="4" t="s">
        <v>942</v>
      </c>
      <c r="E710" t="s">
        <v>787</v>
      </c>
      <c r="F710" t="s">
        <v>256</v>
      </c>
      <c r="G710" t="s">
        <v>788</v>
      </c>
      <c r="H710">
        <f t="shared" si="179"/>
        <v>18</v>
      </c>
      <c r="I710">
        <v>2</v>
      </c>
      <c r="J710" t="s">
        <v>40</v>
      </c>
      <c r="K710" t="s">
        <v>15</v>
      </c>
      <c r="L710" t="s">
        <v>804</v>
      </c>
      <c r="M710" t="s">
        <v>15</v>
      </c>
      <c r="N710" t="s">
        <v>15</v>
      </c>
      <c r="P710">
        <f>0.025*0.05*2.9</f>
        <v>3.6250000000000006E-3</v>
      </c>
      <c r="T710">
        <v>4</v>
      </c>
      <c r="W710">
        <v>510</v>
      </c>
      <c r="X710" t="s">
        <v>184</v>
      </c>
      <c r="AA710" s="13">
        <f>Tableau8[[#This Row],[nb of item used ]]*Tableau8[[#This Row],[density (kg/m2) or specific weight (kg/m2)]]*Tableau8[[#This Row],[volume or area]]</f>
        <v>7.3950000000000014</v>
      </c>
      <c r="AB710">
        <f t="shared" si="180"/>
        <v>5.6</v>
      </c>
      <c r="AC710">
        <f t="shared" si="181"/>
        <v>0.72</v>
      </c>
      <c r="AD710" s="11">
        <f t="shared" si="173"/>
        <v>2.3006666666666669</v>
      </c>
      <c r="AE710" s="11">
        <f>_xlfn.RANK.AVG(Tableau8[[#This Row],[EE ( MJ/m²)]],AD710:AD1865)</f>
        <v>333</v>
      </c>
      <c r="AF710" s="11">
        <f t="shared" si="174"/>
        <v>1.1503333333333334</v>
      </c>
      <c r="AG710" s="11">
        <f t="shared" si="182"/>
        <v>0.12735833333333335</v>
      </c>
      <c r="AH710" s="11">
        <f t="shared" si="175"/>
        <v>0.29580000000000006</v>
      </c>
      <c r="AI710" s="11">
        <f t="shared" si="183"/>
        <v>6.3679166666666676E-2</v>
      </c>
      <c r="AJ710" s="11">
        <f t="shared" si="176"/>
        <v>0.14790000000000003</v>
      </c>
    </row>
    <row r="711" spans="1:36" x14ac:dyDescent="0.25">
      <c r="A711" s="4" t="s">
        <v>945</v>
      </c>
      <c r="B711" s="4" t="s">
        <v>963</v>
      </c>
      <c r="C711" s="4" t="s">
        <v>15</v>
      </c>
      <c r="D711" s="4" t="s">
        <v>942</v>
      </c>
      <c r="E711" t="s">
        <v>787</v>
      </c>
      <c r="F711" t="s">
        <v>256</v>
      </c>
      <c r="G711" t="s">
        <v>788</v>
      </c>
      <c r="H711">
        <f t="shared" si="179"/>
        <v>18</v>
      </c>
      <c r="I711">
        <v>2</v>
      </c>
      <c r="J711" t="s">
        <v>40</v>
      </c>
      <c r="K711" t="s">
        <v>15</v>
      </c>
      <c r="L711" t="s">
        <v>805</v>
      </c>
      <c r="M711" t="s">
        <v>15</v>
      </c>
      <c r="N711" t="s">
        <v>15</v>
      </c>
      <c r="P711">
        <f>0.025*0.05*2.05</f>
        <v>2.5625000000000001E-3</v>
      </c>
      <c r="T711">
        <v>2</v>
      </c>
      <c r="W711">
        <v>510</v>
      </c>
      <c r="X711" t="s">
        <v>184</v>
      </c>
      <c r="AA711" s="13">
        <f>Tableau8[[#This Row],[nb of item used ]]*Tableau8[[#This Row],[density (kg/m2) or specific weight (kg/m2)]]*Tableau8[[#This Row],[volume or area]]</f>
        <v>2.61375</v>
      </c>
      <c r="AB711">
        <f t="shared" si="180"/>
        <v>5.6</v>
      </c>
      <c r="AC711">
        <f t="shared" si="181"/>
        <v>0.72</v>
      </c>
      <c r="AD711" s="11">
        <f t="shared" si="173"/>
        <v>0.81316666666666659</v>
      </c>
      <c r="AE711" s="11">
        <f>_xlfn.RANK.AVG(Tableau8[[#This Row],[EE ( MJ/m²)]],AD711:AD1866)</f>
        <v>387</v>
      </c>
      <c r="AF711" s="11">
        <f t="shared" si="174"/>
        <v>0.4065833333333333</v>
      </c>
      <c r="AG711" s="11">
        <f t="shared" si="182"/>
        <v>4.501458333333333E-2</v>
      </c>
      <c r="AH711" s="11">
        <f t="shared" si="175"/>
        <v>0.10454999999999999</v>
      </c>
      <c r="AI711" s="11">
        <f t="shared" si="183"/>
        <v>2.2507291666666665E-2</v>
      </c>
      <c r="AJ711" s="11">
        <f t="shared" si="176"/>
        <v>5.2274999999999995E-2</v>
      </c>
    </row>
    <row r="712" spans="1:36" x14ac:dyDescent="0.25">
      <c r="A712" s="4" t="s">
        <v>945</v>
      </c>
      <c r="B712" s="4" t="s">
        <v>963</v>
      </c>
      <c r="C712" s="4" t="s">
        <v>15</v>
      </c>
      <c r="D712" s="4" t="s">
        <v>942</v>
      </c>
      <c r="E712" t="s">
        <v>787</v>
      </c>
      <c r="F712" t="s">
        <v>256</v>
      </c>
      <c r="G712" t="s">
        <v>788</v>
      </c>
      <c r="H712">
        <f t="shared" si="179"/>
        <v>18</v>
      </c>
      <c r="I712">
        <v>2</v>
      </c>
      <c r="J712" t="s">
        <v>40</v>
      </c>
      <c r="K712" t="s">
        <v>15</v>
      </c>
      <c r="L712" t="s">
        <v>806</v>
      </c>
      <c r="M712" t="s">
        <v>15</v>
      </c>
      <c r="N712" t="s">
        <v>15</v>
      </c>
      <c r="P712">
        <f>0.025*0.05*1</f>
        <v>1.2500000000000002E-3</v>
      </c>
      <c r="T712">
        <v>2</v>
      </c>
      <c r="W712">
        <v>510</v>
      </c>
      <c r="X712" t="s">
        <v>184</v>
      </c>
      <c r="AA712" s="13">
        <f>Tableau8[[#This Row],[nb of item used ]]*Tableau8[[#This Row],[density (kg/m2) or specific weight (kg/m2)]]*Tableau8[[#This Row],[volume or area]]</f>
        <v>1.2750000000000004</v>
      </c>
      <c r="AB712">
        <f t="shared" si="180"/>
        <v>5.6</v>
      </c>
      <c r="AC712">
        <f t="shared" si="181"/>
        <v>0.72</v>
      </c>
      <c r="AD712" s="11">
        <f t="shared" si="173"/>
        <v>0.39666666666666672</v>
      </c>
      <c r="AE712" s="11">
        <f>_xlfn.RANK.AVG(Tableau8[[#This Row],[EE ( MJ/m²)]],AD712:AD1867)</f>
        <v>409</v>
      </c>
      <c r="AF712" s="11">
        <f t="shared" si="174"/>
        <v>0.19833333333333336</v>
      </c>
      <c r="AG712" s="11">
        <f t="shared" si="182"/>
        <v>2.195833333333334E-2</v>
      </c>
      <c r="AH712" s="11">
        <f t="shared" si="175"/>
        <v>5.1000000000000018E-2</v>
      </c>
      <c r="AI712" s="11">
        <f t="shared" si="183"/>
        <v>1.097916666666667E-2</v>
      </c>
      <c r="AJ712" s="11">
        <f t="shared" si="176"/>
        <v>2.5500000000000009E-2</v>
      </c>
    </row>
    <row r="713" spans="1:36" x14ac:dyDescent="0.25">
      <c r="A713" s="4" t="s">
        <v>945</v>
      </c>
      <c r="B713" s="4" t="s">
        <v>963</v>
      </c>
      <c r="C713" s="4" t="s">
        <v>15</v>
      </c>
      <c r="D713" s="4" t="s">
        <v>942</v>
      </c>
      <c r="E713" t="s">
        <v>787</v>
      </c>
      <c r="F713" t="s">
        <v>256</v>
      </c>
      <c r="G713" t="s">
        <v>788</v>
      </c>
      <c r="H713">
        <f t="shared" si="179"/>
        <v>18</v>
      </c>
      <c r="I713">
        <v>2</v>
      </c>
      <c r="J713" t="s">
        <v>244</v>
      </c>
      <c r="K713" t="s">
        <v>15</v>
      </c>
      <c r="L713" t="s">
        <v>808</v>
      </c>
      <c r="M713" t="s">
        <v>15</v>
      </c>
      <c r="N713" t="s">
        <v>15</v>
      </c>
      <c r="P713">
        <f>0.0875*0.0094*2.48</f>
        <v>2.0398E-3</v>
      </c>
      <c r="T713">
        <v>68</v>
      </c>
      <c r="W713" s="1">
        <v>510</v>
      </c>
      <c r="X713" t="s">
        <v>184</v>
      </c>
      <c r="AA713" s="13">
        <f>Tableau8[[#This Row],[nb of item used ]]*Tableau8[[#This Row],[density (kg/m2) or specific weight (kg/m2)]]*Tableau8[[#This Row],[volume or area]]</f>
        <v>70.740263999999996</v>
      </c>
      <c r="AB713">
        <f t="shared" si="180"/>
        <v>5.6</v>
      </c>
      <c r="AC713">
        <f t="shared" si="181"/>
        <v>0.72</v>
      </c>
      <c r="AD713" s="11">
        <f t="shared" si="173"/>
        <v>22.008082133333332</v>
      </c>
      <c r="AE713" s="11">
        <f>_xlfn.RANK.AVG(Tableau8[[#This Row],[EE ( MJ/m²)]],AD713:AD1868)</f>
        <v>174</v>
      </c>
      <c r="AF713" s="11">
        <f t="shared" si="174"/>
        <v>11.004041066666666</v>
      </c>
      <c r="AG713" s="11">
        <f t="shared" si="182"/>
        <v>1.2183045466666664</v>
      </c>
      <c r="AH713" s="11">
        <f t="shared" si="175"/>
        <v>2.8296105599999999</v>
      </c>
      <c r="AI713" s="11">
        <f t="shared" si="183"/>
        <v>0.60915227333333322</v>
      </c>
      <c r="AJ713" s="11">
        <f t="shared" si="176"/>
        <v>1.4148052799999999</v>
      </c>
    </row>
    <row r="714" spans="1:36" x14ac:dyDescent="0.25">
      <c r="A714" s="4" t="s">
        <v>945</v>
      </c>
      <c r="B714" s="4" t="s">
        <v>963</v>
      </c>
      <c r="C714" s="4" t="s">
        <v>15</v>
      </c>
      <c r="D714" s="4" t="s">
        <v>942</v>
      </c>
      <c r="E714" t="s">
        <v>787</v>
      </c>
      <c r="F714" t="s">
        <v>256</v>
      </c>
      <c r="G714" t="s">
        <v>788</v>
      </c>
      <c r="H714">
        <f t="shared" si="179"/>
        <v>18</v>
      </c>
      <c r="I714">
        <v>2</v>
      </c>
      <c r="J714" t="s">
        <v>244</v>
      </c>
      <c r="K714" t="s">
        <v>15</v>
      </c>
      <c r="L714" t="s">
        <v>809</v>
      </c>
      <c r="M714" t="s">
        <v>15</v>
      </c>
      <c r="N714" t="s">
        <v>15</v>
      </c>
      <c r="P714">
        <f>0.0875*0.0094*2.3</f>
        <v>1.8917499999999998E-3</v>
      </c>
      <c r="T714">
        <v>43</v>
      </c>
      <c r="W714" s="1">
        <v>510</v>
      </c>
      <c r="X714" t="s">
        <v>184</v>
      </c>
      <c r="AA714" s="13">
        <f>Tableau8[[#This Row],[nb of item used ]]*Tableau8[[#This Row],[density (kg/m2) or specific weight (kg/m2)]]*Tableau8[[#This Row],[volume or area]]</f>
        <v>41.486077499999993</v>
      </c>
      <c r="AB714">
        <f t="shared" si="180"/>
        <v>5.6</v>
      </c>
      <c r="AC714">
        <f t="shared" si="181"/>
        <v>0.72</v>
      </c>
      <c r="AD714" s="11">
        <f t="shared" si="173"/>
        <v>12.906779666666663</v>
      </c>
      <c r="AE714" s="11">
        <f>_xlfn.RANK.AVG(Tableau8[[#This Row],[EE ( MJ/m²)]],AD714:AD1869)</f>
        <v>217</v>
      </c>
      <c r="AF714" s="11">
        <f t="shared" si="174"/>
        <v>6.4533898333333317</v>
      </c>
      <c r="AG714" s="11">
        <f t="shared" si="182"/>
        <v>0.7144824458333332</v>
      </c>
      <c r="AH714" s="11">
        <f t="shared" si="175"/>
        <v>1.6594430999999998</v>
      </c>
      <c r="AI714" s="11">
        <f t="shared" si="183"/>
        <v>0.3572412229166666</v>
      </c>
      <c r="AJ714" s="11">
        <f t="shared" si="176"/>
        <v>0.82972154999999992</v>
      </c>
    </row>
    <row r="715" spans="1:36" x14ac:dyDescent="0.25">
      <c r="A715" s="4" t="s">
        <v>945</v>
      </c>
      <c r="B715" s="4" t="s">
        <v>963</v>
      </c>
      <c r="C715" s="4" t="s">
        <v>15</v>
      </c>
      <c r="D715" s="4" t="s">
        <v>942</v>
      </c>
      <c r="E715" t="s">
        <v>787</v>
      </c>
      <c r="F715" t="s">
        <v>256</v>
      </c>
      <c r="G715" t="s">
        <v>788</v>
      </c>
      <c r="H715">
        <f t="shared" si="179"/>
        <v>18</v>
      </c>
      <c r="I715">
        <v>2</v>
      </c>
      <c r="J715" t="s">
        <v>244</v>
      </c>
      <c r="K715" t="s">
        <v>15</v>
      </c>
      <c r="L715" t="s">
        <v>810</v>
      </c>
      <c r="M715" t="s">
        <v>15</v>
      </c>
      <c r="N715" t="s">
        <v>15</v>
      </c>
      <c r="P715">
        <f>0.0875*0.0094*0.42</f>
        <v>3.4544999999999997E-4</v>
      </c>
      <c r="T715">
        <v>10</v>
      </c>
      <c r="W715">
        <v>510</v>
      </c>
      <c r="X715" t="s">
        <v>184</v>
      </c>
      <c r="AA715" s="13">
        <f>Tableau8[[#This Row],[nb of item used ]]*Tableau8[[#This Row],[density (kg/m2) or specific weight (kg/m2)]]*Tableau8[[#This Row],[volume or area]]</f>
        <v>1.7617949999999998</v>
      </c>
      <c r="AB715">
        <f t="shared" si="180"/>
        <v>5.6</v>
      </c>
      <c r="AC715">
        <f t="shared" si="181"/>
        <v>0.72</v>
      </c>
      <c r="AD715" s="11">
        <f t="shared" si="173"/>
        <v>0.54811399999999988</v>
      </c>
      <c r="AE715" s="11">
        <f>_xlfn.RANK.AVG(Tableau8[[#This Row],[EE ( MJ/m²)]],AD715:AD1870)</f>
        <v>401</v>
      </c>
      <c r="AF715" s="11">
        <f t="shared" si="174"/>
        <v>0.27405699999999994</v>
      </c>
      <c r="AG715" s="11">
        <f t="shared" si="182"/>
        <v>3.0342024999999995E-2</v>
      </c>
      <c r="AH715" s="11">
        <f t="shared" si="175"/>
        <v>7.0471799999999987E-2</v>
      </c>
      <c r="AI715" s="11">
        <f t="shared" si="183"/>
        <v>1.5171012499999997E-2</v>
      </c>
      <c r="AJ715" s="11">
        <f t="shared" si="176"/>
        <v>3.5235899999999994E-2</v>
      </c>
    </row>
    <row r="716" spans="1:36" x14ac:dyDescent="0.25">
      <c r="A716" s="4" t="s">
        <v>945</v>
      </c>
      <c r="B716" s="4" t="s">
        <v>963</v>
      </c>
      <c r="C716" s="4" t="s">
        <v>15</v>
      </c>
      <c r="D716" s="4" t="s">
        <v>942</v>
      </c>
      <c r="E716" t="s">
        <v>787</v>
      </c>
      <c r="F716" t="s">
        <v>256</v>
      </c>
      <c r="G716" t="s">
        <v>788</v>
      </c>
      <c r="H716">
        <f t="shared" si="179"/>
        <v>18</v>
      </c>
      <c r="I716">
        <v>2</v>
      </c>
      <c r="J716" t="s">
        <v>244</v>
      </c>
      <c r="K716" t="s">
        <v>15</v>
      </c>
      <c r="L716" t="s">
        <v>811</v>
      </c>
      <c r="M716" t="s">
        <v>15</v>
      </c>
      <c r="N716" t="s">
        <v>15</v>
      </c>
      <c r="P716">
        <f>0.0875*0.0094*0.32</f>
        <v>2.632E-4</v>
      </c>
      <c r="T716">
        <v>16</v>
      </c>
      <c r="W716">
        <v>510</v>
      </c>
      <c r="X716" t="s">
        <v>184</v>
      </c>
      <c r="AA716" s="13">
        <f>Tableau8[[#This Row],[nb of item used ]]*Tableau8[[#This Row],[density (kg/m2) or specific weight (kg/m2)]]*Tableau8[[#This Row],[volume or area]]</f>
        <v>2.1477119999999998</v>
      </c>
      <c r="AB716">
        <f t="shared" si="180"/>
        <v>5.6</v>
      </c>
      <c r="AC716">
        <f t="shared" si="181"/>
        <v>0.72</v>
      </c>
      <c r="AD716" s="11">
        <f t="shared" si="173"/>
        <v>0.66817706666666654</v>
      </c>
      <c r="AE716" s="11">
        <f>_xlfn.RANK.AVG(Tableau8[[#This Row],[EE ( MJ/m²)]],AD716:AD1871)</f>
        <v>395</v>
      </c>
      <c r="AF716" s="11">
        <f t="shared" si="174"/>
        <v>0.33408853333333327</v>
      </c>
      <c r="AG716" s="11">
        <f t="shared" si="182"/>
        <v>3.6988373333333331E-2</v>
      </c>
      <c r="AH716" s="11">
        <f t="shared" si="175"/>
        <v>8.5908479999999995E-2</v>
      </c>
      <c r="AI716" s="11">
        <f t="shared" si="183"/>
        <v>1.8494186666666666E-2</v>
      </c>
      <c r="AJ716" s="11">
        <f t="shared" si="176"/>
        <v>4.2954239999999998E-2</v>
      </c>
    </row>
    <row r="717" spans="1:36" x14ac:dyDescent="0.25">
      <c r="A717" s="4" t="s">
        <v>945</v>
      </c>
      <c r="B717" s="4" t="s">
        <v>963</v>
      </c>
      <c r="C717" s="4" t="s">
        <v>15</v>
      </c>
      <c r="D717" s="4" t="s">
        <v>942</v>
      </c>
      <c r="E717" t="s">
        <v>787</v>
      </c>
      <c r="F717" t="s">
        <v>256</v>
      </c>
      <c r="G717" t="s">
        <v>788</v>
      </c>
      <c r="H717">
        <f t="shared" si="179"/>
        <v>18</v>
      </c>
      <c r="I717">
        <v>2</v>
      </c>
      <c r="J717" t="s">
        <v>244</v>
      </c>
      <c r="K717" t="s">
        <v>15</v>
      </c>
      <c r="L717" t="s">
        <v>812</v>
      </c>
      <c r="M717" t="s">
        <v>15</v>
      </c>
      <c r="N717" t="s">
        <v>15</v>
      </c>
      <c r="P717">
        <f>0.0875*0.0094*1.01</f>
        <v>8.3072500000000004E-4</v>
      </c>
      <c r="T717">
        <v>16</v>
      </c>
      <c r="W717">
        <v>510</v>
      </c>
      <c r="X717" t="s">
        <v>184</v>
      </c>
      <c r="AA717" s="13">
        <f>Tableau8[[#This Row],[nb of item used ]]*Tableau8[[#This Row],[density (kg/m2) or specific weight (kg/m2)]]*Tableau8[[#This Row],[volume or area]]</f>
        <v>6.7787160000000002</v>
      </c>
      <c r="AB717">
        <f t="shared" si="180"/>
        <v>5.6</v>
      </c>
      <c r="AC717">
        <f t="shared" si="181"/>
        <v>0.72</v>
      </c>
      <c r="AD717" s="11">
        <f t="shared" si="173"/>
        <v>2.1089338666666664</v>
      </c>
      <c r="AE717" s="11">
        <f>_xlfn.RANK.AVG(Tableau8[[#This Row],[EE ( MJ/m²)]],AD717:AD1872)</f>
        <v>338</v>
      </c>
      <c r="AF717" s="11">
        <f t="shared" si="174"/>
        <v>1.0544669333333332</v>
      </c>
      <c r="AG717" s="11">
        <f t="shared" si="182"/>
        <v>0.11674455333333333</v>
      </c>
      <c r="AH717" s="11">
        <f t="shared" si="175"/>
        <v>0.27114864</v>
      </c>
      <c r="AI717" s="11">
        <f t="shared" si="183"/>
        <v>5.8372276666666667E-2</v>
      </c>
      <c r="AJ717" s="11">
        <f t="shared" si="176"/>
        <v>0.13557432</v>
      </c>
    </row>
    <row r="718" spans="1:36" x14ac:dyDescent="0.25">
      <c r="A718" s="4" t="s">
        <v>945</v>
      </c>
      <c r="B718" s="4" t="s">
        <v>963</v>
      </c>
      <c r="C718" s="4" t="s">
        <v>15</v>
      </c>
      <c r="D718" s="4" t="s">
        <v>942</v>
      </c>
      <c r="E718" t="s">
        <v>787</v>
      </c>
      <c r="F718" t="s">
        <v>256</v>
      </c>
      <c r="G718" t="s">
        <v>788</v>
      </c>
      <c r="H718">
        <f t="shared" si="179"/>
        <v>18</v>
      </c>
      <c r="I718">
        <v>2</v>
      </c>
      <c r="J718" t="s">
        <v>244</v>
      </c>
      <c r="K718" t="s">
        <v>15</v>
      </c>
      <c r="L718" t="s">
        <v>813</v>
      </c>
      <c r="M718" t="s">
        <v>15</v>
      </c>
      <c r="N718" t="s">
        <v>15</v>
      </c>
      <c r="P718">
        <f>0.0875*0.0094*2.48</f>
        <v>2.0398E-3</v>
      </c>
      <c r="T718">
        <v>70</v>
      </c>
      <c r="W718">
        <v>510</v>
      </c>
      <c r="X718" t="s">
        <v>184</v>
      </c>
      <c r="AA718" s="13">
        <f>Tableau8[[#This Row],[nb of item used ]]*Tableau8[[#This Row],[density (kg/m2) or specific weight (kg/m2)]]*Tableau8[[#This Row],[volume or area]]</f>
        <v>72.820859999999996</v>
      </c>
      <c r="AB718">
        <f t="shared" si="180"/>
        <v>5.6</v>
      </c>
      <c r="AC718">
        <f t="shared" si="181"/>
        <v>0.72</v>
      </c>
      <c r="AD718" s="11">
        <f t="shared" si="173"/>
        <v>22.655378666666664</v>
      </c>
      <c r="AE718" s="11">
        <f>_xlfn.RANK.AVG(Tableau8[[#This Row],[EE ( MJ/m²)]],AD718:AD1873)</f>
        <v>170</v>
      </c>
      <c r="AF718" s="11">
        <f t="shared" si="174"/>
        <v>11.327689333333332</v>
      </c>
      <c r="AG718" s="11">
        <f t="shared" si="182"/>
        <v>1.2541370333333333</v>
      </c>
      <c r="AH718" s="11">
        <f t="shared" si="175"/>
        <v>2.9128343999999995</v>
      </c>
      <c r="AI718" s="11">
        <f t="shared" si="183"/>
        <v>0.62706851666666663</v>
      </c>
      <c r="AJ718" s="11">
        <f t="shared" si="176"/>
        <v>1.4564171999999997</v>
      </c>
    </row>
    <row r="719" spans="1:36" x14ac:dyDescent="0.25">
      <c r="A719" s="4" t="s">
        <v>945</v>
      </c>
      <c r="B719" s="4" t="s">
        <v>963</v>
      </c>
      <c r="C719" s="4" t="s">
        <v>15</v>
      </c>
      <c r="D719" s="4" t="s">
        <v>942</v>
      </c>
      <c r="E719" t="s">
        <v>787</v>
      </c>
      <c r="F719" t="s">
        <v>256</v>
      </c>
      <c r="G719" t="s">
        <v>788</v>
      </c>
      <c r="H719">
        <f t="shared" si="179"/>
        <v>18</v>
      </c>
      <c r="I719">
        <v>2</v>
      </c>
      <c r="J719" t="s">
        <v>44</v>
      </c>
      <c r="K719" t="s">
        <v>15</v>
      </c>
      <c r="L719" t="s">
        <v>816</v>
      </c>
      <c r="M719" t="s">
        <v>15</v>
      </c>
      <c r="N719" t="s">
        <v>15</v>
      </c>
      <c r="P719">
        <f>0.03*0.06*3</f>
        <v>5.4000000000000003E-3</v>
      </c>
      <c r="T719">
        <v>2</v>
      </c>
      <c r="W719">
        <v>510</v>
      </c>
      <c r="X719" t="s">
        <v>184</v>
      </c>
      <c r="AA719" s="13">
        <f>Tableau8[[#This Row],[nb of item used ]]*Tableau8[[#This Row],[density (kg/m2) or specific weight (kg/m2)]]*Tableau8[[#This Row],[volume or area]]</f>
        <v>5.508</v>
      </c>
      <c r="AB719">
        <f t="shared" si="180"/>
        <v>5.6</v>
      </c>
      <c r="AC719">
        <f t="shared" si="181"/>
        <v>0.72</v>
      </c>
      <c r="AD719" s="11">
        <f t="shared" si="173"/>
        <v>1.7136</v>
      </c>
      <c r="AE719" s="11">
        <f>_xlfn.RANK.AVG(Tableau8[[#This Row],[EE ( MJ/m²)]],AD719:AD1874)</f>
        <v>351</v>
      </c>
      <c r="AF719" s="11">
        <f>AB719*P719/H719/I719</f>
        <v>8.4000000000000003E-4</v>
      </c>
      <c r="AG719" s="11">
        <f t="shared" si="182"/>
        <v>9.486E-2</v>
      </c>
      <c r="AH719" s="11">
        <f t="shared" si="175"/>
        <v>0.22031999999999999</v>
      </c>
      <c r="AI719" s="11">
        <f t="shared" si="183"/>
        <v>4.743E-2</v>
      </c>
      <c r="AJ719" s="11">
        <f>AC719*P719/H719/I719</f>
        <v>1.08E-4</v>
      </c>
    </row>
    <row r="720" spans="1:36" x14ac:dyDescent="0.25">
      <c r="A720" s="4" t="s">
        <v>945</v>
      </c>
      <c r="B720" s="4" t="s">
        <v>963</v>
      </c>
      <c r="C720" s="4" t="s">
        <v>15</v>
      </c>
      <c r="D720" s="4" t="s">
        <v>942</v>
      </c>
      <c r="E720" t="s">
        <v>787</v>
      </c>
      <c r="F720" t="s">
        <v>256</v>
      </c>
      <c r="G720" t="s">
        <v>788</v>
      </c>
      <c r="H720">
        <f t="shared" si="179"/>
        <v>18</v>
      </c>
      <c r="I720">
        <v>2</v>
      </c>
      <c r="J720" t="s">
        <v>44</v>
      </c>
      <c r="K720" t="s">
        <v>15</v>
      </c>
      <c r="L720" t="s">
        <v>818</v>
      </c>
      <c r="M720" t="s">
        <v>15</v>
      </c>
      <c r="N720" t="s">
        <v>15</v>
      </c>
      <c r="P720">
        <f>0.06*0.06*0.0094</f>
        <v>3.3840000000000001E-5</v>
      </c>
      <c r="T720">
        <v>125</v>
      </c>
      <c r="W720">
        <v>510</v>
      </c>
      <c r="X720" t="s">
        <v>184</v>
      </c>
      <c r="AA720" s="13">
        <f>Tableau8[[#This Row],[nb of item used ]]*Tableau8[[#This Row],[density (kg/m2) or specific weight (kg/m2)]]*Tableau8[[#This Row],[volume or area]]</f>
        <v>2.1573000000000002</v>
      </c>
      <c r="AB720">
        <f t="shared" si="180"/>
        <v>5.6</v>
      </c>
      <c r="AC720">
        <f t="shared" si="181"/>
        <v>0.72</v>
      </c>
      <c r="AD720" s="11">
        <f t="shared" si="173"/>
        <v>0.67115999999999998</v>
      </c>
      <c r="AE720" s="11">
        <f>_xlfn.RANK.AVG(Tableau8[[#This Row],[EE ( MJ/m²)]],AD720:AD1875)</f>
        <v>391</v>
      </c>
      <c r="AF720" s="11">
        <f t="shared" ref="AF720:AF738" si="184">AB720*AA720/H720/I720</f>
        <v>0.33557999999999999</v>
      </c>
      <c r="AG720" s="11">
        <f t="shared" si="182"/>
        <v>3.7153500000000006E-2</v>
      </c>
      <c r="AH720" s="11">
        <f t="shared" si="175"/>
        <v>8.6292000000000008E-2</v>
      </c>
      <c r="AI720" s="11">
        <f t="shared" si="183"/>
        <v>1.8576750000000003E-2</v>
      </c>
      <c r="AJ720" s="11">
        <f t="shared" ref="AJ720:AJ738" si="185">AC720*AA720/H720/I720</f>
        <v>4.3146000000000004E-2</v>
      </c>
    </row>
    <row r="721" spans="1:36" x14ac:dyDescent="0.25">
      <c r="A721" s="4" t="s">
        <v>945</v>
      </c>
      <c r="B721" s="4" t="s">
        <v>963</v>
      </c>
      <c r="C721" s="4" t="s">
        <v>15</v>
      </c>
      <c r="D721" s="4" t="s">
        <v>942</v>
      </c>
      <c r="E721" t="s">
        <v>787</v>
      </c>
      <c r="F721" t="s">
        <v>256</v>
      </c>
      <c r="G721" t="s">
        <v>788</v>
      </c>
      <c r="H721">
        <f t="shared" si="179"/>
        <v>18</v>
      </c>
      <c r="I721">
        <v>2</v>
      </c>
      <c r="J721" t="s">
        <v>13</v>
      </c>
      <c r="K721" t="s">
        <v>17</v>
      </c>
      <c r="L721" t="s">
        <v>792</v>
      </c>
      <c r="M721" t="s">
        <v>12</v>
      </c>
      <c r="N721" t="s">
        <v>12</v>
      </c>
      <c r="P721">
        <f>2*21.2*4.2*PI()*(0.003^2)</f>
        <v>5.0350933777614341E-3</v>
      </c>
      <c r="T721">
        <v>1</v>
      </c>
      <c r="W721">
        <v>7800</v>
      </c>
      <c r="X721" t="s">
        <v>184</v>
      </c>
      <c r="AA721" s="13">
        <f>Tableau8[[#This Row],[density (kg/m2) or specific weight (kg/m2)]]*Tableau8[[#This Row],[nb of item used ]]*Tableau8[[#This Row],[volume or area]]</f>
        <v>39.273728346539187</v>
      </c>
      <c r="AB721">
        <v>25.3</v>
      </c>
      <c r="AC721">
        <v>1.95</v>
      </c>
      <c r="AD721" s="11">
        <f t="shared" si="173"/>
        <v>55.201407064857861</v>
      </c>
      <c r="AE721" s="11">
        <f>_xlfn.RANK.AVG(Tableau8[[#This Row],[EE ( MJ/m²)]],AD721:AD1876)</f>
        <v>110</v>
      </c>
      <c r="AF721" s="11">
        <f t="shared" si="184"/>
        <v>27.60070353242893</v>
      </c>
      <c r="AG721" s="11">
        <f t="shared" ref="AG721:AG731" si="186">(AC721)*AA721/H721</f>
        <v>4.2546539042084124</v>
      </c>
      <c r="AH721" s="11">
        <f t="shared" si="175"/>
        <v>4.2546539042084124</v>
      </c>
      <c r="AI721" s="11">
        <f t="shared" ref="AI721:AI731" si="187">(AC721)*AA721/H721/I721</f>
        <v>2.1273269521042062</v>
      </c>
      <c r="AJ721" s="11">
        <f t="shared" si="185"/>
        <v>2.1273269521042062</v>
      </c>
    </row>
    <row r="722" spans="1:36" x14ac:dyDescent="0.25">
      <c r="A722" s="4" t="s">
        <v>945</v>
      </c>
      <c r="B722" s="4" t="s">
        <v>963</v>
      </c>
      <c r="C722" s="4" t="s">
        <v>15</v>
      </c>
      <c r="D722" s="4" t="s">
        <v>942</v>
      </c>
      <c r="E722" t="s">
        <v>787</v>
      </c>
      <c r="F722" t="s">
        <v>256</v>
      </c>
      <c r="G722" t="s">
        <v>788</v>
      </c>
      <c r="H722">
        <f t="shared" si="179"/>
        <v>18</v>
      </c>
      <c r="I722">
        <v>2</v>
      </c>
      <c r="J722" t="s">
        <v>13</v>
      </c>
      <c r="K722" t="s">
        <v>17</v>
      </c>
      <c r="L722" t="s">
        <v>793</v>
      </c>
      <c r="M722" t="s">
        <v>12</v>
      </c>
      <c r="N722" t="s">
        <v>12</v>
      </c>
      <c r="T722">
        <v>1</v>
      </c>
      <c r="W722">
        <v>7800</v>
      </c>
      <c r="X722" t="s">
        <v>184</v>
      </c>
      <c r="AA722" s="13">
        <f>0.019</f>
        <v>1.9E-2</v>
      </c>
      <c r="AB722">
        <v>25.3</v>
      </c>
      <c r="AC722">
        <v>1.95</v>
      </c>
      <c r="AD722" s="11">
        <f t="shared" si="173"/>
        <v>2.6705555555555555E-2</v>
      </c>
      <c r="AE722" s="11">
        <f>_xlfn.RANK.AVG(Tableau8[[#This Row],[EE ( MJ/m²)]],AD722:AD1877)</f>
        <v>430</v>
      </c>
      <c r="AF722" s="11">
        <f t="shared" si="184"/>
        <v>1.3352777777777778E-2</v>
      </c>
      <c r="AG722" s="11">
        <f t="shared" si="186"/>
        <v>2.0583333333333335E-3</v>
      </c>
      <c r="AH722" s="11">
        <f t="shared" si="175"/>
        <v>2.0583333333333335E-3</v>
      </c>
      <c r="AI722" s="11">
        <f t="shared" si="187"/>
        <v>1.0291666666666667E-3</v>
      </c>
      <c r="AJ722" s="11">
        <f t="shared" si="185"/>
        <v>1.0291666666666667E-3</v>
      </c>
    </row>
    <row r="723" spans="1:36" s="20" customFormat="1" x14ac:dyDescent="0.25">
      <c r="A723" s="4" t="s">
        <v>945</v>
      </c>
      <c r="B723" s="4" t="s">
        <v>963</v>
      </c>
      <c r="C723" s="4" t="s">
        <v>15</v>
      </c>
      <c r="D723" s="4" t="s">
        <v>942</v>
      </c>
      <c r="E723" t="s">
        <v>787</v>
      </c>
      <c r="F723" t="s">
        <v>256</v>
      </c>
      <c r="G723" t="s">
        <v>788</v>
      </c>
      <c r="H723">
        <f t="shared" si="179"/>
        <v>18</v>
      </c>
      <c r="I723">
        <v>2</v>
      </c>
      <c r="J723" t="s">
        <v>13</v>
      </c>
      <c r="K723" t="s">
        <v>17</v>
      </c>
      <c r="L723" t="s">
        <v>794</v>
      </c>
      <c r="M723" t="s">
        <v>12</v>
      </c>
      <c r="N723" t="s">
        <v>12</v>
      </c>
      <c r="O723"/>
      <c r="P723">
        <f>6*PI()*(0.00065^2)</f>
        <v>7.9639373768501248E-6</v>
      </c>
      <c r="Q723"/>
      <c r="R723"/>
      <c r="S723"/>
      <c r="T723">
        <v>1</v>
      </c>
      <c r="U723"/>
      <c r="V723"/>
      <c r="W723">
        <v>7800</v>
      </c>
      <c r="X723" t="s">
        <v>184</v>
      </c>
      <c r="Y723"/>
      <c r="Z723"/>
      <c r="AA723" s="13">
        <f>Tableau8[[#This Row],[density (kg/m2) or specific weight (kg/m2)]]*Tableau8[[#This Row],[nb of item used ]]*Tableau8[[#This Row],[volume or area]]</f>
        <v>6.2118711539430972E-2</v>
      </c>
      <c r="AB723">
        <v>25.3</v>
      </c>
      <c r="AC723">
        <v>1.95</v>
      </c>
      <c r="AD723" s="11">
        <f t="shared" si="173"/>
        <v>8.7311300108200207E-2</v>
      </c>
      <c r="AE723" s="11">
        <f>_xlfn.RANK.AVG(Tableau8[[#This Row],[EE ( MJ/m²)]],AD723:AD1878)</f>
        <v>419</v>
      </c>
      <c r="AF723" s="11">
        <f t="shared" si="184"/>
        <v>4.3655650054100104E-2</v>
      </c>
      <c r="AG723" s="11">
        <f t="shared" si="186"/>
        <v>6.7295270834383551E-3</v>
      </c>
      <c r="AH723" s="11">
        <f t="shared" si="175"/>
        <v>6.7295270834383551E-3</v>
      </c>
      <c r="AI723" s="11">
        <f t="shared" si="187"/>
        <v>3.3647635417191775E-3</v>
      </c>
      <c r="AJ723" s="11">
        <f t="shared" si="185"/>
        <v>3.3647635417191775E-3</v>
      </c>
    </row>
    <row r="724" spans="1:36" s="20" customFormat="1" x14ac:dyDescent="0.25">
      <c r="A724" s="4" t="s">
        <v>945</v>
      </c>
      <c r="B724" s="4" t="s">
        <v>963</v>
      </c>
      <c r="C724" s="4" t="s">
        <v>15</v>
      </c>
      <c r="D724" s="4" t="s">
        <v>942</v>
      </c>
      <c r="E724" t="s">
        <v>787</v>
      </c>
      <c r="F724" t="s">
        <v>256</v>
      </c>
      <c r="G724" t="s">
        <v>788</v>
      </c>
      <c r="H724">
        <f t="shared" si="179"/>
        <v>18</v>
      </c>
      <c r="I724">
        <v>2</v>
      </c>
      <c r="J724" t="s">
        <v>44</v>
      </c>
      <c r="K724" t="s">
        <v>17</v>
      </c>
      <c r="L724" t="s">
        <v>814</v>
      </c>
      <c r="M724" t="s">
        <v>12</v>
      </c>
      <c r="N724" t="s">
        <v>12</v>
      </c>
      <c r="O724"/>
      <c r="P724"/>
      <c r="Q724"/>
      <c r="R724"/>
      <c r="S724"/>
      <c r="T724">
        <v>1</v>
      </c>
      <c r="U724"/>
      <c r="V724"/>
      <c r="W724">
        <v>7800</v>
      </c>
      <c r="X724" t="s">
        <v>184</v>
      </c>
      <c r="Y724"/>
      <c r="Z724"/>
      <c r="AA724" s="13">
        <v>0.5</v>
      </c>
      <c r="AB724">
        <v>25.3</v>
      </c>
      <c r="AC724">
        <v>1.95</v>
      </c>
      <c r="AD724" s="11">
        <f t="shared" si="173"/>
        <v>0.70277777777777783</v>
      </c>
      <c r="AE724" s="11">
        <f>_xlfn.RANK.AVG(Tableau8[[#This Row],[EE ( MJ/m²)]],AD724:AD1879)</f>
        <v>389</v>
      </c>
      <c r="AF724" s="11">
        <f t="shared" si="184"/>
        <v>0.35138888888888892</v>
      </c>
      <c r="AG724" s="11">
        <f t="shared" si="186"/>
        <v>5.4166666666666669E-2</v>
      </c>
      <c r="AH724" s="11">
        <f t="shared" si="175"/>
        <v>5.4166666666666669E-2</v>
      </c>
      <c r="AI724" s="11">
        <f t="shared" si="187"/>
        <v>2.7083333333333334E-2</v>
      </c>
      <c r="AJ724" s="11">
        <f t="shared" si="185"/>
        <v>2.7083333333333334E-2</v>
      </c>
    </row>
    <row r="725" spans="1:36" s="20" customFormat="1" x14ac:dyDescent="0.25">
      <c r="A725" s="4" t="s">
        <v>945</v>
      </c>
      <c r="B725" s="4" t="s">
        <v>963</v>
      </c>
      <c r="C725" s="4" t="s">
        <v>15</v>
      </c>
      <c r="D725" s="4" t="s">
        <v>942</v>
      </c>
      <c r="E725" t="s">
        <v>787</v>
      </c>
      <c r="F725" t="s">
        <v>256</v>
      </c>
      <c r="G725" t="s">
        <v>788</v>
      </c>
      <c r="H725">
        <f t="shared" si="179"/>
        <v>18</v>
      </c>
      <c r="I725">
        <v>2</v>
      </c>
      <c r="J725" t="s">
        <v>44</v>
      </c>
      <c r="K725" t="s">
        <v>17</v>
      </c>
      <c r="L725" t="s">
        <v>793</v>
      </c>
      <c r="M725" t="s">
        <v>12</v>
      </c>
      <c r="N725" t="s">
        <v>12</v>
      </c>
      <c r="O725"/>
      <c r="P725"/>
      <c r="Q725"/>
      <c r="R725"/>
      <c r="S725"/>
      <c r="T725">
        <v>1</v>
      </c>
      <c r="U725"/>
      <c r="V725"/>
      <c r="W725">
        <v>7800</v>
      </c>
      <c r="X725" t="s">
        <v>184</v>
      </c>
      <c r="Y725"/>
      <c r="Z725"/>
      <c r="AA725" s="13">
        <v>1.6</v>
      </c>
      <c r="AB725">
        <v>25.3</v>
      </c>
      <c r="AC725">
        <v>1.95</v>
      </c>
      <c r="AD725" s="11">
        <f t="shared" si="173"/>
        <v>2.2488888888888892</v>
      </c>
      <c r="AE725" s="11">
        <f>_xlfn.RANK.AVG(Tableau8[[#This Row],[EE ( MJ/m²)]],AD725:AD1880)</f>
        <v>330</v>
      </c>
      <c r="AF725" s="11">
        <f t="shared" si="184"/>
        <v>1.1244444444444446</v>
      </c>
      <c r="AG725" s="11">
        <f t="shared" si="186"/>
        <v>0.17333333333333334</v>
      </c>
      <c r="AH725" s="11">
        <f t="shared" si="175"/>
        <v>0.17333333333333334</v>
      </c>
      <c r="AI725" s="11">
        <f t="shared" si="187"/>
        <v>8.666666666666667E-2</v>
      </c>
      <c r="AJ725" s="11">
        <f t="shared" si="185"/>
        <v>8.666666666666667E-2</v>
      </c>
    </row>
    <row r="726" spans="1:36" s="20" customFormat="1" x14ac:dyDescent="0.25">
      <c r="A726" s="4" t="s">
        <v>945</v>
      </c>
      <c r="B726" s="4" t="s">
        <v>963</v>
      </c>
      <c r="C726" s="4" t="s">
        <v>15</v>
      </c>
      <c r="D726" s="4" t="s">
        <v>942</v>
      </c>
      <c r="E726" t="s">
        <v>787</v>
      </c>
      <c r="F726" t="s">
        <v>256</v>
      </c>
      <c r="G726" t="s">
        <v>788</v>
      </c>
      <c r="H726">
        <f t="shared" si="179"/>
        <v>18</v>
      </c>
      <c r="I726">
        <v>2</v>
      </c>
      <c r="J726" t="s">
        <v>44</v>
      </c>
      <c r="K726" t="s">
        <v>17</v>
      </c>
      <c r="L726" t="s">
        <v>815</v>
      </c>
      <c r="M726" t="s">
        <v>12</v>
      </c>
      <c r="N726" t="s">
        <v>12</v>
      </c>
      <c r="O726"/>
      <c r="P726">
        <f>0.014*0.1*0.05</f>
        <v>7.0000000000000007E-5</v>
      </c>
      <c r="Q726" t="s">
        <v>180</v>
      </c>
      <c r="R726" t="s">
        <v>187</v>
      </c>
      <c r="S726"/>
      <c r="T726">
        <v>7</v>
      </c>
      <c r="U726"/>
      <c r="V726"/>
      <c r="W726">
        <v>7800</v>
      </c>
      <c r="X726" t="s">
        <v>184</v>
      </c>
      <c r="Y726"/>
      <c r="Z726"/>
      <c r="AA726" s="13">
        <f>Tableau8[[#This Row],[density (kg/m2) or specific weight (kg/m2)]]*Tableau8[[#This Row],[nb of item used ]]*Tableau8[[#This Row],[volume or area]]</f>
        <v>3.8220000000000005</v>
      </c>
      <c r="AB726">
        <v>25.3</v>
      </c>
      <c r="AC726">
        <v>1.95</v>
      </c>
      <c r="AD726" s="11">
        <f t="shared" si="173"/>
        <v>5.3720333333333343</v>
      </c>
      <c r="AE726" s="11">
        <f>_xlfn.RANK.AVG(Tableau8[[#This Row],[EE ( MJ/m²)]],AD726:AD1881)</f>
        <v>278</v>
      </c>
      <c r="AF726" s="11">
        <f t="shared" si="184"/>
        <v>2.6860166666666672</v>
      </c>
      <c r="AG726" s="11">
        <f t="shared" si="186"/>
        <v>0.41405000000000003</v>
      </c>
      <c r="AH726" s="11">
        <f t="shared" si="175"/>
        <v>0.41405000000000003</v>
      </c>
      <c r="AI726" s="11">
        <f t="shared" si="187"/>
        <v>0.20702500000000001</v>
      </c>
      <c r="AJ726" s="11">
        <f t="shared" si="185"/>
        <v>0.20702500000000001</v>
      </c>
    </row>
    <row r="727" spans="1:36" s="20" customFormat="1" x14ac:dyDescent="0.25">
      <c r="A727" s="4" t="s">
        <v>945</v>
      </c>
      <c r="B727" s="4" t="s">
        <v>963</v>
      </c>
      <c r="C727" s="4" t="s">
        <v>15</v>
      </c>
      <c r="D727" s="4" t="s">
        <v>942</v>
      </c>
      <c r="E727" t="s">
        <v>787</v>
      </c>
      <c r="F727" t="s">
        <v>256</v>
      </c>
      <c r="G727" t="s">
        <v>788</v>
      </c>
      <c r="H727">
        <f t="shared" si="179"/>
        <v>18</v>
      </c>
      <c r="I727">
        <v>2</v>
      </c>
      <c r="J727" t="s">
        <v>44</v>
      </c>
      <c r="K727" t="s">
        <v>17</v>
      </c>
      <c r="L727" t="s">
        <v>817</v>
      </c>
      <c r="M727" t="s">
        <v>12</v>
      </c>
      <c r="N727" t="s">
        <v>12</v>
      </c>
      <c r="O727"/>
      <c r="P727"/>
      <c r="Q727"/>
      <c r="R727"/>
      <c r="S727"/>
      <c r="T727">
        <v>1</v>
      </c>
      <c r="U727"/>
      <c r="V727"/>
      <c r="W727">
        <v>7800</v>
      </c>
      <c r="X727" t="s">
        <v>184</v>
      </c>
      <c r="Y727"/>
      <c r="Z727"/>
      <c r="AA727" s="13">
        <v>0.2</v>
      </c>
      <c r="AB727">
        <v>25.3</v>
      </c>
      <c r="AC727">
        <v>1.95</v>
      </c>
      <c r="AD727" s="11">
        <f t="shared" si="173"/>
        <v>0.28111111111111114</v>
      </c>
      <c r="AE727" s="11">
        <f>_xlfn.RANK.AVG(Tableau8[[#This Row],[EE ( MJ/m²)]],AD727:AD1882)</f>
        <v>404</v>
      </c>
      <c r="AF727" s="11">
        <f t="shared" si="184"/>
        <v>0.14055555555555557</v>
      </c>
      <c r="AG727" s="11">
        <f t="shared" si="186"/>
        <v>2.1666666666666667E-2</v>
      </c>
      <c r="AH727" s="11">
        <f t="shared" si="175"/>
        <v>2.1666666666666667E-2</v>
      </c>
      <c r="AI727" s="11">
        <f t="shared" si="187"/>
        <v>1.0833333333333334E-2</v>
      </c>
      <c r="AJ727" s="11">
        <f t="shared" si="185"/>
        <v>1.0833333333333334E-2</v>
      </c>
    </row>
    <row r="728" spans="1:36" s="20" customFormat="1" x14ac:dyDescent="0.25">
      <c r="A728" s="4" t="s">
        <v>945</v>
      </c>
      <c r="B728" s="4" t="s">
        <v>963</v>
      </c>
      <c r="C728" s="4" t="s">
        <v>15</v>
      </c>
      <c r="D728" s="4" t="s">
        <v>942</v>
      </c>
      <c r="E728" t="s">
        <v>787</v>
      </c>
      <c r="F728" t="s">
        <v>256</v>
      </c>
      <c r="G728" t="s">
        <v>788</v>
      </c>
      <c r="H728">
        <f t="shared" si="179"/>
        <v>18</v>
      </c>
      <c r="I728">
        <v>2</v>
      </c>
      <c r="J728" t="s">
        <v>13</v>
      </c>
      <c r="K728" t="s">
        <v>29</v>
      </c>
      <c r="L728" t="s">
        <v>790</v>
      </c>
      <c r="M728" t="s">
        <v>364</v>
      </c>
      <c r="N728" t="s">
        <v>432</v>
      </c>
      <c r="O728"/>
      <c r="P728">
        <v>0.34</v>
      </c>
      <c r="Q728" t="s">
        <v>180</v>
      </c>
      <c r="R728"/>
      <c r="S728"/>
      <c r="T728">
        <v>1</v>
      </c>
      <c r="U728"/>
      <c r="V728"/>
      <c r="W728">
        <v>2240</v>
      </c>
      <c r="X728" t="s">
        <v>184</v>
      </c>
      <c r="Y728"/>
      <c r="Z728"/>
      <c r="AA728" s="13">
        <f>Tableau8[[#This Row],[density (kg/m2) or specific weight (kg/m2)]]*Tableau8[[#This Row],[nb of item used ]]*Tableau8[[#This Row],[volume or area]]</f>
        <v>761.6</v>
      </c>
      <c r="AB728">
        <v>8.0999999999999996E-3</v>
      </c>
      <c r="AC728">
        <v>5.1000000000000004E-3</v>
      </c>
      <c r="AD728" s="11">
        <f t="shared" si="173"/>
        <v>0.34272000000000002</v>
      </c>
      <c r="AE728" s="11">
        <f>_xlfn.RANK.AVG(Tableau8[[#This Row],[EE ( MJ/m²)]],AD728:AD1883)</f>
        <v>399</v>
      </c>
      <c r="AF728" s="11">
        <f t="shared" si="184"/>
        <v>0.17136000000000001</v>
      </c>
      <c r="AG728" s="11">
        <f t="shared" si="186"/>
        <v>0.21578666666666668</v>
      </c>
      <c r="AH728" s="11">
        <f t="shared" si="175"/>
        <v>0.21578666666666668</v>
      </c>
      <c r="AI728" s="11">
        <f t="shared" si="187"/>
        <v>0.10789333333333334</v>
      </c>
      <c r="AJ728" s="11">
        <f t="shared" si="185"/>
        <v>0.10789333333333334</v>
      </c>
    </row>
    <row r="729" spans="1:36" s="20" customFormat="1" x14ac:dyDescent="0.25">
      <c r="A729" s="4" t="s">
        <v>945</v>
      </c>
      <c r="B729" s="4" t="s">
        <v>963</v>
      </c>
      <c r="C729" s="4" t="s">
        <v>15</v>
      </c>
      <c r="D729" s="4" t="s">
        <v>942</v>
      </c>
      <c r="E729" t="s">
        <v>787</v>
      </c>
      <c r="F729" t="s">
        <v>256</v>
      </c>
      <c r="G729" t="s">
        <v>788</v>
      </c>
      <c r="H729">
        <f t="shared" si="179"/>
        <v>18</v>
      </c>
      <c r="I729">
        <v>2</v>
      </c>
      <c r="J729" t="s">
        <v>56</v>
      </c>
      <c r="K729" t="s">
        <v>18</v>
      </c>
      <c r="L729" t="s">
        <v>807</v>
      </c>
      <c r="M729" t="s">
        <v>819</v>
      </c>
      <c r="N729" t="s">
        <v>820</v>
      </c>
      <c r="O729"/>
      <c r="P729">
        <f>1*3*0.00625</f>
        <v>1.8750000000000003E-2</v>
      </c>
      <c r="Q729"/>
      <c r="R729"/>
      <c r="S729"/>
      <c r="T729">
        <v>6</v>
      </c>
      <c r="U729"/>
      <c r="V729"/>
      <c r="W729">
        <v>350</v>
      </c>
      <c r="X729" t="s">
        <v>184</v>
      </c>
      <c r="Y729"/>
      <c r="Z729"/>
      <c r="AA729" s="13">
        <f>Tableau8[[#This Row],[density (kg/m2) or specific weight (kg/m2)]]*Tableau8[[#This Row],[volume or area]]</f>
        <v>6.5625000000000009</v>
      </c>
      <c r="AB729">
        <v>10.4</v>
      </c>
      <c r="AC729">
        <v>1.0900000000000001</v>
      </c>
      <c r="AD729" s="11">
        <f t="shared" si="173"/>
        <v>3.7916666666666674</v>
      </c>
      <c r="AE729" s="11">
        <f>_xlfn.RANK.AVG(Tableau8[[#This Row],[EE ( MJ/m²)]],AD729:AD1884)</f>
        <v>295</v>
      </c>
      <c r="AF729" s="11">
        <f t="shared" si="184"/>
        <v>1.8958333333333337</v>
      </c>
      <c r="AG729" s="11">
        <f t="shared" si="186"/>
        <v>0.39739583333333339</v>
      </c>
      <c r="AH729" s="11">
        <f t="shared" si="175"/>
        <v>0.39739583333333339</v>
      </c>
      <c r="AI729" s="11">
        <f t="shared" si="187"/>
        <v>0.1986979166666667</v>
      </c>
      <c r="AJ729" s="11">
        <f t="shared" si="185"/>
        <v>0.1986979166666667</v>
      </c>
    </row>
    <row r="730" spans="1:36" s="20" customFormat="1" x14ac:dyDescent="0.25">
      <c r="A730" s="4" t="s">
        <v>945</v>
      </c>
      <c r="B730" s="4" t="s">
        <v>963</v>
      </c>
      <c r="C730" s="4" t="s">
        <v>15</v>
      </c>
      <c r="D730" s="4" t="s">
        <v>942</v>
      </c>
      <c r="E730" t="s">
        <v>787</v>
      </c>
      <c r="F730" t="s">
        <v>256</v>
      </c>
      <c r="G730" t="s">
        <v>788</v>
      </c>
      <c r="H730">
        <f t="shared" si="179"/>
        <v>18</v>
      </c>
      <c r="I730">
        <v>2</v>
      </c>
      <c r="J730" t="s">
        <v>13</v>
      </c>
      <c r="K730" t="s">
        <v>18</v>
      </c>
      <c r="L730" t="s">
        <v>789</v>
      </c>
      <c r="M730" t="s">
        <v>363</v>
      </c>
      <c r="N730" t="s">
        <v>431</v>
      </c>
      <c r="O730"/>
      <c r="P730"/>
      <c r="Q730"/>
      <c r="R730"/>
      <c r="S730"/>
      <c r="T730">
        <v>1</v>
      </c>
      <c r="U730"/>
      <c r="V730"/>
      <c r="W730">
        <v>1860</v>
      </c>
      <c r="X730" t="s">
        <v>184</v>
      </c>
      <c r="Y730"/>
      <c r="Z730"/>
      <c r="AA730" s="13">
        <f>4*42.5</f>
        <v>170</v>
      </c>
      <c r="AB730">
        <v>4.51</v>
      </c>
      <c r="AC730">
        <v>0.74</v>
      </c>
      <c r="AD730" s="11">
        <f t="shared" si="173"/>
        <v>42.594444444444441</v>
      </c>
      <c r="AE730" s="11">
        <f>_xlfn.RANK.AVG(Tableau8[[#This Row],[EE ( MJ/m²)]],AD730:AD1885)</f>
        <v>121</v>
      </c>
      <c r="AF730" s="11">
        <f t="shared" si="184"/>
        <v>21.297222222222221</v>
      </c>
      <c r="AG730" s="11">
        <f t="shared" si="186"/>
        <v>6.9888888888888889</v>
      </c>
      <c r="AH730" s="11">
        <f t="shared" si="175"/>
        <v>6.9888888888888889</v>
      </c>
      <c r="AI730" s="11">
        <f t="shared" si="187"/>
        <v>3.4944444444444445</v>
      </c>
      <c r="AJ730" s="11">
        <f t="shared" si="185"/>
        <v>3.4944444444444445</v>
      </c>
    </row>
    <row r="731" spans="1:36" s="20" customFormat="1" x14ac:dyDescent="0.25">
      <c r="A731" s="4" t="s">
        <v>945</v>
      </c>
      <c r="B731" s="4" t="s">
        <v>963</v>
      </c>
      <c r="C731" s="4" t="s">
        <v>15</v>
      </c>
      <c r="D731" s="4" t="s">
        <v>942</v>
      </c>
      <c r="E731" t="s">
        <v>787</v>
      </c>
      <c r="F731" t="s">
        <v>256</v>
      </c>
      <c r="G731" t="s">
        <v>788</v>
      </c>
      <c r="H731">
        <f t="shared" si="179"/>
        <v>18</v>
      </c>
      <c r="I731">
        <v>2</v>
      </c>
      <c r="J731" t="s">
        <v>13</v>
      </c>
      <c r="K731" t="s">
        <v>29</v>
      </c>
      <c r="L731" t="s">
        <v>791</v>
      </c>
      <c r="M731" t="s">
        <v>366</v>
      </c>
      <c r="N731" t="s">
        <v>433</v>
      </c>
      <c r="O731"/>
      <c r="P731">
        <v>0.68</v>
      </c>
      <c r="Q731" t="s">
        <v>180</v>
      </c>
      <c r="R731"/>
      <c r="S731"/>
      <c r="T731">
        <v>1</v>
      </c>
      <c r="U731" t="s">
        <v>175</v>
      </c>
      <c r="V731"/>
      <c r="W731">
        <v>2240</v>
      </c>
      <c r="X731" t="s">
        <v>184</v>
      </c>
      <c r="Y731"/>
      <c r="Z731"/>
      <c r="AA731" s="13">
        <f>Tableau8[[#This Row],[density (kg/m2) or specific weight (kg/m2)]]*Tableau8[[#This Row],[nb of item used ]]*Tableau8[[#This Row],[volume or area]]</f>
        <v>1523.2</v>
      </c>
      <c r="AB731">
        <v>8.3000000000000004E-2</v>
      </c>
      <c r="AC731">
        <v>5.1999999999999998E-3</v>
      </c>
      <c r="AD731" s="11">
        <f t="shared" si="173"/>
        <v>7.0236444444444457</v>
      </c>
      <c r="AE731" s="11">
        <f>_xlfn.RANK.AVG(Tableau8[[#This Row],[EE ( MJ/m²)]],AD731:AD1886)</f>
        <v>259</v>
      </c>
      <c r="AF731" s="11">
        <f t="shared" si="184"/>
        <v>3.5118222222222228</v>
      </c>
      <c r="AG731" s="11">
        <f t="shared" si="186"/>
        <v>0.44003555555555551</v>
      </c>
      <c r="AH731" s="11">
        <f t="shared" si="175"/>
        <v>0.44003555555555551</v>
      </c>
      <c r="AI731" s="11">
        <f t="shared" si="187"/>
        <v>0.22001777777777776</v>
      </c>
      <c r="AJ731" s="11">
        <f t="shared" si="185"/>
        <v>0.22001777777777776</v>
      </c>
    </row>
    <row r="732" spans="1:36" s="20" customFormat="1" x14ac:dyDescent="0.25">
      <c r="A732" s="4" t="s">
        <v>944</v>
      </c>
      <c r="B732" s="4" t="s">
        <v>968</v>
      </c>
      <c r="C732" s="4" t="s">
        <v>15</v>
      </c>
      <c r="D732" s="4" t="s">
        <v>939</v>
      </c>
      <c r="E732" t="s">
        <v>517</v>
      </c>
      <c r="F732" t="s">
        <v>256</v>
      </c>
      <c r="G732" t="s">
        <v>518</v>
      </c>
      <c r="H732">
        <f>4*2</f>
        <v>8</v>
      </c>
      <c r="I732">
        <v>3</v>
      </c>
      <c r="J732" t="s">
        <v>42</v>
      </c>
      <c r="K732" t="s">
        <v>15</v>
      </c>
      <c r="L732" t="s">
        <v>521</v>
      </c>
      <c r="M732" t="s">
        <v>15</v>
      </c>
      <c r="N732" t="s">
        <v>15</v>
      </c>
      <c r="O732"/>
      <c r="P732">
        <v>0.28599999999999998</v>
      </c>
      <c r="Q732" t="s">
        <v>180</v>
      </c>
      <c r="R732" t="s">
        <v>187</v>
      </c>
      <c r="S732"/>
      <c r="T732">
        <v>1</v>
      </c>
      <c r="U732"/>
      <c r="V732"/>
      <c r="W732">
        <v>510</v>
      </c>
      <c r="X732" t="s">
        <v>184</v>
      </c>
      <c r="Y732"/>
      <c r="Z732"/>
      <c r="AA732" s="13">
        <f>Tableau8[[#This Row],[density (kg/m2) or specific weight (kg/m2)]]*Tableau8[[#This Row],[nb of item used ]]*Tableau8[[#This Row],[volume or area]]</f>
        <v>145.85999999999999</v>
      </c>
      <c r="AB732">
        <f>10-4.4</f>
        <v>5.6</v>
      </c>
      <c r="AC732">
        <f>0.31+0.41</f>
        <v>0.72</v>
      </c>
      <c r="AD732" s="11">
        <f t="shared" si="173"/>
        <v>102.10199999999999</v>
      </c>
      <c r="AE732" s="11">
        <f>_xlfn.RANK.AVG(Tableau8[[#This Row],[EE ( MJ/m²)]],AD732:AD1887)</f>
        <v>65</v>
      </c>
      <c r="AF732" s="11">
        <f t="shared" si="184"/>
        <v>34.033999999999999</v>
      </c>
      <c r="AG732" s="11">
        <f>(AC732-0.41)*AA732/H732</f>
        <v>5.6520749999999991</v>
      </c>
      <c r="AH732" s="11">
        <f t="shared" si="175"/>
        <v>13.127399999999998</v>
      </c>
      <c r="AI732" s="11">
        <f>(AC732-0.41)*AA732/H732/I732</f>
        <v>1.8840249999999996</v>
      </c>
      <c r="AJ732" s="11">
        <f t="shared" si="185"/>
        <v>4.375799999999999</v>
      </c>
    </row>
    <row r="733" spans="1:36" s="20" customFormat="1" x14ac:dyDescent="0.25">
      <c r="A733" s="4" t="s">
        <v>944</v>
      </c>
      <c r="B733" s="4" t="s">
        <v>968</v>
      </c>
      <c r="C733" s="4" t="s">
        <v>15</v>
      </c>
      <c r="D733" s="4" t="s">
        <v>939</v>
      </c>
      <c r="E733" t="s">
        <v>517</v>
      </c>
      <c r="F733" t="s">
        <v>256</v>
      </c>
      <c r="G733" t="s">
        <v>518</v>
      </c>
      <c r="H733">
        <f>4*2</f>
        <v>8</v>
      </c>
      <c r="I733">
        <v>3</v>
      </c>
      <c r="J733" t="s">
        <v>57</v>
      </c>
      <c r="K733" t="s">
        <v>15</v>
      </c>
      <c r="L733" t="s">
        <v>522</v>
      </c>
      <c r="M733" t="s">
        <v>15</v>
      </c>
      <c r="N733" t="s">
        <v>15</v>
      </c>
      <c r="O733"/>
      <c r="P733">
        <v>0.16</v>
      </c>
      <c r="Q733" t="s">
        <v>180</v>
      </c>
      <c r="R733" t="s">
        <v>187</v>
      </c>
      <c r="S733"/>
      <c r="T733">
        <v>1</v>
      </c>
      <c r="U733"/>
      <c r="V733"/>
      <c r="W733">
        <v>510</v>
      </c>
      <c r="X733" t="s">
        <v>184</v>
      </c>
      <c r="Y733"/>
      <c r="Z733"/>
      <c r="AA733" s="13">
        <f>Tableau8[[#This Row],[density (kg/m2) or specific weight (kg/m2)]]*Tableau8[[#This Row],[nb of item used ]]*Tableau8[[#This Row],[volume or area]]</f>
        <v>81.600000000000009</v>
      </c>
      <c r="AB733">
        <f>10-4.4</f>
        <v>5.6</v>
      </c>
      <c r="AC733">
        <f>0.31+0.41</f>
        <v>0.72</v>
      </c>
      <c r="AD733" s="11">
        <f t="shared" si="173"/>
        <v>57.120000000000005</v>
      </c>
      <c r="AE733" s="11">
        <f>_xlfn.RANK.AVG(Tableau8[[#This Row],[EE ( MJ/m²)]],AD733:AD1888)</f>
        <v>107</v>
      </c>
      <c r="AF733" s="11">
        <f t="shared" si="184"/>
        <v>19.040000000000003</v>
      </c>
      <c r="AG733" s="11">
        <f>(AC733-0.41)*AA733/H733</f>
        <v>3.1620000000000004</v>
      </c>
      <c r="AH733" s="11">
        <f t="shared" si="175"/>
        <v>7.3440000000000003</v>
      </c>
      <c r="AI733" s="11">
        <f>(AC733-0.41)*AA733/H733/I733</f>
        <v>1.054</v>
      </c>
      <c r="AJ733" s="11">
        <f t="shared" si="185"/>
        <v>2.448</v>
      </c>
    </row>
    <row r="734" spans="1:36" s="20" customFormat="1" x14ac:dyDescent="0.25">
      <c r="A734" s="4" t="s">
        <v>944</v>
      </c>
      <c r="B734" s="4" t="s">
        <v>968</v>
      </c>
      <c r="C734" s="4" t="s">
        <v>15</v>
      </c>
      <c r="D734" s="4" t="s">
        <v>939</v>
      </c>
      <c r="E734" t="s">
        <v>517</v>
      </c>
      <c r="F734" t="s">
        <v>256</v>
      </c>
      <c r="G734" t="s">
        <v>518</v>
      </c>
      <c r="H734">
        <f>4*2</f>
        <v>8</v>
      </c>
      <c r="I734">
        <v>3</v>
      </c>
      <c r="J734" t="s">
        <v>232</v>
      </c>
      <c r="K734" t="s">
        <v>17</v>
      </c>
      <c r="L734" t="s">
        <v>510</v>
      </c>
      <c r="M734" t="s">
        <v>12</v>
      </c>
      <c r="N734" t="s">
        <v>12</v>
      </c>
      <c r="O734"/>
      <c r="P734"/>
      <c r="Q734"/>
      <c r="R734"/>
      <c r="S734"/>
      <c r="T734">
        <v>1</v>
      </c>
      <c r="U734"/>
      <c r="V734"/>
      <c r="W734">
        <v>7800</v>
      </c>
      <c r="X734" t="s">
        <v>184</v>
      </c>
      <c r="Y734"/>
      <c r="Z734"/>
      <c r="AA734" s="13">
        <v>12.5</v>
      </c>
      <c r="AB734">
        <v>25.3</v>
      </c>
      <c r="AC734">
        <v>1.95</v>
      </c>
      <c r="AD734" s="11">
        <f t="shared" si="173"/>
        <v>39.53125</v>
      </c>
      <c r="AE734" s="11">
        <f>_xlfn.RANK.AVG(Tableau8[[#This Row],[EE ( MJ/m²)]],AD734:AD1889)</f>
        <v>125</v>
      </c>
      <c r="AF734" s="11">
        <f t="shared" si="184"/>
        <v>13.177083333333334</v>
      </c>
      <c r="AG734" s="11">
        <f>(AC734)*AA734/H734</f>
        <v>3.046875</v>
      </c>
      <c r="AH734" s="11">
        <f t="shared" si="175"/>
        <v>3.046875</v>
      </c>
      <c r="AI734" s="11">
        <f>(AC734)*AA734/H734/I734</f>
        <v>1.015625</v>
      </c>
      <c r="AJ734" s="11">
        <f t="shared" si="185"/>
        <v>1.015625</v>
      </c>
    </row>
    <row r="735" spans="1:36" s="18" customFormat="1" x14ac:dyDescent="0.25">
      <c r="A735" s="4" t="s">
        <v>944</v>
      </c>
      <c r="B735" s="4" t="s">
        <v>968</v>
      </c>
      <c r="C735" s="4" t="s">
        <v>15</v>
      </c>
      <c r="D735" s="4" t="s">
        <v>939</v>
      </c>
      <c r="E735" t="s">
        <v>517</v>
      </c>
      <c r="F735" t="s">
        <v>256</v>
      </c>
      <c r="G735" t="s">
        <v>518</v>
      </c>
      <c r="H735">
        <f>4*2</f>
        <v>8</v>
      </c>
      <c r="I735">
        <v>3</v>
      </c>
      <c r="J735" t="s">
        <v>40</v>
      </c>
      <c r="K735" t="s">
        <v>17</v>
      </c>
      <c r="L735" t="s">
        <v>519</v>
      </c>
      <c r="M735" t="s">
        <v>468</v>
      </c>
      <c r="N735" t="s">
        <v>469</v>
      </c>
      <c r="O735"/>
      <c r="P735">
        <v>8.3999999999999995E-3</v>
      </c>
      <c r="Q735" t="s">
        <v>180</v>
      </c>
      <c r="R735" t="s">
        <v>187</v>
      </c>
      <c r="S735"/>
      <c r="T735">
        <v>1</v>
      </c>
      <c r="U735"/>
      <c r="V735"/>
      <c r="W735">
        <v>2700</v>
      </c>
      <c r="X735" t="s">
        <v>184</v>
      </c>
      <c r="Y735"/>
      <c r="Z735"/>
      <c r="AA735" s="13">
        <f>Tableau8[[#This Row],[density (kg/m2) or specific weight (kg/m2)]]*Tableau8[[#This Row],[nb of item used ]]*Tableau8[[#This Row],[volume or area]]</f>
        <v>22.68</v>
      </c>
      <c r="AB735">
        <v>155</v>
      </c>
      <c r="AC735">
        <v>9.16</v>
      </c>
      <c r="AD735" s="11">
        <f t="shared" si="173"/>
        <v>439.42500000000001</v>
      </c>
      <c r="AE735" s="11">
        <f>_xlfn.RANK.AVG(Tableau8[[#This Row],[EE ( MJ/m²)]],AD735:AD1890)</f>
        <v>14</v>
      </c>
      <c r="AF735" s="11">
        <f t="shared" si="184"/>
        <v>146.47499999999999</v>
      </c>
      <c r="AG735" s="11">
        <f>(AC735)*AA735/H735</f>
        <v>25.968599999999999</v>
      </c>
      <c r="AH735" s="11">
        <f t="shared" si="175"/>
        <v>25.968599999999999</v>
      </c>
      <c r="AI735" s="11">
        <f>(AC735)*AA735/H735/I735</f>
        <v>8.6562000000000001</v>
      </c>
      <c r="AJ735" s="11">
        <f t="shared" si="185"/>
        <v>8.6562000000000001</v>
      </c>
    </row>
    <row r="736" spans="1:36" x14ac:dyDescent="0.25">
      <c r="A736" s="4" t="s">
        <v>944</v>
      </c>
      <c r="B736" s="4" t="s">
        <v>968</v>
      </c>
      <c r="C736" s="4" t="s">
        <v>15</v>
      </c>
      <c r="D736" s="4" t="s">
        <v>939</v>
      </c>
      <c r="E736" t="s">
        <v>517</v>
      </c>
      <c r="F736" t="s">
        <v>256</v>
      </c>
      <c r="G736" t="s">
        <v>518</v>
      </c>
      <c r="H736">
        <f>4*2</f>
        <v>8</v>
      </c>
      <c r="I736">
        <v>3</v>
      </c>
      <c r="J736" t="s">
        <v>56</v>
      </c>
      <c r="K736" t="s">
        <v>17</v>
      </c>
      <c r="L736" t="s">
        <v>520</v>
      </c>
      <c r="M736" t="s">
        <v>468</v>
      </c>
      <c r="N736" t="s">
        <v>469</v>
      </c>
      <c r="P736">
        <v>3.5000000000000001E-3</v>
      </c>
      <c r="Q736" t="s">
        <v>180</v>
      </c>
      <c r="R736" t="s">
        <v>187</v>
      </c>
      <c r="T736">
        <v>1</v>
      </c>
      <c r="W736">
        <v>2700</v>
      </c>
      <c r="X736" t="s">
        <v>184</v>
      </c>
      <c r="AA736" s="13">
        <f>Tableau8[[#This Row],[density (kg/m2) or specific weight (kg/m2)]]*Tableau8[[#This Row],[nb of item used ]]*Tableau8[[#This Row],[volume or area]]</f>
        <v>9.4500000000000011</v>
      </c>
      <c r="AB736">
        <v>155</v>
      </c>
      <c r="AC736">
        <v>9.16</v>
      </c>
      <c r="AD736" s="11">
        <f t="shared" si="173"/>
        <v>183.09375000000003</v>
      </c>
      <c r="AE736" s="11">
        <f>_xlfn.RANK.AVG(Tableau8[[#This Row],[EE ( MJ/m²)]],AD736:AD1891)</f>
        <v>34</v>
      </c>
      <c r="AF736" s="11">
        <f t="shared" si="184"/>
        <v>61.031250000000007</v>
      </c>
      <c r="AG736" s="11">
        <f>(AC736)*AA736/H736</f>
        <v>10.820250000000001</v>
      </c>
      <c r="AH736" s="11">
        <f t="shared" si="175"/>
        <v>10.820250000000001</v>
      </c>
      <c r="AI736" s="11">
        <f>(AC736)*AA736/H736/I736</f>
        <v>3.6067500000000003</v>
      </c>
      <c r="AJ736" s="11">
        <f t="shared" si="185"/>
        <v>3.6067500000000003</v>
      </c>
    </row>
    <row r="737" spans="1:36" x14ac:dyDescent="0.25">
      <c r="A737" s="4" t="s">
        <v>944</v>
      </c>
      <c r="B737" s="4" t="s">
        <v>969</v>
      </c>
      <c r="C737" s="4" t="s">
        <v>15</v>
      </c>
      <c r="D737" s="4" t="s">
        <v>939</v>
      </c>
      <c r="E737" t="s">
        <v>480</v>
      </c>
      <c r="F737" t="s">
        <v>256</v>
      </c>
      <c r="G737" t="s">
        <v>471</v>
      </c>
      <c r="H737">
        <v>16</v>
      </c>
      <c r="I737">
        <v>2</v>
      </c>
      <c r="J737" t="s">
        <v>42</v>
      </c>
      <c r="K737" t="s">
        <v>17</v>
      </c>
      <c r="L737" t="s">
        <v>475</v>
      </c>
      <c r="M737" t="s">
        <v>12</v>
      </c>
      <c r="N737" t="s">
        <v>91</v>
      </c>
      <c r="P737">
        <f>4.5*((PI()*(0.0075^2)-(PI()*(0.00735^2))))</f>
        <v>3.149053936142061E-5</v>
      </c>
      <c r="Q737" t="s">
        <v>180</v>
      </c>
      <c r="R737" t="s">
        <v>476</v>
      </c>
      <c r="T737">
        <v>5</v>
      </c>
      <c r="W737">
        <v>7800</v>
      </c>
      <c r="X737" t="s">
        <v>184</v>
      </c>
      <c r="AA737" s="13">
        <f>Tableau8[[#This Row],[density (kg/m2) or specific weight (kg/m2)]]*Tableau8[[#This Row],[nb of item used ]]*Tableau8[[#This Row],[volume or area]]</f>
        <v>1.2281310350954038</v>
      </c>
      <c r="AB737">
        <v>24.9</v>
      </c>
      <c r="AC737">
        <v>1.94</v>
      </c>
      <c r="AD737" s="11">
        <f t="shared" si="173"/>
        <v>1.911278923367222</v>
      </c>
      <c r="AE737" s="11">
        <f>_xlfn.RANK.AVG(Tableau8[[#This Row],[EE ( MJ/m²)]],AD737:AD1892)</f>
        <v>332.5</v>
      </c>
      <c r="AF737" s="11">
        <f t="shared" si="184"/>
        <v>0.95563946168361102</v>
      </c>
      <c r="AG737" s="11">
        <f>(AC737)*AA737/H737</f>
        <v>0.14891088800531771</v>
      </c>
      <c r="AH737" s="11">
        <f t="shared" si="175"/>
        <v>0.14891088800531771</v>
      </c>
      <c r="AI737" s="11">
        <f>(AC737)*AA737/H737/I737</f>
        <v>7.4455444002658855E-2</v>
      </c>
      <c r="AJ737" s="11">
        <f t="shared" si="185"/>
        <v>7.4455444002658855E-2</v>
      </c>
    </row>
    <row r="738" spans="1:36" x14ac:dyDescent="0.25">
      <c r="A738" s="4" t="s">
        <v>944</v>
      </c>
      <c r="B738" s="4" t="s">
        <v>969</v>
      </c>
      <c r="C738" s="4" t="s">
        <v>15</v>
      </c>
      <c r="D738" s="4" t="s">
        <v>939</v>
      </c>
      <c r="E738" t="s">
        <v>480</v>
      </c>
      <c r="F738" t="s">
        <v>256</v>
      </c>
      <c r="G738" t="s">
        <v>471</v>
      </c>
      <c r="H738">
        <v>16</v>
      </c>
      <c r="I738">
        <v>2</v>
      </c>
      <c r="J738" t="s">
        <v>44</v>
      </c>
      <c r="K738" t="s">
        <v>17</v>
      </c>
      <c r="L738" t="s">
        <v>478</v>
      </c>
      <c r="M738" t="s">
        <v>12</v>
      </c>
      <c r="N738" t="s">
        <v>12</v>
      </c>
      <c r="T738">
        <v>1</v>
      </c>
      <c r="W738">
        <v>7800</v>
      </c>
      <c r="X738" t="s">
        <v>184</v>
      </c>
      <c r="AA738" s="13">
        <v>4.5</v>
      </c>
      <c r="AB738">
        <v>25.3</v>
      </c>
      <c r="AC738">
        <v>1.95</v>
      </c>
      <c r="AD738" s="11">
        <f t="shared" si="173"/>
        <v>7.1156250000000005</v>
      </c>
      <c r="AE738" s="11">
        <f>_xlfn.RANK.AVG(Tableau8[[#This Row],[EE ( MJ/m²)]],AD738:AD1893)</f>
        <v>252.5</v>
      </c>
      <c r="AF738" s="11">
        <f t="shared" si="184"/>
        <v>3.5578125000000003</v>
      </c>
      <c r="AG738" s="11">
        <f>(AC738)*AA738/H738</f>
        <v>0.54843750000000002</v>
      </c>
      <c r="AH738" s="11">
        <f t="shared" si="175"/>
        <v>0.54843750000000002</v>
      </c>
      <c r="AI738" s="11">
        <f>(AC738)*AA738/H738/I738</f>
        <v>0.27421875000000001</v>
      </c>
      <c r="AJ738" s="11">
        <f t="shared" si="185"/>
        <v>0.27421875000000001</v>
      </c>
    </row>
    <row r="739" spans="1:36" x14ac:dyDescent="0.25">
      <c r="A739" s="4" t="s">
        <v>944</v>
      </c>
      <c r="B739" s="4" t="s">
        <v>969</v>
      </c>
      <c r="C739" s="4" t="s">
        <v>15</v>
      </c>
      <c r="D739" s="4" t="s">
        <v>939</v>
      </c>
      <c r="E739" t="s">
        <v>480</v>
      </c>
      <c r="F739" t="s">
        <v>256</v>
      </c>
      <c r="G739" t="s">
        <v>471</v>
      </c>
      <c r="H739">
        <v>16</v>
      </c>
      <c r="I739">
        <v>2</v>
      </c>
      <c r="J739" t="s">
        <v>40</v>
      </c>
      <c r="K739" t="s">
        <v>15</v>
      </c>
      <c r="L739" t="s">
        <v>477</v>
      </c>
      <c r="M739" t="s">
        <v>229</v>
      </c>
      <c r="N739" t="s">
        <v>235</v>
      </c>
      <c r="P739">
        <f>6.28* ((PI()*0.015^2)-(PI()*(0.01^2)))</f>
        <v>2.4661502330679875E-3</v>
      </c>
      <c r="Q739" t="s">
        <v>180</v>
      </c>
      <c r="T739">
        <v>6</v>
      </c>
      <c r="W739">
        <v>100</v>
      </c>
      <c r="X739" t="s">
        <v>184</v>
      </c>
      <c r="Y739" t="s">
        <v>441</v>
      </c>
      <c r="Z739" t="s">
        <v>442</v>
      </c>
      <c r="AA739" s="13">
        <f>Tableau8[[#This Row],[density (kg/m2) or specific weight (kg/m2)]]*Tableau8[[#This Row],[nb of item used ]]*Tableau8[[#This Row],[volume or area]]</f>
        <v>1.4796901398407925</v>
      </c>
      <c r="AB739">
        <v>13.13</v>
      </c>
      <c r="AC739">
        <v>12.37</v>
      </c>
      <c r="AD739" s="11">
        <f>AB739*(AA739/Tableau8[[#This Row],[density (kg/m2) or specific weight (kg/m2)]])/H739</f>
        <v>1.2142707210068503E-2</v>
      </c>
      <c r="AE739" s="11">
        <f>_xlfn.RANK.AVG(Tableau8[[#This Row],[EE ( MJ/m²)]],AD739:AD1894)</f>
        <v>414</v>
      </c>
      <c r="AF739" s="11">
        <f>AB739*(AA739/Tableau8[[#This Row],[density (kg/m2) or specific weight (kg/m2)]])/H739/I739</f>
        <v>6.0713536050342517E-3</v>
      </c>
      <c r="AG739" s="11">
        <f>(AC739)*(AA739/Tableau8[[#This Row],[density (kg/m2) or specific weight (kg/m2)]])/H739</f>
        <v>1.1439854393644125E-2</v>
      </c>
      <c r="AH739" s="11">
        <f>AC739*(AA739/Tableau8[[#This Row],[density (kg/m2) or specific weight (kg/m2)]])/H739</f>
        <v>1.1439854393644125E-2</v>
      </c>
      <c r="AI739" s="11">
        <f>(AC739)*(AA739/Tableau8[[#This Row],[density (kg/m2) or specific weight (kg/m2)]])/H739/I739</f>
        <v>5.7199271968220626E-3</v>
      </c>
      <c r="AJ739" s="11">
        <f>AC739*(AA739/Tableau8[[#This Row],[density (kg/m2) or specific weight (kg/m2)]])/H739/I739</f>
        <v>5.7199271968220626E-3</v>
      </c>
    </row>
    <row r="740" spans="1:36" x14ac:dyDescent="0.25">
      <c r="A740" s="4" t="s">
        <v>944</v>
      </c>
      <c r="B740" s="4" t="s">
        <v>969</v>
      </c>
      <c r="C740" s="4" t="s">
        <v>15</v>
      </c>
      <c r="D740" s="4" t="s">
        <v>939</v>
      </c>
      <c r="E740" t="s">
        <v>480</v>
      </c>
      <c r="F740" t="s">
        <v>256</v>
      </c>
      <c r="G740" t="s">
        <v>471</v>
      </c>
      <c r="H740">
        <v>16</v>
      </c>
      <c r="I740">
        <v>2</v>
      </c>
      <c r="J740" t="s">
        <v>42</v>
      </c>
      <c r="K740" t="s">
        <v>17</v>
      </c>
      <c r="L740" t="s">
        <v>929</v>
      </c>
      <c r="M740" t="s">
        <v>473</v>
      </c>
      <c r="N740" t="s">
        <v>469</v>
      </c>
      <c r="P740">
        <v>8.8000000000000005E-3</v>
      </c>
      <c r="Q740" t="s">
        <v>180</v>
      </c>
      <c r="T740">
        <v>1</v>
      </c>
      <c r="W740">
        <v>2700</v>
      </c>
      <c r="X740" t="s">
        <v>184</v>
      </c>
      <c r="AA740" s="13">
        <f>Tableau8[[#This Row],[density (kg/m2) or specific weight (kg/m2)]]*Tableau8[[#This Row],[nb of item used ]]*Tableau8[[#This Row],[volume or area]]</f>
        <v>23.76</v>
      </c>
      <c r="AB740">
        <v>155</v>
      </c>
      <c r="AC740">
        <v>9.16</v>
      </c>
      <c r="AD740" s="11">
        <f>AB740*AA740/H740</f>
        <v>230.17500000000001</v>
      </c>
      <c r="AE740" s="11">
        <f>_xlfn.RANK.AVG(Tableau8[[#This Row],[EE ( MJ/m²)]],AD740:AD1895)</f>
        <v>25.5</v>
      </c>
      <c r="AF740" s="11">
        <f>AB740*AA740/H740/I740</f>
        <v>115.08750000000001</v>
      </c>
      <c r="AG740" s="11">
        <f>(AC740)*AA740/H740</f>
        <v>13.602600000000001</v>
      </c>
      <c r="AH740" s="11">
        <f>AC740*AA740/H740</f>
        <v>13.602600000000001</v>
      </c>
      <c r="AI740" s="11">
        <f>(AC740)*AA740/H740/I740</f>
        <v>6.8013000000000003</v>
      </c>
      <c r="AJ740" s="11">
        <f>AC740*AA740/H740/I740</f>
        <v>6.8013000000000003</v>
      </c>
    </row>
    <row r="741" spans="1:36" x14ac:dyDescent="0.25">
      <c r="A741" s="4" t="s">
        <v>944</v>
      </c>
      <c r="B741" s="4" t="s">
        <v>969</v>
      </c>
      <c r="C741" s="4" t="s">
        <v>15</v>
      </c>
      <c r="D741" s="4" t="s">
        <v>939</v>
      </c>
      <c r="E741" t="s">
        <v>480</v>
      </c>
      <c r="F741" t="s">
        <v>256</v>
      </c>
      <c r="G741" t="s">
        <v>471</v>
      </c>
      <c r="H741">
        <v>16</v>
      </c>
      <c r="I741">
        <v>2</v>
      </c>
      <c r="J741" t="s">
        <v>40</v>
      </c>
      <c r="K741" t="s">
        <v>15</v>
      </c>
      <c r="L741" t="s">
        <v>474</v>
      </c>
      <c r="M741" t="s">
        <v>235</v>
      </c>
      <c r="N741" t="s">
        <v>235</v>
      </c>
      <c r="P741">
        <f>3.14* ((PI()*0.015^2)-(PI()*(0.01^2)))</f>
        <v>1.2330751165339938E-3</v>
      </c>
      <c r="Q741" t="s">
        <v>180</v>
      </c>
      <c r="T741">
        <v>133</v>
      </c>
      <c r="W741">
        <v>100</v>
      </c>
      <c r="X741" t="s">
        <v>184</v>
      </c>
      <c r="Y741" t="s">
        <v>441</v>
      </c>
      <c r="Z741" t="s">
        <v>442</v>
      </c>
      <c r="AA741" s="13">
        <f>Tableau8[[#This Row],[density (kg/m2) or specific weight (kg/m2)]]*Tableau8[[#This Row],[nb of item used ]]*Tableau8[[#This Row],[volume or area]]</f>
        <v>16.399899049902118</v>
      </c>
      <c r="AB741">
        <v>13.13</v>
      </c>
      <c r="AC741">
        <f>0.31+0.41</f>
        <v>0.72</v>
      </c>
      <c r="AD741" s="11">
        <f>AB741*(AA741/Tableau8[[#This Row],[density (kg/m2) or specific weight (kg/m2)]])/H741</f>
        <v>0.13458167157825926</v>
      </c>
      <c r="AE741" s="11">
        <f>_xlfn.RANK.AVG(Tableau8[[#This Row],[EE ( MJ/m²)]],AD741:AD1896)</f>
        <v>396</v>
      </c>
      <c r="AF741" s="11">
        <f>AB741*(AA741/Tableau8[[#This Row],[density (kg/m2) or specific weight (kg/m2)]])/H741/I741</f>
        <v>6.729083578912963E-2</v>
      </c>
      <c r="AG741" s="11">
        <f>(AC741)*(AA741/Tableau8[[#This Row],[density (kg/m2) or specific weight (kg/m2)]])/H741</f>
        <v>7.3799545724559526E-3</v>
      </c>
      <c r="AH741" s="11">
        <f>AC741*(AA741/Tableau8[[#This Row],[density (kg/m2) or specific weight (kg/m2)]])/H741</f>
        <v>7.3799545724559526E-3</v>
      </c>
      <c r="AI741" s="11">
        <f>(AC741)*(AA741/Tableau8[[#This Row],[density (kg/m2) or specific weight (kg/m2)]])/H741/I741</f>
        <v>3.6899772862279763E-3</v>
      </c>
      <c r="AJ741" s="11">
        <f>AC741*(AA741/Tableau8[[#This Row],[density (kg/m2) or specific weight (kg/m2)]])/H741/I741</f>
        <v>3.6899772862279763E-3</v>
      </c>
    </row>
    <row r="742" spans="1:36" x14ac:dyDescent="0.25">
      <c r="A742" s="4" t="s">
        <v>944</v>
      </c>
      <c r="B742" s="4" t="s">
        <v>970</v>
      </c>
      <c r="C742" s="4" t="s">
        <v>998</v>
      </c>
      <c r="D742" s="4" t="s">
        <v>939</v>
      </c>
      <c r="E742" t="s">
        <v>479</v>
      </c>
      <c r="F742" t="s">
        <v>256</v>
      </c>
      <c r="G742" t="s">
        <v>471</v>
      </c>
      <c r="H742">
        <v>16</v>
      </c>
      <c r="I742">
        <v>3</v>
      </c>
      <c r="J742" t="s">
        <v>40</v>
      </c>
      <c r="K742" t="s">
        <v>15</v>
      </c>
      <c r="L742" t="s">
        <v>487</v>
      </c>
      <c r="M742" t="s">
        <v>15</v>
      </c>
      <c r="N742" t="s">
        <v>15</v>
      </c>
      <c r="P742">
        <v>2.7999999999999998E-4</v>
      </c>
      <c r="Q742" t="s">
        <v>180</v>
      </c>
      <c r="R742" t="s">
        <v>187</v>
      </c>
      <c r="S742" t="s">
        <v>489</v>
      </c>
      <c r="T742">
        <v>1</v>
      </c>
      <c r="W742">
        <v>510</v>
      </c>
      <c r="X742" t="s">
        <v>184</v>
      </c>
      <c r="AA742" s="13">
        <f>Tableau8[[#This Row],[density (kg/m2) or specific weight (kg/m2)]]*Tableau8[[#This Row],[nb of item used ]]*Tableau8[[#This Row],[volume or area]]</f>
        <v>0.14279999999999998</v>
      </c>
      <c r="AB742">
        <f>10-4.4</f>
        <v>5.6</v>
      </c>
      <c r="AC742">
        <f>0.31+0.41</f>
        <v>0.72</v>
      </c>
      <c r="AD742" s="11">
        <f t="shared" ref="AD742:AD770" si="188">AB742*AA742/H742</f>
        <v>4.997999999999999E-2</v>
      </c>
      <c r="AE742" s="11">
        <f>_xlfn.RANK.AVG(Tableau8[[#This Row],[EE ( MJ/m²)]],AD742:AD1897)</f>
        <v>406</v>
      </c>
      <c r="AF742" s="11">
        <f t="shared" ref="AF742:AF756" si="189">AB742*AA742/H742/I742</f>
        <v>1.6659999999999998E-2</v>
      </c>
      <c r="AG742" s="11">
        <f>(AC742-0.41)*AA742/H742</f>
        <v>2.7667499999999997E-3</v>
      </c>
      <c r="AH742" s="11">
        <f t="shared" ref="AH742:AH770" si="190">AC742*AA742/H742</f>
        <v>6.4259999999999986E-3</v>
      </c>
      <c r="AI742" s="11">
        <f>(AC742-0.41)*AA742/H742/I742</f>
        <v>9.2224999999999989E-4</v>
      </c>
      <c r="AJ742" s="11">
        <f t="shared" ref="AJ742:AJ756" si="191">AC742*AA742/H742/I742</f>
        <v>2.1419999999999994E-3</v>
      </c>
    </row>
    <row r="743" spans="1:36" x14ac:dyDescent="0.25">
      <c r="A743" s="4" t="s">
        <v>944</v>
      </c>
      <c r="B743" s="4" t="s">
        <v>970</v>
      </c>
      <c r="C743" s="4" t="s">
        <v>998</v>
      </c>
      <c r="D743" s="4" t="s">
        <v>939</v>
      </c>
      <c r="E743" t="s">
        <v>479</v>
      </c>
      <c r="F743" t="s">
        <v>256</v>
      </c>
      <c r="G743" t="s">
        <v>471</v>
      </c>
      <c r="H743">
        <v>16</v>
      </c>
      <c r="I743">
        <v>3</v>
      </c>
      <c r="J743" t="s">
        <v>40</v>
      </c>
      <c r="K743" t="s">
        <v>15</v>
      </c>
      <c r="L743" t="s">
        <v>488</v>
      </c>
      <c r="M743" t="s">
        <v>15</v>
      </c>
      <c r="N743" t="s">
        <v>15</v>
      </c>
      <c r="P743">
        <v>2.5000000000000001E-2</v>
      </c>
      <c r="Q743" t="s">
        <v>180</v>
      </c>
      <c r="R743" t="s">
        <v>187</v>
      </c>
      <c r="S743" t="s">
        <v>489</v>
      </c>
      <c r="T743">
        <v>1</v>
      </c>
      <c r="W743">
        <v>510</v>
      </c>
      <c r="X743" t="s">
        <v>184</v>
      </c>
      <c r="AA743" s="13">
        <f>Tableau8[[#This Row],[density (kg/m2) or specific weight (kg/m2)]]*Tableau8[[#This Row],[nb of item used ]]*Tableau8[[#This Row],[volume or area]]</f>
        <v>12.75</v>
      </c>
      <c r="AB743">
        <f>10-4.4</f>
        <v>5.6</v>
      </c>
      <c r="AC743">
        <f>0.31+0.41</f>
        <v>0.72</v>
      </c>
      <c r="AD743" s="11">
        <f t="shared" si="188"/>
        <v>4.4624999999999995</v>
      </c>
      <c r="AE743" s="11">
        <f>_xlfn.RANK.AVG(Tableau8[[#This Row],[EE ( MJ/m²)]],AD743:AD1898)</f>
        <v>280</v>
      </c>
      <c r="AF743" s="11">
        <f t="shared" si="189"/>
        <v>1.4874999999999998</v>
      </c>
      <c r="AG743" s="11">
        <f>(AC743-0.41)*AA743/H743</f>
        <v>0.24703125000000001</v>
      </c>
      <c r="AH743" s="11">
        <f t="shared" si="190"/>
        <v>0.57374999999999998</v>
      </c>
      <c r="AI743" s="11">
        <f>(AC743-0.41)*AA743/H743/I743</f>
        <v>8.2343750000000007E-2</v>
      </c>
      <c r="AJ743" s="11">
        <f t="shared" si="191"/>
        <v>0.19125</v>
      </c>
    </row>
    <row r="744" spans="1:36" x14ac:dyDescent="0.25">
      <c r="A744" s="4" t="s">
        <v>944</v>
      </c>
      <c r="B744" s="4" t="s">
        <v>970</v>
      </c>
      <c r="C744" s="4" t="s">
        <v>998</v>
      </c>
      <c r="D744" s="4" t="s">
        <v>939</v>
      </c>
      <c r="E744" t="s">
        <v>479</v>
      </c>
      <c r="F744" t="s">
        <v>256</v>
      </c>
      <c r="G744" t="s">
        <v>471</v>
      </c>
      <c r="H744">
        <v>16</v>
      </c>
      <c r="I744">
        <v>3</v>
      </c>
      <c r="J744" t="s">
        <v>42</v>
      </c>
      <c r="K744" t="s">
        <v>17</v>
      </c>
      <c r="L744" t="s">
        <v>475</v>
      </c>
      <c r="M744" t="s">
        <v>12</v>
      </c>
      <c r="N744" t="s">
        <v>91</v>
      </c>
      <c r="P744">
        <f>4.5*((PI()*(0.0075^2)-(PI()*(0.00735^2))))</f>
        <v>3.149053936142061E-5</v>
      </c>
      <c r="Q744" t="s">
        <v>180</v>
      </c>
      <c r="R744" t="s">
        <v>476</v>
      </c>
      <c r="T744">
        <v>5</v>
      </c>
      <c r="W744">
        <v>7800</v>
      </c>
      <c r="X744" t="s">
        <v>184</v>
      </c>
      <c r="AA744" s="13">
        <f>Tableau8[[#This Row],[density (kg/m2) or specific weight (kg/m2)]]*Tableau8[[#This Row],[nb of item used ]]*Tableau8[[#This Row],[volume or area]]</f>
        <v>1.2281310350954038</v>
      </c>
      <c r="AB744">
        <v>24.9</v>
      </c>
      <c r="AC744">
        <v>1.94</v>
      </c>
      <c r="AD744" s="11">
        <f t="shared" si="188"/>
        <v>1.911278923367222</v>
      </c>
      <c r="AE744" s="11">
        <f>_xlfn.RANK.AVG(Tableau8[[#This Row],[EE ( MJ/m²)]],AD744:AD1899)</f>
        <v>329</v>
      </c>
      <c r="AF744" s="11">
        <f t="shared" si="189"/>
        <v>0.63709297445574065</v>
      </c>
      <c r="AG744" s="11">
        <f t="shared" ref="AG744:AG750" si="192">(AC744)*AA744/H744</f>
        <v>0.14891088800531771</v>
      </c>
      <c r="AH744" s="11">
        <f t="shared" si="190"/>
        <v>0.14891088800531771</v>
      </c>
      <c r="AI744" s="11">
        <f t="shared" ref="AI744:AI750" si="193">(AC744)*AA744/H744/I744</f>
        <v>4.9636962668439234E-2</v>
      </c>
      <c r="AJ744" s="11">
        <f t="shared" si="191"/>
        <v>4.9636962668439234E-2</v>
      </c>
    </row>
    <row r="745" spans="1:36" x14ac:dyDescent="0.25">
      <c r="A745" s="4" t="s">
        <v>944</v>
      </c>
      <c r="B745" s="4" t="s">
        <v>970</v>
      </c>
      <c r="C745" s="4" t="s">
        <v>998</v>
      </c>
      <c r="D745" s="4" t="s">
        <v>939</v>
      </c>
      <c r="E745" t="s">
        <v>479</v>
      </c>
      <c r="F745" t="s">
        <v>256</v>
      </c>
      <c r="G745" t="s">
        <v>471</v>
      </c>
      <c r="H745">
        <v>16</v>
      </c>
      <c r="I745">
        <v>3</v>
      </c>
      <c r="J745" t="s">
        <v>44</v>
      </c>
      <c r="K745" t="s">
        <v>17</v>
      </c>
      <c r="L745" t="s">
        <v>478</v>
      </c>
      <c r="M745" t="s">
        <v>12</v>
      </c>
      <c r="N745" t="s">
        <v>12</v>
      </c>
      <c r="T745">
        <v>1</v>
      </c>
      <c r="W745">
        <v>7800</v>
      </c>
      <c r="X745" t="s">
        <v>184</v>
      </c>
      <c r="AA745" s="13">
        <v>4.5</v>
      </c>
      <c r="AB745">
        <v>25.3</v>
      </c>
      <c r="AC745">
        <v>1.95</v>
      </c>
      <c r="AD745" s="11">
        <f t="shared" si="188"/>
        <v>7.1156250000000005</v>
      </c>
      <c r="AE745" s="11">
        <f>_xlfn.RANK.AVG(Tableau8[[#This Row],[EE ( MJ/m²)]],AD745:AD1900)</f>
        <v>251</v>
      </c>
      <c r="AF745" s="11">
        <f t="shared" si="189"/>
        <v>2.3718750000000002</v>
      </c>
      <c r="AG745" s="11">
        <f t="shared" si="192"/>
        <v>0.54843750000000002</v>
      </c>
      <c r="AH745" s="11">
        <f t="shared" si="190"/>
        <v>0.54843750000000002</v>
      </c>
      <c r="AI745" s="11">
        <f t="shared" si="193"/>
        <v>0.18281250000000002</v>
      </c>
      <c r="AJ745" s="11">
        <f t="shared" si="191"/>
        <v>0.18281250000000002</v>
      </c>
    </row>
    <row r="746" spans="1:36" x14ac:dyDescent="0.25">
      <c r="A746" s="4" t="s">
        <v>944</v>
      </c>
      <c r="B746" s="4" t="s">
        <v>970</v>
      </c>
      <c r="C746" s="4" t="s">
        <v>998</v>
      </c>
      <c r="D746" s="4" t="s">
        <v>939</v>
      </c>
      <c r="E746" t="s">
        <v>479</v>
      </c>
      <c r="F746" t="s">
        <v>256</v>
      </c>
      <c r="G746" t="s">
        <v>471</v>
      </c>
      <c r="H746">
        <v>16</v>
      </c>
      <c r="I746">
        <v>3</v>
      </c>
      <c r="J746" t="s">
        <v>40</v>
      </c>
      <c r="K746" t="s">
        <v>17</v>
      </c>
      <c r="L746" t="s">
        <v>481</v>
      </c>
      <c r="M746" t="s">
        <v>12</v>
      </c>
      <c r="N746" t="s">
        <v>99</v>
      </c>
      <c r="P746">
        <f>4.15*PI()*(0.003^2)</f>
        <v>1.1733848561157879E-4</v>
      </c>
      <c r="Q746" t="s">
        <v>180</v>
      </c>
      <c r="R746" t="s">
        <v>482</v>
      </c>
      <c r="T746">
        <v>4</v>
      </c>
      <c r="U746" t="s">
        <v>187</v>
      </c>
      <c r="V746" t="s">
        <v>483</v>
      </c>
      <c r="W746">
        <v>7800</v>
      </c>
      <c r="X746" t="s">
        <v>184</v>
      </c>
      <c r="AA746" s="13">
        <f>Tableau8[[#This Row],[nb of item used ]]*Tableau8[[#This Row],[volume or area]]*Tableau8[[#This Row],[density (kg/m2) or specific weight (kg/m2)]]</f>
        <v>3.6609607510812583</v>
      </c>
      <c r="AB746">
        <v>21.6</v>
      </c>
      <c r="AC746">
        <v>1.86</v>
      </c>
      <c r="AD746" s="11">
        <f t="shared" si="188"/>
        <v>4.9422970139596991</v>
      </c>
      <c r="AE746" s="11">
        <f>_xlfn.RANK.AVG(Tableau8[[#This Row],[EE ( MJ/m²)]],AD746:AD1901)</f>
        <v>273</v>
      </c>
      <c r="AF746" s="11">
        <f t="shared" si="189"/>
        <v>1.6474323379865663</v>
      </c>
      <c r="AG746" s="11">
        <f t="shared" si="192"/>
        <v>0.42558668731319632</v>
      </c>
      <c r="AH746" s="11">
        <f t="shared" si="190"/>
        <v>0.42558668731319632</v>
      </c>
      <c r="AI746" s="11">
        <f t="shared" si="193"/>
        <v>0.14186222910439877</v>
      </c>
      <c r="AJ746" s="11">
        <f t="shared" si="191"/>
        <v>0.14186222910439877</v>
      </c>
    </row>
    <row r="747" spans="1:36" x14ac:dyDescent="0.25">
      <c r="A747" s="4" t="s">
        <v>944</v>
      </c>
      <c r="B747" s="4" t="s">
        <v>970</v>
      </c>
      <c r="C747" s="4" t="s">
        <v>998</v>
      </c>
      <c r="D747" s="4" t="s">
        <v>939</v>
      </c>
      <c r="E747" t="s">
        <v>479</v>
      </c>
      <c r="F747" t="s">
        <v>256</v>
      </c>
      <c r="G747" t="s">
        <v>471</v>
      </c>
      <c r="H747">
        <v>16</v>
      </c>
      <c r="I747">
        <v>3</v>
      </c>
      <c r="J747" t="s">
        <v>40</v>
      </c>
      <c r="K747" t="s">
        <v>29</v>
      </c>
      <c r="L747" t="s">
        <v>368</v>
      </c>
      <c r="M747" t="s">
        <v>364</v>
      </c>
      <c r="N747" t="s">
        <v>432</v>
      </c>
      <c r="P747">
        <f>3.48297*0.72183908</f>
        <v>2.5141438604675996</v>
      </c>
      <c r="Q747" t="s">
        <v>180</v>
      </c>
      <c r="R747" t="s">
        <v>187</v>
      </c>
      <c r="S747" t="s">
        <v>485</v>
      </c>
      <c r="T747">
        <v>1</v>
      </c>
      <c r="U747" t="s">
        <v>175</v>
      </c>
      <c r="W747">
        <v>2240</v>
      </c>
      <c r="X747" t="s">
        <v>184</v>
      </c>
      <c r="Y747" t="s">
        <v>185</v>
      </c>
      <c r="Z747" t="s">
        <v>47</v>
      </c>
      <c r="AA747" s="13">
        <f>W747*T747*P747</f>
        <v>5631.6822474474229</v>
      </c>
      <c r="AB747">
        <v>8.0999999999999996E-3</v>
      </c>
      <c r="AC747">
        <v>5.1000000000000004E-3</v>
      </c>
      <c r="AD747" s="11">
        <f t="shared" si="188"/>
        <v>2.8510391377702575</v>
      </c>
      <c r="AE747" s="11">
        <f>_xlfn.RANK.AVG(Tableau8[[#This Row],[EE ( MJ/m²)]],AD747:AD1902)</f>
        <v>302</v>
      </c>
      <c r="AF747" s="11">
        <f t="shared" si="189"/>
        <v>0.95034637925675247</v>
      </c>
      <c r="AG747" s="11">
        <f t="shared" si="192"/>
        <v>1.7950987163738661</v>
      </c>
      <c r="AH747" s="11">
        <f t="shared" si="190"/>
        <v>1.7950987163738661</v>
      </c>
      <c r="AI747" s="11">
        <f t="shared" si="193"/>
        <v>0.5983662387912887</v>
      </c>
      <c r="AJ747" s="11">
        <f t="shared" si="191"/>
        <v>0.5983662387912887</v>
      </c>
    </row>
    <row r="748" spans="1:36" x14ac:dyDescent="0.25">
      <c r="A748" s="4" t="s">
        <v>944</v>
      </c>
      <c r="B748" s="4" t="s">
        <v>970</v>
      </c>
      <c r="C748" s="4" t="s">
        <v>998</v>
      </c>
      <c r="D748" s="4" t="s">
        <v>939</v>
      </c>
      <c r="E748" t="s">
        <v>479</v>
      </c>
      <c r="F748" t="s">
        <v>256</v>
      </c>
      <c r="G748" t="s">
        <v>471</v>
      </c>
      <c r="H748">
        <v>16</v>
      </c>
      <c r="I748">
        <v>3</v>
      </c>
      <c r="J748" t="s">
        <v>40</v>
      </c>
      <c r="K748" t="s">
        <v>18</v>
      </c>
      <c r="L748" t="s">
        <v>367</v>
      </c>
      <c r="M748" t="s">
        <v>363</v>
      </c>
      <c r="N748" t="s">
        <v>431</v>
      </c>
      <c r="R748" t="s">
        <v>187</v>
      </c>
      <c r="S748" t="s">
        <v>484</v>
      </c>
      <c r="T748">
        <v>1</v>
      </c>
      <c r="W748">
        <v>1860</v>
      </c>
      <c r="X748" t="s">
        <v>184</v>
      </c>
      <c r="Z748" t="s">
        <v>397</v>
      </c>
      <c r="AA748" s="13">
        <f>852.75*0.721839</f>
        <v>615.54820725000002</v>
      </c>
      <c r="AB748">
        <v>4.51</v>
      </c>
      <c r="AC748">
        <v>0.74</v>
      </c>
      <c r="AD748" s="11">
        <f t="shared" si="188"/>
        <v>173.50765091859375</v>
      </c>
      <c r="AE748" s="11">
        <f>_xlfn.RANK.AVG(Tableau8[[#This Row],[EE ( MJ/m²)]],AD748:AD1903)</f>
        <v>33</v>
      </c>
      <c r="AF748" s="11">
        <f t="shared" si="189"/>
        <v>57.835883639531254</v>
      </c>
      <c r="AG748" s="11">
        <f t="shared" si="192"/>
        <v>28.4691045853125</v>
      </c>
      <c r="AH748" s="11">
        <f t="shared" si="190"/>
        <v>28.4691045853125</v>
      </c>
      <c r="AI748" s="11">
        <f t="shared" si="193"/>
        <v>9.4897015284375001</v>
      </c>
      <c r="AJ748" s="11">
        <f t="shared" si="191"/>
        <v>9.4897015284375001</v>
      </c>
    </row>
    <row r="749" spans="1:36" x14ac:dyDescent="0.25">
      <c r="A749" s="4" t="s">
        <v>944</v>
      </c>
      <c r="B749" s="4" t="s">
        <v>970</v>
      </c>
      <c r="C749" s="4" t="s">
        <v>998</v>
      </c>
      <c r="D749" s="4" t="s">
        <v>939</v>
      </c>
      <c r="E749" t="s">
        <v>479</v>
      </c>
      <c r="F749" t="s">
        <v>256</v>
      </c>
      <c r="G749" t="s">
        <v>471</v>
      </c>
      <c r="H749">
        <v>16</v>
      </c>
      <c r="I749">
        <v>3</v>
      </c>
      <c r="J749" t="s">
        <v>40</v>
      </c>
      <c r="K749" t="s">
        <v>386</v>
      </c>
      <c r="L749" t="s">
        <v>369</v>
      </c>
      <c r="M749" t="s">
        <v>434</v>
      </c>
      <c r="N749" t="s">
        <v>435</v>
      </c>
      <c r="P749">
        <f>0.065*0.215*0.1025</f>
        <v>1.4324374999999999E-3</v>
      </c>
      <c r="Q749" t="s">
        <v>180</v>
      </c>
      <c r="R749" t="s">
        <v>187</v>
      </c>
      <c r="S749" t="s">
        <v>486</v>
      </c>
      <c r="T749">
        <f>12.5/(0.065*0.215)*2</f>
        <v>1788.9087656529518</v>
      </c>
      <c r="U749" t="s">
        <v>175</v>
      </c>
      <c r="W749">
        <v>1920</v>
      </c>
      <c r="X749" t="s">
        <v>184</v>
      </c>
      <c r="Y749" t="s">
        <v>445</v>
      </c>
      <c r="AA749" s="13">
        <f>Tableau8[[#This Row],[density (kg/m2) or specific weight (kg/m2)]]*Tableau8[[#This Row],[nb of item used ]]*Tableau8[[#This Row],[volume or area]]</f>
        <v>4920</v>
      </c>
      <c r="AB749">
        <v>3</v>
      </c>
      <c r="AC749">
        <v>0.24</v>
      </c>
      <c r="AD749" s="11">
        <f t="shared" si="188"/>
        <v>922.5</v>
      </c>
      <c r="AE749" s="11">
        <f>_xlfn.RANK.AVG(Tableau8[[#This Row],[EE ( MJ/m²)]],AD749:AD1904)</f>
        <v>4</v>
      </c>
      <c r="AF749" s="11">
        <f t="shared" si="189"/>
        <v>307.5</v>
      </c>
      <c r="AG749" s="11">
        <f t="shared" si="192"/>
        <v>73.8</v>
      </c>
      <c r="AH749" s="11">
        <f t="shared" si="190"/>
        <v>73.8</v>
      </c>
      <c r="AI749" s="11">
        <f t="shared" si="193"/>
        <v>24.599999999999998</v>
      </c>
      <c r="AJ749" s="11">
        <f t="shared" si="191"/>
        <v>24.599999999999998</v>
      </c>
    </row>
    <row r="750" spans="1:36" x14ac:dyDescent="0.25">
      <c r="A750" s="4" t="s">
        <v>944</v>
      </c>
      <c r="B750" s="4" t="s">
        <v>970</v>
      </c>
      <c r="C750" s="4" t="s">
        <v>998</v>
      </c>
      <c r="D750" s="4" t="s">
        <v>939</v>
      </c>
      <c r="E750" t="s">
        <v>479</v>
      </c>
      <c r="F750" t="s">
        <v>256</v>
      </c>
      <c r="G750" t="s">
        <v>471</v>
      </c>
      <c r="H750">
        <v>16</v>
      </c>
      <c r="I750">
        <v>3</v>
      </c>
      <c r="J750" t="s">
        <v>42</v>
      </c>
      <c r="K750" t="s">
        <v>17</v>
      </c>
      <c r="L750" t="s">
        <v>472</v>
      </c>
      <c r="M750" t="s">
        <v>473</v>
      </c>
      <c r="N750" t="s">
        <v>469</v>
      </c>
      <c r="P750">
        <v>8.8000000000000005E-3</v>
      </c>
      <c r="Q750" t="s">
        <v>180</v>
      </c>
      <c r="T750">
        <v>1</v>
      </c>
      <c r="W750">
        <v>2700</v>
      </c>
      <c r="X750" t="s">
        <v>184</v>
      </c>
      <c r="AA750" s="13">
        <f>Tableau8[[#This Row],[density (kg/m2) or specific weight (kg/m2)]]*Tableau8[[#This Row],[nb of item used ]]*Tableau8[[#This Row],[volume or area]]</f>
        <v>23.76</v>
      </c>
      <c r="AB750">
        <v>155</v>
      </c>
      <c r="AC750">
        <v>9.16</v>
      </c>
      <c r="AD750" s="11">
        <f t="shared" si="188"/>
        <v>230.17500000000001</v>
      </c>
      <c r="AE750" s="11">
        <f>_xlfn.RANK.AVG(Tableau8[[#This Row],[EE ( MJ/m²)]],AD750:AD1905)</f>
        <v>24</v>
      </c>
      <c r="AF750" s="11">
        <f t="shared" si="189"/>
        <v>76.725000000000009</v>
      </c>
      <c r="AG750" s="11">
        <f t="shared" si="192"/>
        <v>13.602600000000001</v>
      </c>
      <c r="AH750" s="11">
        <f t="shared" si="190"/>
        <v>13.602600000000001</v>
      </c>
      <c r="AI750" s="11">
        <f t="shared" si="193"/>
        <v>4.5342000000000002</v>
      </c>
      <c r="AJ750" s="11">
        <f t="shared" si="191"/>
        <v>4.5342000000000002</v>
      </c>
    </row>
    <row r="751" spans="1:36" x14ac:dyDescent="0.25">
      <c r="A751" s="4" t="s">
        <v>944</v>
      </c>
      <c r="B751" s="4" t="s">
        <v>971</v>
      </c>
      <c r="C751" s="4" t="s">
        <v>15</v>
      </c>
      <c r="D751" s="4" t="s">
        <v>939</v>
      </c>
      <c r="E751" t="s">
        <v>523</v>
      </c>
      <c r="F751" t="s">
        <v>256</v>
      </c>
      <c r="G751" t="s">
        <v>524</v>
      </c>
      <c r="H751">
        <f t="shared" ref="H751:H758" si="194">5*3</f>
        <v>15</v>
      </c>
      <c r="I751">
        <v>2</v>
      </c>
      <c r="J751" t="s">
        <v>42</v>
      </c>
      <c r="K751" t="s">
        <v>15</v>
      </c>
      <c r="L751" t="s">
        <v>521</v>
      </c>
      <c r="M751" t="s">
        <v>15</v>
      </c>
      <c r="N751" t="s">
        <v>15</v>
      </c>
      <c r="P751">
        <v>0.28599999999999998</v>
      </c>
      <c r="Q751" t="s">
        <v>180</v>
      </c>
      <c r="R751" t="s">
        <v>187</v>
      </c>
      <c r="T751">
        <v>1</v>
      </c>
      <c r="W751">
        <v>510</v>
      </c>
      <c r="X751" t="s">
        <v>184</v>
      </c>
      <c r="AA751" s="13">
        <f>Tableau8[[#This Row],[density (kg/m2) or specific weight (kg/m2)]]*Tableau8[[#This Row],[nb of item used ]]*Tableau8[[#This Row],[volume or area]]</f>
        <v>145.85999999999999</v>
      </c>
      <c r="AB751">
        <f>10-4.4</f>
        <v>5.6</v>
      </c>
      <c r="AC751">
        <f>0.31+0.41</f>
        <v>0.72</v>
      </c>
      <c r="AD751" s="11">
        <f t="shared" si="188"/>
        <v>54.454399999999993</v>
      </c>
      <c r="AE751" s="11">
        <f>_xlfn.RANK.AVG(Tableau8[[#This Row],[EE ( MJ/m²)]],AD751:AD1906)</f>
        <v>102</v>
      </c>
      <c r="AF751" s="11">
        <f t="shared" si="189"/>
        <v>27.227199999999996</v>
      </c>
      <c r="AG751" s="11">
        <f>(AC751-0.41)*AA751/H751</f>
        <v>3.0144399999999996</v>
      </c>
      <c r="AH751" s="11">
        <f t="shared" si="190"/>
        <v>7.0012799999999986</v>
      </c>
      <c r="AI751" s="11">
        <f>(AC751-0.41)*AA751/H751/I751</f>
        <v>1.5072199999999998</v>
      </c>
      <c r="AJ751" s="11">
        <f t="shared" si="191"/>
        <v>3.5006399999999993</v>
      </c>
    </row>
    <row r="752" spans="1:36" x14ac:dyDescent="0.25">
      <c r="A752" s="4" t="s">
        <v>944</v>
      </c>
      <c r="B752" s="4" t="s">
        <v>971</v>
      </c>
      <c r="C752" s="4" t="s">
        <v>15</v>
      </c>
      <c r="D752" s="4" t="s">
        <v>939</v>
      </c>
      <c r="E752" t="s">
        <v>523</v>
      </c>
      <c r="F752" t="s">
        <v>256</v>
      </c>
      <c r="G752" t="s">
        <v>524</v>
      </c>
      <c r="H752">
        <f t="shared" si="194"/>
        <v>15</v>
      </c>
      <c r="I752">
        <v>2</v>
      </c>
      <c r="J752" t="s">
        <v>42</v>
      </c>
      <c r="K752" t="s">
        <v>14</v>
      </c>
      <c r="L752" t="s">
        <v>525</v>
      </c>
      <c r="M752" t="s">
        <v>32</v>
      </c>
      <c r="N752" t="s">
        <v>35</v>
      </c>
      <c r="P752">
        <v>48</v>
      </c>
      <c r="Q752" t="s">
        <v>179</v>
      </c>
      <c r="R752" t="s">
        <v>187</v>
      </c>
      <c r="T752">
        <v>1</v>
      </c>
      <c r="W752">
        <v>0.18</v>
      </c>
      <c r="X752" t="s">
        <v>183</v>
      </c>
      <c r="AA752" s="13">
        <f>Tableau8[[#This Row],[nb of item used ]]*Tableau8[[#This Row],[density (kg/m2) or specific weight (kg/m2)]]*Tableau8[[#This Row],[volume or area]]</f>
        <v>8.64</v>
      </c>
      <c r="AB752">
        <v>54.3</v>
      </c>
      <c r="AC752">
        <v>1.93</v>
      </c>
      <c r="AD752" s="11">
        <f t="shared" si="188"/>
        <v>31.276799999999998</v>
      </c>
      <c r="AE752" s="11">
        <f>_xlfn.RANK.AVG(Tableau8[[#This Row],[EE ( MJ/m²)]],AD752:AD1907)</f>
        <v>132</v>
      </c>
      <c r="AF752" s="11">
        <f t="shared" si="189"/>
        <v>15.638399999999999</v>
      </c>
      <c r="AG752" s="11">
        <f t="shared" ref="AG752:AG758" si="195">(AC752)*AA752/H752</f>
        <v>1.11168</v>
      </c>
      <c r="AH752" s="11">
        <f t="shared" si="190"/>
        <v>1.11168</v>
      </c>
      <c r="AI752" s="11">
        <f t="shared" ref="AI752:AI758" si="196">(AC752)*AA752/H752/I752</f>
        <v>0.55584</v>
      </c>
      <c r="AJ752" s="11">
        <f t="shared" si="191"/>
        <v>0.55584</v>
      </c>
    </row>
    <row r="753" spans="1:36" x14ac:dyDescent="0.25">
      <c r="A753" s="4" t="s">
        <v>944</v>
      </c>
      <c r="B753" s="4" t="s">
        <v>971</v>
      </c>
      <c r="C753" s="4" t="s">
        <v>15</v>
      </c>
      <c r="D753" s="4" t="s">
        <v>939</v>
      </c>
      <c r="E753" t="s">
        <v>523</v>
      </c>
      <c r="F753" t="s">
        <v>256</v>
      </c>
      <c r="G753" t="s">
        <v>524</v>
      </c>
      <c r="H753">
        <f t="shared" si="194"/>
        <v>15</v>
      </c>
      <c r="I753">
        <v>2</v>
      </c>
      <c r="J753" t="s">
        <v>44</v>
      </c>
      <c r="K753" t="s">
        <v>17</v>
      </c>
      <c r="L753" t="s">
        <v>478</v>
      </c>
      <c r="M753" t="s">
        <v>12</v>
      </c>
      <c r="N753" t="s">
        <v>12</v>
      </c>
      <c r="T753">
        <v>1</v>
      </c>
      <c r="W753">
        <v>7800</v>
      </c>
      <c r="X753" t="s">
        <v>184</v>
      </c>
      <c r="AA753" s="13">
        <v>12.5</v>
      </c>
      <c r="AB753">
        <v>25.3</v>
      </c>
      <c r="AC753">
        <v>1.95</v>
      </c>
      <c r="AD753" s="11">
        <f t="shared" si="188"/>
        <v>21.083333333333332</v>
      </c>
      <c r="AE753" s="11">
        <f>_xlfn.RANK.AVG(Tableau8[[#This Row],[EE ( MJ/m²)]],AD753:AD1908)</f>
        <v>163.5</v>
      </c>
      <c r="AF753" s="11">
        <f t="shared" si="189"/>
        <v>10.541666666666666</v>
      </c>
      <c r="AG753" s="11">
        <f t="shared" si="195"/>
        <v>1.625</v>
      </c>
      <c r="AH753" s="11">
        <f t="shared" si="190"/>
        <v>1.625</v>
      </c>
      <c r="AI753" s="11">
        <f t="shared" si="196"/>
        <v>0.8125</v>
      </c>
      <c r="AJ753" s="11">
        <f t="shared" si="191"/>
        <v>0.8125</v>
      </c>
    </row>
    <row r="754" spans="1:36" x14ac:dyDescent="0.25">
      <c r="A754" s="4" t="s">
        <v>944</v>
      </c>
      <c r="B754" s="4" t="s">
        <v>971</v>
      </c>
      <c r="C754" s="4" t="s">
        <v>15</v>
      </c>
      <c r="D754" s="4" t="s">
        <v>939</v>
      </c>
      <c r="E754" t="s">
        <v>523</v>
      </c>
      <c r="F754" t="s">
        <v>256</v>
      </c>
      <c r="G754" t="s">
        <v>524</v>
      </c>
      <c r="H754">
        <f t="shared" si="194"/>
        <v>15</v>
      </c>
      <c r="I754">
        <v>2</v>
      </c>
      <c r="J754" t="s">
        <v>13</v>
      </c>
      <c r="K754" t="s">
        <v>29</v>
      </c>
      <c r="L754" s="16" t="s">
        <v>496</v>
      </c>
      <c r="M754" t="s">
        <v>364</v>
      </c>
      <c r="N754" t="s">
        <v>432</v>
      </c>
      <c r="T754">
        <v>1</v>
      </c>
      <c r="W754">
        <v>2240</v>
      </c>
      <c r="X754" t="s">
        <v>184</v>
      </c>
      <c r="AA754" s="13">
        <v>66.665999999999997</v>
      </c>
      <c r="AB754">
        <v>8.0999999999999996E-3</v>
      </c>
      <c r="AC754">
        <v>5.1000000000000004E-3</v>
      </c>
      <c r="AD754" s="11">
        <f t="shared" si="188"/>
        <v>3.5999639999999999E-2</v>
      </c>
      <c r="AE754" s="11">
        <f>_xlfn.RANK.AVG(Tableau8[[#This Row],[EE ( MJ/m²)]],AD754:AD1909)</f>
        <v>397</v>
      </c>
      <c r="AF754" s="11">
        <f t="shared" si="189"/>
        <v>1.799982E-2</v>
      </c>
      <c r="AG754" s="11">
        <f t="shared" si="195"/>
        <v>2.266644E-2</v>
      </c>
      <c r="AH754" s="11">
        <f t="shared" si="190"/>
        <v>2.266644E-2</v>
      </c>
      <c r="AI754" s="11">
        <f t="shared" si="196"/>
        <v>1.133322E-2</v>
      </c>
      <c r="AJ754" s="11">
        <f t="shared" si="191"/>
        <v>1.133322E-2</v>
      </c>
    </row>
    <row r="755" spans="1:36" x14ac:dyDescent="0.25">
      <c r="A755" s="4" t="s">
        <v>944</v>
      </c>
      <c r="B755" s="4" t="s">
        <v>971</v>
      </c>
      <c r="C755" s="4" t="s">
        <v>15</v>
      </c>
      <c r="D755" s="4" t="s">
        <v>939</v>
      </c>
      <c r="E755" t="s">
        <v>523</v>
      </c>
      <c r="F755" t="s">
        <v>256</v>
      </c>
      <c r="G755" t="s">
        <v>524</v>
      </c>
      <c r="H755">
        <f t="shared" si="194"/>
        <v>15</v>
      </c>
      <c r="I755">
        <v>2</v>
      </c>
      <c r="J755" t="s">
        <v>44</v>
      </c>
      <c r="K755" t="s">
        <v>17</v>
      </c>
      <c r="L755" t="s">
        <v>530</v>
      </c>
      <c r="M755" t="s">
        <v>531</v>
      </c>
      <c r="N755" t="s">
        <v>79</v>
      </c>
      <c r="P755">
        <f>18*0.3</f>
        <v>5.3999999999999995</v>
      </c>
      <c r="Q755" t="s">
        <v>179</v>
      </c>
      <c r="R755" t="s">
        <v>187</v>
      </c>
      <c r="T755">
        <v>1</v>
      </c>
      <c r="W755" s="15">
        <v>3.7999999999999999E-2</v>
      </c>
      <c r="X755" t="s">
        <v>183</v>
      </c>
      <c r="AA755" s="13">
        <f>Tableau8[[#This Row],[density (kg/m2) or specific weight (kg/m2)]]*Tableau8[[#This Row],[nb of item used ]]*Tableau8[[#This Row],[volume or area]]</f>
        <v>0.20519999999999997</v>
      </c>
      <c r="AB755">
        <v>54.4</v>
      </c>
      <c r="AC755">
        <v>2.54</v>
      </c>
      <c r="AD755" s="11">
        <f t="shared" si="188"/>
        <v>0.74419199999999985</v>
      </c>
      <c r="AE755" s="11">
        <f>_xlfn.RANK.AVG(Tableau8[[#This Row],[EE ( MJ/m²)]],AD755:AD1910)</f>
        <v>360</v>
      </c>
      <c r="AF755" s="11">
        <f t="shared" si="189"/>
        <v>0.37209599999999993</v>
      </c>
      <c r="AG755" s="11">
        <f t="shared" si="195"/>
        <v>3.4747199999999992E-2</v>
      </c>
      <c r="AH755" s="11">
        <f t="shared" si="190"/>
        <v>3.4747199999999992E-2</v>
      </c>
      <c r="AI755" s="11">
        <f t="shared" si="196"/>
        <v>1.7373599999999996E-2</v>
      </c>
      <c r="AJ755" s="11">
        <f t="shared" si="191"/>
        <v>1.7373599999999996E-2</v>
      </c>
    </row>
    <row r="756" spans="1:36" x14ac:dyDescent="0.25">
      <c r="A756" s="4" t="s">
        <v>944</v>
      </c>
      <c r="B756" s="4" t="s">
        <v>971</v>
      </c>
      <c r="C756" s="4" t="s">
        <v>15</v>
      </c>
      <c r="D756" s="4" t="s">
        <v>939</v>
      </c>
      <c r="E756" t="s">
        <v>523</v>
      </c>
      <c r="F756" t="s">
        <v>256</v>
      </c>
      <c r="G756" t="s">
        <v>524</v>
      </c>
      <c r="H756">
        <f t="shared" si="194"/>
        <v>15</v>
      </c>
      <c r="I756">
        <v>2</v>
      </c>
      <c r="J756" t="s">
        <v>13</v>
      </c>
      <c r="K756" t="s">
        <v>18</v>
      </c>
      <c r="L756" t="s">
        <v>526</v>
      </c>
      <c r="M756" t="s">
        <v>414</v>
      </c>
      <c r="N756" t="s">
        <v>414</v>
      </c>
      <c r="P756">
        <v>0.54</v>
      </c>
      <c r="Q756" t="s">
        <v>180</v>
      </c>
      <c r="R756" t="s">
        <v>187</v>
      </c>
      <c r="T756">
        <v>1</v>
      </c>
      <c r="W756">
        <v>2400</v>
      </c>
      <c r="X756" t="s">
        <v>184</v>
      </c>
      <c r="AA756" s="13">
        <f>Tableau8[[#This Row],[density (kg/m2) or specific weight (kg/m2)]]*Tableau8[[#This Row],[nb of item used ]]*Tableau8[[#This Row],[volume or area]]</f>
        <v>1296</v>
      </c>
      <c r="AB756">
        <v>0.72</v>
      </c>
      <c r="AC756">
        <v>0.88</v>
      </c>
      <c r="AD756" s="11">
        <f t="shared" si="188"/>
        <v>62.207999999999998</v>
      </c>
      <c r="AE756" s="11">
        <f>_xlfn.RANK.AVG(Tableau8[[#This Row],[EE ( MJ/m²)]],AD756:AD1911)</f>
        <v>94</v>
      </c>
      <c r="AF756" s="11">
        <f t="shared" si="189"/>
        <v>31.103999999999999</v>
      </c>
      <c r="AG756" s="11">
        <f t="shared" si="195"/>
        <v>76.031999999999996</v>
      </c>
      <c r="AH756" s="11">
        <f t="shared" si="190"/>
        <v>76.031999999999996</v>
      </c>
      <c r="AI756" s="11">
        <f t="shared" si="196"/>
        <v>38.015999999999998</v>
      </c>
      <c r="AJ756" s="11">
        <f t="shared" si="191"/>
        <v>38.015999999999998</v>
      </c>
    </row>
    <row r="757" spans="1:36" x14ac:dyDescent="0.25">
      <c r="A757" s="4" t="s">
        <v>944</v>
      </c>
      <c r="B757" s="4" t="s">
        <v>971</v>
      </c>
      <c r="C757" s="4" t="s">
        <v>15</v>
      </c>
      <c r="D757" s="4" t="s">
        <v>939</v>
      </c>
      <c r="E757" t="s">
        <v>523</v>
      </c>
      <c r="F757" t="s">
        <v>256</v>
      </c>
      <c r="G757" t="s">
        <v>524</v>
      </c>
      <c r="H757">
        <f t="shared" si="194"/>
        <v>15</v>
      </c>
      <c r="I757">
        <v>2</v>
      </c>
      <c r="J757" t="s">
        <v>13</v>
      </c>
      <c r="K757" t="s">
        <v>18</v>
      </c>
      <c r="L757" t="s">
        <v>502</v>
      </c>
      <c r="M757" t="s">
        <v>363</v>
      </c>
      <c r="N757" t="s">
        <v>431</v>
      </c>
      <c r="T757">
        <v>1</v>
      </c>
      <c r="W757">
        <v>1860</v>
      </c>
      <c r="X757" t="s">
        <v>184</v>
      </c>
      <c r="AA757" s="13">
        <v>33.332999999999998</v>
      </c>
      <c r="AB757">
        <v>4.51</v>
      </c>
      <c r="AC757">
        <v>0.74</v>
      </c>
      <c r="AD757" s="11">
        <f t="shared" si="188"/>
        <v>10.022122</v>
      </c>
      <c r="AE757" s="11">
        <f>_xlfn.RANK.AVG(Tableau8[[#This Row],[EE ( MJ/m²)]],AD757:AD1912)</f>
        <v>219</v>
      </c>
      <c r="AF757" s="11">
        <f>AB770*AA757/H757/I757</f>
        <v>5.0110609999999998</v>
      </c>
      <c r="AG757" s="11">
        <f t="shared" si="195"/>
        <v>1.644428</v>
      </c>
      <c r="AH757" s="11">
        <f t="shared" si="190"/>
        <v>1.644428</v>
      </c>
      <c r="AI757" s="11">
        <f t="shared" si="196"/>
        <v>0.822214</v>
      </c>
      <c r="AJ757" s="11">
        <f>AC770*AA757/H757/I757</f>
        <v>0.822214</v>
      </c>
    </row>
    <row r="758" spans="1:36" x14ac:dyDescent="0.25">
      <c r="A758" s="4" t="s">
        <v>944</v>
      </c>
      <c r="B758" s="4" t="s">
        <v>971</v>
      </c>
      <c r="C758" s="4" t="s">
        <v>15</v>
      </c>
      <c r="D758" s="4" t="s">
        <v>939</v>
      </c>
      <c r="E758" t="s">
        <v>523</v>
      </c>
      <c r="F758" t="s">
        <v>256</v>
      </c>
      <c r="G758" t="s">
        <v>524</v>
      </c>
      <c r="H758">
        <f t="shared" si="194"/>
        <v>15</v>
      </c>
      <c r="I758">
        <v>2</v>
      </c>
      <c r="J758" t="s">
        <v>56</v>
      </c>
      <c r="K758" t="s">
        <v>17</v>
      </c>
      <c r="L758" t="s">
        <v>528</v>
      </c>
      <c r="M758" t="s">
        <v>527</v>
      </c>
      <c r="N758" t="s">
        <v>469</v>
      </c>
      <c r="P758">
        <v>1.11E-2</v>
      </c>
      <c r="Q758" t="s">
        <v>180</v>
      </c>
      <c r="R758" t="s">
        <v>187</v>
      </c>
      <c r="S758" t="s">
        <v>529</v>
      </c>
      <c r="T758">
        <v>1</v>
      </c>
      <c r="W758">
        <v>2700</v>
      </c>
      <c r="X758" t="s">
        <v>184</v>
      </c>
      <c r="AA758" s="13">
        <f>Tableau8[[#This Row],[density (kg/m2) or specific weight (kg/m2)]]*Tableau8[[#This Row],[nb of item used ]]*Tableau8[[#This Row],[volume or area]]</f>
        <v>29.970000000000002</v>
      </c>
      <c r="AB758">
        <v>155</v>
      </c>
      <c r="AC758">
        <v>9.16</v>
      </c>
      <c r="AD758" s="11">
        <f t="shared" si="188"/>
        <v>309.69</v>
      </c>
      <c r="AE758" s="11">
        <f>_xlfn.RANK.AVG(Tableau8[[#This Row],[EE ( MJ/m²)]],AD758:AD1913)</f>
        <v>20</v>
      </c>
      <c r="AF758" s="11">
        <f t="shared" ref="AF758:AF770" si="197">AB758*AA758/H758/I758</f>
        <v>154.845</v>
      </c>
      <c r="AG758" s="11">
        <f t="shared" si="195"/>
        <v>18.301680000000001</v>
      </c>
      <c r="AH758" s="11">
        <f t="shared" si="190"/>
        <v>18.301680000000001</v>
      </c>
      <c r="AI758" s="11">
        <f t="shared" si="196"/>
        <v>9.1508400000000005</v>
      </c>
      <c r="AJ758" s="11">
        <f t="shared" ref="AJ758:AJ770" si="198">AC758*AA758/H758/I758</f>
        <v>9.1508400000000005</v>
      </c>
    </row>
    <row r="759" spans="1:36" x14ac:dyDescent="0.25">
      <c r="A759" s="4" t="s">
        <v>944</v>
      </c>
      <c r="B759" s="4" t="s">
        <v>972</v>
      </c>
      <c r="C759" s="4" t="s">
        <v>15</v>
      </c>
      <c r="D759" s="4" t="s">
        <v>939</v>
      </c>
      <c r="E759" t="s">
        <v>491</v>
      </c>
      <c r="F759" t="s">
        <v>256</v>
      </c>
      <c r="G759" t="s">
        <v>490</v>
      </c>
      <c r="H759">
        <v>16</v>
      </c>
      <c r="I759">
        <v>2</v>
      </c>
      <c r="J759" t="s">
        <v>42</v>
      </c>
      <c r="K759" t="s">
        <v>15</v>
      </c>
      <c r="L759" t="s">
        <v>456</v>
      </c>
      <c r="M759" t="s">
        <v>15</v>
      </c>
      <c r="N759" t="s">
        <v>15</v>
      </c>
      <c r="P759">
        <v>0.81</v>
      </c>
      <c r="Q759" t="s">
        <v>180</v>
      </c>
      <c r="R759" t="s">
        <v>187</v>
      </c>
      <c r="S759" t="s">
        <v>505</v>
      </c>
      <c r="T759">
        <v>1</v>
      </c>
      <c r="W759">
        <v>510</v>
      </c>
      <c r="X759" t="s">
        <v>184</v>
      </c>
      <c r="AA759" s="13">
        <f>Tableau8[[#This Row],[density (kg/m2) or specific weight (kg/m2)]]*Tableau8[[#This Row],[nb of item used ]]*Tableau8[[#This Row],[volume or area]]</f>
        <v>413.1</v>
      </c>
      <c r="AB759">
        <f>10-4.4</f>
        <v>5.6</v>
      </c>
      <c r="AC759">
        <f>0.31+0.41</f>
        <v>0.72</v>
      </c>
      <c r="AD759" s="11">
        <f t="shared" si="188"/>
        <v>144.58500000000001</v>
      </c>
      <c r="AE759" s="11">
        <f>_xlfn.RANK.AVG(Tableau8[[#This Row],[EE ( MJ/m²)]],AD759:AD1914)</f>
        <v>40</v>
      </c>
      <c r="AF759" s="11">
        <f t="shared" si="197"/>
        <v>72.292500000000004</v>
      </c>
      <c r="AG759" s="11">
        <f>(AC759-0.41)*AA759/H759</f>
        <v>8.0038125000000004</v>
      </c>
      <c r="AH759" s="11">
        <f t="shared" si="190"/>
        <v>18.589500000000001</v>
      </c>
      <c r="AI759" s="11">
        <f>(AC759-0.41)*AA759/H759/I759</f>
        <v>4.0019062500000002</v>
      </c>
      <c r="AJ759" s="11">
        <f t="shared" si="198"/>
        <v>9.2947500000000005</v>
      </c>
    </row>
    <row r="760" spans="1:36" x14ac:dyDescent="0.25">
      <c r="A760" s="4" t="s">
        <v>944</v>
      </c>
      <c r="B760" s="4" t="s">
        <v>972</v>
      </c>
      <c r="C760" s="4" t="s">
        <v>15</v>
      </c>
      <c r="D760" s="4" t="s">
        <v>939</v>
      </c>
      <c r="E760" t="s">
        <v>491</v>
      </c>
      <c r="F760" t="s">
        <v>256</v>
      </c>
      <c r="G760" t="s">
        <v>490</v>
      </c>
      <c r="H760">
        <v>16</v>
      </c>
      <c r="I760">
        <v>2</v>
      </c>
      <c r="J760" t="s">
        <v>42</v>
      </c>
      <c r="K760" t="s">
        <v>15</v>
      </c>
      <c r="L760" t="s">
        <v>506</v>
      </c>
      <c r="M760" t="s">
        <v>15</v>
      </c>
      <c r="N760" t="s">
        <v>15</v>
      </c>
      <c r="P760">
        <v>3.2000000000000001E-2</v>
      </c>
      <c r="Q760" t="s">
        <v>180</v>
      </c>
      <c r="R760" t="s">
        <v>187</v>
      </c>
      <c r="S760" t="s">
        <v>505</v>
      </c>
      <c r="T760">
        <v>1</v>
      </c>
      <c r="W760">
        <v>510</v>
      </c>
      <c r="X760" t="s">
        <v>184</v>
      </c>
      <c r="AA760" s="13">
        <f>Tableau8[[#This Row],[density (kg/m2) or specific weight (kg/m2)]]*Tableau8[[#This Row],[nb of item used ]]*Tableau8[[#This Row],[volume or area]]</f>
        <v>16.32</v>
      </c>
      <c r="AB760">
        <f>10-4.4</f>
        <v>5.6</v>
      </c>
      <c r="AC760">
        <f>0.31+0.41</f>
        <v>0.72</v>
      </c>
      <c r="AD760" s="11">
        <f t="shared" si="188"/>
        <v>5.7119999999999997</v>
      </c>
      <c r="AE760" s="11">
        <f>_xlfn.RANK.AVG(Tableau8[[#This Row],[EE ( MJ/m²)]],AD760:AD1915)</f>
        <v>254</v>
      </c>
      <c r="AF760" s="11">
        <f t="shared" si="197"/>
        <v>2.8559999999999999</v>
      </c>
      <c r="AG760" s="11">
        <f>(AC760-0.41)*AA760/H760</f>
        <v>0.31619999999999998</v>
      </c>
      <c r="AH760" s="11">
        <f t="shared" si="190"/>
        <v>0.73439999999999994</v>
      </c>
      <c r="AI760" s="11">
        <f>(AC760-0.41)*AA760/H760/I760</f>
        <v>0.15809999999999999</v>
      </c>
      <c r="AJ760" s="11">
        <f t="shared" si="198"/>
        <v>0.36719999999999997</v>
      </c>
    </row>
    <row r="761" spans="1:36" s="20" customFormat="1" x14ac:dyDescent="0.25">
      <c r="A761" s="4" t="s">
        <v>944</v>
      </c>
      <c r="B761" s="4" t="s">
        <v>972</v>
      </c>
      <c r="C761" s="4" t="s">
        <v>15</v>
      </c>
      <c r="D761" s="4" t="s">
        <v>939</v>
      </c>
      <c r="E761" t="s">
        <v>491</v>
      </c>
      <c r="F761" t="s">
        <v>256</v>
      </c>
      <c r="G761" t="s">
        <v>490</v>
      </c>
      <c r="H761">
        <v>16</v>
      </c>
      <c r="I761">
        <v>2</v>
      </c>
      <c r="J761" t="s">
        <v>42</v>
      </c>
      <c r="K761" t="s">
        <v>15</v>
      </c>
      <c r="L761" t="s">
        <v>508</v>
      </c>
      <c r="M761" t="s">
        <v>15</v>
      </c>
      <c r="N761" t="s">
        <v>15</v>
      </c>
      <c r="O761"/>
      <c r="P761">
        <v>0.01</v>
      </c>
      <c r="Q761" t="s">
        <v>180</v>
      </c>
      <c r="R761" t="s">
        <v>187</v>
      </c>
      <c r="S761" t="s">
        <v>505</v>
      </c>
      <c r="T761">
        <v>1</v>
      </c>
      <c r="U761"/>
      <c r="V761"/>
      <c r="W761">
        <v>510</v>
      </c>
      <c r="X761" t="s">
        <v>184</v>
      </c>
      <c r="Y761"/>
      <c r="Z761"/>
      <c r="AA761" s="13">
        <f>Tableau8[[#This Row],[density (kg/m2) or specific weight (kg/m2)]]*Tableau8[[#This Row],[nb of item used ]]*Tableau8[[#This Row],[volume or area]]</f>
        <v>5.1000000000000005</v>
      </c>
      <c r="AB761">
        <f>10-4.4</f>
        <v>5.6</v>
      </c>
      <c r="AC761">
        <f>0.31+0.41</f>
        <v>0.72</v>
      </c>
      <c r="AD761" s="11">
        <f t="shared" si="188"/>
        <v>1.7850000000000001</v>
      </c>
      <c r="AE761" s="11">
        <f>_xlfn.RANK.AVG(Tableau8[[#This Row],[EE ( MJ/m²)]],AD761:AD1916)</f>
        <v>319</v>
      </c>
      <c r="AF761" s="11">
        <f t="shared" si="197"/>
        <v>0.89250000000000007</v>
      </c>
      <c r="AG761" s="11">
        <f>(AC761-0.41)*AA761/H761</f>
        <v>9.8812500000000011E-2</v>
      </c>
      <c r="AH761" s="11">
        <f t="shared" si="190"/>
        <v>0.22950000000000001</v>
      </c>
      <c r="AI761" s="11">
        <f>(AC761-0.41)*AA761/H761/I761</f>
        <v>4.9406250000000006E-2</v>
      </c>
      <c r="AJ761" s="11">
        <f t="shared" si="198"/>
        <v>0.11475</v>
      </c>
    </row>
    <row r="762" spans="1:36" s="20" customFormat="1" x14ac:dyDescent="0.25">
      <c r="A762" s="4" t="s">
        <v>944</v>
      </c>
      <c r="B762" s="4" t="s">
        <v>972</v>
      </c>
      <c r="C762" s="4" t="s">
        <v>15</v>
      </c>
      <c r="D762" s="4" t="s">
        <v>939</v>
      </c>
      <c r="E762" t="s">
        <v>491</v>
      </c>
      <c r="F762" t="s">
        <v>256</v>
      </c>
      <c r="G762" t="s">
        <v>490</v>
      </c>
      <c r="H762">
        <v>16</v>
      </c>
      <c r="I762">
        <v>2</v>
      </c>
      <c r="J762" t="s">
        <v>56</v>
      </c>
      <c r="K762" t="s">
        <v>15</v>
      </c>
      <c r="L762" t="s">
        <v>459</v>
      </c>
      <c r="M762" t="s">
        <v>15</v>
      </c>
      <c r="N762" t="s">
        <v>15</v>
      </c>
      <c r="O762"/>
      <c r="P762">
        <v>0.02</v>
      </c>
      <c r="Q762" t="s">
        <v>180</v>
      </c>
      <c r="R762" t="s">
        <v>187</v>
      </c>
      <c r="S762" t="s">
        <v>505</v>
      </c>
      <c r="T762">
        <v>1</v>
      </c>
      <c r="U762"/>
      <c r="V762"/>
      <c r="W762">
        <v>510</v>
      </c>
      <c r="X762" t="s">
        <v>184</v>
      </c>
      <c r="Y762"/>
      <c r="Z762"/>
      <c r="AA762" s="13">
        <f>Tableau8[[#This Row],[density (kg/m2) or specific weight (kg/m2)]]*Tableau8[[#This Row],[nb of item used ]]*Tableau8[[#This Row],[volume or area]]</f>
        <v>10.200000000000001</v>
      </c>
      <c r="AB762">
        <f>10-4.4</f>
        <v>5.6</v>
      </c>
      <c r="AC762">
        <f>0.31+0.41</f>
        <v>0.72</v>
      </c>
      <c r="AD762" s="11">
        <f t="shared" si="188"/>
        <v>3.5700000000000003</v>
      </c>
      <c r="AE762" s="11">
        <f>_xlfn.RANK.AVG(Tableau8[[#This Row],[EE ( MJ/m²)]],AD762:AD1917)</f>
        <v>275</v>
      </c>
      <c r="AF762" s="11">
        <f t="shared" si="197"/>
        <v>1.7850000000000001</v>
      </c>
      <c r="AG762" s="11">
        <f>(AC762-0.41)*AA762/H762</f>
        <v>0.19762500000000002</v>
      </c>
      <c r="AH762" s="11">
        <f t="shared" si="190"/>
        <v>0.45900000000000002</v>
      </c>
      <c r="AI762" s="11">
        <f>(AC762-0.41)*AA762/H762/I762</f>
        <v>9.8812500000000011E-2</v>
      </c>
      <c r="AJ762" s="11">
        <f t="shared" si="198"/>
        <v>0.22950000000000001</v>
      </c>
    </row>
    <row r="763" spans="1:36" x14ac:dyDescent="0.25">
      <c r="A763" s="4" t="s">
        <v>944</v>
      </c>
      <c r="B763" s="4" t="s">
        <v>972</v>
      </c>
      <c r="C763" s="4" t="s">
        <v>15</v>
      </c>
      <c r="D763" s="4" t="s">
        <v>939</v>
      </c>
      <c r="E763" t="s">
        <v>491</v>
      </c>
      <c r="F763" t="s">
        <v>256</v>
      </c>
      <c r="G763" t="s">
        <v>490</v>
      </c>
      <c r="H763">
        <v>16</v>
      </c>
      <c r="I763">
        <v>2</v>
      </c>
      <c r="J763" t="s">
        <v>56</v>
      </c>
      <c r="K763" t="s">
        <v>15</v>
      </c>
      <c r="L763" t="s">
        <v>460</v>
      </c>
      <c r="M763" t="s">
        <v>15</v>
      </c>
      <c r="N763" t="s">
        <v>15</v>
      </c>
      <c r="P763">
        <v>0.09</v>
      </c>
      <c r="Q763" t="s">
        <v>180</v>
      </c>
      <c r="R763" t="s">
        <v>187</v>
      </c>
      <c r="S763" t="s">
        <v>505</v>
      </c>
      <c r="T763">
        <v>1</v>
      </c>
      <c r="W763">
        <v>510</v>
      </c>
      <c r="X763" t="s">
        <v>184</v>
      </c>
      <c r="AA763" s="13">
        <f>Tableau8[[#This Row],[density (kg/m2) or specific weight (kg/m2)]]*Tableau8[[#This Row],[nb of item used ]]*Tableau8[[#This Row],[volume or area]]</f>
        <v>45.9</v>
      </c>
      <c r="AB763">
        <f>10-4.4</f>
        <v>5.6</v>
      </c>
      <c r="AC763">
        <f>0.31+0.41</f>
        <v>0.72</v>
      </c>
      <c r="AD763" s="11">
        <f t="shared" si="188"/>
        <v>16.064999999999998</v>
      </c>
      <c r="AE763" s="11">
        <f>_xlfn.RANK.AVG(Tableau8[[#This Row],[EE ( MJ/m²)]],AD763:AD1918)</f>
        <v>180</v>
      </c>
      <c r="AF763" s="11">
        <f t="shared" si="197"/>
        <v>8.0324999999999989</v>
      </c>
      <c r="AG763" s="11">
        <f>(AC763-0.41)*AA763/H763</f>
        <v>0.88931249999999995</v>
      </c>
      <c r="AH763" s="11">
        <f t="shared" si="190"/>
        <v>2.0654999999999997</v>
      </c>
      <c r="AI763" s="11">
        <f>(AC763-0.41)*AA763/H763/I763</f>
        <v>0.44465624999999998</v>
      </c>
      <c r="AJ763" s="11">
        <f t="shared" si="198"/>
        <v>1.0327499999999998</v>
      </c>
    </row>
    <row r="764" spans="1:36" x14ac:dyDescent="0.25">
      <c r="A764" s="4" t="s">
        <v>944</v>
      </c>
      <c r="B764" s="4" t="s">
        <v>972</v>
      </c>
      <c r="C764" s="4" t="s">
        <v>15</v>
      </c>
      <c r="D764" s="4" t="s">
        <v>939</v>
      </c>
      <c r="E764" t="s">
        <v>491</v>
      </c>
      <c r="F764" t="s">
        <v>256</v>
      </c>
      <c r="G764" t="s">
        <v>490</v>
      </c>
      <c r="H764">
        <v>16</v>
      </c>
      <c r="I764">
        <v>2</v>
      </c>
      <c r="J764" t="s">
        <v>44</v>
      </c>
      <c r="K764" t="s">
        <v>17</v>
      </c>
      <c r="L764" t="s">
        <v>510</v>
      </c>
      <c r="M764" t="s">
        <v>12</v>
      </c>
      <c r="N764" t="s">
        <v>12</v>
      </c>
      <c r="Q764" t="s">
        <v>180</v>
      </c>
      <c r="R764" t="s">
        <v>187</v>
      </c>
      <c r="S764" t="s">
        <v>505</v>
      </c>
      <c r="T764">
        <v>1</v>
      </c>
      <c r="W764">
        <v>7800</v>
      </c>
      <c r="X764" t="s">
        <v>184</v>
      </c>
      <c r="AA764" s="13">
        <v>21.5</v>
      </c>
      <c r="AB764">
        <v>25.3</v>
      </c>
      <c r="AC764">
        <v>1.95</v>
      </c>
      <c r="AD764" s="11">
        <f t="shared" si="188"/>
        <v>33.996875000000003</v>
      </c>
      <c r="AE764" s="11">
        <f>_xlfn.RANK.AVG(Tableau8[[#This Row],[EE ( MJ/m²)]],AD764:AD1919)</f>
        <v>122</v>
      </c>
      <c r="AF764" s="11">
        <f t="shared" si="197"/>
        <v>16.998437500000001</v>
      </c>
      <c r="AG764" s="11">
        <f t="shared" ref="AG764:AG770" si="199">(AC764)*AA764/H764</f>
        <v>2.6203124999999998</v>
      </c>
      <c r="AH764" s="11">
        <f t="shared" si="190"/>
        <v>2.6203124999999998</v>
      </c>
      <c r="AI764" s="11">
        <f t="shared" ref="AI764:AI770" si="200">(AC764)*AA764/H764/I764</f>
        <v>1.3101562499999999</v>
      </c>
      <c r="AJ764" s="11">
        <f t="shared" si="198"/>
        <v>1.3101562499999999</v>
      </c>
    </row>
    <row r="765" spans="1:36" x14ac:dyDescent="0.25">
      <c r="A765" s="4" t="s">
        <v>944</v>
      </c>
      <c r="B765" s="4" t="s">
        <v>972</v>
      </c>
      <c r="C765" s="4" t="s">
        <v>15</v>
      </c>
      <c r="D765" s="4" t="s">
        <v>939</v>
      </c>
      <c r="E765" t="s">
        <v>491</v>
      </c>
      <c r="F765" t="s">
        <v>256</v>
      </c>
      <c r="G765" t="s">
        <v>490</v>
      </c>
      <c r="H765">
        <v>16</v>
      </c>
      <c r="I765">
        <v>2</v>
      </c>
      <c r="J765" t="s">
        <v>13</v>
      </c>
      <c r="K765" t="s">
        <v>29</v>
      </c>
      <c r="L765" t="s">
        <v>496</v>
      </c>
      <c r="M765" t="s">
        <v>368</v>
      </c>
      <c r="N765" t="s">
        <v>432</v>
      </c>
      <c r="T765">
        <v>1</v>
      </c>
      <c r="W765">
        <v>2240</v>
      </c>
      <c r="X765" t="s">
        <v>184</v>
      </c>
      <c r="AA765" s="13">
        <v>55.127000000000002</v>
      </c>
      <c r="AB765">
        <v>8.0999999999999996E-3</v>
      </c>
      <c r="AC765">
        <v>5.1000000000000004E-3</v>
      </c>
      <c r="AD765" s="11">
        <f t="shared" si="188"/>
        <v>2.790804375E-2</v>
      </c>
      <c r="AE765" s="11">
        <f>_xlfn.RANK.AVG(Tableau8[[#This Row],[EE ( MJ/m²)]],AD765:AD1920)</f>
        <v>388</v>
      </c>
      <c r="AF765" s="11">
        <f t="shared" si="197"/>
        <v>1.3954021875E-2</v>
      </c>
      <c r="AG765" s="11">
        <f t="shared" si="199"/>
        <v>1.7571731250000003E-2</v>
      </c>
      <c r="AH765" s="11">
        <f t="shared" si="190"/>
        <v>1.7571731250000003E-2</v>
      </c>
      <c r="AI765" s="11">
        <f t="shared" si="200"/>
        <v>8.7858656250000017E-3</v>
      </c>
      <c r="AJ765" s="11">
        <f t="shared" si="198"/>
        <v>8.7858656250000017E-3</v>
      </c>
    </row>
    <row r="766" spans="1:36" x14ac:dyDescent="0.25">
      <c r="A766" s="4" t="s">
        <v>944</v>
      </c>
      <c r="B766" s="4" t="s">
        <v>972</v>
      </c>
      <c r="C766" s="4" t="s">
        <v>15</v>
      </c>
      <c r="D766" s="4" t="s">
        <v>939</v>
      </c>
      <c r="E766" t="s">
        <v>491</v>
      </c>
      <c r="F766" t="s">
        <v>256</v>
      </c>
      <c r="G766" t="s">
        <v>490</v>
      </c>
      <c r="H766">
        <v>16</v>
      </c>
      <c r="I766">
        <v>2</v>
      </c>
      <c r="J766" t="s">
        <v>40</v>
      </c>
      <c r="K766" t="s">
        <v>29</v>
      </c>
      <c r="L766" t="s">
        <v>501</v>
      </c>
      <c r="M766" t="s">
        <v>364</v>
      </c>
      <c r="N766" t="s">
        <v>432</v>
      </c>
      <c r="T766">
        <v>1</v>
      </c>
      <c r="W766">
        <v>2240</v>
      </c>
      <c r="X766" t="s">
        <v>184</v>
      </c>
      <c r="AA766" s="13">
        <v>183.75</v>
      </c>
      <c r="AB766">
        <v>8.0999999999999996E-3</v>
      </c>
      <c r="AC766">
        <v>5.1000000000000004E-3</v>
      </c>
      <c r="AD766" s="11">
        <f t="shared" si="188"/>
        <v>9.30234375E-2</v>
      </c>
      <c r="AE766" s="11">
        <f>_xlfn.RANK.AVG(Tableau8[[#This Row],[EE ( MJ/m²)]],AD766:AD1921)</f>
        <v>380</v>
      </c>
      <c r="AF766" s="11">
        <f t="shared" si="197"/>
        <v>4.651171875E-2</v>
      </c>
      <c r="AG766" s="11">
        <f t="shared" si="199"/>
        <v>5.8570312500000006E-2</v>
      </c>
      <c r="AH766" s="11">
        <f t="shared" si="190"/>
        <v>5.8570312500000006E-2</v>
      </c>
      <c r="AI766" s="11">
        <f t="shared" si="200"/>
        <v>2.9285156250000003E-2</v>
      </c>
      <c r="AJ766" s="11">
        <f t="shared" si="198"/>
        <v>2.9285156250000003E-2</v>
      </c>
    </row>
    <row r="767" spans="1:36" s="18" customFormat="1" x14ac:dyDescent="0.25">
      <c r="A767" s="4" t="s">
        <v>944</v>
      </c>
      <c r="B767" s="4" t="s">
        <v>972</v>
      </c>
      <c r="C767" s="4" t="s">
        <v>15</v>
      </c>
      <c r="D767" s="4" t="s">
        <v>939</v>
      </c>
      <c r="E767" t="s">
        <v>491</v>
      </c>
      <c r="F767" t="s">
        <v>256</v>
      </c>
      <c r="G767" t="s">
        <v>490</v>
      </c>
      <c r="H767">
        <v>16</v>
      </c>
      <c r="I767">
        <v>2</v>
      </c>
      <c r="J767" t="s">
        <v>13</v>
      </c>
      <c r="K767" t="s">
        <v>18</v>
      </c>
      <c r="L767" t="s">
        <v>494</v>
      </c>
      <c r="M767" t="s">
        <v>416</v>
      </c>
      <c r="N767" t="s">
        <v>431</v>
      </c>
      <c r="O767"/>
      <c r="P767"/>
      <c r="Q767"/>
      <c r="R767"/>
      <c r="S767"/>
      <c r="T767">
        <v>1</v>
      </c>
      <c r="U767"/>
      <c r="V767"/>
      <c r="W767">
        <v>1860</v>
      </c>
      <c r="X767" t="s">
        <v>184</v>
      </c>
      <c r="Y767"/>
      <c r="Z767" t="s">
        <v>495</v>
      </c>
      <c r="AA767" s="13">
        <v>27.56</v>
      </c>
      <c r="AB767">
        <v>4.51</v>
      </c>
      <c r="AC767">
        <v>0.74</v>
      </c>
      <c r="AD767" s="11">
        <f t="shared" si="188"/>
        <v>7.7684749999999996</v>
      </c>
      <c r="AE767" s="11">
        <f>_xlfn.RANK.AVG(Tableau8[[#This Row],[EE ( MJ/m²)]],AD767:AD1922)</f>
        <v>231</v>
      </c>
      <c r="AF767" s="11">
        <f t="shared" si="197"/>
        <v>3.8842374999999998</v>
      </c>
      <c r="AG767" s="11">
        <f t="shared" si="199"/>
        <v>1.2746499999999998</v>
      </c>
      <c r="AH767" s="11">
        <f t="shared" si="190"/>
        <v>1.2746499999999998</v>
      </c>
      <c r="AI767" s="11">
        <f t="shared" si="200"/>
        <v>0.63732499999999992</v>
      </c>
      <c r="AJ767" s="11">
        <f t="shared" si="198"/>
        <v>0.63732499999999992</v>
      </c>
    </row>
    <row r="768" spans="1:36" x14ac:dyDescent="0.25">
      <c r="A768" s="4" t="s">
        <v>944</v>
      </c>
      <c r="B768" s="4" t="s">
        <v>972</v>
      </c>
      <c r="C768" s="4" t="s">
        <v>15</v>
      </c>
      <c r="D768" s="4" t="s">
        <v>939</v>
      </c>
      <c r="E768" t="s">
        <v>491</v>
      </c>
      <c r="F768" t="s">
        <v>256</v>
      </c>
      <c r="G768" t="s">
        <v>490</v>
      </c>
      <c r="H768">
        <v>16</v>
      </c>
      <c r="I768">
        <v>2</v>
      </c>
      <c r="J768" t="s">
        <v>40</v>
      </c>
      <c r="K768" t="s">
        <v>18</v>
      </c>
      <c r="L768" t="s">
        <v>500</v>
      </c>
      <c r="M768" t="s">
        <v>18</v>
      </c>
      <c r="N768" t="s">
        <v>414</v>
      </c>
      <c r="P768">
        <v>1.6</v>
      </c>
      <c r="Q768" t="s">
        <v>180</v>
      </c>
      <c r="R768" t="s">
        <v>187</v>
      </c>
      <c r="T768">
        <v>1</v>
      </c>
      <c r="W768">
        <v>2400</v>
      </c>
      <c r="X768" t="s">
        <v>184</v>
      </c>
      <c r="AA768" s="13">
        <f>Tableau8[[#This Row],[density (kg/m2) or specific weight (kg/m2)]]*Tableau8[[#This Row],[nb of item used ]]*Tableau8[[#This Row],[volume or area]]</f>
        <v>3840</v>
      </c>
      <c r="AB768">
        <v>0.72</v>
      </c>
      <c r="AC768">
        <v>0.88</v>
      </c>
      <c r="AD768" s="11">
        <f t="shared" si="188"/>
        <v>172.79999999999998</v>
      </c>
      <c r="AE768" s="11">
        <f>_xlfn.RANK.AVG(Tableau8[[#This Row],[EE ( MJ/m²)]],AD768:AD1923)</f>
        <v>30</v>
      </c>
      <c r="AF768" s="11">
        <f t="shared" si="197"/>
        <v>86.399999999999991</v>
      </c>
      <c r="AG768" s="11">
        <f t="shared" si="199"/>
        <v>211.2</v>
      </c>
      <c r="AH768" s="11">
        <f t="shared" si="190"/>
        <v>211.2</v>
      </c>
      <c r="AI768" s="11">
        <f t="shared" si="200"/>
        <v>105.6</v>
      </c>
      <c r="AJ768" s="11">
        <f t="shared" si="198"/>
        <v>105.6</v>
      </c>
    </row>
    <row r="769" spans="1:36" s="18" customFormat="1" x14ac:dyDescent="0.25">
      <c r="A769" s="4" t="s">
        <v>944</v>
      </c>
      <c r="B769" s="4" t="s">
        <v>972</v>
      </c>
      <c r="C769" s="4" t="s">
        <v>15</v>
      </c>
      <c r="D769" s="4" t="s">
        <v>939</v>
      </c>
      <c r="E769" t="s">
        <v>491</v>
      </c>
      <c r="F769" t="s">
        <v>256</v>
      </c>
      <c r="G769" t="s">
        <v>490</v>
      </c>
      <c r="H769">
        <v>16</v>
      </c>
      <c r="I769">
        <v>2</v>
      </c>
      <c r="J769" t="s">
        <v>57</v>
      </c>
      <c r="K769" t="s">
        <v>18</v>
      </c>
      <c r="L769" t="s">
        <v>509</v>
      </c>
      <c r="M769" t="s">
        <v>18</v>
      </c>
      <c r="N769" t="s">
        <v>39</v>
      </c>
      <c r="O769"/>
      <c r="P769">
        <v>0.8</v>
      </c>
      <c r="Q769" t="s">
        <v>180</v>
      </c>
      <c r="R769" t="s">
        <v>187</v>
      </c>
      <c r="S769" t="s">
        <v>505</v>
      </c>
      <c r="T769">
        <v>1</v>
      </c>
      <c r="U769"/>
      <c r="V769"/>
      <c r="W769">
        <v>2400</v>
      </c>
      <c r="X769" t="s">
        <v>184</v>
      </c>
      <c r="Y769"/>
      <c r="Z769"/>
      <c r="AA769" s="13">
        <f>Tableau8[[#This Row],[density (kg/m2) or specific weight (kg/m2)]]*Tableau8[[#This Row],[nb of item used ]]*Tableau8[[#This Row],[volume or area]]</f>
        <v>1920</v>
      </c>
      <c r="AB769">
        <v>0.75</v>
      </c>
      <c r="AC769">
        <v>0.107</v>
      </c>
      <c r="AD769" s="11">
        <f t="shared" si="188"/>
        <v>90</v>
      </c>
      <c r="AE769" s="11">
        <f>_xlfn.RANK.AVG(Tableau8[[#This Row],[EE ( MJ/m²)]],AD769:AD1924)</f>
        <v>68</v>
      </c>
      <c r="AF769" s="11">
        <f t="shared" si="197"/>
        <v>45</v>
      </c>
      <c r="AG769" s="11">
        <f t="shared" si="199"/>
        <v>12.84</v>
      </c>
      <c r="AH769" s="11">
        <f t="shared" si="190"/>
        <v>12.84</v>
      </c>
      <c r="AI769" s="11">
        <f t="shared" si="200"/>
        <v>6.42</v>
      </c>
      <c r="AJ769" s="11">
        <f t="shared" si="198"/>
        <v>6.42</v>
      </c>
    </row>
    <row r="770" spans="1:36" x14ac:dyDescent="0.25">
      <c r="A770" s="4" t="s">
        <v>944</v>
      </c>
      <c r="B770" s="4" t="s">
        <v>972</v>
      </c>
      <c r="C770" s="4" t="s">
        <v>15</v>
      </c>
      <c r="D770" s="4" t="s">
        <v>939</v>
      </c>
      <c r="E770" t="s">
        <v>491</v>
      </c>
      <c r="F770" t="s">
        <v>256</v>
      </c>
      <c r="G770" t="s">
        <v>490</v>
      </c>
      <c r="H770">
        <v>16</v>
      </c>
      <c r="I770">
        <v>2</v>
      </c>
      <c r="J770" t="s">
        <v>40</v>
      </c>
      <c r="K770" t="s">
        <v>18</v>
      </c>
      <c r="L770" t="s">
        <v>502</v>
      </c>
      <c r="M770" t="s">
        <v>363</v>
      </c>
      <c r="N770" t="s">
        <v>431</v>
      </c>
      <c r="T770">
        <v>1</v>
      </c>
      <c r="W770">
        <v>1860</v>
      </c>
      <c r="X770" t="s">
        <v>184</v>
      </c>
      <c r="AA770" s="13">
        <v>91.87</v>
      </c>
      <c r="AB770">
        <v>4.51</v>
      </c>
      <c r="AC770">
        <v>0.74</v>
      </c>
      <c r="AD770" s="11">
        <f t="shared" si="188"/>
        <v>25.895856250000001</v>
      </c>
      <c r="AE770" s="11">
        <f>_xlfn.RANK.AVG(Tableau8[[#This Row],[EE ( MJ/m²)]],AD770:AD1925)</f>
        <v>138</v>
      </c>
      <c r="AF770" s="11">
        <f t="shared" si="197"/>
        <v>12.947928125000001</v>
      </c>
      <c r="AG770" s="11">
        <f t="shared" si="199"/>
        <v>4.2489875000000001</v>
      </c>
      <c r="AH770" s="11">
        <f t="shared" si="190"/>
        <v>4.2489875000000001</v>
      </c>
      <c r="AI770" s="11">
        <f t="shared" si="200"/>
        <v>2.1244937500000001</v>
      </c>
      <c r="AJ770" s="11">
        <f t="shared" si="198"/>
        <v>2.1244937500000001</v>
      </c>
    </row>
    <row r="771" spans="1:36" x14ac:dyDescent="0.25">
      <c r="A771" s="4" t="s">
        <v>944</v>
      </c>
      <c r="B771" s="4" t="s">
        <v>972</v>
      </c>
      <c r="C771" s="4" t="s">
        <v>15</v>
      </c>
      <c r="D771" s="4" t="s">
        <v>939</v>
      </c>
      <c r="E771" t="s">
        <v>491</v>
      </c>
      <c r="F771" t="s">
        <v>256</v>
      </c>
      <c r="G771" t="s">
        <v>490</v>
      </c>
      <c r="H771">
        <v>16</v>
      </c>
      <c r="I771">
        <v>2</v>
      </c>
      <c r="J771" t="s">
        <v>40</v>
      </c>
      <c r="K771" t="s">
        <v>15</v>
      </c>
      <c r="L771" t="s">
        <v>451</v>
      </c>
      <c r="M771" t="s">
        <v>507</v>
      </c>
      <c r="N771" t="s">
        <v>335</v>
      </c>
      <c r="P771">
        <f>(2*(4+4+4+4))*0.004</f>
        <v>0.128</v>
      </c>
      <c r="Q771" t="s">
        <v>180</v>
      </c>
      <c r="T771">
        <v>1</v>
      </c>
      <c r="W771" s="1">
        <v>178.2</v>
      </c>
      <c r="X771" t="s">
        <v>183</v>
      </c>
      <c r="Y771" t="s">
        <v>441</v>
      </c>
      <c r="Z771" t="s">
        <v>442</v>
      </c>
      <c r="AA771" s="13">
        <f>64</f>
        <v>64</v>
      </c>
      <c r="AB771">
        <v>28.58</v>
      </c>
      <c r="AC771">
        <v>26.91</v>
      </c>
      <c r="AD771" s="11">
        <f>AB771*(AA771/Tableau8[[#This Row],[density (kg/m2) or specific weight (kg/m2)]])/H771</f>
        <v>0.6415263748597082</v>
      </c>
      <c r="AE771" s="11">
        <f>_xlfn.RANK.AVG(Tableau8[[#This Row],[EE ( MJ/m²)]],AD771:AD1926)</f>
        <v>352</v>
      </c>
      <c r="AF771" s="11">
        <f>AB771*(AA771/Tableau8[[#This Row],[density (kg/m2) or specific weight (kg/m2)]])/H771/I771</f>
        <v>0.3207631874298541</v>
      </c>
      <c r="AG771" s="11">
        <f>(AC771)*(AA771/Tableau8[[#This Row],[density (kg/m2) or specific weight (kg/m2)]])/H771</f>
        <v>0.60404040404040404</v>
      </c>
      <c r="AH771" s="11">
        <f>AC771*(AA771/Tableau8[[#This Row],[density (kg/m2) or specific weight (kg/m2)]])/H771</f>
        <v>0.60404040404040404</v>
      </c>
      <c r="AI771" s="11">
        <f>(AC771)*(AA771/Tableau8[[#This Row],[density (kg/m2) or specific weight (kg/m2)]])/H771/I771</f>
        <v>0.30202020202020202</v>
      </c>
      <c r="AJ771" s="11">
        <f>AC771*(AA771/Tableau8[[#This Row],[density (kg/m2) or specific weight (kg/m2)]])/H771/I771</f>
        <v>0.30202020202020202</v>
      </c>
    </row>
    <row r="772" spans="1:36" x14ac:dyDescent="0.25">
      <c r="A772" s="4" t="s">
        <v>944</v>
      </c>
      <c r="B772" s="4" t="s">
        <v>972</v>
      </c>
      <c r="C772" s="4" t="s">
        <v>15</v>
      </c>
      <c r="D772" s="4" t="s">
        <v>939</v>
      </c>
      <c r="E772" t="s">
        <v>491</v>
      </c>
      <c r="F772" t="s">
        <v>256</v>
      </c>
      <c r="G772" t="s">
        <v>490</v>
      </c>
      <c r="H772">
        <v>16</v>
      </c>
      <c r="I772">
        <v>2</v>
      </c>
      <c r="J772" t="s">
        <v>56</v>
      </c>
      <c r="K772" t="s">
        <v>17</v>
      </c>
      <c r="L772" t="s">
        <v>503</v>
      </c>
      <c r="M772" t="s">
        <v>468</v>
      </c>
      <c r="N772" t="s">
        <v>469</v>
      </c>
      <c r="P772">
        <v>1.5800000000000002E-2</v>
      </c>
      <c r="Q772" t="s">
        <v>180</v>
      </c>
      <c r="R772" t="s">
        <v>187</v>
      </c>
      <c r="S772" t="s">
        <v>505</v>
      </c>
      <c r="T772">
        <v>1</v>
      </c>
      <c r="W772">
        <v>2700</v>
      </c>
      <c r="X772" t="s">
        <v>184</v>
      </c>
      <c r="AA772" s="13">
        <f>Tableau8[[#This Row],[density (kg/m2) or specific weight (kg/m2)]]*Tableau8[[#This Row],[nb of item used ]]*Tableau8[[#This Row],[volume or area]]</f>
        <v>42.660000000000004</v>
      </c>
      <c r="AB772">
        <v>155</v>
      </c>
      <c r="AC772">
        <v>9.16</v>
      </c>
      <c r="AD772" s="11">
        <f t="shared" ref="AD772:AD803" si="201">AB772*AA772/H772</f>
        <v>413.26875000000001</v>
      </c>
      <c r="AE772" s="11">
        <f>_xlfn.RANK.AVG(Tableau8[[#This Row],[EE ( MJ/m²)]],AD772:AD1927)</f>
        <v>14</v>
      </c>
      <c r="AF772" s="11">
        <f>AB772*AA772/H772/I772</f>
        <v>206.63437500000001</v>
      </c>
      <c r="AG772" s="11">
        <f>(AC772)*AA772/H772</f>
        <v>24.422850000000004</v>
      </c>
      <c r="AH772" s="11">
        <f t="shared" ref="AH772:AH803" si="202">AC772*AA772/H772</f>
        <v>24.422850000000004</v>
      </c>
      <c r="AI772" s="11">
        <f>(AC772)*AA772/H772/I772</f>
        <v>12.211425000000002</v>
      </c>
      <c r="AJ772" s="11">
        <f>AC772*AA772/H772/I772</f>
        <v>12.211425000000002</v>
      </c>
    </row>
    <row r="773" spans="1:36" x14ac:dyDescent="0.25">
      <c r="A773" s="4" t="s">
        <v>944</v>
      </c>
      <c r="B773" s="4" t="s">
        <v>972</v>
      </c>
      <c r="C773" s="4" t="s">
        <v>15</v>
      </c>
      <c r="D773" s="4" t="s">
        <v>939</v>
      </c>
      <c r="E773" t="s">
        <v>491</v>
      </c>
      <c r="F773" t="s">
        <v>256</v>
      </c>
      <c r="G773" t="s">
        <v>490</v>
      </c>
      <c r="H773">
        <v>16</v>
      </c>
      <c r="I773">
        <v>2</v>
      </c>
      <c r="J773" t="s">
        <v>13</v>
      </c>
      <c r="K773" t="s">
        <v>18</v>
      </c>
      <c r="L773" t="s">
        <v>492</v>
      </c>
      <c r="N773" t="s">
        <v>414</v>
      </c>
      <c r="P773">
        <v>4.8000000000000001E-2</v>
      </c>
      <c r="Q773" t="s">
        <v>180</v>
      </c>
      <c r="R773" t="s">
        <v>187</v>
      </c>
      <c r="S773" t="s">
        <v>493</v>
      </c>
      <c r="T773">
        <v>1</v>
      </c>
      <c r="W773">
        <v>2400</v>
      </c>
      <c r="X773" t="s">
        <v>184</v>
      </c>
      <c r="AA773" s="13">
        <f>Tableau8[[#This Row],[density (kg/m2) or specific weight (kg/m2)]]*Tableau8[[#This Row],[nb of item used ]]*Tableau8[[#This Row],[volume or area]]</f>
        <v>115.2</v>
      </c>
      <c r="AB773">
        <v>0.72</v>
      </c>
      <c r="AC773">
        <v>0.88</v>
      </c>
      <c r="AD773" s="11">
        <f t="shared" si="201"/>
        <v>5.1840000000000002</v>
      </c>
      <c r="AE773" s="11">
        <f>_xlfn.RANK.AVG(Tableau8[[#This Row],[EE ( MJ/m²)]],AD773:AD1928)</f>
        <v>252</v>
      </c>
      <c r="AG773" s="11">
        <f>(AC773)*AA773/H773</f>
        <v>6.3360000000000003</v>
      </c>
      <c r="AH773" s="11">
        <f t="shared" si="202"/>
        <v>6.3360000000000003</v>
      </c>
      <c r="AI773" s="11">
        <f>(AC773)*AA773/H773/I773</f>
        <v>3.1680000000000001</v>
      </c>
      <c r="AJ773" s="11"/>
    </row>
    <row r="774" spans="1:36" x14ac:dyDescent="0.25">
      <c r="A774" s="4" t="s">
        <v>944</v>
      </c>
      <c r="B774" s="4" t="s">
        <v>973</v>
      </c>
      <c r="C774" s="4" t="s">
        <v>15</v>
      </c>
      <c r="D774" s="4" t="s">
        <v>939</v>
      </c>
      <c r="E774" t="s">
        <v>463</v>
      </c>
      <c r="F774" t="s">
        <v>256</v>
      </c>
      <c r="G774" t="s">
        <v>330</v>
      </c>
      <c r="H774">
        <v>16</v>
      </c>
      <c r="I774">
        <v>2</v>
      </c>
      <c r="J774" t="s">
        <v>40</v>
      </c>
      <c r="K774" t="s">
        <v>15</v>
      </c>
      <c r="L774" t="s">
        <v>470</v>
      </c>
      <c r="M774" t="s">
        <v>15</v>
      </c>
      <c r="N774" t="s">
        <v>15</v>
      </c>
      <c r="P774">
        <v>0.81</v>
      </c>
      <c r="Q774" t="s">
        <v>180</v>
      </c>
      <c r="T774">
        <v>1</v>
      </c>
      <c r="W774">
        <v>510</v>
      </c>
      <c r="X774" t="s">
        <v>184</v>
      </c>
      <c r="AA774" s="13">
        <f>Tableau8[[#This Row],[density (kg/m2) or specific weight (kg/m2)]]*Tableau8[[#This Row],[nb of item used ]]*Tableau8[[#This Row],[volume or area]]</f>
        <v>413.1</v>
      </c>
      <c r="AB774">
        <f>10-4.4</f>
        <v>5.6</v>
      </c>
      <c r="AC774">
        <f>0.31+0.41</f>
        <v>0.72</v>
      </c>
      <c r="AD774" s="11">
        <f t="shared" si="201"/>
        <v>144.58500000000001</v>
      </c>
      <c r="AE774" s="11">
        <f>_xlfn.RANK.AVG(Tableau8[[#This Row],[EE ( MJ/m²)]],AD774:AD1929)</f>
        <v>37.5</v>
      </c>
      <c r="AF774" s="11">
        <f t="shared" ref="AF774:AF805" si="203">AB774*AA774/H774/I774</f>
        <v>72.292500000000004</v>
      </c>
      <c r="AG774" s="11">
        <f>(AC774-0.41)*AA774/H774</f>
        <v>8.0038125000000004</v>
      </c>
      <c r="AH774" s="11">
        <f t="shared" si="202"/>
        <v>18.589500000000001</v>
      </c>
      <c r="AI774" s="11">
        <f>(AC774-0.41)*AA774/H774/I774</f>
        <v>4.0019062500000002</v>
      </c>
      <c r="AJ774" s="11">
        <f t="shared" ref="AJ774:AJ805" si="204">AC774*AA774/H774/I774</f>
        <v>9.2947500000000005</v>
      </c>
    </row>
    <row r="775" spans="1:36" x14ac:dyDescent="0.25">
      <c r="A775" s="4" t="s">
        <v>944</v>
      </c>
      <c r="B775" s="4" t="s">
        <v>973</v>
      </c>
      <c r="C775" s="4" t="s">
        <v>15</v>
      </c>
      <c r="D775" s="4" t="s">
        <v>939</v>
      </c>
      <c r="E775" t="s">
        <v>463</v>
      </c>
      <c r="F775" t="s">
        <v>256</v>
      </c>
      <c r="G775" t="s">
        <v>330</v>
      </c>
      <c r="H775">
        <v>16</v>
      </c>
      <c r="I775">
        <v>2</v>
      </c>
      <c r="J775" t="s">
        <v>40</v>
      </c>
      <c r="K775" t="s">
        <v>15</v>
      </c>
      <c r="L775" t="s">
        <v>457</v>
      </c>
      <c r="M775" t="s">
        <v>15</v>
      </c>
      <c r="N775" t="s">
        <v>15</v>
      </c>
      <c r="P775">
        <v>3.2000000000000001E-2</v>
      </c>
      <c r="Q775" t="s">
        <v>180</v>
      </c>
      <c r="T775">
        <v>1</v>
      </c>
      <c r="W775">
        <v>510</v>
      </c>
      <c r="X775" t="s">
        <v>184</v>
      </c>
      <c r="AA775" s="13">
        <f>Tableau8[[#This Row],[density (kg/m2) or specific weight (kg/m2)]]*Tableau8[[#This Row],[nb of item used ]]*Tableau8[[#This Row],[volume or area]]</f>
        <v>16.32</v>
      </c>
      <c r="AB775">
        <f>10-4.4</f>
        <v>5.6</v>
      </c>
      <c r="AC775">
        <f>0.31+0.41</f>
        <v>0.72</v>
      </c>
      <c r="AD775" s="11">
        <f t="shared" si="201"/>
        <v>5.7119999999999997</v>
      </c>
      <c r="AE775" s="11">
        <f>_xlfn.RANK.AVG(Tableau8[[#This Row],[EE ( MJ/m²)]],AD775:AD1930)</f>
        <v>245.5</v>
      </c>
      <c r="AF775" s="11">
        <f t="shared" si="203"/>
        <v>2.8559999999999999</v>
      </c>
      <c r="AG775" s="11">
        <f>(AC775-0.41)*AA775/H775</f>
        <v>0.31619999999999998</v>
      </c>
      <c r="AH775" s="11">
        <f t="shared" si="202"/>
        <v>0.73439999999999994</v>
      </c>
      <c r="AI775" s="11">
        <f>(AC775-0.41)*AA775/H775/I775</f>
        <v>0.15809999999999999</v>
      </c>
      <c r="AJ775" s="11">
        <f t="shared" si="204"/>
        <v>0.36719999999999997</v>
      </c>
    </row>
    <row r="776" spans="1:36" x14ac:dyDescent="0.25">
      <c r="A776" s="4" t="s">
        <v>944</v>
      </c>
      <c r="B776" s="4" t="s">
        <v>973</v>
      </c>
      <c r="C776" s="4" t="s">
        <v>15</v>
      </c>
      <c r="D776" s="4" t="s">
        <v>939</v>
      </c>
      <c r="E776" t="s">
        <v>463</v>
      </c>
      <c r="F776" t="s">
        <v>256</v>
      </c>
      <c r="G776" t="s">
        <v>330</v>
      </c>
      <c r="H776">
        <v>16</v>
      </c>
      <c r="I776">
        <v>2</v>
      </c>
      <c r="J776" t="s">
        <v>40</v>
      </c>
      <c r="K776" t="s">
        <v>15</v>
      </c>
      <c r="L776" t="s">
        <v>458</v>
      </c>
      <c r="M776" t="s">
        <v>15</v>
      </c>
      <c r="N776" t="s">
        <v>15</v>
      </c>
      <c r="P776">
        <v>0.01</v>
      </c>
      <c r="Q776" t="s">
        <v>180</v>
      </c>
      <c r="T776">
        <v>1</v>
      </c>
      <c r="W776">
        <v>510</v>
      </c>
      <c r="X776" t="s">
        <v>184</v>
      </c>
      <c r="AA776" s="13">
        <f>Tableau8[[#This Row],[density (kg/m2) or specific weight (kg/m2)]]*Tableau8[[#This Row],[nb of item used ]]*Tableau8[[#This Row],[volume or area]]</f>
        <v>5.1000000000000005</v>
      </c>
      <c r="AB776">
        <f>10-4.4</f>
        <v>5.6</v>
      </c>
      <c r="AC776">
        <f>0.31+0.41</f>
        <v>0.72</v>
      </c>
      <c r="AD776" s="11">
        <f t="shared" si="201"/>
        <v>1.7850000000000001</v>
      </c>
      <c r="AE776" s="11">
        <f>_xlfn.RANK.AVG(Tableau8[[#This Row],[EE ( MJ/m²)]],AD776:AD1931)</f>
        <v>307.5</v>
      </c>
      <c r="AF776" s="11">
        <f t="shared" si="203"/>
        <v>0.89250000000000007</v>
      </c>
      <c r="AG776" s="11">
        <f>(AC776-0.41)*AA776/H776</f>
        <v>9.8812500000000011E-2</v>
      </c>
      <c r="AH776" s="11">
        <f t="shared" si="202"/>
        <v>0.22950000000000001</v>
      </c>
      <c r="AI776" s="11">
        <f>(AC776-0.41)*AA776/H776/I776</f>
        <v>4.9406250000000006E-2</v>
      </c>
      <c r="AJ776" s="11">
        <f t="shared" si="204"/>
        <v>0.11475</v>
      </c>
    </row>
    <row r="777" spans="1:36" x14ac:dyDescent="0.25">
      <c r="A777" s="4" t="s">
        <v>944</v>
      </c>
      <c r="B777" s="4" t="s">
        <v>973</v>
      </c>
      <c r="C777" s="4" t="s">
        <v>15</v>
      </c>
      <c r="D777" s="4" t="s">
        <v>939</v>
      </c>
      <c r="E777" t="s">
        <v>463</v>
      </c>
      <c r="F777" t="s">
        <v>256</v>
      </c>
      <c r="G777" t="s">
        <v>330</v>
      </c>
      <c r="H777">
        <v>16</v>
      </c>
      <c r="I777">
        <v>2</v>
      </c>
      <c r="J777" t="s">
        <v>44</v>
      </c>
      <c r="K777" t="s">
        <v>17</v>
      </c>
      <c r="L777" t="s">
        <v>462</v>
      </c>
      <c r="M777" t="s">
        <v>12</v>
      </c>
      <c r="N777" t="s">
        <v>12</v>
      </c>
      <c r="T777">
        <v>1</v>
      </c>
      <c r="W777">
        <v>7800</v>
      </c>
      <c r="X777" t="s">
        <v>184</v>
      </c>
      <c r="AA777" s="13">
        <v>25.1</v>
      </c>
      <c r="AB777">
        <v>25.3</v>
      </c>
      <c r="AC777">
        <v>1.95</v>
      </c>
      <c r="AD777" s="11">
        <f t="shared" si="201"/>
        <v>39.689375000000005</v>
      </c>
      <c r="AE777" s="11">
        <f>_xlfn.RANK.AVG(Tableau8[[#This Row],[EE ( MJ/m²)]],AD777:AD1932)</f>
        <v>109.5</v>
      </c>
      <c r="AF777" s="11">
        <f t="shared" si="203"/>
        <v>19.844687500000003</v>
      </c>
      <c r="AG777" s="11">
        <f>(AC777)*AA777/H777</f>
        <v>3.0590625</v>
      </c>
      <c r="AH777" s="11">
        <f t="shared" si="202"/>
        <v>3.0590625</v>
      </c>
      <c r="AI777" s="11">
        <f>(AC777)*AA777/H777/I777</f>
        <v>1.52953125</v>
      </c>
      <c r="AJ777" s="11">
        <f t="shared" si="204"/>
        <v>1.52953125</v>
      </c>
    </row>
    <row r="778" spans="1:36" x14ac:dyDescent="0.25">
      <c r="A778" s="4" t="s">
        <v>944</v>
      </c>
      <c r="B778" s="4" t="s">
        <v>973</v>
      </c>
      <c r="C778" s="4" t="s">
        <v>15</v>
      </c>
      <c r="D778" s="4" t="s">
        <v>939</v>
      </c>
      <c r="E778" t="s">
        <v>463</v>
      </c>
      <c r="F778" t="s">
        <v>256</v>
      </c>
      <c r="G778" t="s">
        <v>330</v>
      </c>
      <c r="H778">
        <v>16</v>
      </c>
      <c r="I778">
        <v>2</v>
      </c>
      <c r="J778" t="s">
        <v>13</v>
      </c>
      <c r="K778" t="s">
        <v>18</v>
      </c>
      <c r="L778" t="s">
        <v>464</v>
      </c>
      <c r="M778" t="s">
        <v>18</v>
      </c>
      <c r="N778" t="s">
        <v>39</v>
      </c>
      <c r="P778">
        <v>0.192</v>
      </c>
      <c r="Q778" t="s">
        <v>180</v>
      </c>
      <c r="T778">
        <v>1</v>
      </c>
      <c r="W778">
        <v>2400</v>
      </c>
      <c r="X778" t="s">
        <v>184</v>
      </c>
      <c r="AA778" s="13">
        <f>Tableau8[[#This Row],[density (kg/m2) or specific weight (kg/m2)]]*Tableau8[[#This Row],[nb of item used ]]*Tableau8[[#This Row],[volume or area]]</f>
        <v>460.8</v>
      </c>
      <c r="AB778">
        <v>0.75</v>
      </c>
      <c r="AC778">
        <v>0.107</v>
      </c>
      <c r="AD778" s="11">
        <f t="shared" si="201"/>
        <v>21.6</v>
      </c>
      <c r="AE778" s="11">
        <f>_xlfn.RANK.AVG(Tableau8[[#This Row],[EE ( MJ/m²)]],AD778:AD1933)</f>
        <v>150.5</v>
      </c>
      <c r="AF778" s="11">
        <f t="shared" si="203"/>
        <v>10.8</v>
      </c>
      <c r="AG778" s="11">
        <f>(AC778)*AA778/H778</f>
        <v>3.0815999999999999</v>
      </c>
      <c r="AH778" s="11">
        <f t="shared" si="202"/>
        <v>3.0815999999999999</v>
      </c>
      <c r="AI778" s="11">
        <f>(AC778)*AA778/H778/I778</f>
        <v>1.5407999999999999</v>
      </c>
      <c r="AJ778" s="11">
        <f t="shared" si="204"/>
        <v>1.5407999999999999</v>
      </c>
    </row>
    <row r="779" spans="1:36" s="20" customFormat="1" x14ac:dyDescent="0.25">
      <c r="A779" s="4" t="s">
        <v>944</v>
      </c>
      <c r="B779" s="4" t="s">
        <v>973</v>
      </c>
      <c r="C779" s="4" t="s">
        <v>15</v>
      </c>
      <c r="D779" s="4" t="s">
        <v>939</v>
      </c>
      <c r="E779" t="s">
        <v>463</v>
      </c>
      <c r="F779" t="s">
        <v>256</v>
      </c>
      <c r="G779" t="s">
        <v>330</v>
      </c>
      <c r="H779">
        <v>16</v>
      </c>
      <c r="I779">
        <v>2</v>
      </c>
      <c r="J779" t="s">
        <v>40</v>
      </c>
      <c r="K779" t="s">
        <v>17</v>
      </c>
      <c r="L779" t="s">
        <v>465</v>
      </c>
      <c r="M779" t="s">
        <v>466</v>
      </c>
      <c r="N779" t="s">
        <v>469</v>
      </c>
      <c r="O779"/>
      <c r="P779">
        <v>1.0999999999999999E-2</v>
      </c>
      <c r="Q779" t="s">
        <v>180</v>
      </c>
      <c r="R779"/>
      <c r="S779"/>
      <c r="T779">
        <v>1</v>
      </c>
      <c r="U779"/>
      <c r="V779"/>
      <c r="W779">
        <v>2700</v>
      </c>
      <c r="X779" t="s">
        <v>184</v>
      </c>
      <c r="Y779"/>
      <c r="Z779"/>
      <c r="AA779" s="13">
        <f>Tableau8[[#This Row],[density (kg/m2) or specific weight (kg/m2)]]*Tableau8[[#This Row],[nb of item used ]]*Tableau8[[#This Row],[volume or area]]</f>
        <v>29.7</v>
      </c>
      <c r="AB779">
        <v>155</v>
      </c>
      <c r="AC779">
        <v>9.16</v>
      </c>
      <c r="AD779" s="11">
        <f t="shared" si="201"/>
        <v>287.71875</v>
      </c>
      <c r="AE779" s="11">
        <f>_xlfn.RANK.AVG(Tableau8[[#This Row],[EE ( MJ/m²)]],AD779:AD1934)</f>
        <v>19</v>
      </c>
      <c r="AF779" s="11">
        <f t="shared" si="203"/>
        <v>143.859375</v>
      </c>
      <c r="AG779" s="11">
        <f>(AC779)*AA779/H779</f>
        <v>17.003250000000001</v>
      </c>
      <c r="AH779" s="11">
        <f t="shared" si="202"/>
        <v>17.003250000000001</v>
      </c>
      <c r="AI779" s="11">
        <f>(AC779)*AA779/H779/I779</f>
        <v>8.5016250000000007</v>
      </c>
      <c r="AJ779" s="11">
        <f t="shared" si="204"/>
        <v>8.5016250000000007</v>
      </c>
    </row>
    <row r="780" spans="1:36" x14ac:dyDescent="0.25">
      <c r="A780" s="4" t="s">
        <v>944</v>
      </c>
      <c r="B780" s="4" t="s">
        <v>973</v>
      </c>
      <c r="C780" s="4" t="s">
        <v>15</v>
      </c>
      <c r="D780" s="4" t="s">
        <v>939</v>
      </c>
      <c r="E780" t="s">
        <v>463</v>
      </c>
      <c r="F780" t="s">
        <v>256</v>
      </c>
      <c r="G780" t="s">
        <v>330</v>
      </c>
      <c r="H780">
        <v>16</v>
      </c>
      <c r="I780">
        <v>2</v>
      </c>
      <c r="J780" t="s">
        <v>56</v>
      </c>
      <c r="K780" t="s">
        <v>17</v>
      </c>
      <c r="L780" t="s">
        <v>467</v>
      </c>
      <c r="M780" t="s">
        <v>468</v>
      </c>
      <c r="N780" t="s">
        <v>469</v>
      </c>
      <c r="P780">
        <v>3.8999999999999998E-3</v>
      </c>
      <c r="Q780" t="s">
        <v>180</v>
      </c>
      <c r="T780">
        <v>1</v>
      </c>
      <c r="W780">
        <v>2700</v>
      </c>
      <c r="X780" t="s">
        <v>184</v>
      </c>
      <c r="AA780" s="13">
        <f>Tableau8[[#This Row],[density (kg/m2) or specific weight (kg/m2)]]*Tableau8[[#This Row],[nb of item used ]]*Tableau8[[#This Row],[volume or area]]</f>
        <v>10.53</v>
      </c>
      <c r="AB780">
        <v>155</v>
      </c>
      <c r="AC780">
        <v>9.16</v>
      </c>
      <c r="AD780" s="11">
        <f t="shared" si="201"/>
        <v>102.00937499999999</v>
      </c>
      <c r="AE780" s="11">
        <f>_xlfn.RANK.AVG(Tableau8[[#This Row],[EE ( MJ/m²)]],AD780:AD1935)</f>
        <v>53</v>
      </c>
      <c r="AF780" s="11">
        <f t="shared" si="203"/>
        <v>51.004687499999996</v>
      </c>
      <c r="AG780" s="11">
        <f>(AC780)*AA780/H780</f>
        <v>6.0284249999999995</v>
      </c>
      <c r="AH780" s="11">
        <f t="shared" si="202"/>
        <v>6.0284249999999995</v>
      </c>
      <c r="AI780" s="11">
        <f>(AC780)*AA780/H780/I780</f>
        <v>3.0142124999999997</v>
      </c>
      <c r="AJ780" s="11">
        <f t="shared" si="204"/>
        <v>3.0142124999999997</v>
      </c>
    </row>
    <row r="781" spans="1:36" x14ac:dyDescent="0.25">
      <c r="A781" s="4" t="s">
        <v>944</v>
      </c>
      <c r="B781" s="4" t="s">
        <v>973</v>
      </c>
      <c r="C781" s="4" t="s">
        <v>15</v>
      </c>
      <c r="D781" s="4" t="s">
        <v>939</v>
      </c>
      <c r="E781" t="s">
        <v>463</v>
      </c>
      <c r="F781" t="s">
        <v>256</v>
      </c>
      <c r="G781" t="s">
        <v>330</v>
      </c>
      <c r="H781">
        <v>16</v>
      </c>
      <c r="I781">
        <v>2</v>
      </c>
      <c r="J781" t="s">
        <v>56</v>
      </c>
      <c r="K781" t="s">
        <v>15</v>
      </c>
      <c r="L781" t="s">
        <v>459</v>
      </c>
      <c r="N781" t="s">
        <v>15</v>
      </c>
      <c r="P781">
        <v>0.02</v>
      </c>
      <c r="Q781" t="s">
        <v>180</v>
      </c>
      <c r="R781" s="20" t="s">
        <v>176</v>
      </c>
      <c r="T781">
        <v>1</v>
      </c>
      <c r="U781" s="20" t="s">
        <v>1006</v>
      </c>
      <c r="W781">
        <v>510</v>
      </c>
      <c r="X781" t="s">
        <v>184</v>
      </c>
      <c r="AA781" s="13">
        <f>Tableau8[[#This Row],[density (kg/m2) or specific weight (kg/m2)]]*Tableau8[[#This Row],[nb of item used ]]*Tableau8[[#This Row],[volume or area]]</f>
        <v>10.200000000000001</v>
      </c>
      <c r="AB781">
        <f t="shared" ref="AB781:AB790" si="205">10-4.4</f>
        <v>5.6</v>
      </c>
      <c r="AC781">
        <f t="shared" ref="AC781:AC790" si="206">0.31+0.41</f>
        <v>0.72</v>
      </c>
      <c r="AD781" s="11">
        <f t="shared" si="201"/>
        <v>3.5700000000000003</v>
      </c>
      <c r="AE781" s="11">
        <f>_xlfn.RANK.AVG(Tableau8[[#This Row],[EE ( MJ/m²)]],AD781:AD1936)</f>
        <v>260.5</v>
      </c>
      <c r="AF781" s="11">
        <f t="shared" si="203"/>
        <v>1.7850000000000001</v>
      </c>
      <c r="AG781" s="11">
        <f t="shared" ref="AG781:AG790" si="207">(AC781-0.41)*AA781/H781</f>
        <v>0.19762500000000002</v>
      </c>
      <c r="AH781" s="11">
        <f t="shared" si="202"/>
        <v>0.45900000000000002</v>
      </c>
      <c r="AI781" s="11">
        <f t="shared" ref="AI781:AI790" si="208">(AC781-0.41)*AA781/H781/I781</f>
        <v>9.8812500000000011E-2</v>
      </c>
      <c r="AJ781" s="11">
        <f t="shared" si="204"/>
        <v>0.22950000000000001</v>
      </c>
    </row>
    <row r="782" spans="1:36" x14ac:dyDescent="0.25">
      <c r="A782" s="4" t="s">
        <v>944</v>
      </c>
      <c r="B782" s="4" t="s">
        <v>973</v>
      </c>
      <c r="C782" s="4" t="s">
        <v>15</v>
      </c>
      <c r="D782" s="4" t="s">
        <v>939</v>
      </c>
      <c r="E782" t="s">
        <v>463</v>
      </c>
      <c r="F782" t="s">
        <v>256</v>
      </c>
      <c r="G782" t="s">
        <v>330</v>
      </c>
      <c r="H782">
        <v>16</v>
      </c>
      <c r="I782">
        <v>2</v>
      </c>
      <c r="J782" t="s">
        <v>57</v>
      </c>
      <c r="K782" t="s">
        <v>15</v>
      </c>
      <c r="L782" t="s">
        <v>460</v>
      </c>
      <c r="N782" t="s">
        <v>15</v>
      </c>
      <c r="P782">
        <v>0.09</v>
      </c>
      <c r="Q782" t="s">
        <v>180</v>
      </c>
      <c r="R782" s="20" t="s">
        <v>176</v>
      </c>
      <c r="T782">
        <v>1</v>
      </c>
      <c r="U782" s="20" t="s">
        <v>1006</v>
      </c>
      <c r="W782">
        <v>510</v>
      </c>
      <c r="X782" t="s">
        <v>184</v>
      </c>
      <c r="AA782" s="13">
        <f>Tableau8[[#This Row],[density (kg/m2) or specific weight (kg/m2)]]*Tableau8[[#This Row],[nb of item used ]]*Tableau8[[#This Row],[volume or area]]</f>
        <v>45.9</v>
      </c>
      <c r="AB782">
        <f t="shared" si="205"/>
        <v>5.6</v>
      </c>
      <c r="AC782">
        <f t="shared" si="206"/>
        <v>0.72</v>
      </c>
      <c r="AD782" s="11">
        <f t="shared" si="201"/>
        <v>16.064999999999998</v>
      </c>
      <c r="AE782" s="11">
        <f>_xlfn.RANK.AVG(Tableau8[[#This Row],[EE ( MJ/m²)]],AD782:AD1937)</f>
        <v>169.5</v>
      </c>
      <c r="AF782" s="11">
        <f t="shared" si="203"/>
        <v>8.0324999999999989</v>
      </c>
      <c r="AG782" s="11">
        <f t="shared" si="207"/>
        <v>0.88931249999999995</v>
      </c>
      <c r="AH782" s="11">
        <f t="shared" si="202"/>
        <v>2.0654999999999997</v>
      </c>
      <c r="AI782" s="11">
        <f t="shared" si="208"/>
        <v>0.44465624999999998</v>
      </c>
      <c r="AJ782" s="11">
        <f t="shared" si="204"/>
        <v>1.0327499999999998</v>
      </c>
    </row>
    <row r="783" spans="1:36" x14ac:dyDescent="0.25">
      <c r="A783" s="4" t="s">
        <v>944</v>
      </c>
      <c r="B783" s="4" t="s">
        <v>973</v>
      </c>
      <c r="C783" s="4" t="s">
        <v>15</v>
      </c>
      <c r="D783" s="4" t="s">
        <v>939</v>
      </c>
      <c r="E783" t="s">
        <v>463</v>
      </c>
      <c r="F783" t="s">
        <v>256</v>
      </c>
      <c r="G783" t="s">
        <v>330</v>
      </c>
      <c r="H783">
        <v>16</v>
      </c>
      <c r="I783">
        <v>2</v>
      </c>
      <c r="J783" t="s">
        <v>57</v>
      </c>
      <c r="K783" t="s">
        <v>15</v>
      </c>
      <c r="L783" t="s">
        <v>461</v>
      </c>
      <c r="N783" t="s">
        <v>15</v>
      </c>
      <c r="P783">
        <v>0.04</v>
      </c>
      <c r="Q783" t="s">
        <v>180</v>
      </c>
      <c r="R783" s="20" t="s">
        <v>176</v>
      </c>
      <c r="T783">
        <v>1</v>
      </c>
      <c r="U783" s="20" t="s">
        <v>1006</v>
      </c>
      <c r="W783">
        <v>510</v>
      </c>
      <c r="X783" t="s">
        <v>184</v>
      </c>
      <c r="AA783" s="13">
        <f>Tableau8[[#This Row],[density (kg/m2) or specific weight (kg/m2)]]*Tableau8[[#This Row],[nb of item used ]]*Tableau8[[#This Row],[volume or area]]</f>
        <v>20.400000000000002</v>
      </c>
      <c r="AB783">
        <f t="shared" si="205"/>
        <v>5.6</v>
      </c>
      <c r="AC783">
        <f t="shared" si="206"/>
        <v>0.72</v>
      </c>
      <c r="AD783" s="11">
        <f t="shared" si="201"/>
        <v>7.1400000000000006</v>
      </c>
      <c r="AE783" s="11">
        <f>_xlfn.RANK.AVG(Tableau8[[#This Row],[EE ( MJ/m²)]],AD783:AD1938)</f>
        <v>226.5</v>
      </c>
      <c r="AF783" s="11">
        <f t="shared" si="203"/>
        <v>3.5700000000000003</v>
      </c>
      <c r="AG783" s="11">
        <f t="shared" si="207"/>
        <v>0.39525000000000005</v>
      </c>
      <c r="AH783" s="11">
        <f t="shared" si="202"/>
        <v>0.91800000000000004</v>
      </c>
      <c r="AI783" s="11">
        <f t="shared" si="208"/>
        <v>0.19762500000000002</v>
      </c>
      <c r="AJ783" s="11">
        <f t="shared" si="204"/>
        <v>0.45900000000000002</v>
      </c>
    </row>
    <row r="784" spans="1:36" x14ac:dyDescent="0.25">
      <c r="A784" s="4" t="s">
        <v>944</v>
      </c>
      <c r="B784" s="4" t="s">
        <v>974</v>
      </c>
      <c r="C784" s="4" t="s">
        <v>15</v>
      </c>
      <c r="D784" s="4" t="s">
        <v>939</v>
      </c>
      <c r="E784" t="s">
        <v>449</v>
      </c>
      <c r="F784" t="s">
        <v>256</v>
      </c>
      <c r="G784" t="s">
        <v>330</v>
      </c>
      <c r="H784">
        <v>16</v>
      </c>
      <c r="I784">
        <v>2</v>
      </c>
      <c r="J784" t="s">
        <v>40</v>
      </c>
      <c r="K784" t="s">
        <v>15</v>
      </c>
      <c r="L784" t="s">
        <v>451</v>
      </c>
      <c r="M784" t="s">
        <v>15</v>
      </c>
      <c r="N784" t="s">
        <v>15</v>
      </c>
      <c r="P784">
        <f>2*16</f>
        <v>32</v>
      </c>
      <c r="Q784" t="s">
        <v>179</v>
      </c>
      <c r="R784" t="s">
        <v>187</v>
      </c>
      <c r="T784">
        <v>1</v>
      </c>
      <c r="W784">
        <v>2</v>
      </c>
      <c r="X784" t="s">
        <v>183</v>
      </c>
      <c r="AA784" s="13">
        <f>Tableau8[[#This Row],[density (kg/m2) or specific weight (kg/m2)]]*Tableau8[[#This Row],[nb of item used ]]*Tableau8[[#This Row],[volume or area]]</f>
        <v>64</v>
      </c>
      <c r="AB784">
        <f t="shared" si="205"/>
        <v>5.6</v>
      </c>
      <c r="AC784">
        <f t="shared" si="206"/>
        <v>0.72</v>
      </c>
      <c r="AD784" s="11">
        <f t="shared" si="201"/>
        <v>22.4</v>
      </c>
      <c r="AE784" s="11">
        <f>_xlfn.RANK.AVG(Tableau8[[#This Row],[EE ( MJ/m²)]],AD784:AD1939)</f>
        <v>145</v>
      </c>
      <c r="AF784" s="11">
        <f t="shared" si="203"/>
        <v>11.2</v>
      </c>
      <c r="AG784" s="11">
        <f t="shared" si="207"/>
        <v>1.24</v>
      </c>
      <c r="AH784" s="11">
        <f t="shared" si="202"/>
        <v>2.88</v>
      </c>
      <c r="AI784" s="11">
        <f t="shared" si="208"/>
        <v>0.62</v>
      </c>
      <c r="AJ784" s="11">
        <f t="shared" si="204"/>
        <v>1.44</v>
      </c>
    </row>
    <row r="785" spans="1:36" x14ac:dyDescent="0.25">
      <c r="A785" s="4" t="s">
        <v>944</v>
      </c>
      <c r="B785" s="4" t="s">
        <v>974</v>
      </c>
      <c r="C785" s="4" t="s">
        <v>15</v>
      </c>
      <c r="D785" s="4" t="s">
        <v>939</v>
      </c>
      <c r="E785" t="s">
        <v>449</v>
      </c>
      <c r="F785" t="s">
        <v>256</v>
      </c>
      <c r="G785" t="s">
        <v>330</v>
      </c>
      <c r="H785">
        <v>16</v>
      </c>
      <c r="I785">
        <v>2</v>
      </c>
      <c r="J785" t="s">
        <v>40</v>
      </c>
      <c r="K785" t="s">
        <v>15</v>
      </c>
      <c r="L785" t="s">
        <v>456</v>
      </c>
      <c r="M785" t="s">
        <v>15</v>
      </c>
      <c r="N785" t="s">
        <v>15</v>
      </c>
      <c r="P785">
        <v>0.81</v>
      </c>
      <c r="Q785" t="s">
        <v>180</v>
      </c>
      <c r="R785" t="s">
        <v>187</v>
      </c>
      <c r="T785">
        <v>1</v>
      </c>
      <c r="W785">
        <v>510</v>
      </c>
      <c r="X785" t="s">
        <v>184</v>
      </c>
      <c r="AA785" s="13">
        <f>Tableau8[[#This Row],[density (kg/m2) or specific weight (kg/m2)]]*Tableau8[[#This Row],[nb of item used ]]*Tableau8[[#This Row],[volume or area]]</f>
        <v>413.1</v>
      </c>
      <c r="AB785">
        <f t="shared" si="205"/>
        <v>5.6</v>
      </c>
      <c r="AC785">
        <f t="shared" si="206"/>
        <v>0.72</v>
      </c>
      <c r="AD785" s="11">
        <f t="shared" si="201"/>
        <v>144.58500000000001</v>
      </c>
      <c r="AE785" s="11">
        <f>_xlfn.RANK.AVG(Tableau8[[#This Row],[EE ( MJ/m²)]],AD785:AD1940)</f>
        <v>36</v>
      </c>
      <c r="AF785" s="11">
        <f t="shared" si="203"/>
        <v>72.292500000000004</v>
      </c>
      <c r="AG785" s="11">
        <f t="shared" si="207"/>
        <v>8.0038125000000004</v>
      </c>
      <c r="AH785" s="11">
        <f t="shared" si="202"/>
        <v>18.589500000000001</v>
      </c>
      <c r="AI785" s="11">
        <f t="shared" si="208"/>
        <v>4.0019062500000002</v>
      </c>
      <c r="AJ785" s="11">
        <f t="shared" si="204"/>
        <v>9.2947500000000005</v>
      </c>
    </row>
    <row r="786" spans="1:36" x14ac:dyDescent="0.25">
      <c r="A786" s="4" t="s">
        <v>944</v>
      </c>
      <c r="B786" s="4" t="s">
        <v>974</v>
      </c>
      <c r="C786" s="4" t="s">
        <v>15</v>
      </c>
      <c r="D786" s="4" t="s">
        <v>939</v>
      </c>
      <c r="E786" t="s">
        <v>449</v>
      </c>
      <c r="F786" t="s">
        <v>256</v>
      </c>
      <c r="G786" t="s">
        <v>330</v>
      </c>
      <c r="H786">
        <v>16</v>
      </c>
      <c r="I786">
        <v>2</v>
      </c>
      <c r="J786" t="s">
        <v>40</v>
      </c>
      <c r="K786" t="s">
        <v>15</v>
      </c>
      <c r="L786" t="s">
        <v>457</v>
      </c>
      <c r="M786" t="s">
        <v>15</v>
      </c>
      <c r="N786" t="s">
        <v>15</v>
      </c>
      <c r="P786">
        <v>3.2000000000000001E-2</v>
      </c>
      <c r="Q786" t="s">
        <v>180</v>
      </c>
      <c r="R786" t="s">
        <v>187</v>
      </c>
      <c r="T786">
        <v>1</v>
      </c>
      <c r="W786">
        <v>510</v>
      </c>
      <c r="X786" t="s">
        <v>184</v>
      </c>
      <c r="AA786" s="13">
        <f>Tableau8[[#This Row],[density (kg/m2) or specific weight (kg/m2)]]*Tableau8[[#This Row],[nb of item used ]]*Tableau8[[#This Row],[volume or area]]</f>
        <v>16.32</v>
      </c>
      <c r="AB786">
        <f t="shared" si="205"/>
        <v>5.6</v>
      </c>
      <c r="AC786">
        <f t="shared" si="206"/>
        <v>0.72</v>
      </c>
      <c r="AD786" s="11">
        <f t="shared" si="201"/>
        <v>5.7119999999999997</v>
      </c>
      <c r="AE786" s="11">
        <f>_xlfn.RANK.AVG(Tableau8[[#This Row],[EE ( MJ/m²)]],AD786:AD1941)</f>
        <v>237</v>
      </c>
      <c r="AF786" s="11">
        <f t="shared" si="203"/>
        <v>2.8559999999999999</v>
      </c>
      <c r="AG786" s="11">
        <f t="shared" si="207"/>
        <v>0.31619999999999998</v>
      </c>
      <c r="AH786" s="11">
        <f t="shared" si="202"/>
        <v>0.73439999999999994</v>
      </c>
      <c r="AI786" s="11">
        <f t="shared" si="208"/>
        <v>0.15809999999999999</v>
      </c>
      <c r="AJ786" s="11">
        <f t="shared" si="204"/>
        <v>0.36719999999999997</v>
      </c>
    </row>
    <row r="787" spans="1:36" x14ac:dyDescent="0.25">
      <c r="A787" s="4" t="s">
        <v>944</v>
      </c>
      <c r="B787" s="4" t="s">
        <v>974</v>
      </c>
      <c r="C787" s="4" t="s">
        <v>15</v>
      </c>
      <c r="D787" s="4" t="s">
        <v>939</v>
      </c>
      <c r="E787" t="s">
        <v>449</v>
      </c>
      <c r="F787" t="s">
        <v>256</v>
      </c>
      <c r="G787" t="s">
        <v>330</v>
      </c>
      <c r="H787">
        <v>16</v>
      </c>
      <c r="I787">
        <v>2</v>
      </c>
      <c r="J787" t="s">
        <v>40</v>
      </c>
      <c r="K787" t="s">
        <v>15</v>
      </c>
      <c r="L787" t="s">
        <v>458</v>
      </c>
      <c r="M787" t="s">
        <v>15</v>
      </c>
      <c r="N787" t="s">
        <v>15</v>
      </c>
      <c r="P787">
        <v>0.01</v>
      </c>
      <c r="Q787" t="s">
        <v>180</v>
      </c>
      <c r="R787" t="s">
        <v>187</v>
      </c>
      <c r="T787">
        <v>1</v>
      </c>
      <c r="W787">
        <v>510</v>
      </c>
      <c r="X787" t="s">
        <v>184</v>
      </c>
      <c r="AA787" s="13">
        <f>Tableau8[[#This Row],[density (kg/m2) or specific weight (kg/m2)]]*Tableau8[[#This Row],[nb of item used ]]*Tableau8[[#This Row],[volume or area]]</f>
        <v>5.1000000000000005</v>
      </c>
      <c r="AB787">
        <f t="shared" si="205"/>
        <v>5.6</v>
      </c>
      <c r="AC787">
        <f t="shared" si="206"/>
        <v>0.72</v>
      </c>
      <c r="AD787" s="11">
        <f t="shared" si="201"/>
        <v>1.7850000000000001</v>
      </c>
      <c r="AE787" s="11">
        <f>_xlfn.RANK.AVG(Tableau8[[#This Row],[EE ( MJ/m²)]],AD787:AD1942)</f>
        <v>297</v>
      </c>
      <c r="AF787" s="11">
        <f t="shared" si="203"/>
        <v>0.89250000000000007</v>
      </c>
      <c r="AG787" s="11">
        <f t="shared" si="207"/>
        <v>9.8812500000000011E-2</v>
      </c>
      <c r="AH787" s="11">
        <f t="shared" si="202"/>
        <v>0.22950000000000001</v>
      </c>
      <c r="AI787" s="11">
        <f t="shared" si="208"/>
        <v>4.9406250000000006E-2</v>
      </c>
      <c r="AJ787" s="11">
        <f t="shared" si="204"/>
        <v>0.11475</v>
      </c>
    </row>
    <row r="788" spans="1:36" x14ac:dyDescent="0.25">
      <c r="A788" s="4" t="s">
        <v>944</v>
      </c>
      <c r="B788" s="4" t="s">
        <v>974</v>
      </c>
      <c r="C788" s="4" t="s">
        <v>15</v>
      </c>
      <c r="D788" s="4" t="s">
        <v>939</v>
      </c>
      <c r="E788" t="s">
        <v>449</v>
      </c>
      <c r="F788" t="s">
        <v>256</v>
      </c>
      <c r="G788" t="s">
        <v>330</v>
      </c>
      <c r="H788">
        <v>16</v>
      </c>
      <c r="I788">
        <v>2</v>
      </c>
      <c r="J788" t="s">
        <v>56</v>
      </c>
      <c r="K788" t="s">
        <v>15</v>
      </c>
      <c r="L788" t="s">
        <v>459</v>
      </c>
      <c r="M788" t="s">
        <v>15</v>
      </c>
      <c r="N788" t="s">
        <v>15</v>
      </c>
      <c r="P788">
        <v>0.02</v>
      </c>
      <c r="Q788" t="s">
        <v>180</v>
      </c>
      <c r="R788" t="s">
        <v>187</v>
      </c>
      <c r="T788">
        <v>1</v>
      </c>
      <c r="W788">
        <v>510</v>
      </c>
      <c r="X788" t="s">
        <v>184</v>
      </c>
      <c r="AA788" s="13">
        <f>Tableau8[[#This Row],[density (kg/m2) or specific weight (kg/m2)]]*Tableau8[[#This Row],[nb of item used ]]*Tableau8[[#This Row],[volume or area]]</f>
        <v>10.200000000000001</v>
      </c>
      <c r="AB788">
        <f t="shared" si="205"/>
        <v>5.6</v>
      </c>
      <c r="AC788">
        <f t="shared" si="206"/>
        <v>0.72</v>
      </c>
      <c r="AD788" s="11">
        <f t="shared" si="201"/>
        <v>3.5700000000000003</v>
      </c>
      <c r="AE788" s="11">
        <f>_xlfn.RANK.AVG(Tableau8[[#This Row],[EE ( MJ/m²)]],AD788:AD1943)</f>
        <v>255</v>
      </c>
      <c r="AF788" s="11">
        <f t="shared" si="203"/>
        <v>1.7850000000000001</v>
      </c>
      <c r="AG788" s="11">
        <f t="shared" si="207"/>
        <v>0.19762500000000002</v>
      </c>
      <c r="AH788" s="11">
        <f t="shared" si="202"/>
        <v>0.45900000000000002</v>
      </c>
      <c r="AI788" s="11">
        <f t="shared" si="208"/>
        <v>9.8812500000000011E-2</v>
      </c>
      <c r="AJ788" s="11">
        <f t="shared" si="204"/>
        <v>0.22950000000000001</v>
      </c>
    </row>
    <row r="789" spans="1:36" x14ac:dyDescent="0.25">
      <c r="A789" s="4" t="s">
        <v>944</v>
      </c>
      <c r="B789" s="4" t="s">
        <v>974</v>
      </c>
      <c r="C789" s="4" t="s">
        <v>15</v>
      </c>
      <c r="D789" s="4" t="s">
        <v>939</v>
      </c>
      <c r="E789" t="s">
        <v>449</v>
      </c>
      <c r="F789" t="s">
        <v>256</v>
      </c>
      <c r="G789" t="s">
        <v>330</v>
      </c>
      <c r="H789">
        <v>16</v>
      </c>
      <c r="I789">
        <v>2</v>
      </c>
      <c r="J789" t="s">
        <v>57</v>
      </c>
      <c r="K789" t="s">
        <v>15</v>
      </c>
      <c r="L789" t="s">
        <v>460</v>
      </c>
      <c r="M789" t="s">
        <v>15</v>
      </c>
      <c r="N789" t="s">
        <v>15</v>
      </c>
      <c r="P789">
        <v>0.09</v>
      </c>
      <c r="Q789" t="s">
        <v>180</v>
      </c>
      <c r="R789" t="s">
        <v>187</v>
      </c>
      <c r="T789">
        <v>1</v>
      </c>
      <c r="W789">
        <v>510</v>
      </c>
      <c r="X789" t="s">
        <v>184</v>
      </c>
      <c r="AA789" s="13">
        <f>Tableau8[[#This Row],[density (kg/m2) or specific weight (kg/m2)]]*Tableau8[[#This Row],[nb of item used ]]*Tableau8[[#This Row],[volume or area]]</f>
        <v>45.9</v>
      </c>
      <c r="AB789">
        <f t="shared" si="205"/>
        <v>5.6</v>
      </c>
      <c r="AC789">
        <f t="shared" si="206"/>
        <v>0.72</v>
      </c>
      <c r="AD789" s="11">
        <f t="shared" si="201"/>
        <v>16.064999999999998</v>
      </c>
      <c r="AE789" s="11">
        <f>_xlfn.RANK.AVG(Tableau8[[#This Row],[EE ( MJ/m²)]],AD789:AD1944)</f>
        <v>167</v>
      </c>
      <c r="AF789" s="11">
        <f t="shared" si="203"/>
        <v>8.0324999999999989</v>
      </c>
      <c r="AG789" s="11">
        <f t="shared" si="207"/>
        <v>0.88931249999999995</v>
      </c>
      <c r="AH789" s="11">
        <f t="shared" si="202"/>
        <v>2.0654999999999997</v>
      </c>
      <c r="AI789" s="11">
        <f t="shared" si="208"/>
        <v>0.44465624999999998</v>
      </c>
      <c r="AJ789" s="11">
        <f t="shared" si="204"/>
        <v>1.0327499999999998</v>
      </c>
    </row>
    <row r="790" spans="1:36" x14ac:dyDescent="0.25">
      <c r="A790" s="4" t="s">
        <v>944</v>
      </c>
      <c r="B790" s="4" t="s">
        <v>974</v>
      </c>
      <c r="C790" s="4" t="s">
        <v>15</v>
      </c>
      <c r="D790" s="4" t="s">
        <v>939</v>
      </c>
      <c r="E790" t="s">
        <v>449</v>
      </c>
      <c r="F790" t="s">
        <v>256</v>
      </c>
      <c r="G790" t="s">
        <v>330</v>
      </c>
      <c r="H790">
        <v>16</v>
      </c>
      <c r="I790">
        <v>2</v>
      </c>
      <c r="J790" t="s">
        <v>57</v>
      </c>
      <c r="K790" t="s">
        <v>15</v>
      </c>
      <c r="L790" t="s">
        <v>461</v>
      </c>
      <c r="M790" t="s">
        <v>15</v>
      </c>
      <c r="N790" t="s">
        <v>15</v>
      </c>
      <c r="P790">
        <v>0.04</v>
      </c>
      <c r="Q790" t="s">
        <v>180</v>
      </c>
      <c r="T790">
        <v>1</v>
      </c>
      <c r="W790">
        <v>510</v>
      </c>
      <c r="X790" t="s">
        <v>184</v>
      </c>
      <c r="AA790" s="13">
        <f>Tableau8[[#This Row],[density (kg/m2) or specific weight (kg/m2)]]*Tableau8[[#This Row],[nb of item used ]]*Tableau8[[#This Row],[volume or area]]</f>
        <v>20.400000000000002</v>
      </c>
      <c r="AB790">
        <f t="shared" si="205"/>
        <v>5.6</v>
      </c>
      <c r="AC790">
        <f t="shared" si="206"/>
        <v>0.72</v>
      </c>
      <c r="AD790" s="11">
        <f t="shared" si="201"/>
        <v>7.1400000000000006</v>
      </c>
      <c r="AE790" s="11">
        <f>_xlfn.RANK.AVG(Tableau8[[#This Row],[EE ( MJ/m²)]],AD790:AD1945)</f>
        <v>223</v>
      </c>
      <c r="AF790" s="11">
        <f t="shared" si="203"/>
        <v>3.5700000000000003</v>
      </c>
      <c r="AG790" s="11">
        <f t="shared" si="207"/>
        <v>0.39525000000000005</v>
      </c>
      <c r="AH790" s="11">
        <f t="shared" si="202"/>
        <v>0.91800000000000004</v>
      </c>
      <c r="AI790" s="11">
        <f t="shared" si="208"/>
        <v>0.19762500000000002</v>
      </c>
      <c r="AJ790" s="11">
        <f t="shared" si="204"/>
        <v>0.45900000000000002</v>
      </c>
    </row>
    <row r="791" spans="1:36" x14ac:dyDescent="0.25">
      <c r="A791" s="4" t="s">
        <v>944</v>
      </c>
      <c r="B791" s="4" t="s">
        <v>974</v>
      </c>
      <c r="C791" s="4" t="s">
        <v>15</v>
      </c>
      <c r="D791" s="4" t="s">
        <v>939</v>
      </c>
      <c r="E791" t="s">
        <v>449</v>
      </c>
      <c r="F791" t="s">
        <v>256</v>
      </c>
      <c r="G791" t="s">
        <v>330</v>
      </c>
      <c r="H791">
        <v>16</v>
      </c>
      <c r="I791">
        <v>2</v>
      </c>
      <c r="J791" t="s">
        <v>44</v>
      </c>
      <c r="K791" t="s">
        <v>17</v>
      </c>
      <c r="L791" t="s">
        <v>462</v>
      </c>
      <c r="M791" t="s">
        <v>17</v>
      </c>
      <c r="N791" t="s">
        <v>12</v>
      </c>
      <c r="T791">
        <v>1</v>
      </c>
      <c r="W791">
        <v>7800</v>
      </c>
      <c r="X791" t="s">
        <v>184</v>
      </c>
      <c r="AA791" s="13">
        <v>25.1</v>
      </c>
      <c r="AB791">
        <v>25.3</v>
      </c>
      <c r="AC791">
        <v>1.95</v>
      </c>
      <c r="AD791" s="11">
        <f t="shared" si="201"/>
        <v>39.689375000000005</v>
      </c>
      <c r="AE791" s="11">
        <f>_xlfn.RANK.AVG(Tableau8[[#This Row],[EE ( MJ/m²)]],AD791:AD1946)</f>
        <v>106</v>
      </c>
      <c r="AF791" s="11">
        <f t="shared" si="203"/>
        <v>19.844687500000003</v>
      </c>
      <c r="AG791" s="11">
        <f>(AC791)*AA791/H791</f>
        <v>3.0590625</v>
      </c>
      <c r="AH791" s="11">
        <f t="shared" si="202"/>
        <v>3.0590625</v>
      </c>
      <c r="AI791" s="11">
        <f>(AC791)*AA791/H791/I791</f>
        <v>1.52953125</v>
      </c>
      <c r="AJ791" s="11">
        <f t="shared" si="204"/>
        <v>1.52953125</v>
      </c>
    </row>
    <row r="792" spans="1:36" x14ac:dyDescent="0.25">
      <c r="A792" s="4" t="s">
        <v>944</v>
      </c>
      <c r="B792" s="4" t="s">
        <v>974</v>
      </c>
      <c r="C792" s="4" t="s">
        <v>15</v>
      </c>
      <c r="D792" s="4" t="s">
        <v>939</v>
      </c>
      <c r="E792" t="s">
        <v>449</v>
      </c>
      <c r="F792" t="s">
        <v>256</v>
      </c>
      <c r="G792" t="s">
        <v>330</v>
      </c>
      <c r="H792">
        <v>16</v>
      </c>
      <c r="I792">
        <v>2</v>
      </c>
      <c r="J792" t="s">
        <v>13</v>
      </c>
      <c r="K792" t="s">
        <v>18</v>
      </c>
      <c r="L792" t="s">
        <v>450</v>
      </c>
      <c r="M792" t="s">
        <v>18</v>
      </c>
      <c r="N792" t="s">
        <v>39</v>
      </c>
      <c r="P792">
        <v>0.192</v>
      </c>
      <c r="Q792" t="s">
        <v>180</v>
      </c>
      <c r="R792" t="s">
        <v>187</v>
      </c>
      <c r="T792">
        <v>1</v>
      </c>
      <c r="W792">
        <v>2400</v>
      </c>
      <c r="X792" t="s">
        <v>184</v>
      </c>
      <c r="AA792" s="13">
        <f>Tableau8[[#This Row],[density (kg/m2) or specific weight (kg/m2)]]*Tableau8[[#This Row],[nb of item used ]]*Tableau8[[#This Row],[volume or area]]</f>
        <v>460.8</v>
      </c>
      <c r="AB792">
        <v>0.75</v>
      </c>
      <c r="AC792">
        <v>0.107</v>
      </c>
      <c r="AD792" s="11">
        <f t="shared" si="201"/>
        <v>21.6</v>
      </c>
      <c r="AE792" s="11">
        <f>_xlfn.RANK.AVG(Tableau8[[#This Row],[EE ( MJ/m²)]],AD792:AD1947)</f>
        <v>145</v>
      </c>
      <c r="AF792" s="11">
        <f t="shared" si="203"/>
        <v>10.8</v>
      </c>
      <c r="AG792" s="11">
        <f>(AC792)*AA792/H792</f>
        <v>3.0815999999999999</v>
      </c>
      <c r="AH792" s="11">
        <f t="shared" si="202"/>
        <v>3.0815999999999999</v>
      </c>
      <c r="AI792" s="11">
        <f>(AC792)*AA792/H792/I792</f>
        <v>1.5407999999999999</v>
      </c>
      <c r="AJ792" s="11">
        <f t="shared" si="204"/>
        <v>1.5407999999999999</v>
      </c>
    </row>
    <row r="793" spans="1:36" x14ac:dyDescent="0.25">
      <c r="A793" s="4" t="s">
        <v>944</v>
      </c>
      <c r="B793" s="4" t="s">
        <v>974</v>
      </c>
      <c r="C793" s="4" t="s">
        <v>15</v>
      </c>
      <c r="D793" s="4" t="s">
        <v>939</v>
      </c>
      <c r="E793" t="s">
        <v>449</v>
      </c>
      <c r="F793" t="s">
        <v>256</v>
      </c>
      <c r="G793" t="s">
        <v>330</v>
      </c>
      <c r="H793">
        <v>16</v>
      </c>
      <c r="I793">
        <v>2</v>
      </c>
      <c r="J793" t="s">
        <v>56</v>
      </c>
      <c r="K793" t="s">
        <v>17</v>
      </c>
      <c r="L793" t="s">
        <v>453</v>
      </c>
      <c r="M793" t="s">
        <v>454</v>
      </c>
      <c r="N793" t="s">
        <v>469</v>
      </c>
      <c r="P793">
        <v>1.6E-2</v>
      </c>
      <c r="Q793" t="s">
        <v>180</v>
      </c>
      <c r="R793" t="s">
        <v>187</v>
      </c>
      <c r="T793">
        <v>1</v>
      </c>
      <c r="W793">
        <v>2700</v>
      </c>
      <c r="X793" t="s">
        <v>184</v>
      </c>
      <c r="Y793" t="s">
        <v>452</v>
      </c>
      <c r="AA793" s="13">
        <f>Tableau8[[#This Row],[density (kg/m2) or specific weight (kg/m2)]]*Tableau8[[#This Row],[nb of item used ]]*Tableau8[[#This Row],[volume or area]]</f>
        <v>43.2</v>
      </c>
      <c r="AB793">
        <v>155</v>
      </c>
      <c r="AC793">
        <v>9.16</v>
      </c>
      <c r="AD793" s="11">
        <f t="shared" si="201"/>
        <v>418.5</v>
      </c>
      <c r="AE793" s="11">
        <f>_xlfn.RANK.AVG(Tableau8[[#This Row],[EE ( MJ/m²)]],AD793:AD1948)</f>
        <v>13</v>
      </c>
      <c r="AF793" s="11">
        <f t="shared" si="203"/>
        <v>209.25</v>
      </c>
      <c r="AG793" s="11">
        <f>(AC793)*AA793/H793</f>
        <v>24.732000000000003</v>
      </c>
      <c r="AH793" s="11">
        <f t="shared" si="202"/>
        <v>24.732000000000003</v>
      </c>
      <c r="AI793" s="11">
        <f>(AC793)*AA793/H793/I793</f>
        <v>12.366000000000001</v>
      </c>
      <c r="AJ793" s="11">
        <f t="shared" si="204"/>
        <v>12.366000000000001</v>
      </c>
    </row>
    <row r="794" spans="1:36" x14ac:dyDescent="0.25">
      <c r="A794" s="4" t="s">
        <v>945</v>
      </c>
      <c r="B794" s="4" t="s">
        <v>953</v>
      </c>
      <c r="C794" s="4" t="s">
        <v>12</v>
      </c>
      <c r="D794" s="4" t="s">
        <v>941</v>
      </c>
      <c r="E794" t="s">
        <v>615</v>
      </c>
      <c r="F794" t="s">
        <v>256</v>
      </c>
      <c r="G794" t="s">
        <v>616</v>
      </c>
      <c r="H794">
        <v>21</v>
      </c>
      <c r="I794">
        <v>4</v>
      </c>
      <c r="J794" t="s">
        <v>56</v>
      </c>
      <c r="K794" t="s">
        <v>17</v>
      </c>
      <c r="L794" t="s">
        <v>628</v>
      </c>
      <c r="M794" t="s">
        <v>59</v>
      </c>
      <c r="N794" t="s">
        <v>59</v>
      </c>
      <c r="P794">
        <f>0.8*1.8*0.00035</f>
        <v>5.0400000000000011E-4</v>
      </c>
      <c r="Q794" t="s">
        <v>180</v>
      </c>
      <c r="T794">
        <v>18</v>
      </c>
      <c r="W794">
        <v>7870</v>
      </c>
      <c r="X794" t="s">
        <v>184</v>
      </c>
      <c r="AA794" s="13">
        <f>Tableau8[[#This Row],[density (kg/m2) or specific weight (kg/m2)]]*Tableau8[[#This Row],[nb of item used ]]*Tableau8[[#This Row],[volume or area]]</f>
        <v>71.396640000000019</v>
      </c>
      <c r="AB794">
        <v>25</v>
      </c>
      <c r="AC794">
        <v>2.0299999999999998</v>
      </c>
      <c r="AD794" s="11">
        <f t="shared" si="201"/>
        <v>84.996000000000024</v>
      </c>
      <c r="AE794" s="11">
        <f>_xlfn.RANK.AVG(Tableau8[[#This Row],[EE ( MJ/m²)]],AD794:AD1949)</f>
        <v>65</v>
      </c>
      <c r="AF794" s="11">
        <f t="shared" si="203"/>
        <v>21.249000000000006</v>
      </c>
      <c r="AG794" s="11">
        <f>(AC794)*AA794/H794</f>
        <v>6.9016752000000015</v>
      </c>
      <c r="AH794" s="11">
        <f t="shared" si="202"/>
        <v>6.9016752000000015</v>
      </c>
      <c r="AI794" s="11">
        <f>(AC794)*AA794/H794/I794</f>
        <v>1.7254188000000004</v>
      </c>
      <c r="AJ794" s="11">
        <f t="shared" si="204"/>
        <v>1.7254188000000004</v>
      </c>
    </row>
    <row r="795" spans="1:36" x14ac:dyDescent="0.25">
      <c r="A795" s="4" t="s">
        <v>945</v>
      </c>
      <c r="B795" s="4" t="s">
        <v>953</v>
      </c>
      <c r="C795" s="4" t="s">
        <v>15</v>
      </c>
      <c r="D795" s="4" t="s">
        <v>941</v>
      </c>
      <c r="E795" t="s">
        <v>615</v>
      </c>
      <c r="F795" t="s">
        <v>256</v>
      </c>
      <c r="G795" t="s">
        <v>616</v>
      </c>
      <c r="H795">
        <v>21</v>
      </c>
      <c r="I795">
        <v>4</v>
      </c>
      <c r="J795" t="s">
        <v>56</v>
      </c>
      <c r="K795" t="s">
        <v>17</v>
      </c>
      <c r="L795" t="s">
        <v>628</v>
      </c>
      <c r="M795" t="s">
        <v>59</v>
      </c>
      <c r="N795" t="s">
        <v>59</v>
      </c>
      <c r="P795">
        <f>0.8*0.9*0.00035</f>
        <v>2.5200000000000005E-4</v>
      </c>
      <c r="Q795" t="s">
        <v>180</v>
      </c>
      <c r="T795">
        <v>18</v>
      </c>
      <c r="W795">
        <v>7870</v>
      </c>
      <c r="X795" t="s">
        <v>184</v>
      </c>
      <c r="AA795" s="13">
        <f>Tableau8[[#This Row],[density (kg/m2) or specific weight (kg/m2)]]*Tableau8[[#This Row],[nb of item used ]]*Tableau8[[#This Row],[volume or area]]</f>
        <v>35.69832000000001</v>
      </c>
      <c r="AB795">
        <v>25</v>
      </c>
      <c r="AC795">
        <v>2.0299999999999998</v>
      </c>
      <c r="AD795" s="11">
        <f t="shared" si="201"/>
        <v>42.498000000000012</v>
      </c>
      <c r="AE795" s="11">
        <f>_xlfn.RANK.AVG(Tableau8[[#This Row],[EE ( MJ/m²)]],AD795:AD1950)</f>
        <v>100</v>
      </c>
      <c r="AF795" s="11">
        <f t="shared" si="203"/>
        <v>10.624500000000003</v>
      </c>
      <c r="AG795" s="11">
        <f>(AC795)*AA795/H795</f>
        <v>3.4508376000000007</v>
      </c>
      <c r="AH795" s="11">
        <f t="shared" si="202"/>
        <v>3.4508376000000007</v>
      </c>
      <c r="AI795" s="11">
        <f>(AC795)*AA795/H795/I795</f>
        <v>0.86270940000000018</v>
      </c>
      <c r="AJ795" s="11">
        <f t="shared" si="204"/>
        <v>0.86270940000000018</v>
      </c>
    </row>
    <row r="796" spans="1:36" x14ac:dyDescent="0.25">
      <c r="A796" s="4" t="s">
        <v>945</v>
      </c>
      <c r="B796" s="4" t="s">
        <v>953</v>
      </c>
      <c r="C796" s="4" t="s">
        <v>15</v>
      </c>
      <c r="D796" s="4" t="s">
        <v>941</v>
      </c>
      <c r="E796" t="s">
        <v>615</v>
      </c>
      <c r="F796" t="s">
        <v>256</v>
      </c>
      <c r="G796" t="s">
        <v>616</v>
      </c>
      <c r="H796">
        <v>21</v>
      </c>
      <c r="I796">
        <v>4</v>
      </c>
      <c r="J796" t="s">
        <v>42</v>
      </c>
      <c r="K796" t="s">
        <v>15</v>
      </c>
      <c r="L796" t="s">
        <v>618</v>
      </c>
      <c r="M796" t="s">
        <v>15</v>
      </c>
      <c r="N796" t="s">
        <v>15</v>
      </c>
      <c r="P796">
        <f>0.089*0.089*2.4</f>
        <v>1.9010399999999997E-2</v>
      </c>
      <c r="Q796" t="s">
        <v>180</v>
      </c>
      <c r="T796">
        <v>16</v>
      </c>
      <c r="W796" s="1">
        <v>510</v>
      </c>
      <c r="X796" t="s">
        <v>184</v>
      </c>
      <c r="AA796" s="13">
        <f>Tableau8[[#This Row],[nb of item used ]]*Tableau8[[#This Row],[density (kg/m2) or specific weight (kg/m2)]]*Tableau8[[#This Row],[volume or area]]</f>
        <v>155.12486399999997</v>
      </c>
      <c r="AB796">
        <f t="shared" ref="AB796:AB804" si="209">10-4.4</f>
        <v>5.6</v>
      </c>
      <c r="AC796">
        <f t="shared" ref="AC796:AC804" si="210">0.31+0.41</f>
        <v>0.72</v>
      </c>
      <c r="AD796" s="11">
        <f t="shared" si="201"/>
        <v>41.366630399999991</v>
      </c>
      <c r="AE796" s="11">
        <f>_xlfn.RANK.AVG(Tableau8[[#This Row],[EE ( MJ/m²)]],AD796:AD1951)</f>
        <v>100</v>
      </c>
      <c r="AF796" s="11">
        <f t="shared" si="203"/>
        <v>10.341657599999998</v>
      </c>
      <c r="AG796" s="11">
        <f t="shared" ref="AG796:AG804" si="211">(AC796-0.41)*AA796/H796</f>
        <v>2.2899384685714281</v>
      </c>
      <c r="AH796" s="11">
        <f t="shared" si="202"/>
        <v>5.3185667657142845</v>
      </c>
      <c r="AI796" s="11">
        <f t="shared" ref="AI796:AI804" si="212">(AC796-0.41)*AA796/H796/I796</f>
        <v>0.57248461714285703</v>
      </c>
      <c r="AJ796" s="11">
        <f t="shared" si="204"/>
        <v>1.3296416914285711</v>
      </c>
    </row>
    <row r="797" spans="1:36" x14ac:dyDescent="0.25">
      <c r="A797" s="4" t="s">
        <v>945</v>
      </c>
      <c r="B797" s="4" t="s">
        <v>953</v>
      </c>
      <c r="C797" s="4" t="s">
        <v>15</v>
      </c>
      <c r="D797" s="4" t="s">
        <v>941</v>
      </c>
      <c r="E797" t="s">
        <v>615</v>
      </c>
      <c r="F797" t="s">
        <v>256</v>
      </c>
      <c r="G797" t="s">
        <v>616</v>
      </c>
      <c r="H797">
        <v>21</v>
      </c>
      <c r="I797">
        <v>4</v>
      </c>
      <c r="J797" t="s">
        <v>42</v>
      </c>
      <c r="K797" t="s">
        <v>15</v>
      </c>
      <c r="L797" t="s">
        <v>619</v>
      </c>
      <c r="M797" t="s">
        <v>15</v>
      </c>
      <c r="N797" t="s">
        <v>15</v>
      </c>
      <c r="P797">
        <f>0.038*0.089*2.4</f>
        <v>8.1167999999999987E-3</v>
      </c>
      <c r="Q797" t="s">
        <v>180</v>
      </c>
      <c r="T797">
        <v>32</v>
      </c>
      <c r="W797">
        <v>510</v>
      </c>
      <c r="X797" t="s">
        <v>184</v>
      </c>
      <c r="AA797" s="13">
        <f>Tableau8[[#This Row],[nb of item used ]]*Tableau8[[#This Row],[density (kg/m2) or specific weight (kg/m2)]]*Tableau8[[#This Row],[volume or area]]</f>
        <v>132.46617599999999</v>
      </c>
      <c r="AB797">
        <f t="shared" si="209"/>
        <v>5.6</v>
      </c>
      <c r="AC797">
        <f t="shared" si="210"/>
        <v>0.72</v>
      </c>
      <c r="AD797" s="11">
        <f t="shared" si="201"/>
        <v>35.324313599999996</v>
      </c>
      <c r="AE797" s="11">
        <f>_xlfn.RANK.AVG(Tableau8[[#This Row],[EE ( MJ/m²)]],AD797:AD1952)</f>
        <v>108</v>
      </c>
      <c r="AF797" s="11">
        <f t="shared" si="203"/>
        <v>8.8310783999999991</v>
      </c>
      <c r="AG797" s="11">
        <f t="shared" si="211"/>
        <v>1.9554530742857144</v>
      </c>
      <c r="AH797" s="11">
        <f t="shared" si="202"/>
        <v>4.541697462857142</v>
      </c>
      <c r="AI797" s="11">
        <f t="shared" si="212"/>
        <v>0.48886326857142859</v>
      </c>
      <c r="AJ797" s="11">
        <f t="shared" si="204"/>
        <v>1.1354243657142855</v>
      </c>
    </row>
    <row r="798" spans="1:36" x14ac:dyDescent="0.25">
      <c r="A798" s="4" t="s">
        <v>945</v>
      </c>
      <c r="B798" s="4" t="s">
        <v>953</v>
      </c>
      <c r="C798" s="4" t="s">
        <v>15</v>
      </c>
      <c r="D798" s="4" t="s">
        <v>941</v>
      </c>
      <c r="E798" t="s">
        <v>615</v>
      </c>
      <c r="F798" t="s">
        <v>256</v>
      </c>
      <c r="G798" t="s">
        <v>616</v>
      </c>
      <c r="H798">
        <v>21</v>
      </c>
      <c r="I798">
        <v>4</v>
      </c>
      <c r="J798" t="s">
        <v>42</v>
      </c>
      <c r="K798" t="s">
        <v>15</v>
      </c>
      <c r="L798" t="s">
        <v>620</v>
      </c>
      <c r="M798" t="s">
        <v>15</v>
      </c>
      <c r="N798" t="s">
        <v>15</v>
      </c>
      <c r="P798">
        <f>0.038*0.089*2.4</f>
        <v>8.1167999999999987E-3</v>
      </c>
      <c r="Q798" t="s">
        <v>180</v>
      </c>
      <c r="T798">
        <v>5</v>
      </c>
      <c r="W798">
        <v>510</v>
      </c>
      <c r="X798" t="s">
        <v>184</v>
      </c>
      <c r="AA798" s="13">
        <f>Tableau8[[#This Row],[nb of item used ]]*Tableau8[[#This Row],[density (kg/m2) or specific weight (kg/m2)]]*Tableau8[[#This Row],[volume or area]]</f>
        <v>20.697839999999996</v>
      </c>
      <c r="AB798">
        <f t="shared" si="209"/>
        <v>5.6</v>
      </c>
      <c r="AC798">
        <f t="shared" si="210"/>
        <v>0.72</v>
      </c>
      <c r="AD798" s="11">
        <f t="shared" si="201"/>
        <v>5.519423999999999</v>
      </c>
      <c r="AE798" s="11">
        <f>_xlfn.RANK.AVG(Tableau8[[#This Row],[EE ( MJ/m²)]],AD798:AD1953)</f>
        <v>228.5</v>
      </c>
      <c r="AF798" s="11">
        <f t="shared" si="203"/>
        <v>1.3798559999999997</v>
      </c>
      <c r="AG798" s="11">
        <f t="shared" si="211"/>
        <v>0.3055395428571428</v>
      </c>
      <c r="AH798" s="11">
        <f t="shared" si="202"/>
        <v>0.70964022857142839</v>
      </c>
      <c r="AI798" s="11">
        <f t="shared" si="212"/>
        <v>7.63848857142857E-2</v>
      </c>
      <c r="AJ798" s="11">
        <f t="shared" si="204"/>
        <v>0.1774100571428571</v>
      </c>
    </row>
    <row r="799" spans="1:36" s="18" customFormat="1" x14ac:dyDescent="0.25">
      <c r="A799" s="4" t="s">
        <v>945</v>
      </c>
      <c r="B799" s="4" t="s">
        <v>953</v>
      </c>
      <c r="C799" s="4" t="s">
        <v>15</v>
      </c>
      <c r="D799" s="4" t="s">
        <v>941</v>
      </c>
      <c r="E799" t="s">
        <v>615</v>
      </c>
      <c r="F799" t="s">
        <v>256</v>
      </c>
      <c r="G799" t="s">
        <v>616</v>
      </c>
      <c r="H799">
        <v>21</v>
      </c>
      <c r="I799">
        <v>4</v>
      </c>
      <c r="J799" t="s">
        <v>42</v>
      </c>
      <c r="K799" t="s">
        <v>15</v>
      </c>
      <c r="L799" t="s">
        <v>621</v>
      </c>
      <c r="M799" t="s">
        <v>15</v>
      </c>
      <c r="N799" t="s">
        <v>15</v>
      </c>
      <c r="O799"/>
      <c r="P799">
        <f>0.038*0.089*2.4</f>
        <v>8.1167999999999987E-3</v>
      </c>
      <c r="Q799" t="s">
        <v>180</v>
      </c>
      <c r="R799"/>
      <c r="S799"/>
      <c r="T799">
        <v>5</v>
      </c>
      <c r="U799"/>
      <c r="V799"/>
      <c r="W799">
        <v>510</v>
      </c>
      <c r="X799" t="s">
        <v>184</v>
      </c>
      <c r="Y799"/>
      <c r="Z799"/>
      <c r="AA799" s="13">
        <f>Tableau8[[#This Row],[nb of item used ]]*Tableau8[[#This Row],[density (kg/m2) or specific weight (kg/m2)]]*Tableau8[[#This Row],[volume or area]]</f>
        <v>20.697839999999996</v>
      </c>
      <c r="AB799">
        <f t="shared" si="209"/>
        <v>5.6</v>
      </c>
      <c r="AC799">
        <f t="shared" si="210"/>
        <v>0.72</v>
      </c>
      <c r="AD799" s="11">
        <f t="shared" si="201"/>
        <v>5.519423999999999</v>
      </c>
      <c r="AE799" s="11">
        <f>_xlfn.RANK.AVG(Tableau8[[#This Row],[EE ( MJ/m²)]],AD799:AD1954)</f>
        <v>228</v>
      </c>
      <c r="AF799" s="11">
        <f t="shared" si="203"/>
        <v>1.3798559999999997</v>
      </c>
      <c r="AG799" s="11">
        <f t="shared" si="211"/>
        <v>0.3055395428571428</v>
      </c>
      <c r="AH799" s="11">
        <f t="shared" si="202"/>
        <v>0.70964022857142839</v>
      </c>
      <c r="AI799" s="11">
        <f t="shared" si="212"/>
        <v>7.63848857142857E-2</v>
      </c>
      <c r="AJ799" s="11">
        <f t="shared" si="204"/>
        <v>0.1774100571428571</v>
      </c>
    </row>
    <row r="800" spans="1:36" s="18" customFormat="1" x14ac:dyDescent="0.25">
      <c r="A800" s="4" t="s">
        <v>945</v>
      </c>
      <c r="B800" s="4" t="s">
        <v>953</v>
      </c>
      <c r="C800" s="4" t="s">
        <v>15</v>
      </c>
      <c r="D800" s="4" t="s">
        <v>941</v>
      </c>
      <c r="E800" t="s">
        <v>615</v>
      </c>
      <c r="F800" t="s">
        <v>256</v>
      </c>
      <c r="G800" t="s">
        <v>616</v>
      </c>
      <c r="H800">
        <v>21</v>
      </c>
      <c r="I800">
        <v>4</v>
      </c>
      <c r="J800" t="s">
        <v>42</v>
      </c>
      <c r="K800" t="s">
        <v>15</v>
      </c>
      <c r="L800" t="s">
        <v>622</v>
      </c>
      <c r="M800" t="s">
        <v>15</v>
      </c>
      <c r="N800" t="s">
        <v>15</v>
      </c>
      <c r="O800"/>
      <c r="P800">
        <f>0.038*0.089*3.7</f>
        <v>1.2513399999999999E-2</v>
      </c>
      <c r="Q800" t="s">
        <v>180</v>
      </c>
      <c r="R800"/>
      <c r="S800"/>
      <c r="T800">
        <v>11</v>
      </c>
      <c r="U800"/>
      <c r="V800"/>
      <c r="W800">
        <v>510</v>
      </c>
      <c r="X800" t="s">
        <v>184</v>
      </c>
      <c r="Y800"/>
      <c r="Z800"/>
      <c r="AA800" s="13">
        <f>Tableau8[[#This Row],[nb of item used ]]*Tableau8[[#This Row],[density (kg/m2) or specific weight (kg/m2)]]*Tableau8[[#This Row],[volume or area]]</f>
        <v>70.20017399999999</v>
      </c>
      <c r="AB800">
        <f t="shared" si="209"/>
        <v>5.6</v>
      </c>
      <c r="AC800">
        <f t="shared" si="210"/>
        <v>0.72</v>
      </c>
      <c r="AD800" s="11">
        <f t="shared" si="201"/>
        <v>18.720046399999994</v>
      </c>
      <c r="AE800" s="11">
        <f>_xlfn.RANK.AVG(Tableau8[[#This Row],[EE ( MJ/m²)]],AD800:AD1955)</f>
        <v>149</v>
      </c>
      <c r="AF800" s="11">
        <f t="shared" si="203"/>
        <v>4.6800115999999985</v>
      </c>
      <c r="AG800" s="11">
        <f t="shared" si="211"/>
        <v>1.0362882828571427</v>
      </c>
      <c r="AH800" s="11">
        <f t="shared" si="202"/>
        <v>2.4068631085714278</v>
      </c>
      <c r="AI800" s="11">
        <f t="shared" si="212"/>
        <v>0.25907207071428567</v>
      </c>
      <c r="AJ800" s="11">
        <f t="shared" si="204"/>
        <v>0.60171577714285696</v>
      </c>
    </row>
    <row r="801" spans="1:36" x14ac:dyDescent="0.25">
      <c r="A801" s="4" t="s">
        <v>945</v>
      </c>
      <c r="B801" s="4" t="s">
        <v>953</v>
      </c>
      <c r="C801" s="4" t="s">
        <v>15</v>
      </c>
      <c r="D801" s="4" t="s">
        <v>941</v>
      </c>
      <c r="E801" t="s">
        <v>615</v>
      </c>
      <c r="F801" t="s">
        <v>256</v>
      </c>
      <c r="G801" t="s">
        <v>616</v>
      </c>
      <c r="H801">
        <v>21</v>
      </c>
      <c r="I801">
        <v>4</v>
      </c>
      <c r="J801" t="s">
        <v>42</v>
      </c>
      <c r="K801" t="s">
        <v>15</v>
      </c>
      <c r="L801" t="s">
        <v>623</v>
      </c>
      <c r="M801" t="s">
        <v>15</v>
      </c>
      <c r="N801" t="s">
        <v>15</v>
      </c>
      <c r="P801">
        <f>0.038*0.089*6.1</f>
        <v>2.0630199999999998E-2</v>
      </c>
      <c r="Q801" t="s">
        <v>180</v>
      </c>
      <c r="T801">
        <v>5</v>
      </c>
      <c r="W801">
        <v>510</v>
      </c>
      <c r="X801" t="s">
        <v>184</v>
      </c>
      <c r="AA801" s="13">
        <f>Tableau8[[#This Row],[nb of item used ]]*Tableau8[[#This Row],[density (kg/m2) or specific weight (kg/m2)]]*Tableau8[[#This Row],[volume or area]]</f>
        <v>52.607009999999995</v>
      </c>
      <c r="AB801">
        <f t="shared" si="209"/>
        <v>5.6</v>
      </c>
      <c r="AC801">
        <f t="shared" si="210"/>
        <v>0.72</v>
      </c>
      <c r="AD801" s="11">
        <f t="shared" si="201"/>
        <v>14.028535999999999</v>
      </c>
      <c r="AE801" s="11">
        <f>_xlfn.RANK.AVG(Tableau8[[#This Row],[EE ( MJ/m²)]],AD801:AD1956)</f>
        <v>170</v>
      </c>
      <c r="AF801" s="11">
        <f t="shared" si="203"/>
        <v>3.5071339999999998</v>
      </c>
      <c r="AG801" s="11">
        <f t="shared" si="211"/>
        <v>0.77657967142857132</v>
      </c>
      <c r="AH801" s="11">
        <f t="shared" si="202"/>
        <v>1.8036689142857139</v>
      </c>
      <c r="AI801" s="11">
        <f t="shared" si="212"/>
        <v>0.19414491785714283</v>
      </c>
      <c r="AJ801" s="11">
        <f t="shared" si="204"/>
        <v>0.45091722857142846</v>
      </c>
    </row>
    <row r="802" spans="1:36" x14ac:dyDescent="0.25">
      <c r="A802" s="4" t="s">
        <v>945</v>
      </c>
      <c r="B802" s="4" t="s">
        <v>953</v>
      </c>
      <c r="C802" s="4" t="s">
        <v>15</v>
      </c>
      <c r="D802" s="4" t="s">
        <v>941</v>
      </c>
      <c r="E802" t="s">
        <v>615</v>
      </c>
      <c r="F802" t="s">
        <v>256</v>
      </c>
      <c r="G802" t="s">
        <v>616</v>
      </c>
      <c r="H802">
        <v>21</v>
      </c>
      <c r="I802">
        <v>4</v>
      </c>
      <c r="J802" t="s">
        <v>42</v>
      </c>
      <c r="K802" t="s">
        <v>15</v>
      </c>
      <c r="L802" t="s">
        <v>624</v>
      </c>
      <c r="M802" t="s">
        <v>15</v>
      </c>
      <c r="N802" t="s">
        <v>15</v>
      </c>
      <c r="P802">
        <f>0.038*0.038*3</f>
        <v>4.3319999999999999E-3</v>
      </c>
      <c r="Q802" t="s">
        <v>180</v>
      </c>
      <c r="T802">
        <v>8</v>
      </c>
      <c r="W802">
        <v>510</v>
      </c>
      <c r="X802" t="s">
        <v>184</v>
      </c>
      <c r="AA802" s="13">
        <f>Tableau8[[#This Row],[nb of item used ]]*Tableau8[[#This Row],[density (kg/m2) or specific weight (kg/m2)]]*Tableau8[[#This Row],[volume or area]]</f>
        <v>17.67456</v>
      </c>
      <c r="AB802">
        <f t="shared" si="209"/>
        <v>5.6</v>
      </c>
      <c r="AC802">
        <f t="shared" si="210"/>
        <v>0.72</v>
      </c>
      <c r="AD802" s="11">
        <f t="shared" si="201"/>
        <v>4.7132159999999992</v>
      </c>
      <c r="AE802" s="11">
        <f>_xlfn.RANK.AVG(Tableau8[[#This Row],[EE ( MJ/m²)]],AD802:AD1957)</f>
        <v>231</v>
      </c>
      <c r="AF802" s="11">
        <f t="shared" si="203"/>
        <v>1.1783039999999998</v>
      </c>
      <c r="AG802" s="11">
        <f t="shared" si="211"/>
        <v>0.26091017142857142</v>
      </c>
      <c r="AH802" s="11">
        <f t="shared" si="202"/>
        <v>0.60598491428571422</v>
      </c>
      <c r="AI802" s="11">
        <f t="shared" si="212"/>
        <v>6.5227542857142856E-2</v>
      </c>
      <c r="AJ802" s="11">
        <f t="shared" si="204"/>
        <v>0.15149622857142855</v>
      </c>
    </row>
    <row r="803" spans="1:36" x14ac:dyDescent="0.25">
      <c r="A803" s="4" t="s">
        <v>945</v>
      </c>
      <c r="B803" s="4" t="s">
        <v>953</v>
      </c>
      <c r="C803" s="4" t="s">
        <v>15</v>
      </c>
      <c r="D803" s="4" t="s">
        <v>941</v>
      </c>
      <c r="E803" t="s">
        <v>615</v>
      </c>
      <c r="F803" t="s">
        <v>256</v>
      </c>
      <c r="G803" t="s">
        <v>616</v>
      </c>
      <c r="H803">
        <v>21</v>
      </c>
      <c r="I803">
        <v>4</v>
      </c>
      <c r="J803" t="s">
        <v>42</v>
      </c>
      <c r="K803" t="s">
        <v>15</v>
      </c>
      <c r="L803" t="s">
        <v>625</v>
      </c>
      <c r="M803" t="s">
        <v>15</v>
      </c>
      <c r="N803" t="s">
        <v>15</v>
      </c>
      <c r="P803">
        <f>0.038*0.038*4.3</f>
        <v>6.2091999999999998E-3</v>
      </c>
      <c r="Q803" t="s">
        <v>180</v>
      </c>
      <c r="T803">
        <v>8</v>
      </c>
      <c r="W803">
        <v>510</v>
      </c>
      <c r="X803" t="s">
        <v>184</v>
      </c>
      <c r="AA803" s="13">
        <f>Tableau8[[#This Row],[nb of item used ]]*Tableau8[[#This Row],[density (kg/m2) or specific weight (kg/m2)]]*Tableau8[[#This Row],[volume or area]]</f>
        <v>25.333535999999999</v>
      </c>
      <c r="AB803">
        <f t="shared" si="209"/>
        <v>5.6</v>
      </c>
      <c r="AC803">
        <f t="shared" si="210"/>
        <v>0.72</v>
      </c>
      <c r="AD803" s="11">
        <f t="shared" si="201"/>
        <v>6.7556095999999988</v>
      </c>
      <c r="AE803" s="11">
        <f>_xlfn.RANK.AVG(Tableau8[[#This Row],[EE ( MJ/m²)]],AD803:AD1958)</f>
        <v>216</v>
      </c>
      <c r="AF803" s="11">
        <f t="shared" si="203"/>
        <v>1.6889023999999997</v>
      </c>
      <c r="AG803" s="11">
        <f t="shared" si="211"/>
        <v>0.37397124571428569</v>
      </c>
      <c r="AH803" s="11">
        <f t="shared" si="202"/>
        <v>0.86857837714285713</v>
      </c>
      <c r="AI803" s="11">
        <f t="shared" si="212"/>
        <v>9.3492811428571423E-2</v>
      </c>
      <c r="AJ803" s="11">
        <f t="shared" si="204"/>
        <v>0.21714459428571428</v>
      </c>
    </row>
    <row r="804" spans="1:36" x14ac:dyDescent="0.25">
      <c r="A804" s="4" t="s">
        <v>945</v>
      </c>
      <c r="B804" s="4" t="s">
        <v>953</v>
      </c>
      <c r="C804" s="4" t="s">
        <v>15</v>
      </c>
      <c r="D804" s="4" t="s">
        <v>941</v>
      </c>
      <c r="E804" t="s">
        <v>615</v>
      </c>
      <c r="F804" t="s">
        <v>256</v>
      </c>
      <c r="G804" t="s">
        <v>616</v>
      </c>
      <c r="H804">
        <v>21</v>
      </c>
      <c r="I804">
        <v>4</v>
      </c>
      <c r="J804" t="s">
        <v>42</v>
      </c>
      <c r="K804" t="s">
        <v>15</v>
      </c>
      <c r="L804" t="s">
        <v>626</v>
      </c>
      <c r="M804" t="s">
        <v>15</v>
      </c>
      <c r="N804" t="s">
        <v>15</v>
      </c>
      <c r="P804">
        <f>0.019*0.089*4.9</f>
        <v>8.2858999999999988E-3</v>
      </c>
      <c r="Q804" t="s">
        <v>180</v>
      </c>
      <c r="T804">
        <v>3</v>
      </c>
      <c r="W804">
        <v>510</v>
      </c>
      <c r="X804" t="s">
        <v>184</v>
      </c>
      <c r="AA804" s="13">
        <f>Tableau8[[#This Row],[nb of item used ]]*Tableau8[[#This Row],[density (kg/m2) or specific weight (kg/m2)]]*Tableau8[[#This Row],[volume or area]]</f>
        <v>12.677426999999998</v>
      </c>
      <c r="AB804">
        <f t="shared" si="209"/>
        <v>5.6</v>
      </c>
      <c r="AC804">
        <f t="shared" si="210"/>
        <v>0.72</v>
      </c>
      <c r="AD804" s="11">
        <f t="shared" ref="AD804:AD823" si="213">AB804*AA804/H804</f>
        <v>3.3806471999999994</v>
      </c>
      <c r="AE804" s="11">
        <f>_xlfn.RANK.AVG(Tableau8[[#This Row],[EE ( MJ/m²)]],AD804:AD1959)</f>
        <v>242</v>
      </c>
      <c r="AF804" s="11">
        <f t="shared" si="203"/>
        <v>0.84516179999999985</v>
      </c>
      <c r="AG804" s="11">
        <f t="shared" si="211"/>
        <v>0.18714296999999996</v>
      </c>
      <c r="AH804" s="11">
        <f t="shared" ref="AH804:AH823" si="214">AC804*AA804/H804</f>
        <v>0.43465463999999993</v>
      </c>
      <c r="AI804" s="11">
        <f t="shared" si="212"/>
        <v>4.6785742499999991E-2</v>
      </c>
      <c r="AJ804" s="11">
        <f t="shared" si="204"/>
        <v>0.10866365999999998</v>
      </c>
    </row>
    <row r="805" spans="1:36" x14ac:dyDescent="0.25">
      <c r="A805" s="4" t="s">
        <v>945</v>
      </c>
      <c r="B805" s="4" t="s">
        <v>953</v>
      </c>
      <c r="C805" s="4" t="s">
        <v>15</v>
      </c>
      <c r="D805" s="4" t="s">
        <v>941</v>
      </c>
      <c r="E805" t="s">
        <v>615</v>
      </c>
      <c r="F805" t="s">
        <v>256</v>
      </c>
      <c r="G805" t="s">
        <v>616</v>
      </c>
      <c r="H805">
        <v>21</v>
      </c>
      <c r="I805">
        <v>4</v>
      </c>
      <c r="J805" t="s">
        <v>56</v>
      </c>
      <c r="K805" t="s">
        <v>17</v>
      </c>
      <c r="L805" t="s">
        <v>629</v>
      </c>
      <c r="M805" t="s">
        <v>12</v>
      </c>
      <c r="N805" t="s">
        <v>12</v>
      </c>
      <c r="P805">
        <f>3*0.3*0.00035</f>
        <v>3.1499999999999996E-4</v>
      </c>
      <c r="Q805" t="s">
        <v>180</v>
      </c>
      <c r="T805">
        <v>2</v>
      </c>
      <c r="W805">
        <v>7800</v>
      </c>
      <c r="X805" t="s">
        <v>184</v>
      </c>
      <c r="AA805" s="13">
        <f>Tableau8[[#This Row],[density (kg/m2) or specific weight (kg/m2)]]*Tableau8[[#This Row],[nb of item used ]]*Tableau8[[#This Row],[volume or area]]</f>
        <v>4.9139999999999997</v>
      </c>
      <c r="AB805">
        <v>25.3</v>
      </c>
      <c r="AC805">
        <v>1.95</v>
      </c>
      <c r="AD805" s="11">
        <f t="shared" si="213"/>
        <v>5.9201999999999995</v>
      </c>
      <c r="AE805" s="11">
        <f>_xlfn.RANK.AVG(Tableau8[[#This Row],[EE ( MJ/m²)]],AD805:AD1960)</f>
        <v>223</v>
      </c>
      <c r="AF805" s="11">
        <f t="shared" si="203"/>
        <v>1.4800499999999999</v>
      </c>
      <c r="AG805" s="11">
        <f t="shared" ref="AG805:AG821" si="215">(AC805)*AA805/H805</f>
        <v>0.45629999999999998</v>
      </c>
      <c r="AH805" s="11">
        <f t="shared" si="214"/>
        <v>0.45629999999999998</v>
      </c>
      <c r="AI805" s="11">
        <f t="shared" ref="AI805:AI821" si="216">(AC805)*AA805/H805/I805</f>
        <v>0.114075</v>
      </c>
      <c r="AJ805" s="11">
        <f t="shared" si="204"/>
        <v>0.114075</v>
      </c>
    </row>
    <row r="806" spans="1:36" x14ac:dyDescent="0.25">
      <c r="A806" s="4" t="s">
        <v>945</v>
      </c>
      <c r="B806" s="4" t="s">
        <v>953</v>
      </c>
      <c r="C806" s="4" t="s">
        <v>15</v>
      </c>
      <c r="D806" s="4" t="s">
        <v>941</v>
      </c>
      <c r="E806" t="s">
        <v>615</v>
      </c>
      <c r="F806" t="s">
        <v>256</v>
      </c>
      <c r="G806" t="s">
        <v>616</v>
      </c>
      <c r="H806">
        <v>21</v>
      </c>
      <c r="I806">
        <v>4</v>
      </c>
      <c r="J806" t="s">
        <v>56</v>
      </c>
      <c r="K806" t="s">
        <v>17</v>
      </c>
      <c r="L806" t="s">
        <v>629</v>
      </c>
      <c r="M806" t="s">
        <v>12</v>
      </c>
      <c r="N806" t="s">
        <v>12</v>
      </c>
      <c r="P806">
        <f>0.9*0.3*0.00035</f>
        <v>9.4500000000000007E-5</v>
      </c>
      <c r="T806">
        <v>9</v>
      </c>
      <c r="W806">
        <v>7800</v>
      </c>
      <c r="X806" t="s">
        <v>184</v>
      </c>
      <c r="AA806" s="13">
        <f>Tableau8[[#This Row],[density (kg/m2) or specific weight (kg/m2)]]*Tableau8[[#This Row],[nb of item used ]]*Tableau8[[#This Row],[volume or area]]</f>
        <v>6.6339000000000006</v>
      </c>
      <c r="AB806">
        <v>25.3</v>
      </c>
      <c r="AC806">
        <v>1.95</v>
      </c>
      <c r="AD806" s="11">
        <f t="shared" si="213"/>
        <v>7.9922700000000013</v>
      </c>
      <c r="AE806" s="11">
        <f>_xlfn.RANK.AVG(Tableau8[[#This Row],[EE ( MJ/m²)]],AD806:AD1961)</f>
        <v>208</v>
      </c>
      <c r="AF806" s="11">
        <f t="shared" ref="AF806:AF823" si="217">AB806*AA806/H806/I806</f>
        <v>1.9980675000000003</v>
      </c>
      <c r="AG806" s="11">
        <f t="shared" si="215"/>
        <v>0.61600500000000002</v>
      </c>
      <c r="AH806" s="11">
        <f t="shared" si="214"/>
        <v>0.61600500000000002</v>
      </c>
      <c r="AI806" s="11">
        <f t="shared" si="216"/>
        <v>0.15400125000000001</v>
      </c>
      <c r="AJ806" s="11">
        <f t="shared" ref="AJ806:AJ823" si="218">AC806*AA806/H806/I806</f>
        <v>0.15400125000000001</v>
      </c>
    </row>
    <row r="807" spans="1:36" x14ac:dyDescent="0.25">
      <c r="A807" s="4" t="s">
        <v>945</v>
      </c>
      <c r="B807" s="4" t="s">
        <v>953</v>
      </c>
      <c r="C807" s="4" t="s">
        <v>15</v>
      </c>
      <c r="D807" s="4" t="s">
        <v>941</v>
      </c>
      <c r="E807" t="s">
        <v>615</v>
      </c>
      <c r="F807" t="s">
        <v>256</v>
      </c>
      <c r="G807" t="s">
        <v>616</v>
      </c>
      <c r="H807">
        <v>21</v>
      </c>
      <c r="I807">
        <v>4</v>
      </c>
      <c r="J807" t="s">
        <v>40</v>
      </c>
      <c r="K807" t="s">
        <v>17</v>
      </c>
      <c r="L807" t="s">
        <v>278</v>
      </c>
      <c r="M807" t="s">
        <v>12</v>
      </c>
      <c r="N807" t="s">
        <v>12</v>
      </c>
      <c r="T807">
        <v>1</v>
      </c>
      <c r="W807" s="1">
        <v>7800</v>
      </c>
      <c r="X807" t="s">
        <v>184</v>
      </c>
      <c r="AA807" s="13">
        <v>0.53800000000000003</v>
      </c>
      <c r="AB807">
        <v>25.3</v>
      </c>
      <c r="AC807">
        <v>1.95</v>
      </c>
      <c r="AD807" s="11">
        <f t="shared" si="213"/>
        <v>0.64816190476190483</v>
      </c>
      <c r="AE807" s="11">
        <f>_xlfn.RANK.AVG(Tableau8[[#This Row],[EE ( MJ/m²)]],AD807:AD1962)</f>
        <v>316</v>
      </c>
      <c r="AF807" s="11">
        <f t="shared" si="217"/>
        <v>0.16204047619047621</v>
      </c>
      <c r="AG807" s="11">
        <f t="shared" si="215"/>
        <v>4.9957142857142867E-2</v>
      </c>
      <c r="AH807" s="11">
        <f t="shared" si="214"/>
        <v>4.9957142857142867E-2</v>
      </c>
      <c r="AI807" s="11">
        <f t="shared" si="216"/>
        <v>1.2489285714285717E-2</v>
      </c>
      <c r="AJ807" s="11">
        <f t="shared" si="218"/>
        <v>1.2489285714285717E-2</v>
      </c>
    </row>
    <row r="808" spans="1:36" x14ac:dyDescent="0.25">
      <c r="A808" s="4" t="s">
        <v>945</v>
      </c>
      <c r="B808" s="4" t="s">
        <v>953</v>
      </c>
      <c r="C808" s="4" t="s">
        <v>15</v>
      </c>
      <c r="D808" s="4" t="s">
        <v>941</v>
      </c>
      <c r="E808" t="s">
        <v>615</v>
      </c>
      <c r="F808" t="s">
        <v>256</v>
      </c>
      <c r="G808" t="s">
        <v>616</v>
      </c>
      <c r="H808">
        <v>21</v>
      </c>
      <c r="I808">
        <v>4</v>
      </c>
      <c r="J808" t="s">
        <v>40</v>
      </c>
      <c r="K808" t="s">
        <v>17</v>
      </c>
      <c r="L808" t="s">
        <v>284</v>
      </c>
      <c r="M808" t="s">
        <v>12</v>
      </c>
      <c r="N808" t="s">
        <v>12</v>
      </c>
      <c r="P808">
        <f>0.014*0.1*0.05</f>
        <v>7.0000000000000007E-5</v>
      </c>
      <c r="Q808" t="s">
        <v>180</v>
      </c>
      <c r="R808" t="s">
        <v>187</v>
      </c>
      <c r="T808">
        <v>2</v>
      </c>
      <c r="W808">
        <v>7800</v>
      </c>
      <c r="X808" t="s">
        <v>184</v>
      </c>
      <c r="Y808" t="s">
        <v>185</v>
      </c>
      <c r="AA808" s="13">
        <f>Tableau8[[#This Row],[density (kg/m2) or specific weight (kg/m2)]]*Tableau8[[#This Row],[nb of item used ]]*Tableau8[[#This Row],[volume or area]]</f>
        <v>1.0920000000000001</v>
      </c>
      <c r="AB808">
        <v>25.3</v>
      </c>
      <c r="AC808">
        <v>1.95</v>
      </c>
      <c r="AD808" s="11">
        <f t="shared" si="213"/>
        <v>1.3156000000000003</v>
      </c>
      <c r="AE808" s="11">
        <f>_xlfn.RANK.AVG(Tableau8[[#This Row],[EE ( MJ/m²)]],AD808:AD1963)</f>
        <v>290</v>
      </c>
      <c r="AF808" s="11">
        <f t="shared" si="217"/>
        <v>0.32890000000000008</v>
      </c>
      <c r="AG808" s="11">
        <f t="shared" si="215"/>
        <v>0.1014</v>
      </c>
      <c r="AH808" s="11">
        <f t="shared" si="214"/>
        <v>0.1014</v>
      </c>
      <c r="AI808" s="11">
        <f t="shared" si="216"/>
        <v>2.5350000000000001E-2</v>
      </c>
      <c r="AJ808" s="11">
        <f t="shared" si="218"/>
        <v>2.5350000000000001E-2</v>
      </c>
    </row>
    <row r="809" spans="1:36" s="20" customFormat="1" x14ac:dyDescent="0.25">
      <c r="A809" s="4" t="s">
        <v>945</v>
      </c>
      <c r="B809" s="4" t="s">
        <v>953</v>
      </c>
      <c r="C809" s="4" t="s">
        <v>15</v>
      </c>
      <c r="D809" s="4" t="s">
        <v>941</v>
      </c>
      <c r="E809" t="s">
        <v>615</v>
      </c>
      <c r="F809" t="s">
        <v>256</v>
      </c>
      <c r="G809" t="s">
        <v>616</v>
      </c>
      <c r="H809">
        <v>21</v>
      </c>
      <c r="I809">
        <v>4</v>
      </c>
      <c r="J809" t="s">
        <v>44</v>
      </c>
      <c r="K809" t="s">
        <v>17</v>
      </c>
      <c r="L809" t="s">
        <v>630</v>
      </c>
      <c r="M809" t="s">
        <v>12</v>
      </c>
      <c r="N809" t="s">
        <v>12</v>
      </c>
      <c r="O809"/>
      <c r="P809"/>
      <c r="Q809"/>
      <c r="R809"/>
      <c r="S809"/>
      <c r="T809">
        <v>1</v>
      </c>
      <c r="U809"/>
      <c r="V809"/>
      <c r="W809">
        <v>7800</v>
      </c>
      <c r="X809" t="s">
        <v>184</v>
      </c>
      <c r="Y809"/>
      <c r="Z809"/>
      <c r="AA809" s="13">
        <v>0.3</v>
      </c>
      <c r="AB809">
        <v>25.3</v>
      </c>
      <c r="AC809">
        <v>1.95</v>
      </c>
      <c r="AD809" s="11">
        <f t="shared" si="213"/>
        <v>0.36142857142857143</v>
      </c>
      <c r="AE809" s="11">
        <f>_xlfn.RANK.AVG(Tableau8[[#This Row],[EE ( MJ/m²)]],AD809:AD1964)</f>
        <v>324</v>
      </c>
      <c r="AF809" s="11">
        <f t="shared" si="217"/>
        <v>9.0357142857142858E-2</v>
      </c>
      <c r="AG809" s="11">
        <f t="shared" si="215"/>
        <v>2.7857142857142855E-2</v>
      </c>
      <c r="AH809" s="11">
        <f t="shared" si="214"/>
        <v>2.7857142857142855E-2</v>
      </c>
      <c r="AI809" s="11">
        <f t="shared" si="216"/>
        <v>6.9642857142857137E-3</v>
      </c>
      <c r="AJ809" s="11">
        <f t="shared" si="218"/>
        <v>6.9642857142857137E-3</v>
      </c>
    </row>
    <row r="810" spans="1:36" s="20" customFormat="1" x14ac:dyDescent="0.25">
      <c r="A810" s="4" t="s">
        <v>945</v>
      </c>
      <c r="B810" s="4" t="s">
        <v>953</v>
      </c>
      <c r="C810" s="4" t="s">
        <v>15</v>
      </c>
      <c r="D810" s="4" t="s">
        <v>941</v>
      </c>
      <c r="E810" t="s">
        <v>615</v>
      </c>
      <c r="F810" t="s">
        <v>256</v>
      </c>
      <c r="G810" t="s">
        <v>616</v>
      </c>
      <c r="H810">
        <v>21</v>
      </c>
      <c r="I810">
        <v>4</v>
      </c>
      <c r="J810" t="s">
        <v>44</v>
      </c>
      <c r="K810" t="s">
        <v>17</v>
      </c>
      <c r="L810" t="s">
        <v>631</v>
      </c>
      <c r="M810" t="s">
        <v>12</v>
      </c>
      <c r="N810" t="s">
        <v>12</v>
      </c>
      <c r="O810"/>
      <c r="P810"/>
      <c r="Q810"/>
      <c r="R810"/>
      <c r="S810"/>
      <c r="T810">
        <v>1</v>
      </c>
      <c r="U810"/>
      <c r="V810"/>
      <c r="W810">
        <v>7800</v>
      </c>
      <c r="X810" t="s">
        <v>184</v>
      </c>
      <c r="Y810"/>
      <c r="Z810"/>
      <c r="AA810" s="13">
        <v>3</v>
      </c>
      <c r="AB810">
        <v>25.3</v>
      </c>
      <c r="AC810">
        <v>1.95</v>
      </c>
      <c r="AD810" s="11">
        <f t="shared" si="213"/>
        <v>3.6142857142857148</v>
      </c>
      <c r="AE810" s="11">
        <f>_xlfn.RANK.AVG(Tableau8[[#This Row],[EE ( MJ/m²)]],AD810:AD1965)</f>
        <v>236.5</v>
      </c>
      <c r="AF810" s="11">
        <f t="shared" si="217"/>
        <v>0.90357142857142869</v>
      </c>
      <c r="AG810" s="11">
        <f t="shared" si="215"/>
        <v>0.27857142857142858</v>
      </c>
      <c r="AH810" s="11">
        <f t="shared" si="214"/>
        <v>0.27857142857142858</v>
      </c>
      <c r="AI810" s="11">
        <f t="shared" si="216"/>
        <v>6.9642857142857145E-2</v>
      </c>
      <c r="AJ810" s="11">
        <f t="shared" si="218"/>
        <v>6.9642857142857145E-2</v>
      </c>
    </row>
    <row r="811" spans="1:36" s="20" customFormat="1" x14ac:dyDescent="0.25">
      <c r="A811" s="4" t="s">
        <v>945</v>
      </c>
      <c r="B811" s="4" t="s">
        <v>953</v>
      </c>
      <c r="C811" s="4" t="s">
        <v>15</v>
      </c>
      <c r="D811" s="4" t="s">
        <v>941</v>
      </c>
      <c r="E811" t="s">
        <v>615</v>
      </c>
      <c r="F811" t="s">
        <v>256</v>
      </c>
      <c r="G811" t="s">
        <v>616</v>
      </c>
      <c r="H811">
        <v>21</v>
      </c>
      <c r="I811">
        <v>4</v>
      </c>
      <c r="J811" t="s">
        <v>44</v>
      </c>
      <c r="K811" t="s">
        <v>17</v>
      </c>
      <c r="L811" t="s">
        <v>632</v>
      </c>
      <c r="M811" t="s">
        <v>12</v>
      </c>
      <c r="N811" t="s">
        <v>12</v>
      </c>
      <c r="O811"/>
      <c r="P811"/>
      <c r="Q811"/>
      <c r="R811"/>
      <c r="S811"/>
      <c r="T811">
        <v>1</v>
      </c>
      <c r="U811"/>
      <c r="V811"/>
      <c r="W811">
        <v>7800</v>
      </c>
      <c r="X811" t="s">
        <v>184</v>
      </c>
      <c r="Y811"/>
      <c r="Z811"/>
      <c r="AA811" s="13">
        <v>0.1</v>
      </c>
      <c r="AB811">
        <v>25.3</v>
      </c>
      <c r="AC811">
        <v>1.95</v>
      </c>
      <c r="AD811" s="11">
        <f t="shared" si="213"/>
        <v>0.12047619047619049</v>
      </c>
      <c r="AE811" s="11">
        <f>_xlfn.RANK.AVG(Tableau8[[#This Row],[EE ( MJ/m²)]],AD811:AD1966)</f>
        <v>333.5</v>
      </c>
      <c r="AF811" s="11">
        <f t="shared" si="217"/>
        <v>3.0119047619047622E-2</v>
      </c>
      <c r="AG811" s="11">
        <f t="shared" si="215"/>
        <v>9.285714285714286E-3</v>
      </c>
      <c r="AH811" s="11">
        <f t="shared" si="214"/>
        <v>9.285714285714286E-3</v>
      </c>
      <c r="AI811" s="11">
        <f t="shared" si="216"/>
        <v>2.3214285714285715E-3</v>
      </c>
      <c r="AJ811" s="11">
        <f t="shared" si="218"/>
        <v>2.3214285714285715E-3</v>
      </c>
    </row>
    <row r="812" spans="1:36" x14ac:dyDescent="0.25">
      <c r="A812" s="4" t="s">
        <v>945</v>
      </c>
      <c r="B812" s="4" t="s">
        <v>953</v>
      </c>
      <c r="C812" s="4" t="s">
        <v>15</v>
      </c>
      <c r="D812" s="4" t="s">
        <v>941</v>
      </c>
      <c r="E812" t="s">
        <v>615</v>
      </c>
      <c r="F812" t="s">
        <v>256</v>
      </c>
      <c r="G812" t="s">
        <v>616</v>
      </c>
      <c r="H812">
        <v>21</v>
      </c>
      <c r="I812">
        <v>4</v>
      </c>
      <c r="J812" t="s">
        <v>44</v>
      </c>
      <c r="K812" t="s">
        <v>17</v>
      </c>
      <c r="L812" t="s">
        <v>633</v>
      </c>
      <c r="M812" t="s">
        <v>12</v>
      </c>
      <c r="N812" t="s">
        <v>12</v>
      </c>
      <c r="T812">
        <v>1</v>
      </c>
      <c r="W812">
        <v>7800</v>
      </c>
      <c r="X812" t="s">
        <v>184</v>
      </c>
      <c r="AA812" s="13">
        <v>4.41</v>
      </c>
      <c r="AB812">
        <v>25.3</v>
      </c>
      <c r="AC812">
        <v>1.95</v>
      </c>
      <c r="AD812" s="11">
        <f t="shared" si="213"/>
        <v>5.3130000000000006</v>
      </c>
      <c r="AE812" s="11">
        <f>_xlfn.RANK.AVG(Tableau8[[#This Row],[EE ( MJ/m²)]],AD812:AD1967)</f>
        <v>223</v>
      </c>
      <c r="AF812" s="11">
        <f t="shared" si="217"/>
        <v>1.3282500000000002</v>
      </c>
      <c r="AG812" s="11">
        <f t="shared" si="215"/>
        <v>0.40950000000000003</v>
      </c>
      <c r="AH812" s="11">
        <f t="shared" si="214"/>
        <v>0.40950000000000003</v>
      </c>
      <c r="AI812" s="11">
        <f t="shared" si="216"/>
        <v>0.10237500000000001</v>
      </c>
      <c r="AJ812" s="11">
        <f t="shared" si="218"/>
        <v>0.10237500000000001</v>
      </c>
    </row>
    <row r="813" spans="1:36" x14ac:dyDescent="0.25">
      <c r="A813" s="4" t="s">
        <v>945</v>
      </c>
      <c r="B813" s="4" t="s">
        <v>953</v>
      </c>
      <c r="C813" s="4" t="s">
        <v>15</v>
      </c>
      <c r="D813" s="4" t="s">
        <v>941</v>
      </c>
      <c r="E813" t="s">
        <v>615</v>
      </c>
      <c r="F813" t="s">
        <v>256</v>
      </c>
      <c r="G813" t="s">
        <v>616</v>
      </c>
      <c r="H813">
        <v>21</v>
      </c>
      <c r="I813">
        <v>4</v>
      </c>
      <c r="J813" t="s">
        <v>44</v>
      </c>
      <c r="K813" t="s">
        <v>17</v>
      </c>
      <c r="L813" t="s">
        <v>634</v>
      </c>
      <c r="M813" t="s">
        <v>12</v>
      </c>
      <c r="N813" t="s">
        <v>12</v>
      </c>
      <c r="T813">
        <v>1</v>
      </c>
      <c r="W813">
        <v>7800</v>
      </c>
      <c r="X813" t="s">
        <v>184</v>
      </c>
      <c r="AA813" s="13">
        <v>5.6</v>
      </c>
      <c r="AB813">
        <v>25.3</v>
      </c>
      <c r="AC813">
        <v>1.95</v>
      </c>
      <c r="AD813" s="11">
        <f t="shared" si="213"/>
        <v>6.746666666666667</v>
      </c>
      <c r="AE813" s="11">
        <f>_xlfn.RANK.AVG(Tableau8[[#This Row],[EE ( MJ/m²)]],AD813:AD1968)</f>
        <v>215</v>
      </c>
      <c r="AF813" s="11">
        <f t="shared" si="217"/>
        <v>1.6866666666666668</v>
      </c>
      <c r="AG813" s="11">
        <f t="shared" si="215"/>
        <v>0.52</v>
      </c>
      <c r="AH813" s="11">
        <f t="shared" si="214"/>
        <v>0.52</v>
      </c>
      <c r="AI813" s="11">
        <f t="shared" si="216"/>
        <v>0.13</v>
      </c>
      <c r="AJ813" s="11">
        <f t="shared" si="218"/>
        <v>0.13</v>
      </c>
    </row>
    <row r="814" spans="1:36" x14ac:dyDescent="0.25">
      <c r="A814" s="4" t="s">
        <v>945</v>
      </c>
      <c r="B814" s="4" t="s">
        <v>953</v>
      </c>
      <c r="C814" s="4" t="s">
        <v>15</v>
      </c>
      <c r="D814" s="4" t="s">
        <v>941</v>
      </c>
      <c r="E814" t="s">
        <v>615</v>
      </c>
      <c r="F814" t="s">
        <v>256</v>
      </c>
      <c r="G814" t="s">
        <v>616</v>
      </c>
      <c r="H814">
        <v>21</v>
      </c>
      <c r="I814">
        <v>4</v>
      </c>
      <c r="J814" t="s">
        <v>44</v>
      </c>
      <c r="K814" t="s">
        <v>17</v>
      </c>
      <c r="L814" t="s">
        <v>635</v>
      </c>
      <c r="M814" t="s">
        <v>12</v>
      </c>
      <c r="N814" t="s">
        <v>12</v>
      </c>
      <c r="T814">
        <v>1</v>
      </c>
      <c r="W814">
        <v>7800</v>
      </c>
      <c r="X814" t="s">
        <v>184</v>
      </c>
      <c r="AA814" s="13">
        <v>1.3</v>
      </c>
      <c r="AB814">
        <v>25.3</v>
      </c>
      <c r="AC814">
        <v>1.95</v>
      </c>
      <c r="AD814" s="11">
        <f t="shared" si="213"/>
        <v>1.5661904761904761</v>
      </c>
      <c r="AE814" s="11">
        <f>_xlfn.RANK.AVG(Tableau8[[#This Row],[EE ( MJ/m²)]],AD814:AD1969)</f>
        <v>276</v>
      </c>
      <c r="AF814" s="11">
        <f t="shared" si="217"/>
        <v>0.39154761904761903</v>
      </c>
      <c r="AG814" s="11">
        <f t="shared" si="215"/>
        <v>0.12071428571428572</v>
      </c>
      <c r="AH814" s="11">
        <f t="shared" si="214"/>
        <v>0.12071428571428572</v>
      </c>
      <c r="AI814" s="11">
        <f t="shared" si="216"/>
        <v>3.017857142857143E-2</v>
      </c>
      <c r="AJ814" s="11">
        <f t="shared" si="218"/>
        <v>3.017857142857143E-2</v>
      </c>
    </row>
    <row r="815" spans="1:36" x14ac:dyDescent="0.25">
      <c r="A815" s="4" t="s">
        <v>945</v>
      </c>
      <c r="B815" s="4" t="s">
        <v>953</v>
      </c>
      <c r="C815" s="4" t="s">
        <v>15</v>
      </c>
      <c r="D815" s="4" t="s">
        <v>941</v>
      </c>
      <c r="E815" t="s">
        <v>615</v>
      </c>
      <c r="F815" t="s">
        <v>256</v>
      </c>
      <c r="G815" t="s">
        <v>616</v>
      </c>
      <c r="H815">
        <v>21</v>
      </c>
      <c r="I815">
        <v>4</v>
      </c>
      <c r="J815" t="s">
        <v>44</v>
      </c>
      <c r="K815" t="s">
        <v>17</v>
      </c>
      <c r="L815" t="s">
        <v>548</v>
      </c>
      <c r="M815" t="s">
        <v>12</v>
      </c>
      <c r="N815" t="s">
        <v>12</v>
      </c>
      <c r="T815">
        <v>1</v>
      </c>
      <c r="W815">
        <v>7800</v>
      </c>
      <c r="X815" t="s">
        <v>184</v>
      </c>
      <c r="AA815" s="13">
        <v>2</v>
      </c>
      <c r="AB815">
        <v>25.3</v>
      </c>
      <c r="AC815">
        <v>1.95</v>
      </c>
      <c r="AD815" s="11">
        <f t="shared" si="213"/>
        <v>2.4095238095238094</v>
      </c>
      <c r="AE815" s="11">
        <f>_xlfn.RANK.AVG(Tableau8[[#This Row],[EE ( MJ/m²)]],AD815:AD1970)</f>
        <v>254.5</v>
      </c>
      <c r="AF815" s="11">
        <f t="shared" si="217"/>
        <v>0.60238095238095235</v>
      </c>
      <c r="AG815" s="11">
        <f t="shared" si="215"/>
        <v>0.18571428571428572</v>
      </c>
      <c r="AH815" s="11">
        <f t="shared" si="214"/>
        <v>0.18571428571428572</v>
      </c>
      <c r="AI815" s="11">
        <f t="shared" si="216"/>
        <v>4.642857142857143E-2</v>
      </c>
      <c r="AJ815" s="11">
        <f t="shared" si="218"/>
        <v>4.642857142857143E-2</v>
      </c>
    </row>
    <row r="816" spans="1:36" x14ac:dyDescent="0.25">
      <c r="A816" s="4" t="s">
        <v>945</v>
      </c>
      <c r="B816" s="4" t="s">
        <v>953</v>
      </c>
      <c r="C816" s="4" t="s">
        <v>15</v>
      </c>
      <c r="D816" s="4" t="s">
        <v>941</v>
      </c>
      <c r="E816" t="s">
        <v>615</v>
      </c>
      <c r="F816" t="s">
        <v>256</v>
      </c>
      <c r="G816" t="s">
        <v>616</v>
      </c>
      <c r="H816">
        <v>21</v>
      </c>
      <c r="I816">
        <v>4</v>
      </c>
      <c r="J816" t="s">
        <v>44</v>
      </c>
      <c r="K816" t="s">
        <v>17</v>
      </c>
      <c r="L816" t="s">
        <v>636</v>
      </c>
      <c r="M816" t="s">
        <v>12</v>
      </c>
      <c r="N816" t="s">
        <v>12</v>
      </c>
      <c r="T816">
        <v>1</v>
      </c>
      <c r="W816" s="1">
        <v>7800</v>
      </c>
      <c r="X816" t="s">
        <v>184</v>
      </c>
      <c r="AA816" s="13">
        <v>1.8</v>
      </c>
      <c r="AB816">
        <v>25.3</v>
      </c>
      <c r="AC816">
        <v>1.95</v>
      </c>
      <c r="AD816" s="11">
        <f t="shared" si="213"/>
        <v>2.1685714285714286</v>
      </c>
      <c r="AE816" s="11">
        <f>_xlfn.RANK.AVG(Tableau8[[#This Row],[EE ( MJ/m²)]],AD816:AD1971)</f>
        <v>263.5</v>
      </c>
      <c r="AF816" s="11">
        <f t="shared" si="217"/>
        <v>0.54214285714285715</v>
      </c>
      <c r="AG816" s="11">
        <f t="shared" si="215"/>
        <v>0.16714285714285712</v>
      </c>
      <c r="AH816" s="11">
        <f t="shared" si="214"/>
        <v>0.16714285714285712</v>
      </c>
      <c r="AI816" s="11">
        <f t="shared" si="216"/>
        <v>4.178571428571428E-2</v>
      </c>
      <c r="AJ816" s="11">
        <f t="shared" si="218"/>
        <v>4.178571428571428E-2</v>
      </c>
    </row>
    <row r="817" spans="1:36" x14ac:dyDescent="0.25">
      <c r="A817" s="4" t="s">
        <v>945</v>
      </c>
      <c r="B817" s="4" t="s">
        <v>953</v>
      </c>
      <c r="C817" s="4" t="s">
        <v>15</v>
      </c>
      <c r="D817" s="4" t="s">
        <v>941</v>
      </c>
      <c r="E817" t="s">
        <v>615</v>
      </c>
      <c r="F817" t="s">
        <v>256</v>
      </c>
      <c r="G817" t="s">
        <v>616</v>
      </c>
      <c r="H817">
        <v>21</v>
      </c>
      <c r="I817">
        <v>4</v>
      </c>
      <c r="J817" t="s">
        <v>44</v>
      </c>
      <c r="K817" t="s">
        <v>17</v>
      </c>
      <c r="L817" t="s">
        <v>321</v>
      </c>
      <c r="M817" t="s">
        <v>12</v>
      </c>
      <c r="N817" t="s">
        <v>12</v>
      </c>
      <c r="T817">
        <v>1</v>
      </c>
      <c r="W817">
        <v>7800</v>
      </c>
      <c r="X817" t="s">
        <v>184</v>
      </c>
      <c r="AA817" s="13">
        <f>1.26*109</f>
        <v>137.34</v>
      </c>
      <c r="AB817">
        <v>25.3</v>
      </c>
      <c r="AC817">
        <v>1.95</v>
      </c>
      <c r="AD817" s="11">
        <f t="shared" si="213"/>
        <v>165.46200000000002</v>
      </c>
      <c r="AE817" s="11">
        <f>_xlfn.RANK.AVG(Tableau8[[#This Row],[EE ( MJ/m²)]],AD817:AD1972)</f>
        <v>29</v>
      </c>
      <c r="AF817" s="11">
        <f t="shared" si="217"/>
        <v>41.365500000000004</v>
      </c>
      <c r="AG817" s="11">
        <f t="shared" si="215"/>
        <v>12.753</v>
      </c>
      <c r="AH817" s="11">
        <f t="shared" si="214"/>
        <v>12.753</v>
      </c>
      <c r="AI817" s="11">
        <f t="shared" si="216"/>
        <v>3.18825</v>
      </c>
      <c r="AJ817" s="11">
        <f t="shared" si="218"/>
        <v>3.18825</v>
      </c>
    </row>
    <row r="818" spans="1:36" x14ac:dyDescent="0.25">
      <c r="A818" s="4" t="s">
        <v>945</v>
      </c>
      <c r="B818" s="4" t="s">
        <v>953</v>
      </c>
      <c r="C818" s="4" t="s">
        <v>15</v>
      </c>
      <c r="D818" s="4" t="s">
        <v>941</v>
      </c>
      <c r="E818" t="s">
        <v>615</v>
      </c>
      <c r="F818" t="s">
        <v>256</v>
      </c>
      <c r="G818" t="s">
        <v>616</v>
      </c>
      <c r="H818">
        <v>21</v>
      </c>
      <c r="I818">
        <v>4</v>
      </c>
      <c r="J818" t="s">
        <v>13</v>
      </c>
      <c r="K818" t="s">
        <v>29</v>
      </c>
      <c r="L818" t="s">
        <v>364</v>
      </c>
      <c r="M818" t="s">
        <v>364</v>
      </c>
      <c r="N818" t="s">
        <v>432</v>
      </c>
      <c r="P818">
        <v>1</v>
      </c>
      <c r="Q818" t="s">
        <v>180</v>
      </c>
      <c r="T818">
        <v>1</v>
      </c>
      <c r="W818">
        <v>2240</v>
      </c>
      <c r="X818" t="s">
        <v>184</v>
      </c>
      <c r="AA818" s="13">
        <f>Tableau8[[#This Row],[density (kg/m2) or specific weight (kg/m2)]]*Tableau8[[#This Row],[nb of item used ]]*Tableau8[[#This Row],[volume or area]]</f>
        <v>2240</v>
      </c>
      <c r="AB818">
        <v>8.0999999999999996E-3</v>
      </c>
      <c r="AC818">
        <v>5.1000000000000004E-3</v>
      </c>
      <c r="AD818" s="11">
        <f t="shared" si="213"/>
        <v>0.86399999999999988</v>
      </c>
      <c r="AE818" s="11">
        <f>_xlfn.RANK.AVG(Tableau8[[#This Row],[EE ( MJ/m²)]],AD818:AD1973)</f>
        <v>299</v>
      </c>
      <c r="AF818" s="11">
        <f t="shared" si="217"/>
        <v>0.21599999999999997</v>
      </c>
      <c r="AG818" s="11">
        <f t="shared" si="215"/>
        <v>0.54400000000000004</v>
      </c>
      <c r="AH818" s="11">
        <f t="shared" si="214"/>
        <v>0.54400000000000004</v>
      </c>
      <c r="AI818" s="11">
        <f t="shared" si="216"/>
        <v>0.13600000000000001</v>
      </c>
      <c r="AJ818" s="11">
        <f t="shared" si="218"/>
        <v>0.13600000000000001</v>
      </c>
    </row>
    <row r="819" spans="1:36" x14ac:dyDescent="0.25">
      <c r="A819" s="4" t="s">
        <v>945</v>
      </c>
      <c r="B819" s="4" t="s">
        <v>953</v>
      </c>
      <c r="C819" s="4" t="s">
        <v>15</v>
      </c>
      <c r="D819" s="4" t="s">
        <v>941</v>
      </c>
      <c r="E819" t="s">
        <v>615</v>
      </c>
      <c r="F819" t="s">
        <v>256</v>
      </c>
      <c r="G819" t="s">
        <v>616</v>
      </c>
      <c r="H819">
        <v>21</v>
      </c>
      <c r="I819">
        <v>4</v>
      </c>
      <c r="J819" t="s">
        <v>40</v>
      </c>
      <c r="K819" t="s">
        <v>15</v>
      </c>
      <c r="L819" t="s">
        <v>627</v>
      </c>
      <c r="M819" t="s">
        <v>252</v>
      </c>
      <c r="N819" t="s">
        <v>252</v>
      </c>
      <c r="P819">
        <f>1.2*2.4*0.01</f>
        <v>2.8799999999999999E-2</v>
      </c>
      <c r="Q819" t="s">
        <v>180</v>
      </c>
      <c r="T819">
        <v>17</v>
      </c>
      <c r="W819">
        <v>540</v>
      </c>
      <c r="X819" t="s">
        <v>184</v>
      </c>
      <c r="AA819" s="13">
        <f>Tableau8[[#This Row],[nb of item used ]]*Tableau8[[#This Row],[density (kg/m2) or specific weight (kg/m2)]]*Tableau8[[#This Row],[volume or area]]</f>
        <v>264.38400000000001</v>
      </c>
      <c r="AB819">
        <f>15-7.1</f>
        <v>7.9</v>
      </c>
      <c r="AC819">
        <f>0.45+0.65</f>
        <v>1.1000000000000001</v>
      </c>
      <c r="AD819" s="11">
        <f t="shared" si="213"/>
        <v>99.458742857142866</v>
      </c>
      <c r="AE819" s="11">
        <f>_xlfn.RANK.AVG(Tableau8[[#This Row],[EE ( MJ/m²)]],AD819:AD1974)</f>
        <v>53</v>
      </c>
      <c r="AF819" s="11">
        <f t="shared" si="217"/>
        <v>24.864685714285717</v>
      </c>
      <c r="AG819" s="11">
        <f t="shared" si="215"/>
        <v>13.848685714285715</v>
      </c>
      <c r="AH819" s="11">
        <f t="shared" si="214"/>
        <v>13.848685714285715</v>
      </c>
      <c r="AI819" s="11">
        <f t="shared" si="216"/>
        <v>3.4621714285714287</v>
      </c>
      <c r="AJ819" s="11">
        <f t="shared" si="218"/>
        <v>3.4621714285714287</v>
      </c>
    </row>
    <row r="820" spans="1:36" x14ac:dyDescent="0.25">
      <c r="A820" s="4" t="s">
        <v>945</v>
      </c>
      <c r="B820" s="4" t="s">
        <v>953</v>
      </c>
      <c r="C820" s="4" t="s">
        <v>15</v>
      </c>
      <c r="D820" s="4" t="s">
        <v>941</v>
      </c>
      <c r="E820" t="s">
        <v>615</v>
      </c>
      <c r="F820" t="s">
        <v>256</v>
      </c>
      <c r="G820" t="s">
        <v>616</v>
      </c>
      <c r="H820">
        <v>21</v>
      </c>
      <c r="I820">
        <v>4</v>
      </c>
      <c r="J820" t="s">
        <v>13</v>
      </c>
      <c r="K820" t="s">
        <v>29</v>
      </c>
      <c r="L820" t="s">
        <v>617</v>
      </c>
      <c r="M820" t="s">
        <v>607</v>
      </c>
      <c r="N820" t="s">
        <v>433</v>
      </c>
      <c r="P820">
        <v>1.5</v>
      </c>
      <c r="Q820" t="s">
        <v>180</v>
      </c>
      <c r="T820">
        <v>1</v>
      </c>
      <c r="W820">
        <v>2240</v>
      </c>
      <c r="X820" t="s">
        <v>184</v>
      </c>
      <c r="AA820" s="13">
        <f>Tableau8[[#This Row],[density (kg/m2) or specific weight (kg/m2)]]*Tableau8[[#This Row],[nb of item used ]]*Tableau8[[#This Row],[volume or area]]</f>
        <v>3360</v>
      </c>
      <c r="AB820">
        <v>8.3000000000000004E-2</v>
      </c>
      <c r="AC820">
        <v>5.1999999999999998E-3</v>
      </c>
      <c r="AD820" s="11">
        <f t="shared" si="213"/>
        <v>13.28</v>
      </c>
      <c r="AE820" s="11">
        <f>_xlfn.RANK.AVG(Tableau8[[#This Row],[EE ( MJ/m²)]],AD820:AD1975)</f>
        <v>170</v>
      </c>
      <c r="AF820" s="11">
        <f t="shared" si="217"/>
        <v>3.32</v>
      </c>
      <c r="AG820" s="11">
        <f t="shared" si="215"/>
        <v>0.83199999999999985</v>
      </c>
      <c r="AH820" s="11">
        <f t="shared" si="214"/>
        <v>0.83199999999999985</v>
      </c>
      <c r="AI820" s="11">
        <f t="shared" si="216"/>
        <v>0.20799999999999996</v>
      </c>
      <c r="AJ820" s="11">
        <f t="shared" si="218"/>
        <v>0.20799999999999996</v>
      </c>
    </row>
    <row r="821" spans="1:36" x14ac:dyDescent="0.25">
      <c r="A821" s="4" t="s">
        <v>945</v>
      </c>
      <c r="B821" s="4" t="s">
        <v>953</v>
      </c>
      <c r="C821" s="4" t="s">
        <v>15</v>
      </c>
      <c r="D821" s="4" t="s">
        <v>941</v>
      </c>
      <c r="E821" t="s">
        <v>615</v>
      </c>
      <c r="F821" t="s">
        <v>256</v>
      </c>
      <c r="G821" t="s">
        <v>616</v>
      </c>
      <c r="H821">
        <v>21</v>
      </c>
      <c r="I821">
        <v>4</v>
      </c>
      <c r="J821" t="s">
        <v>13</v>
      </c>
      <c r="K821" t="s">
        <v>18</v>
      </c>
      <c r="L821" t="s">
        <v>606</v>
      </c>
      <c r="M821" t="s">
        <v>363</v>
      </c>
      <c r="N821" t="s">
        <v>431</v>
      </c>
      <c r="T821">
        <v>1</v>
      </c>
      <c r="W821">
        <v>1860</v>
      </c>
      <c r="X821" t="s">
        <v>184</v>
      </c>
      <c r="AA821" s="13">
        <f>42.5*18</f>
        <v>765</v>
      </c>
      <c r="AB821">
        <v>4.51</v>
      </c>
      <c r="AC821">
        <v>0.74</v>
      </c>
      <c r="AD821" s="11">
        <f t="shared" si="213"/>
        <v>164.29285714285712</v>
      </c>
      <c r="AE821" s="11">
        <f>_xlfn.RANK.AVG(Tableau8[[#This Row],[EE ( MJ/m²)]],AD821:AD1976)</f>
        <v>29</v>
      </c>
      <c r="AF821" s="11">
        <f t="shared" si="217"/>
        <v>41.073214285714279</v>
      </c>
      <c r="AG821" s="11">
        <f t="shared" si="215"/>
        <v>26.957142857142859</v>
      </c>
      <c r="AH821" s="11">
        <f t="shared" si="214"/>
        <v>26.957142857142859</v>
      </c>
      <c r="AI821" s="11">
        <f t="shared" si="216"/>
        <v>6.7392857142857148</v>
      </c>
      <c r="AJ821" s="11">
        <f t="shared" si="218"/>
        <v>6.7392857142857148</v>
      </c>
    </row>
    <row r="822" spans="1:36" x14ac:dyDescent="0.25">
      <c r="A822" s="4" t="s">
        <v>944</v>
      </c>
      <c r="B822" s="4" t="s">
        <v>975</v>
      </c>
      <c r="C822" s="4" t="s">
        <v>15</v>
      </c>
      <c r="D822" s="4" t="s">
        <v>939</v>
      </c>
      <c r="E822" t="s">
        <v>580</v>
      </c>
      <c r="F822" t="s">
        <v>256</v>
      </c>
      <c r="H822">
        <f t="shared" ref="H822:H827" si="219">4*3</f>
        <v>12</v>
      </c>
      <c r="I822">
        <v>3</v>
      </c>
      <c r="J822" t="s">
        <v>57</v>
      </c>
      <c r="K822" t="s">
        <v>15</v>
      </c>
      <c r="L822" t="s">
        <v>587</v>
      </c>
      <c r="M822" t="s">
        <v>15</v>
      </c>
      <c r="N822" t="s">
        <v>15</v>
      </c>
      <c r="P822">
        <v>0.24</v>
      </c>
      <c r="Q822" t="s">
        <v>180</v>
      </c>
      <c r="T822">
        <v>1</v>
      </c>
      <c r="W822">
        <v>510</v>
      </c>
      <c r="X822" t="s">
        <v>184</v>
      </c>
      <c r="AA822" s="13">
        <f>Tableau8[[#This Row],[density (kg/m2) or specific weight (kg/m2)]]*Tableau8[[#This Row],[nb of item used ]]*Tableau8[[#This Row],[volume or area]]</f>
        <v>122.39999999999999</v>
      </c>
      <c r="AB822">
        <f>10-4.4</f>
        <v>5.6</v>
      </c>
      <c r="AC822">
        <f>0.31+0.41</f>
        <v>0.72</v>
      </c>
      <c r="AD822" s="11">
        <f t="shared" si="213"/>
        <v>57.12</v>
      </c>
      <c r="AE822" s="11">
        <f>_xlfn.RANK.AVG(Tableau8[[#This Row],[EE ( MJ/m²)]],AD822:AD1977)</f>
        <v>86</v>
      </c>
      <c r="AF822" s="11">
        <f t="shared" si="217"/>
        <v>19.04</v>
      </c>
      <c r="AG822" s="11">
        <f>(AC822-0.41)*AA822/H822</f>
        <v>3.1619999999999995</v>
      </c>
      <c r="AH822" s="11">
        <f t="shared" si="214"/>
        <v>7.3439999999999985</v>
      </c>
      <c r="AI822" s="11">
        <f>(AC822-0.41)*AA822/H822/I822</f>
        <v>1.0539999999999998</v>
      </c>
      <c r="AJ822" s="11">
        <f t="shared" si="218"/>
        <v>2.4479999999999995</v>
      </c>
    </row>
    <row r="823" spans="1:36" x14ac:dyDescent="0.25">
      <c r="A823" s="4" t="s">
        <v>944</v>
      </c>
      <c r="B823" s="4" t="s">
        <v>975</v>
      </c>
      <c r="C823" s="4" t="s">
        <v>15</v>
      </c>
      <c r="D823" s="4" t="s">
        <v>939</v>
      </c>
      <c r="E823" t="s">
        <v>580</v>
      </c>
      <c r="F823" t="s">
        <v>256</v>
      </c>
      <c r="H823">
        <f t="shared" si="219"/>
        <v>12</v>
      </c>
      <c r="I823">
        <v>3</v>
      </c>
      <c r="J823" t="s">
        <v>44</v>
      </c>
      <c r="K823" t="s">
        <v>17</v>
      </c>
      <c r="L823" t="s">
        <v>462</v>
      </c>
      <c r="M823" t="s">
        <v>12</v>
      </c>
      <c r="N823" t="s">
        <v>12</v>
      </c>
      <c r="T823">
        <v>1</v>
      </c>
      <c r="W823">
        <v>7800</v>
      </c>
      <c r="X823" t="s">
        <v>184</v>
      </c>
      <c r="AA823" s="13">
        <v>8.4</v>
      </c>
      <c r="AB823">
        <v>25.3</v>
      </c>
      <c r="AC823">
        <v>1.95</v>
      </c>
      <c r="AD823" s="11">
        <f t="shared" si="213"/>
        <v>17.71</v>
      </c>
      <c r="AE823" s="11">
        <f>_xlfn.RANK.AVG(Tableau8[[#This Row],[EE ( MJ/m²)]],AD823:AD1978)</f>
        <v>148</v>
      </c>
      <c r="AF823" s="11">
        <f t="shared" si="217"/>
        <v>5.9033333333333333</v>
      </c>
      <c r="AG823" s="11">
        <f>(AC823)*AA823/H823</f>
        <v>1.365</v>
      </c>
      <c r="AH823" s="11">
        <f t="shared" si="214"/>
        <v>1.365</v>
      </c>
      <c r="AI823" s="11">
        <f>(AC823)*AA823/H823/I823</f>
        <v>0.45500000000000002</v>
      </c>
      <c r="AJ823" s="11">
        <f t="shared" si="218"/>
        <v>0.45500000000000002</v>
      </c>
    </row>
    <row r="824" spans="1:36" x14ac:dyDescent="0.25">
      <c r="A824" s="4" t="s">
        <v>944</v>
      </c>
      <c r="B824" s="4" t="s">
        <v>975</v>
      </c>
      <c r="C824" s="4" t="s">
        <v>15</v>
      </c>
      <c r="D824" s="4" t="s">
        <v>939</v>
      </c>
      <c r="E824" t="s">
        <v>580</v>
      </c>
      <c r="F824" t="s">
        <v>256</v>
      </c>
      <c r="H824">
        <f t="shared" si="219"/>
        <v>12</v>
      </c>
      <c r="I824">
        <v>3</v>
      </c>
      <c r="J824" t="s">
        <v>40</v>
      </c>
      <c r="K824" t="s">
        <v>15</v>
      </c>
      <c r="L824" t="s">
        <v>582</v>
      </c>
      <c r="M824" t="s">
        <v>583</v>
      </c>
      <c r="N824" t="s">
        <v>583</v>
      </c>
      <c r="P824">
        <f>42*0.01</f>
        <v>0.42</v>
      </c>
      <c r="Q824" t="s">
        <v>180</v>
      </c>
      <c r="T824">
        <v>1</v>
      </c>
      <c r="W824" s="1">
        <v>176.8</v>
      </c>
      <c r="X824" t="s">
        <v>184</v>
      </c>
      <c r="Y824" t="s">
        <v>441</v>
      </c>
      <c r="Z824" t="s">
        <v>442</v>
      </c>
      <c r="AA824" s="13">
        <f>Tableau8[[#This Row],[density (kg/m2) or specific weight (kg/m2)]]*Tableau8[[#This Row],[volume or area]]</f>
        <v>74.256</v>
      </c>
      <c r="AB824">
        <v>26.59</v>
      </c>
      <c r="AC824">
        <v>25.03</v>
      </c>
      <c r="AD824" s="11">
        <f>AB824*(AA824/Tableau8[[#This Row],[density (kg/m2) or specific weight (kg/m2)]])/H824</f>
        <v>0.93064999999999998</v>
      </c>
      <c r="AE824" s="11">
        <f>_xlfn.RANK.AVG(Tableau8[[#This Row],[EE ( MJ/m²)]],AD824:AD1979)</f>
        <v>292</v>
      </c>
      <c r="AF824" s="11">
        <f>AB824*(AA824/Tableau8[[#This Row],[density (kg/m2) or specific weight (kg/m2)]])/H824/I824</f>
        <v>0.31021666666666664</v>
      </c>
      <c r="AG824" s="11">
        <f>(AC824)*(AA824/Tableau8[[#This Row],[density (kg/m2) or specific weight (kg/m2)]])/H824</f>
        <v>0.87605000000000011</v>
      </c>
      <c r="AH824" s="11">
        <f>AC824*(AA824/Tableau8[[#This Row],[density (kg/m2) or specific weight (kg/m2)]])/H824</f>
        <v>0.87605000000000011</v>
      </c>
      <c r="AI824" s="11">
        <f>(AC824)*(AA824/Tableau8[[#This Row],[density (kg/m2) or specific weight (kg/m2)]])/H824/I824</f>
        <v>0.2920166666666667</v>
      </c>
      <c r="AJ824" s="11">
        <f>AC824*(AA824/Tableau8[[#This Row],[density (kg/m2) or specific weight (kg/m2)]])/H824/I824</f>
        <v>0.2920166666666667</v>
      </c>
    </row>
    <row r="825" spans="1:36" x14ac:dyDescent="0.25">
      <c r="A825" s="4" t="s">
        <v>944</v>
      </c>
      <c r="B825" s="4" t="s">
        <v>975</v>
      </c>
      <c r="C825" s="4" t="s">
        <v>15</v>
      </c>
      <c r="D825" s="4" t="s">
        <v>939</v>
      </c>
      <c r="E825" t="s">
        <v>580</v>
      </c>
      <c r="F825" t="s">
        <v>256</v>
      </c>
      <c r="H825">
        <f t="shared" si="219"/>
        <v>12</v>
      </c>
      <c r="I825">
        <v>3</v>
      </c>
      <c r="J825" t="s">
        <v>13</v>
      </c>
      <c r="K825" t="s">
        <v>18</v>
      </c>
      <c r="L825" t="s">
        <v>581</v>
      </c>
      <c r="M825" t="s">
        <v>18</v>
      </c>
      <c r="N825" t="s">
        <v>39</v>
      </c>
      <c r="P825">
        <v>0.94199999999999995</v>
      </c>
      <c r="Q825" t="s">
        <v>180</v>
      </c>
      <c r="T825">
        <v>1</v>
      </c>
      <c r="W825">
        <v>2400</v>
      </c>
      <c r="X825" t="s">
        <v>184</v>
      </c>
      <c r="AA825" s="13">
        <f>Tableau8[[#This Row],[density (kg/m2) or specific weight (kg/m2)]]*Tableau8[[#This Row],[nb of item used ]]*Tableau8[[#This Row],[volume or area]]</f>
        <v>2260.7999999999997</v>
      </c>
      <c r="AB825">
        <v>0.75</v>
      </c>
      <c r="AC825">
        <v>0.105</v>
      </c>
      <c r="AD825" s="11">
        <f>AB825*AA825/H825</f>
        <v>141.29999999999998</v>
      </c>
      <c r="AE825" s="11">
        <f>_xlfn.RANK.AVG(Tableau8[[#This Row],[EE ( MJ/m²)]],AD825:AD1980)</f>
        <v>34</v>
      </c>
      <c r="AF825" s="11">
        <f>AB825*AA825/H825/I825</f>
        <v>47.099999999999994</v>
      </c>
      <c r="AG825" s="11">
        <f>(AC825)*AA825/H825</f>
        <v>19.781999999999996</v>
      </c>
      <c r="AH825" s="11">
        <f>AC825*AA825/H825</f>
        <v>19.781999999999996</v>
      </c>
      <c r="AI825" s="11">
        <f>(AC825)*AA825/H825/I825</f>
        <v>6.5939999999999985</v>
      </c>
      <c r="AJ825" s="11">
        <f>AC825*AA825/H825/I825</f>
        <v>6.5939999999999985</v>
      </c>
    </row>
    <row r="826" spans="1:36" x14ac:dyDescent="0.25">
      <c r="A826" s="4" t="s">
        <v>944</v>
      </c>
      <c r="B826" s="4" t="s">
        <v>975</v>
      </c>
      <c r="C826" s="4" t="s">
        <v>15</v>
      </c>
      <c r="D826" s="4" t="s">
        <v>939</v>
      </c>
      <c r="E826" t="s">
        <v>580</v>
      </c>
      <c r="F826" t="s">
        <v>256</v>
      </c>
      <c r="H826">
        <f t="shared" si="219"/>
        <v>12</v>
      </c>
      <c r="I826">
        <v>3</v>
      </c>
      <c r="J826" t="s">
        <v>42</v>
      </c>
      <c r="K826" t="s">
        <v>15</v>
      </c>
      <c r="L826" t="s">
        <v>585</v>
      </c>
      <c r="M826" t="s">
        <v>586</v>
      </c>
      <c r="N826" t="s">
        <v>235</v>
      </c>
      <c r="P826">
        <v>0.73</v>
      </c>
      <c r="Q826" t="s">
        <v>180</v>
      </c>
      <c r="T826">
        <v>1</v>
      </c>
      <c r="W826">
        <v>100</v>
      </c>
      <c r="X826" t="s">
        <v>184</v>
      </c>
      <c r="Y826" t="s">
        <v>441</v>
      </c>
      <c r="Z826" t="s">
        <v>442</v>
      </c>
      <c r="AA826" s="13">
        <f>Tableau8[[#This Row],[density (kg/m2) or specific weight (kg/m2)]]*Tableau8[[#This Row],[nb of item used ]]*Tableau8[[#This Row],[volume or area]]</f>
        <v>73</v>
      </c>
      <c r="AB826">
        <v>13.13</v>
      </c>
      <c r="AC826">
        <v>12.37</v>
      </c>
      <c r="AD826" s="11">
        <f>AB826*(AA826/Tableau8[[#This Row],[density (kg/m2) or specific weight (kg/m2)]])/H826</f>
        <v>0.79874166666666679</v>
      </c>
      <c r="AE826" s="11">
        <f>_xlfn.RANK.AVG(Tableau8[[#This Row],[EE ( MJ/m²)]],AD826:AD1981)</f>
        <v>293</v>
      </c>
      <c r="AF826" s="11">
        <f>AB826*(AA826/Tableau8[[#This Row],[density (kg/m2) or specific weight (kg/m2)]])/H826/I826</f>
        <v>0.26624722222222225</v>
      </c>
      <c r="AG826" s="11">
        <f>(AC826)*(AA826/Tableau8[[#This Row],[density (kg/m2) or specific weight (kg/m2)]])/H826</f>
        <v>0.75250833333333322</v>
      </c>
      <c r="AH826" s="11">
        <f>AC826*(AA826/Tableau8[[#This Row],[density (kg/m2) or specific weight (kg/m2)]])/H826</f>
        <v>0.75250833333333322</v>
      </c>
      <c r="AI826" s="11">
        <f>(AC826)*(AA826/Tableau8[[#This Row],[density (kg/m2) or specific weight (kg/m2)]])/H826/I826</f>
        <v>0.25083611111111109</v>
      </c>
      <c r="AJ826" s="11">
        <f>AC826*(AA826/Tableau8[[#This Row],[density (kg/m2) or specific weight (kg/m2)]])/H826/I826</f>
        <v>0.25083611111111109</v>
      </c>
    </row>
    <row r="827" spans="1:36" x14ac:dyDescent="0.25">
      <c r="A827" s="4" t="s">
        <v>944</v>
      </c>
      <c r="B827" s="4" t="s">
        <v>975</v>
      </c>
      <c r="C827" s="4" t="s">
        <v>15</v>
      </c>
      <c r="D827" s="4" t="s">
        <v>939</v>
      </c>
      <c r="E827" t="s">
        <v>580</v>
      </c>
      <c r="F827" t="s">
        <v>256</v>
      </c>
      <c r="H827">
        <f t="shared" si="219"/>
        <v>12</v>
      </c>
      <c r="I827">
        <v>3</v>
      </c>
      <c r="J827" t="s">
        <v>56</v>
      </c>
      <c r="K827" t="s">
        <v>17</v>
      </c>
      <c r="L827" t="s">
        <v>584</v>
      </c>
      <c r="M827" t="s">
        <v>468</v>
      </c>
      <c r="N827" t="s">
        <v>469</v>
      </c>
      <c r="P827">
        <v>5.4000000000000003E-3</v>
      </c>
      <c r="Q827" t="s">
        <v>180</v>
      </c>
      <c r="T827">
        <v>1</v>
      </c>
      <c r="W827">
        <v>2700</v>
      </c>
      <c r="X827" t="s">
        <v>184</v>
      </c>
      <c r="AA827" s="13">
        <f>Tableau8[[#This Row],[density (kg/m2) or specific weight (kg/m2)]]*Tableau8[[#This Row],[nb of item used ]]*Tableau8[[#This Row],[volume or area]]</f>
        <v>14.58</v>
      </c>
      <c r="AB827">
        <v>155</v>
      </c>
      <c r="AC827">
        <v>9.16</v>
      </c>
      <c r="AD827" s="11">
        <f t="shared" ref="AD827:AD836" si="220">AB827*AA827/H827</f>
        <v>188.32500000000002</v>
      </c>
      <c r="AE827" s="11">
        <f>_xlfn.RANK.AVG(Tableau8[[#This Row],[EE ( MJ/m²)]],AD827:AD1982)</f>
        <v>25</v>
      </c>
      <c r="AF827" s="11">
        <f t="shared" ref="AF827:AF836" si="221">AB827*AA827/H827/I827</f>
        <v>62.775000000000006</v>
      </c>
      <c r="AG827" s="11">
        <f>(AC827)*AA827/H827</f>
        <v>11.129399999999999</v>
      </c>
      <c r="AH827" s="11">
        <f t="shared" ref="AH827:AH836" si="222">AC827*AA827/H827</f>
        <v>11.129399999999999</v>
      </c>
      <c r="AI827" s="11">
        <f>(AC827)*AA827/H827/I827</f>
        <v>3.7097999999999995</v>
      </c>
      <c r="AJ827" s="11">
        <f t="shared" ref="AJ827:AJ836" si="223">AC827*AA827/H827/I827</f>
        <v>3.7097999999999995</v>
      </c>
    </row>
    <row r="828" spans="1:36" x14ac:dyDescent="0.25">
      <c r="A828" s="4" t="s">
        <v>944</v>
      </c>
      <c r="B828" s="4" t="s">
        <v>976</v>
      </c>
      <c r="C828" s="4" t="s">
        <v>12</v>
      </c>
      <c r="D828" s="4" t="s">
        <v>939</v>
      </c>
      <c r="E828" t="s">
        <v>588</v>
      </c>
      <c r="F828" t="s">
        <v>256</v>
      </c>
      <c r="G828" t="s">
        <v>589</v>
      </c>
      <c r="H828">
        <v>17.600000000000001</v>
      </c>
      <c r="I828">
        <v>3</v>
      </c>
      <c r="J828" t="s">
        <v>40</v>
      </c>
      <c r="K828" t="s">
        <v>17</v>
      </c>
      <c r="L828" t="s">
        <v>594</v>
      </c>
      <c r="M828" t="s">
        <v>59</v>
      </c>
      <c r="N828" t="s">
        <v>59</v>
      </c>
      <c r="P828">
        <f>2*1*0.0035</f>
        <v>7.0000000000000001E-3</v>
      </c>
      <c r="Q828" t="s">
        <v>180</v>
      </c>
      <c r="T828">
        <v>1</v>
      </c>
      <c r="W828">
        <v>7870</v>
      </c>
      <c r="X828" t="s">
        <v>184</v>
      </c>
      <c r="AA828" s="13">
        <f>Tableau8[[#This Row],[density (kg/m2) or specific weight (kg/m2)]]*Tableau8[[#This Row],[nb of item used ]]*Tableau8[[#This Row],[volume or area]]</f>
        <v>55.09</v>
      </c>
      <c r="AB828">
        <v>25</v>
      </c>
      <c r="AC828">
        <v>2.0299999999999998</v>
      </c>
      <c r="AD828" s="11">
        <f t="shared" si="220"/>
        <v>78.252840909090907</v>
      </c>
      <c r="AE828" s="11">
        <f>_xlfn.RANK.AVG(Tableau8[[#This Row],[EE ( MJ/m²)]],AD828:AD1983)</f>
        <v>64</v>
      </c>
      <c r="AF828" s="11">
        <f t="shared" si="221"/>
        <v>26.084280303030301</v>
      </c>
      <c r="AG828" s="11">
        <f>(AC828)*AA828/H828</f>
        <v>6.3541306818181811</v>
      </c>
      <c r="AH828" s="11">
        <f t="shared" si="222"/>
        <v>6.3541306818181811</v>
      </c>
      <c r="AI828" s="11">
        <f>(AC828)*AA828/H828/I828</f>
        <v>2.1180435606060604</v>
      </c>
      <c r="AJ828" s="11">
        <f t="shared" si="223"/>
        <v>2.1180435606060604</v>
      </c>
    </row>
    <row r="829" spans="1:36" x14ac:dyDescent="0.25">
      <c r="A829" s="4" t="s">
        <v>944</v>
      </c>
      <c r="B829" s="4" t="s">
        <v>976</v>
      </c>
      <c r="C829" s="4" t="s">
        <v>15</v>
      </c>
      <c r="D829" s="4" t="s">
        <v>939</v>
      </c>
      <c r="E829" t="s">
        <v>588</v>
      </c>
      <c r="F829" t="s">
        <v>256</v>
      </c>
      <c r="G829" t="s">
        <v>589</v>
      </c>
      <c r="H829">
        <v>17.600000000000001</v>
      </c>
      <c r="I829">
        <v>3</v>
      </c>
      <c r="J829" t="s">
        <v>40</v>
      </c>
      <c r="K829" t="s">
        <v>15</v>
      </c>
      <c r="L829" t="s">
        <v>591</v>
      </c>
      <c r="M829" t="s">
        <v>15</v>
      </c>
      <c r="N829" t="s">
        <v>15</v>
      </c>
      <c r="P829">
        <f>3*PI()*(0.04^2)</f>
        <v>1.5079644737231007E-2</v>
      </c>
      <c r="Q829" t="s">
        <v>180</v>
      </c>
      <c r="T829">
        <v>16</v>
      </c>
      <c r="W829">
        <v>90</v>
      </c>
      <c r="X829" t="s">
        <v>184</v>
      </c>
      <c r="AA829" s="13">
        <f>Tableau8[[#This Row],[density (kg/m2) or specific weight (kg/m2)]]*Tableau8[[#This Row],[nb of item used ]]*Tableau8[[#This Row],[volume or area]]</f>
        <v>21.714688421612649</v>
      </c>
      <c r="AB829">
        <f>10-4.4</f>
        <v>5.6</v>
      </c>
      <c r="AC829">
        <f>0.31+0.41</f>
        <v>0.72</v>
      </c>
      <c r="AD829" s="11">
        <f t="shared" si="220"/>
        <v>6.9092190432403875</v>
      </c>
      <c r="AE829" s="11">
        <f>_xlfn.RANK.AVG(Tableau8[[#This Row],[EE ( MJ/m²)]],AD829:AD1984)</f>
        <v>205</v>
      </c>
      <c r="AF829" s="11">
        <f t="shared" si="221"/>
        <v>2.3030730144134623</v>
      </c>
      <c r="AG829" s="11">
        <f>(AC829-0.41)*AA829/H829</f>
        <v>0.38247462560795004</v>
      </c>
      <c r="AH829" s="11">
        <f t="shared" si="222"/>
        <v>0.8883281627023355</v>
      </c>
      <c r="AI829" s="11">
        <f>(AC829-0.41)*AA829/H829/I829</f>
        <v>0.12749154186931669</v>
      </c>
      <c r="AJ829" s="11">
        <f t="shared" si="223"/>
        <v>0.29610938756744515</v>
      </c>
    </row>
    <row r="830" spans="1:36" x14ac:dyDescent="0.25">
      <c r="A830" s="4" t="s">
        <v>944</v>
      </c>
      <c r="B830" s="4" t="s">
        <v>976</v>
      </c>
      <c r="C830" s="4" t="s">
        <v>15</v>
      </c>
      <c r="D830" s="4" t="s">
        <v>939</v>
      </c>
      <c r="E830" t="s">
        <v>588</v>
      </c>
      <c r="F830" t="s">
        <v>256</v>
      </c>
      <c r="G830" t="s">
        <v>589</v>
      </c>
      <c r="H830">
        <v>17.600000000000001</v>
      </c>
      <c r="I830">
        <v>3</v>
      </c>
      <c r="J830" t="s">
        <v>42</v>
      </c>
      <c r="K830" t="s">
        <v>15</v>
      </c>
      <c r="L830" t="s">
        <v>592</v>
      </c>
      <c r="M830" t="s">
        <v>15</v>
      </c>
      <c r="N830" t="s">
        <v>15</v>
      </c>
      <c r="P830">
        <f>3*PI()*(0.03^2)</f>
        <v>8.4823001646924419E-3</v>
      </c>
      <c r="Q830" t="s">
        <v>180</v>
      </c>
      <c r="T830">
        <v>4</v>
      </c>
      <c r="W830">
        <v>90</v>
      </c>
      <c r="X830" t="s">
        <v>184</v>
      </c>
      <c r="AA830" s="13">
        <f>Tableau8[[#This Row],[density (kg/m2) or specific weight (kg/m2)]]*Tableau8[[#This Row],[nb of item used ]]*Tableau8[[#This Row],[volume or area]]</f>
        <v>3.0536280592892791</v>
      </c>
      <c r="AB830">
        <f>10-4.4</f>
        <v>5.6</v>
      </c>
      <c r="AC830">
        <f>0.31+0.41</f>
        <v>0.72</v>
      </c>
      <c r="AD830" s="11">
        <f t="shared" si="220"/>
        <v>0.97160892795567944</v>
      </c>
      <c r="AE830" s="11">
        <f>_xlfn.RANK.AVG(Tableau8[[#This Row],[EE ( MJ/m²)]],AD830:AD1985)</f>
        <v>286</v>
      </c>
      <c r="AF830" s="11">
        <f t="shared" si="221"/>
        <v>0.32386964265189316</v>
      </c>
      <c r="AG830" s="11">
        <f>(AC830-0.41)*AA830/H830</f>
        <v>5.3785494226117975E-2</v>
      </c>
      <c r="AH830" s="11">
        <f t="shared" si="222"/>
        <v>0.12492114788001593</v>
      </c>
      <c r="AI830" s="11">
        <f>(AC830-0.41)*AA830/H830/I830</f>
        <v>1.7928498075372657E-2</v>
      </c>
      <c r="AJ830" s="11">
        <f t="shared" si="223"/>
        <v>4.1640382626671975E-2</v>
      </c>
    </row>
    <row r="831" spans="1:36" x14ac:dyDescent="0.25">
      <c r="A831" s="4" t="s">
        <v>944</v>
      </c>
      <c r="B831" s="4" t="s">
        <v>976</v>
      </c>
      <c r="C831" s="4" t="s">
        <v>15</v>
      </c>
      <c r="D831" s="4" t="s">
        <v>939</v>
      </c>
      <c r="E831" t="s">
        <v>588</v>
      </c>
      <c r="F831" t="s">
        <v>256</v>
      </c>
      <c r="G831" t="s">
        <v>589</v>
      </c>
      <c r="H831">
        <v>17.600000000000001</v>
      </c>
      <c r="I831">
        <v>3</v>
      </c>
      <c r="J831" t="s">
        <v>44</v>
      </c>
      <c r="K831" t="s">
        <v>14</v>
      </c>
      <c r="L831" t="s">
        <v>284</v>
      </c>
      <c r="M831" t="s">
        <v>12</v>
      </c>
      <c r="N831" t="s">
        <v>12</v>
      </c>
      <c r="P831">
        <f>0.014*0.1*0.05</f>
        <v>7.0000000000000007E-5</v>
      </c>
      <c r="Q831" t="s">
        <v>180</v>
      </c>
      <c r="R831" t="s">
        <v>187</v>
      </c>
      <c r="T831">
        <v>2</v>
      </c>
      <c r="W831">
        <v>7800</v>
      </c>
      <c r="X831" t="s">
        <v>184</v>
      </c>
      <c r="Y831" t="s">
        <v>185</v>
      </c>
      <c r="AA831" s="13">
        <f>Tableau8[[#This Row],[density (kg/m2) or specific weight (kg/m2)]]*Tableau8[[#This Row],[nb of item used ]]*Tableau8[[#This Row],[volume or area]]</f>
        <v>1.0920000000000001</v>
      </c>
      <c r="AB831">
        <v>25.3</v>
      </c>
      <c r="AC831">
        <v>1.95</v>
      </c>
      <c r="AD831" s="11">
        <f t="shared" si="220"/>
        <v>1.5697500000000002</v>
      </c>
      <c r="AE831" s="11">
        <f>_xlfn.RANK.AVG(Tableau8[[#This Row],[EE ( MJ/m²)]],AD831:AD1986)</f>
        <v>263</v>
      </c>
      <c r="AF831" s="11">
        <f t="shared" si="221"/>
        <v>0.5232500000000001</v>
      </c>
      <c r="AG831" s="11">
        <f t="shared" ref="AG831:AG836" si="224">(AC831)*AA831/H831</f>
        <v>0.12098863636363635</v>
      </c>
      <c r="AH831" s="11">
        <f t="shared" si="222"/>
        <v>0.12098863636363635</v>
      </c>
      <c r="AI831" s="11">
        <f t="shared" ref="AI831:AI836" si="225">(AC831)*AA831/H831/I831</f>
        <v>4.0329545454545451E-2</v>
      </c>
      <c r="AJ831" s="11">
        <f t="shared" si="223"/>
        <v>4.0329545454545451E-2</v>
      </c>
    </row>
    <row r="832" spans="1:36" x14ac:dyDescent="0.25">
      <c r="A832" s="4" t="s">
        <v>944</v>
      </c>
      <c r="B832" s="4" t="s">
        <v>976</v>
      </c>
      <c r="C832" s="4" t="s">
        <v>15</v>
      </c>
      <c r="D832" s="4" t="s">
        <v>939</v>
      </c>
      <c r="E832" t="s">
        <v>588</v>
      </c>
      <c r="F832" t="s">
        <v>256</v>
      </c>
      <c r="G832" t="s">
        <v>589</v>
      </c>
      <c r="H832">
        <v>17.600000000000001</v>
      </c>
      <c r="I832">
        <v>3</v>
      </c>
      <c r="J832" t="s">
        <v>44</v>
      </c>
      <c r="K832" t="s">
        <v>17</v>
      </c>
      <c r="L832" t="s">
        <v>597</v>
      </c>
      <c r="M832" t="s">
        <v>12</v>
      </c>
      <c r="N832" t="s">
        <v>12</v>
      </c>
      <c r="T832">
        <v>1</v>
      </c>
      <c r="W832">
        <v>7800</v>
      </c>
      <c r="X832" t="s">
        <v>184</v>
      </c>
      <c r="AA832" s="13">
        <v>0.5</v>
      </c>
      <c r="AB832">
        <v>25.3</v>
      </c>
      <c r="AC832">
        <v>1.95</v>
      </c>
      <c r="AD832" s="11">
        <f t="shared" si="220"/>
        <v>0.71875</v>
      </c>
      <c r="AE832" s="11">
        <f>_xlfn.RANK.AVG(Tableau8[[#This Row],[EE ( MJ/m²)]],AD832:AD1987)</f>
        <v>293</v>
      </c>
      <c r="AF832" s="11">
        <f t="shared" si="221"/>
        <v>0.23958333333333334</v>
      </c>
      <c r="AG832" s="11">
        <f t="shared" si="224"/>
        <v>5.5397727272727265E-2</v>
      </c>
      <c r="AH832" s="11">
        <f t="shared" si="222"/>
        <v>5.5397727272727265E-2</v>
      </c>
      <c r="AI832" s="11">
        <f t="shared" si="225"/>
        <v>1.8465909090909088E-2</v>
      </c>
      <c r="AJ832" s="11">
        <f t="shared" si="223"/>
        <v>1.8465909090909088E-2</v>
      </c>
    </row>
    <row r="833" spans="1:36" x14ac:dyDescent="0.25">
      <c r="A833" s="4" t="s">
        <v>944</v>
      </c>
      <c r="B833" s="4" t="s">
        <v>976</v>
      </c>
      <c r="C833" s="4" t="s">
        <v>15</v>
      </c>
      <c r="D833" s="4" t="s">
        <v>939</v>
      </c>
      <c r="E833" t="s">
        <v>588</v>
      </c>
      <c r="F833" t="s">
        <v>256</v>
      </c>
      <c r="G833" t="s">
        <v>589</v>
      </c>
      <c r="H833">
        <v>17.600000000000001</v>
      </c>
      <c r="I833">
        <v>3</v>
      </c>
      <c r="J833" t="s">
        <v>44</v>
      </c>
      <c r="K833" t="s">
        <v>17</v>
      </c>
      <c r="L833" t="s">
        <v>598</v>
      </c>
      <c r="M833" t="s">
        <v>12</v>
      </c>
      <c r="N833" t="s">
        <v>12</v>
      </c>
      <c r="T833">
        <v>1</v>
      </c>
      <c r="W833">
        <v>7800</v>
      </c>
      <c r="X833" t="s">
        <v>184</v>
      </c>
      <c r="AA833" s="13">
        <v>5</v>
      </c>
      <c r="AB833">
        <v>25.3</v>
      </c>
      <c r="AC833">
        <v>1.95</v>
      </c>
      <c r="AD833" s="11">
        <f t="shared" si="220"/>
        <v>7.1874999999999991</v>
      </c>
      <c r="AE833" s="11">
        <f>_xlfn.RANK.AVG(Tableau8[[#This Row],[EE ( MJ/m²)]],AD833:AD1988)</f>
        <v>203</v>
      </c>
      <c r="AF833" s="11">
        <f t="shared" si="221"/>
        <v>2.395833333333333</v>
      </c>
      <c r="AG833" s="11">
        <f t="shared" si="224"/>
        <v>0.55397727272727271</v>
      </c>
      <c r="AH833" s="11">
        <f t="shared" si="222"/>
        <v>0.55397727272727271</v>
      </c>
      <c r="AI833" s="11">
        <f t="shared" si="225"/>
        <v>0.18465909090909091</v>
      </c>
      <c r="AJ833" s="11">
        <f t="shared" si="223"/>
        <v>0.18465909090909091</v>
      </c>
    </row>
    <row r="834" spans="1:36" s="18" customFormat="1" x14ac:dyDescent="0.25">
      <c r="A834" s="4" t="s">
        <v>944</v>
      </c>
      <c r="B834" s="4" t="s">
        <v>976</v>
      </c>
      <c r="C834" s="4" t="s">
        <v>15</v>
      </c>
      <c r="D834" s="4" t="s">
        <v>939</v>
      </c>
      <c r="E834" t="s">
        <v>588</v>
      </c>
      <c r="F834" t="s">
        <v>256</v>
      </c>
      <c r="G834" t="s">
        <v>589</v>
      </c>
      <c r="H834">
        <v>17.600000000000001</v>
      </c>
      <c r="I834">
        <v>3</v>
      </c>
      <c r="J834" t="s">
        <v>44</v>
      </c>
      <c r="K834" t="s">
        <v>14</v>
      </c>
      <c r="L834" t="s">
        <v>596</v>
      </c>
      <c r="M834" t="s">
        <v>595</v>
      </c>
      <c r="N834" t="s">
        <v>595</v>
      </c>
      <c r="O834"/>
      <c r="P834">
        <f>30*(PI()*(0.004^2))</f>
        <v>1.5079644737231006E-3</v>
      </c>
      <c r="Q834" t="s">
        <v>180</v>
      </c>
      <c r="R834" t="s">
        <v>175</v>
      </c>
      <c r="S834"/>
      <c r="T834">
        <v>1</v>
      </c>
      <c r="U834"/>
      <c r="V834"/>
      <c r="W834" s="16">
        <v>0.2</v>
      </c>
      <c r="X834" t="s">
        <v>183</v>
      </c>
      <c r="Y834"/>
      <c r="Z834"/>
      <c r="AA834" s="13">
        <f>Tableau8[[#This Row],[nb of item used ]]*Tableau8[[#This Row],[density (kg/m2) or specific weight (kg/m2)]]*Tableau8[[#This Row],[volume or area]]</f>
        <v>3.0159289474462013E-4</v>
      </c>
      <c r="AB834">
        <v>351</v>
      </c>
      <c r="AC834">
        <v>15.5</v>
      </c>
      <c r="AD834" s="11">
        <f t="shared" si="220"/>
        <v>6.0147219349637304E-3</v>
      </c>
      <c r="AE834" s="11">
        <f>_xlfn.RANK.AVG(Tableau8[[#This Row],[EE ( MJ/m²)]],AD834:AD1989)</f>
        <v>323</v>
      </c>
      <c r="AF834" s="11">
        <f t="shared" si="221"/>
        <v>2.0049073116545769E-3</v>
      </c>
      <c r="AG834" s="11">
        <f t="shared" si="224"/>
        <v>2.6560737889440978E-4</v>
      </c>
      <c r="AH834" s="11">
        <f t="shared" si="222"/>
        <v>2.6560737889440978E-4</v>
      </c>
      <c r="AI834" s="11">
        <f t="shared" si="225"/>
        <v>8.8535792964803255E-5</v>
      </c>
      <c r="AJ834" s="11">
        <f t="shared" si="223"/>
        <v>8.8535792964803255E-5</v>
      </c>
    </row>
    <row r="835" spans="1:36" s="18" customFormat="1" x14ac:dyDescent="0.25">
      <c r="A835" s="4" t="s">
        <v>944</v>
      </c>
      <c r="B835" s="4" t="s">
        <v>976</v>
      </c>
      <c r="C835" s="4" t="s">
        <v>15</v>
      </c>
      <c r="D835" s="4" t="s">
        <v>939</v>
      </c>
      <c r="E835" t="s">
        <v>588</v>
      </c>
      <c r="F835" t="s">
        <v>256</v>
      </c>
      <c r="G835" t="s">
        <v>589</v>
      </c>
      <c r="H835">
        <v>17.600000000000001</v>
      </c>
      <c r="I835">
        <v>3</v>
      </c>
      <c r="J835" t="s">
        <v>56</v>
      </c>
      <c r="K835" t="s">
        <v>15</v>
      </c>
      <c r="L835" t="s">
        <v>52</v>
      </c>
      <c r="M835" t="s">
        <v>52</v>
      </c>
      <c r="N835" t="s">
        <v>223</v>
      </c>
      <c r="O835"/>
      <c r="P835">
        <f>1.5*PI()*(0.25^2)</f>
        <v>0.2945243112740431</v>
      </c>
      <c r="Q835" t="s">
        <v>180</v>
      </c>
      <c r="R835"/>
      <c r="S835"/>
      <c r="T835">
        <v>1</v>
      </c>
      <c r="U835"/>
      <c r="V835"/>
      <c r="W835">
        <v>17</v>
      </c>
      <c r="X835" t="s">
        <v>184</v>
      </c>
      <c r="Y835"/>
      <c r="Z835"/>
      <c r="AA835" s="13">
        <f>W835*T835*P835</f>
        <v>5.0069132916587327</v>
      </c>
      <c r="AB835">
        <v>0.24</v>
      </c>
      <c r="AC835">
        <v>0.01</v>
      </c>
      <c r="AD835" s="11">
        <f t="shared" si="220"/>
        <v>6.8276090340800885E-2</v>
      </c>
      <c r="AE835" s="11">
        <f>_xlfn.RANK.AVG(Tableau8[[#This Row],[EE ( MJ/m²)]],AD835:AD1990)</f>
        <v>314</v>
      </c>
      <c r="AF835" s="11">
        <f t="shared" si="221"/>
        <v>2.2758696780266961E-2</v>
      </c>
      <c r="AG835" s="11">
        <f t="shared" si="224"/>
        <v>2.8448370975333709E-3</v>
      </c>
      <c r="AH835" s="11">
        <f t="shared" si="222"/>
        <v>2.8448370975333709E-3</v>
      </c>
      <c r="AI835" s="11">
        <f t="shared" si="225"/>
        <v>9.4827903251112368E-4</v>
      </c>
      <c r="AJ835" s="11">
        <f t="shared" si="223"/>
        <v>9.4827903251112368E-4</v>
      </c>
    </row>
    <row r="836" spans="1:36" x14ac:dyDescent="0.25">
      <c r="A836" s="4" t="s">
        <v>944</v>
      </c>
      <c r="B836" s="4" t="s">
        <v>976</v>
      </c>
      <c r="C836" s="4" t="s">
        <v>15</v>
      </c>
      <c r="D836" s="4" t="s">
        <v>939</v>
      </c>
      <c r="E836" t="s">
        <v>588</v>
      </c>
      <c r="F836" t="s">
        <v>256</v>
      </c>
      <c r="G836" t="s">
        <v>589</v>
      </c>
      <c r="H836">
        <v>17.600000000000001</v>
      </c>
      <c r="I836">
        <v>3</v>
      </c>
      <c r="J836" t="s">
        <v>40</v>
      </c>
      <c r="K836" t="s">
        <v>29</v>
      </c>
      <c r="L836" t="s">
        <v>599</v>
      </c>
      <c r="M836" t="s">
        <v>535</v>
      </c>
      <c r="N836" t="s">
        <v>69</v>
      </c>
      <c r="P836">
        <v>3</v>
      </c>
      <c r="Q836" t="s">
        <v>180</v>
      </c>
      <c r="T836">
        <v>1</v>
      </c>
      <c r="W836">
        <v>1460</v>
      </c>
      <c r="X836" t="s">
        <v>184</v>
      </c>
      <c r="AA836" s="13">
        <f>Tableau8[[#This Row],[density (kg/m2) or specific weight (kg/m2)]]*Tableau8[[#This Row],[volume or area]]</f>
        <v>4380</v>
      </c>
      <c r="AB836">
        <v>0.45</v>
      </c>
      <c r="AC836">
        <v>2.4E-2</v>
      </c>
      <c r="AD836" s="11">
        <f t="shared" si="220"/>
        <v>111.98863636363636</v>
      </c>
      <c r="AE836" s="11">
        <f>_xlfn.RANK.AVG(Tableau8[[#This Row],[EE ( MJ/m²)]],AD836:AD1991)</f>
        <v>43</v>
      </c>
      <c r="AF836" s="11">
        <f t="shared" si="221"/>
        <v>37.329545454545453</v>
      </c>
      <c r="AG836" s="11">
        <f t="shared" si="224"/>
        <v>5.9727272727272727</v>
      </c>
      <c r="AH836" s="11">
        <f t="shared" si="222"/>
        <v>5.9727272727272727</v>
      </c>
      <c r="AI836" s="11">
        <f t="shared" si="225"/>
        <v>1.990909090909091</v>
      </c>
      <c r="AJ836" s="11">
        <f t="shared" si="223"/>
        <v>1.990909090909091</v>
      </c>
    </row>
    <row r="837" spans="1:36" x14ac:dyDescent="0.25">
      <c r="A837" s="4" t="s">
        <v>944</v>
      </c>
      <c r="B837" s="4" t="s">
        <v>976</v>
      </c>
      <c r="C837" s="4" t="s">
        <v>15</v>
      </c>
      <c r="D837" s="4" t="s">
        <v>939</v>
      </c>
      <c r="E837" t="s">
        <v>588</v>
      </c>
      <c r="F837" t="s">
        <v>256</v>
      </c>
      <c r="G837" t="s">
        <v>589</v>
      </c>
      <c r="H837">
        <v>17.600000000000001</v>
      </c>
      <c r="I837">
        <v>3</v>
      </c>
      <c r="J837" t="s">
        <v>42</v>
      </c>
      <c r="K837" t="s">
        <v>15</v>
      </c>
      <c r="L837" t="s">
        <v>590</v>
      </c>
      <c r="M837" t="s">
        <v>235</v>
      </c>
      <c r="N837" t="s">
        <v>235</v>
      </c>
      <c r="P837">
        <f>((PI()*(0.05^2))-(PI()*(0.035^2)))*3</f>
        <v>1.201659189998096E-2</v>
      </c>
      <c r="Q837" t="s">
        <v>180</v>
      </c>
      <c r="T837">
        <v>8</v>
      </c>
      <c r="W837">
        <v>100</v>
      </c>
      <c r="X837" t="s">
        <v>184</v>
      </c>
      <c r="Y837" t="s">
        <v>441</v>
      </c>
      <c r="Z837" t="s">
        <v>442</v>
      </c>
      <c r="AA837" s="13">
        <f>Tableau8[[#This Row],[density (kg/m2) or specific weight (kg/m2)]]*Tableau8[[#This Row],[nb of item used ]]*Tableau8[[#This Row],[volume or area]]</f>
        <v>9.6132735199847676</v>
      </c>
      <c r="AB837">
        <v>13.13</v>
      </c>
      <c r="AC837">
        <v>12.37</v>
      </c>
      <c r="AD837" s="11">
        <f>AB837*(AA837/Tableau8[[#This Row],[density (kg/m2) or specific weight (kg/m2)]])/H837</f>
        <v>7.1717205293977265E-2</v>
      </c>
      <c r="AE837" s="11">
        <f>_xlfn.RANK.AVG(Tableau8[[#This Row],[EE ( MJ/m²)]],AD837:AD1992)</f>
        <v>312</v>
      </c>
      <c r="AF837" s="11">
        <f>AB837*(AA837/Tableau8[[#This Row],[density (kg/m2) or specific weight (kg/m2)]])/H837/I837</f>
        <v>2.3905735097992421E-2</v>
      </c>
      <c r="AG837" s="11">
        <f>(AC837)*(AA837/Tableau8[[#This Row],[density (kg/m2) or specific weight (kg/m2)]])/H837</f>
        <v>6.7566019001256569E-2</v>
      </c>
      <c r="AH837" s="11">
        <f>AC837*(AA837/Tableau8[[#This Row],[density (kg/m2) or specific weight (kg/m2)]])/H837</f>
        <v>6.7566019001256569E-2</v>
      </c>
      <c r="AI837" s="11">
        <f>(AC837)*(AA837/Tableau8[[#This Row],[density (kg/m2) or specific weight (kg/m2)]])/H837/I837</f>
        <v>2.252200633375219E-2</v>
      </c>
      <c r="AJ837" s="11">
        <f>AC837*(AA837/Tableau8[[#This Row],[density (kg/m2) or specific weight (kg/m2)]])/H837/I837</f>
        <v>2.252200633375219E-2</v>
      </c>
    </row>
    <row r="838" spans="1:36" x14ac:dyDescent="0.25">
      <c r="A838" s="4" t="s">
        <v>944</v>
      </c>
      <c r="B838" s="4" t="s">
        <v>976</v>
      </c>
      <c r="C838" s="4" t="s">
        <v>15</v>
      </c>
      <c r="D838" s="4" t="s">
        <v>939</v>
      </c>
      <c r="E838" t="s">
        <v>588</v>
      </c>
      <c r="F838" t="s">
        <v>256</v>
      </c>
      <c r="G838" t="s">
        <v>589</v>
      </c>
      <c r="H838">
        <v>17.600000000000001</v>
      </c>
      <c r="I838">
        <v>3</v>
      </c>
      <c r="J838" t="s">
        <v>40</v>
      </c>
      <c r="K838" t="s">
        <v>15</v>
      </c>
      <c r="L838" t="s">
        <v>593</v>
      </c>
      <c r="M838" t="s">
        <v>235</v>
      </c>
      <c r="N838" t="s">
        <v>235</v>
      </c>
      <c r="P838">
        <f>((PI()*(0.025^2))-(PI()*(0.018^2)))*3</f>
        <v>2.8368581661915842E-3</v>
      </c>
      <c r="Q838" t="s">
        <v>180</v>
      </c>
      <c r="T838">
        <v>200</v>
      </c>
      <c r="W838">
        <v>100</v>
      </c>
      <c r="X838" t="s">
        <v>184</v>
      </c>
      <c r="Y838" t="s">
        <v>441</v>
      </c>
      <c r="Z838" t="s">
        <v>442</v>
      </c>
      <c r="AA838" s="13">
        <f>Tableau8[[#This Row],[density (kg/m2) or specific weight (kg/m2)]]*Tableau8[[#This Row],[nb of item used ]]*Tableau8[[#This Row],[volume or area]]</f>
        <v>56.73716332383168</v>
      </c>
      <c r="AB838">
        <v>13.13</v>
      </c>
      <c r="AC838">
        <v>12.37</v>
      </c>
      <c r="AD838" s="11">
        <f>AB838*(AA838/Tableau8[[#This Row],[density (kg/m2) or specific weight (kg/m2)]])/H838</f>
        <v>0.42327213320563067</v>
      </c>
      <c r="AE838" s="11">
        <f>_xlfn.RANK.AVG(Tableau8[[#This Row],[EE ( MJ/m²)]],AD838:AD1993)</f>
        <v>296</v>
      </c>
      <c r="AF838" s="11">
        <f>AB838*(AA838/Tableau8[[#This Row],[density (kg/m2) or specific weight (kg/m2)]])/H838/I838</f>
        <v>0.14109071106854357</v>
      </c>
      <c r="AG838" s="11">
        <f>(AC838)*(AA838/Tableau8[[#This Row],[density (kg/m2) or specific weight (kg/m2)]])/H838</f>
        <v>0.39877199449761241</v>
      </c>
      <c r="AH838" s="11">
        <f>AC838*(AA838/Tableau8[[#This Row],[density (kg/m2) or specific weight (kg/m2)]])/H838</f>
        <v>0.39877199449761241</v>
      </c>
      <c r="AI838" s="11">
        <f>(AC838)*(AA838/Tableau8[[#This Row],[density (kg/m2) or specific weight (kg/m2)]])/H838/I838</f>
        <v>0.1329239981658708</v>
      </c>
      <c r="AJ838" s="11">
        <f>AC838*(AA838/Tableau8[[#This Row],[density (kg/m2) or specific weight (kg/m2)]])/H838/I838</f>
        <v>0.1329239981658708</v>
      </c>
    </row>
    <row r="839" spans="1:36" x14ac:dyDescent="0.25">
      <c r="A839" s="4" t="s">
        <v>944</v>
      </c>
      <c r="B839" s="4" t="s">
        <v>977</v>
      </c>
      <c r="C839" s="4" t="s">
        <v>998</v>
      </c>
      <c r="D839" s="4" t="s">
        <v>939</v>
      </c>
      <c r="E839" t="s">
        <v>559</v>
      </c>
      <c r="F839" t="s">
        <v>256</v>
      </c>
      <c r="G839" t="s">
        <v>560</v>
      </c>
      <c r="H839">
        <v>24</v>
      </c>
      <c r="I839">
        <v>6.5</v>
      </c>
      <c r="J839" t="s">
        <v>56</v>
      </c>
      <c r="K839" t="s">
        <v>15</v>
      </c>
      <c r="L839" t="s">
        <v>564</v>
      </c>
      <c r="M839" t="s">
        <v>15</v>
      </c>
      <c r="N839" t="s">
        <v>15</v>
      </c>
      <c r="P839">
        <v>2.9000000000000001E-2</v>
      </c>
      <c r="Q839" t="s">
        <v>180</v>
      </c>
      <c r="T839">
        <v>1</v>
      </c>
      <c r="W839">
        <v>510</v>
      </c>
      <c r="X839" t="s">
        <v>184</v>
      </c>
      <c r="AA839" s="13">
        <f>Tableau8[[#This Row],[density (kg/m2) or specific weight (kg/m2)]]*Tableau8[[#This Row],[nb of item used ]]*Tableau8[[#This Row],[volume or area]]</f>
        <v>14.790000000000001</v>
      </c>
      <c r="AB839">
        <f>10-4.4</f>
        <v>5.6</v>
      </c>
      <c r="AC839">
        <f>0.31+0.41</f>
        <v>0.72</v>
      </c>
      <c r="AD839" s="11">
        <f t="shared" ref="AD839:AD870" si="226">AB839*AA839/H839</f>
        <v>3.4510000000000001</v>
      </c>
      <c r="AE839" s="11">
        <f>_xlfn.RANK.AVG(Tableau8[[#This Row],[EE ( MJ/m²)]],AD839:AD1994)</f>
        <v>224</v>
      </c>
      <c r="AF839" s="11">
        <f t="shared" ref="AF839:AF870" si="227">AB839*AA839/H839/I839</f>
        <v>0.53092307692307694</v>
      </c>
      <c r="AG839" s="11">
        <f>(AC839-0.41)*AA839/H839</f>
        <v>0.1910375</v>
      </c>
      <c r="AH839" s="11">
        <f t="shared" ref="AH839:AH870" si="228">AC839*AA839/H839</f>
        <v>0.44369999999999998</v>
      </c>
      <c r="AI839" s="11">
        <f>(AC839-0.41)*AA839/H839/I839</f>
        <v>2.9390384615384617E-2</v>
      </c>
      <c r="AJ839" s="11">
        <f t="shared" ref="AJ839:AJ870" si="229">AC839*AA839/H839/I839</f>
        <v>6.8261538461538457E-2</v>
      </c>
    </row>
    <row r="840" spans="1:36" x14ac:dyDescent="0.25">
      <c r="A840" s="4" t="s">
        <v>944</v>
      </c>
      <c r="B840" s="4" t="s">
        <v>977</v>
      </c>
      <c r="C840" s="4" t="s">
        <v>998</v>
      </c>
      <c r="D840" s="4" t="s">
        <v>939</v>
      </c>
      <c r="E840" t="s">
        <v>559</v>
      </c>
      <c r="F840" t="s">
        <v>256</v>
      </c>
      <c r="G840" t="s">
        <v>560</v>
      </c>
      <c r="H840">
        <v>24</v>
      </c>
      <c r="I840">
        <v>6.5</v>
      </c>
      <c r="J840" t="s">
        <v>44</v>
      </c>
      <c r="K840" t="s">
        <v>17</v>
      </c>
      <c r="L840" t="s">
        <v>462</v>
      </c>
      <c r="M840" t="s">
        <v>12</v>
      </c>
      <c r="N840" t="s">
        <v>12</v>
      </c>
      <c r="T840">
        <v>1</v>
      </c>
      <c r="W840">
        <v>7800</v>
      </c>
      <c r="X840" t="s">
        <v>184</v>
      </c>
      <c r="AA840" s="13">
        <v>8.4</v>
      </c>
      <c r="AB840">
        <v>25.3</v>
      </c>
      <c r="AC840">
        <v>1.95</v>
      </c>
      <c r="AD840" s="11">
        <f t="shared" si="226"/>
        <v>8.8550000000000004</v>
      </c>
      <c r="AE840" s="11">
        <f>_xlfn.RANK.AVG(Tableau8[[#This Row],[EE ( MJ/m²)]],AD840:AD1995)</f>
        <v>189</v>
      </c>
      <c r="AF840" s="11">
        <f t="shared" si="227"/>
        <v>1.3623076923076924</v>
      </c>
      <c r="AG840" s="11">
        <f t="shared" ref="AG840:AG871" si="230">(AC840)*AA840/H840</f>
        <v>0.6825</v>
      </c>
      <c r="AH840" s="11">
        <f t="shared" si="228"/>
        <v>0.6825</v>
      </c>
      <c r="AI840" s="11">
        <f t="shared" ref="AI840:AI871" si="231">(AC840)*AA840/H840/I840</f>
        <v>0.105</v>
      </c>
      <c r="AJ840" s="11">
        <f t="shared" si="229"/>
        <v>0.105</v>
      </c>
    </row>
    <row r="841" spans="1:36" x14ac:dyDescent="0.25">
      <c r="A841" s="4" t="s">
        <v>944</v>
      </c>
      <c r="B841" s="4" t="s">
        <v>977</v>
      </c>
      <c r="C841" s="4" t="s">
        <v>998</v>
      </c>
      <c r="D841" s="4" t="s">
        <v>939</v>
      </c>
      <c r="E841" t="s">
        <v>559</v>
      </c>
      <c r="F841" t="s">
        <v>256</v>
      </c>
      <c r="G841" t="s">
        <v>560</v>
      </c>
      <c r="H841">
        <v>24</v>
      </c>
      <c r="I841">
        <v>6.5</v>
      </c>
      <c r="J841" t="s">
        <v>40</v>
      </c>
      <c r="K841" t="s">
        <v>29</v>
      </c>
      <c r="L841" t="s">
        <v>562</v>
      </c>
      <c r="M841" t="s">
        <v>364</v>
      </c>
      <c r="N841" t="s">
        <v>432</v>
      </c>
      <c r="T841">
        <v>1</v>
      </c>
      <c r="W841">
        <v>2240</v>
      </c>
      <c r="X841" t="s">
        <v>184</v>
      </c>
      <c r="AA841" s="13">
        <v>728</v>
      </c>
      <c r="AB841">
        <v>8.0999999999999996E-3</v>
      </c>
      <c r="AC841">
        <v>5.1000000000000004E-3</v>
      </c>
      <c r="AD841" s="11">
        <f t="shared" si="226"/>
        <v>0.2457</v>
      </c>
      <c r="AE841" s="11">
        <f>_xlfn.RANK.AVG(Tableau8[[#This Row],[EE ( MJ/m²)]],AD841:AD1996)</f>
        <v>302</v>
      </c>
      <c r="AF841" s="11">
        <f t="shared" si="227"/>
        <v>3.78E-2</v>
      </c>
      <c r="AG841" s="11">
        <f t="shared" si="230"/>
        <v>0.1547</v>
      </c>
      <c r="AH841" s="11">
        <f t="shared" si="228"/>
        <v>0.1547</v>
      </c>
      <c r="AI841" s="11">
        <f t="shared" si="231"/>
        <v>2.3800000000000002E-2</v>
      </c>
      <c r="AJ841" s="11">
        <f t="shared" si="229"/>
        <v>2.3800000000000002E-2</v>
      </c>
    </row>
    <row r="842" spans="1:36" x14ac:dyDescent="0.25">
      <c r="A842" s="4" t="s">
        <v>944</v>
      </c>
      <c r="B842" s="4" t="s">
        <v>977</v>
      </c>
      <c r="C842" s="4" t="s">
        <v>998</v>
      </c>
      <c r="D842" s="4" t="s">
        <v>939</v>
      </c>
      <c r="E842" t="s">
        <v>559</v>
      </c>
      <c r="F842" t="s">
        <v>256</v>
      </c>
      <c r="G842" t="s">
        <v>560</v>
      </c>
      <c r="H842">
        <v>24</v>
      </c>
      <c r="I842">
        <v>6.5</v>
      </c>
      <c r="J842" t="s">
        <v>40</v>
      </c>
      <c r="K842" t="s">
        <v>386</v>
      </c>
      <c r="L842" t="s">
        <v>561</v>
      </c>
      <c r="M842" t="s">
        <v>435</v>
      </c>
      <c r="N842" t="s">
        <v>435</v>
      </c>
      <c r="P842">
        <v>6</v>
      </c>
      <c r="Q842" t="s">
        <v>180</v>
      </c>
      <c r="T842">
        <v>1</v>
      </c>
      <c r="W842">
        <v>1920</v>
      </c>
      <c r="X842" t="s">
        <v>184</v>
      </c>
      <c r="AA842" s="13">
        <f>Tableau8[[#This Row],[density (kg/m2) or specific weight (kg/m2)]]*Tableau8[[#This Row],[nb of item used ]]*Tableau8[[#This Row],[volume or area]]</f>
        <v>11520</v>
      </c>
      <c r="AB842">
        <v>3</v>
      </c>
      <c r="AC842">
        <v>0.24</v>
      </c>
      <c r="AD842" s="11">
        <f t="shared" si="226"/>
        <v>1440</v>
      </c>
      <c r="AE842" s="11">
        <f>_xlfn.RANK.AVG(Tableau8[[#This Row],[EE ( MJ/m²)]],AD842:AD1997)</f>
        <v>3</v>
      </c>
      <c r="AF842" s="11">
        <f t="shared" si="227"/>
        <v>221.53846153846155</v>
      </c>
      <c r="AG842" s="11">
        <f t="shared" si="230"/>
        <v>115.19999999999999</v>
      </c>
      <c r="AH842" s="11">
        <f t="shared" si="228"/>
        <v>115.19999999999999</v>
      </c>
      <c r="AI842" s="11">
        <f t="shared" si="231"/>
        <v>17.723076923076921</v>
      </c>
      <c r="AJ842" s="11">
        <f t="shared" si="229"/>
        <v>17.723076923076921</v>
      </c>
    </row>
    <row r="843" spans="1:36" x14ac:dyDescent="0.25">
      <c r="A843" s="4" t="s">
        <v>944</v>
      </c>
      <c r="B843" s="4" t="s">
        <v>977</v>
      </c>
      <c r="C843" s="4" t="s">
        <v>998</v>
      </c>
      <c r="D843" s="4" t="s">
        <v>939</v>
      </c>
      <c r="E843" t="s">
        <v>559</v>
      </c>
      <c r="F843" t="s">
        <v>256</v>
      </c>
      <c r="G843" t="s">
        <v>560</v>
      </c>
      <c r="H843">
        <v>24</v>
      </c>
      <c r="I843">
        <v>6.5</v>
      </c>
      <c r="J843" t="s">
        <v>40</v>
      </c>
      <c r="K843" t="s">
        <v>18</v>
      </c>
      <c r="L843" t="s">
        <v>544</v>
      </c>
      <c r="M843" t="s">
        <v>363</v>
      </c>
      <c r="N843" t="s">
        <v>431</v>
      </c>
      <c r="T843">
        <v>1</v>
      </c>
      <c r="W843">
        <v>1860</v>
      </c>
      <c r="X843" t="s">
        <v>184</v>
      </c>
      <c r="AA843" s="13">
        <v>364</v>
      </c>
      <c r="AB843">
        <v>4.51</v>
      </c>
      <c r="AC843">
        <v>0.74</v>
      </c>
      <c r="AD843" s="11">
        <f t="shared" si="226"/>
        <v>68.401666666666657</v>
      </c>
      <c r="AE843" s="11">
        <f>_xlfn.RANK.AVG(Tableau8[[#This Row],[EE ( MJ/m²)]],AD843:AD1998)</f>
        <v>71</v>
      </c>
      <c r="AF843" s="11">
        <f t="shared" si="227"/>
        <v>10.523333333333332</v>
      </c>
      <c r="AG843" s="11">
        <f t="shared" si="230"/>
        <v>11.223333333333334</v>
      </c>
      <c r="AH843" s="11">
        <f t="shared" si="228"/>
        <v>11.223333333333334</v>
      </c>
      <c r="AI843" s="11">
        <f t="shared" si="231"/>
        <v>1.7266666666666668</v>
      </c>
      <c r="AJ843" s="11">
        <f t="shared" si="229"/>
        <v>1.7266666666666668</v>
      </c>
    </row>
    <row r="844" spans="1:36" x14ac:dyDescent="0.25">
      <c r="A844" s="4" t="s">
        <v>944</v>
      </c>
      <c r="B844" s="4" t="s">
        <v>977</v>
      </c>
      <c r="C844" s="4" t="s">
        <v>998</v>
      </c>
      <c r="D844" s="4" t="s">
        <v>939</v>
      </c>
      <c r="E844" t="s">
        <v>559</v>
      </c>
      <c r="F844" t="s">
        <v>256</v>
      </c>
      <c r="G844" t="s">
        <v>560</v>
      </c>
      <c r="H844">
        <v>24</v>
      </c>
      <c r="I844">
        <v>6.5</v>
      </c>
      <c r="J844" t="s">
        <v>40</v>
      </c>
      <c r="K844" t="s">
        <v>17</v>
      </c>
      <c r="L844" t="s">
        <v>565</v>
      </c>
      <c r="M844" t="s">
        <v>473</v>
      </c>
      <c r="N844" t="s">
        <v>469</v>
      </c>
      <c r="P844">
        <v>6.9999999999999999E-4</v>
      </c>
      <c r="Q844" t="s">
        <v>180</v>
      </c>
      <c r="T844">
        <v>1</v>
      </c>
      <c r="W844">
        <v>2700</v>
      </c>
      <c r="X844" t="s">
        <v>184</v>
      </c>
      <c r="AA844" s="13">
        <f>Tableau8[[#This Row],[density (kg/m2) or specific weight (kg/m2)]]*Tableau8[[#This Row],[nb of item used ]]*Tableau8[[#This Row],[volume or area]]</f>
        <v>1.89</v>
      </c>
      <c r="AB844">
        <v>155</v>
      </c>
      <c r="AC844">
        <v>9.16</v>
      </c>
      <c r="AD844" s="11">
        <f t="shared" si="226"/>
        <v>12.206249999999999</v>
      </c>
      <c r="AE844" s="11">
        <f>_xlfn.RANK.AVG(Tableau8[[#This Row],[EE ( MJ/m²)]],AD844:AD1999)</f>
        <v>167</v>
      </c>
      <c r="AF844" s="11">
        <f t="shared" si="227"/>
        <v>1.8778846153846152</v>
      </c>
      <c r="AG844" s="11">
        <f t="shared" si="230"/>
        <v>0.72135000000000005</v>
      </c>
      <c r="AH844" s="11">
        <f t="shared" si="228"/>
        <v>0.72135000000000005</v>
      </c>
      <c r="AI844" s="11">
        <f t="shared" si="231"/>
        <v>0.11097692307692308</v>
      </c>
      <c r="AJ844" s="11">
        <f t="shared" si="229"/>
        <v>0.11097692307692308</v>
      </c>
    </row>
    <row r="845" spans="1:36" x14ac:dyDescent="0.25">
      <c r="A845" s="4" t="s">
        <v>944</v>
      </c>
      <c r="B845" s="4" t="s">
        <v>977</v>
      </c>
      <c r="C845" s="4" t="s">
        <v>998</v>
      </c>
      <c r="D845" s="4" t="s">
        <v>939</v>
      </c>
      <c r="E845" t="s">
        <v>559</v>
      </c>
      <c r="F845" t="s">
        <v>256</v>
      </c>
      <c r="G845" t="s">
        <v>560</v>
      </c>
      <c r="H845">
        <v>24</v>
      </c>
      <c r="I845">
        <v>6.5</v>
      </c>
      <c r="J845" t="s">
        <v>56</v>
      </c>
      <c r="K845" t="s">
        <v>17</v>
      </c>
      <c r="L845" t="s">
        <v>563</v>
      </c>
      <c r="M845" t="s">
        <v>469</v>
      </c>
      <c r="N845" t="s">
        <v>469</v>
      </c>
      <c r="P845">
        <v>1.0999999999999999E-2</v>
      </c>
      <c r="Q845" t="s">
        <v>180</v>
      </c>
      <c r="T845">
        <v>1</v>
      </c>
      <c r="W845">
        <v>2700</v>
      </c>
      <c r="X845" t="s">
        <v>184</v>
      </c>
      <c r="AA845" s="13">
        <f>Tableau8[[#This Row],[density (kg/m2) or specific weight (kg/m2)]]*Tableau8[[#This Row],[nb of item used ]]*Tableau8[[#This Row],[volume or area]]</f>
        <v>29.7</v>
      </c>
      <c r="AB845">
        <v>155</v>
      </c>
      <c r="AC845">
        <v>9.16</v>
      </c>
      <c r="AD845" s="11">
        <f t="shared" si="226"/>
        <v>191.8125</v>
      </c>
      <c r="AE845" s="11">
        <f>_xlfn.RANK.AVG(Tableau8[[#This Row],[EE ( MJ/m²)]],AD845:AD2000)</f>
        <v>23</v>
      </c>
      <c r="AF845" s="11">
        <f t="shared" si="227"/>
        <v>29.509615384615383</v>
      </c>
      <c r="AG845" s="11">
        <f t="shared" si="230"/>
        <v>11.335500000000001</v>
      </c>
      <c r="AH845" s="11">
        <f t="shared" si="228"/>
        <v>11.335500000000001</v>
      </c>
      <c r="AI845" s="11">
        <f t="shared" si="231"/>
        <v>1.7439230769230771</v>
      </c>
      <c r="AJ845" s="11">
        <f t="shared" si="229"/>
        <v>1.7439230769230771</v>
      </c>
    </row>
    <row r="846" spans="1:36" x14ac:dyDescent="0.25">
      <c r="A846" s="4" t="s">
        <v>944</v>
      </c>
      <c r="B846" s="4" t="s">
        <v>977</v>
      </c>
      <c r="C846" s="4" t="s">
        <v>998</v>
      </c>
      <c r="D846" s="4" t="s">
        <v>939</v>
      </c>
      <c r="E846" t="s">
        <v>559</v>
      </c>
      <c r="F846" t="s">
        <v>256</v>
      </c>
      <c r="G846" t="s">
        <v>560</v>
      </c>
      <c r="H846">
        <v>24</v>
      </c>
      <c r="I846">
        <v>6.5</v>
      </c>
      <c r="J846" t="s">
        <v>40</v>
      </c>
      <c r="K846" t="s">
        <v>17</v>
      </c>
      <c r="L846" t="s">
        <v>566</v>
      </c>
      <c r="M846" t="s">
        <v>454</v>
      </c>
      <c r="N846" t="s">
        <v>469</v>
      </c>
      <c r="P846">
        <v>3.5E-4</v>
      </c>
      <c r="Q846" t="s">
        <v>180</v>
      </c>
      <c r="T846">
        <v>1</v>
      </c>
      <c r="W846">
        <v>2700</v>
      </c>
      <c r="X846" t="s">
        <v>184</v>
      </c>
      <c r="AA846" s="13">
        <f>Tableau8[[#This Row],[density (kg/m2) or specific weight (kg/m2)]]*Tableau8[[#This Row],[nb of item used ]]*Tableau8[[#This Row],[volume or area]]</f>
        <v>0.94499999999999995</v>
      </c>
      <c r="AB846">
        <v>155</v>
      </c>
      <c r="AC846">
        <v>9.16</v>
      </c>
      <c r="AD846" s="11">
        <f t="shared" si="226"/>
        <v>6.1031249999999995</v>
      </c>
      <c r="AE846" s="11">
        <f>_xlfn.RANK.AVG(Tableau8[[#This Row],[EE ( MJ/m²)]],AD846:AD2001)</f>
        <v>201</v>
      </c>
      <c r="AF846" s="11">
        <f t="shared" si="227"/>
        <v>0.93894230769230758</v>
      </c>
      <c r="AG846" s="11">
        <f t="shared" si="230"/>
        <v>0.36067500000000002</v>
      </c>
      <c r="AH846" s="11">
        <f t="shared" si="228"/>
        <v>0.36067500000000002</v>
      </c>
      <c r="AI846" s="11">
        <f t="shared" si="231"/>
        <v>5.5488461538461542E-2</v>
      </c>
      <c r="AJ846" s="11">
        <f t="shared" si="229"/>
        <v>5.5488461538461542E-2</v>
      </c>
    </row>
    <row r="847" spans="1:36" x14ac:dyDescent="0.25">
      <c r="A847" s="4" t="s">
        <v>945</v>
      </c>
      <c r="B847" s="4" t="s">
        <v>987</v>
      </c>
      <c r="C847" s="4" t="s">
        <v>17</v>
      </c>
      <c r="D847" s="4" t="s">
        <v>938</v>
      </c>
      <c r="E847" t="s">
        <v>255</v>
      </c>
      <c r="F847" t="s">
        <v>256</v>
      </c>
      <c r="G847" t="s">
        <v>257</v>
      </c>
      <c r="H847">
        <v>24</v>
      </c>
      <c r="I847">
        <v>3</v>
      </c>
      <c r="J847" t="s">
        <v>57</v>
      </c>
      <c r="K847" t="s">
        <v>17</v>
      </c>
      <c r="L847" t="s">
        <v>297</v>
      </c>
      <c r="M847" t="s">
        <v>313</v>
      </c>
      <c r="N847" t="s">
        <v>99</v>
      </c>
      <c r="R847" t="s">
        <v>175</v>
      </c>
      <c r="AA847" s="13">
        <v>40</v>
      </c>
      <c r="AB847">
        <v>21.6</v>
      </c>
      <c r="AC847">
        <v>1.86</v>
      </c>
      <c r="AD847" s="11">
        <f t="shared" si="226"/>
        <v>36</v>
      </c>
      <c r="AE847" s="11">
        <f>_xlfn.RANK.AVG(Tableau8[[#This Row],[EE ( MJ/m²)]],AD847:AD2002)</f>
        <v>96</v>
      </c>
      <c r="AF847" s="11">
        <f t="shared" si="227"/>
        <v>12</v>
      </c>
      <c r="AG847" s="11">
        <f t="shared" si="230"/>
        <v>3.1</v>
      </c>
      <c r="AH847" s="11">
        <f t="shared" si="228"/>
        <v>3.1</v>
      </c>
      <c r="AI847" s="11">
        <f t="shared" si="231"/>
        <v>1.0333333333333334</v>
      </c>
      <c r="AJ847" s="11">
        <f t="shared" si="229"/>
        <v>1.0333333333333334</v>
      </c>
    </row>
    <row r="848" spans="1:36" x14ac:dyDescent="0.25">
      <c r="A848" s="4" t="s">
        <v>945</v>
      </c>
      <c r="B848" s="4" t="s">
        <v>987</v>
      </c>
      <c r="C848" s="4" t="s">
        <v>17</v>
      </c>
      <c r="D848" s="4" t="s">
        <v>938</v>
      </c>
      <c r="E848" t="s">
        <v>255</v>
      </c>
      <c r="F848" t="s">
        <v>256</v>
      </c>
      <c r="G848" t="s">
        <v>257</v>
      </c>
      <c r="H848">
        <v>24</v>
      </c>
      <c r="I848">
        <v>3</v>
      </c>
      <c r="J848" t="s">
        <v>40</v>
      </c>
      <c r="K848" t="s">
        <v>17</v>
      </c>
      <c r="L848" t="s">
        <v>258</v>
      </c>
      <c r="M848" t="s">
        <v>12</v>
      </c>
      <c r="N848" t="s">
        <v>12</v>
      </c>
      <c r="P848">
        <f>(0.06*0.03*2.2)-(0.0576*0.0276*2.2)</f>
        <v>4.6252799999999981E-4</v>
      </c>
      <c r="Q848" t="s">
        <v>180</v>
      </c>
      <c r="R848" t="s">
        <v>175</v>
      </c>
      <c r="T848">
        <v>4</v>
      </c>
      <c r="W848">
        <v>7800</v>
      </c>
      <c r="X848" t="s">
        <v>184</v>
      </c>
      <c r="Y848" t="s">
        <v>185</v>
      </c>
      <c r="AA848" s="13">
        <f>Tableau8[[#This Row],[density (kg/m2) or specific weight (kg/m2)]]*Tableau8[[#This Row],[nb of item used ]]*Tableau8[[#This Row],[volume or area]]</f>
        <v>14.430873599999995</v>
      </c>
      <c r="AB848">
        <v>25.3</v>
      </c>
      <c r="AC848">
        <v>1.95</v>
      </c>
      <c r="AD848" s="11">
        <f t="shared" si="226"/>
        <v>15.212545919999995</v>
      </c>
      <c r="AE848" s="11">
        <f>_xlfn.RANK.AVG(Tableau8[[#This Row],[EE ( MJ/m²)]],AD848:AD2003)</f>
        <v>153</v>
      </c>
      <c r="AF848" s="11">
        <f t="shared" si="227"/>
        <v>5.0708486399999986</v>
      </c>
      <c r="AG848" s="11">
        <f t="shared" si="230"/>
        <v>1.1725084799999996</v>
      </c>
      <c r="AH848" s="11">
        <f t="shared" si="228"/>
        <v>1.1725084799999996</v>
      </c>
      <c r="AI848" s="11">
        <f t="shared" si="231"/>
        <v>0.39083615999999988</v>
      </c>
      <c r="AJ848" s="11">
        <f t="shared" si="229"/>
        <v>0.39083615999999988</v>
      </c>
    </row>
    <row r="849" spans="1:36" x14ac:dyDescent="0.25">
      <c r="A849" s="4" t="s">
        <v>945</v>
      </c>
      <c r="B849" s="4" t="s">
        <v>987</v>
      </c>
      <c r="C849" s="4" t="s">
        <v>17</v>
      </c>
      <c r="D849" s="4" t="s">
        <v>938</v>
      </c>
      <c r="E849" t="s">
        <v>255</v>
      </c>
      <c r="F849" t="s">
        <v>256</v>
      </c>
      <c r="G849" t="s">
        <v>257</v>
      </c>
      <c r="H849">
        <v>24</v>
      </c>
      <c r="I849">
        <v>3</v>
      </c>
      <c r="J849" t="s">
        <v>40</v>
      </c>
      <c r="K849" t="s">
        <v>17</v>
      </c>
      <c r="L849" t="s">
        <v>259</v>
      </c>
      <c r="M849" t="s">
        <v>12</v>
      </c>
      <c r="N849" t="s">
        <v>12</v>
      </c>
      <c r="P849">
        <f>(0.06*0.03*2.68)-(0.0576*0.0276*2.68)</f>
        <v>5.6344320000000035E-4</v>
      </c>
      <c r="Q849" t="s">
        <v>180</v>
      </c>
      <c r="R849" t="s">
        <v>175</v>
      </c>
      <c r="T849">
        <v>4</v>
      </c>
      <c r="W849">
        <v>7800</v>
      </c>
      <c r="X849" t="s">
        <v>184</v>
      </c>
      <c r="Y849" t="s">
        <v>185</v>
      </c>
      <c r="AA849" s="13">
        <f>Tableau8[[#This Row],[density (kg/m2) or specific weight (kg/m2)]]*Tableau8[[#This Row],[nb of item used ]]*Tableau8[[#This Row],[volume or area]]</f>
        <v>17.579427840000012</v>
      </c>
      <c r="AB849">
        <v>25.3</v>
      </c>
      <c r="AC849">
        <v>1.95</v>
      </c>
      <c r="AD849" s="11">
        <f t="shared" si="226"/>
        <v>18.531646848000012</v>
      </c>
      <c r="AE849" s="11">
        <f>_xlfn.RANK.AVG(Tableau8[[#This Row],[EE ( MJ/m²)]],AD849:AD2004)</f>
        <v>137</v>
      </c>
      <c r="AF849" s="11">
        <f t="shared" si="227"/>
        <v>6.1772156160000042</v>
      </c>
      <c r="AG849" s="11">
        <f t="shared" si="230"/>
        <v>1.4283285120000009</v>
      </c>
      <c r="AH849" s="11">
        <f t="shared" si="228"/>
        <v>1.4283285120000009</v>
      </c>
      <c r="AI849" s="11">
        <f t="shared" si="231"/>
        <v>0.47610950400000029</v>
      </c>
      <c r="AJ849" s="11">
        <f t="shared" si="229"/>
        <v>0.47610950400000029</v>
      </c>
    </row>
    <row r="850" spans="1:36" x14ac:dyDescent="0.25">
      <c r="A850" s="4" t="s">
        <v>945</v>
      </c>
      <c r="B850" s="4" t="s">
        <v>987</v>
      </c>
      <c r="C850" s="4" t="s">
        <v>17</v>
      </c>
      <c r="D850" s="4" t="s">
        <v>938</v>
      </c>
      <c r="E850" t="s">
        <v>255</v>
      </c>
      <c r="F850" t="s">
        <v>256</v>
      </c>
      <c r="G850" t="s">
        <v>257</v>
      </c>
      <c r="H850">
        <v>24</v>
      </c>
      <c r="I850">
        <v>3</v>
      </c>
      <c r="J850" t="s">
        <v>40</v>
      </c>
      <c r="K850" t="s">
        <v>17</v>
      </c>
      <c r="L850" t="s">
        <v>260</v>
      </c>
      <c r="M850" t="s">
        <v>12</v>
      </c>
      <c r="N850" t="s">
        <v>12</v>
      </c>
      <c r="P850">
        <f>(0.06*0.03*3)-(0.0576*0.0276*3)</f>
        <v>6.3072000000000041E-4</v>
      </c>
      <c r="Q850" t="s">
        <v>180</v>
      </c>
      <c r="R850" t="s">
        <v>175</v>
      </c>
      <c r="T850">
        <v>2</v>
      </c>
      <c r="W850">
        <v>7800</v>
      </c>
      <c r="X850" t="s">
        <v>184</v>
      </c>
      <c r="Y850" t="s">
        <v>185</v>
      </c>
      <c r="AA850" s="13">
        <f>Tableau8[[#This Row],[density (kg/m2) or specific weight (kg/m2)]]*Tableau8[[#This Row],[nb of item used ]]*Tableau8[[#This Row],[volume or area]]</f>
        <v>9.8392320000000062</v>
      </c>
      <c r="AB850">
        <v>25.3</v>
      </c>
      <c r="AC850">
        <v>1.95</v>
      </c>
      <c r="AD850" s="11">
        <f t="shared" si="226"/>
        <v>10.372190400000006</v>
      </c>
      <c r="AE850" s="11">
        <f>_xlfn.RANK.AVG(Tableau8[[#This Row],[EE ( MJ/m²)]],AD850:AD2005)</f>
        <v>175</v>
      </c>
      <c r="AF850" s="11">
        <f t="shared" si="227"/>
        <v>3.4573968000000019</v>
      </c>
      <c r="AG850" s="11">
        <f t="shared" si="230"/>
        <v>0.79943760000000053</v>
      </c>
      <c r="AH850" s="11">
        <f t="shared" si="228"/>
        <v>0.79943760000000053</v>
      </c>
      <c r="AI850" s="11">
        <f t="shared" si="231"/>
        <v>0.26647920000000019</v>
      </c>
      <c r="AJ850" s="11">
        <f t="shared" si="229"/>
        <v>0.26647920000000019</v>
      </c>
    </row>
    <row r="851" spans="1:36" x14ac:dyDescent="0.25">
      <c r="A851" s="4" t="s">
        <v>945</v>
      </c>
      <c r="B851" s="4" t="s">
        <v>987</v>
      </c>
      <c r="C851" s="4" t="s">
        <v>17</v>
      </c>
      <c r="D851" s="4" t="s">
        <v>938</v>
      </c>
      <c r="E851" t="s">
        <v>255</v>
      </c>
      <c r="F851" t="s">
        <v>256</v>
      </c>
      <c r="G851" t="s">
        <v>257</v>
      </c>
      <c r="H851">
        <v>24</v>
      </c>
      <c r="I851">
        <v>3</v>
      </c>
      <c r="J851" t="s">
        <v>40</v>
      </c>
      <c r="K851" t="s">
        <v>17</v>
      </c>
      <c r="L851" s="1" t="s">
        <v>261</v>
      </c>
      <c r="M851" t="s">
        <v>12</v>
      </c>
      <c r="N851" t="s">
        <v>12</v>
      </c>
      <c r="P851">
        <f>(0.06*0.03*0.95)-(0.0576*0.0276*0.95)</f>
        <v>1.9972800000000015E-4</v>
      </c>
      <c r="Q851" t="s">
        <v>180</v>
      </c>
      <c r="R851" t="s">
        <v>175</v>
      </c>
      <c r="T851">
        <v>23</v>
      </c>
      <c r="W851">
        <v>7800</v>
      </c>
      <c r="X851" t="s">
        <v>184</v>
      </c>
      <c r="Y851" t="s">
        <v>185</v>
      </c>
      <c r="AA851" s="13">
        <f>Tableau8[[#This Row],[density (kg/m2) or specific weight (kg/m2)]]*Tableau8[[#This Row],[nb of item used ]]*Tableau8[[#This Row],[volume or area]]</f>
        <v>35.831203200000026</v>
      </c>
      <c r="AB851">
        <v>25.3</v>
      </c>
      <c r="AC851">
        <v>1.95</v>
      </c>
      <c r="AD851" s="11">
        <f t="shared" si="226"/>
        <v>37.772060040000028</v>
      </c>
      <c r="AE851" s="11">
        <f>_xlfn.RANK.AVG(Tableau8[[#This Row],[EE ( MJ/m²)]],AD851:AD2006)</f>
        <v>92</v>
      </c>
      <c r="AF851" s="11">
        <f t="shared" si="227"/>
        <v>12.59068668000001</v>
      </c>
      <c r="AG851" s="11">
        <f t="shared" si="230"/>
        <v>2.9112852600000019</v>
      </c>
      <c r="AH851" s="11">
        <f t="shared" si="228"/>
        <v>2.9112852600000019</v>
      </c>
      <c r="AI851" s="11">
        <f t="shared" si="231"/>
        <v>0.97042842000000062</v>
      </c>
      <c r="AJ851" s="11">
        <f t="shared" si="229"/>
        <v>0.97042842000000062</v>
      </c>
    </row>
    <row r="852" spans="1:36" x14ac:dyDescent="0.25">
      <c r="A852" s="4" t="s">
        <v>945</v>
      </c>
      <c r="B852" s="4" t="s">
        <v>987</v>
      </c>
      <c r="C852" s="4" t="s">
        <v>17</v>
      </c>
      <c r="D852" s="4" t="s">
        <v>938</v>
      </c>
      <c r="E852" t="s">
        <v>255</v>
      </c>
      <c r="F852" t="s">
        <v>256</v>
      </c>
      <c r="G852" t="s">
        <v>257</v>
      </c>
      <c r="H852">
        <v>24</v>
      </c>
      <c r="I852">
        <v>3</v>
      </c>
      <c r="J852" t="s">
        <v>40</v>
      </c>
      <c r="K852" t="s">
        <v>17</v>
      </c>
      <c r="L852" t="s">
        <v>262</v>
      </c>
      <c r="M852" t="s">
        <v>12</v>
      </c>
      <c r="N852" t="s">
        <v>12</v>
      </c>
      <c r="P852">
        <f>(0.06*0.03*2)-(0.0576*0.0276*2)</f>
        <v>4.2047999999999999E-4</v>
      </c>
      <c r="Q852" t="s">
        <v>180</v>
      </c>
      <c r="R852" t="s">
        <v>175</v>
      </c>
      <c r="T852">
        <v>18</v>
      </c>
      <c r="W852">
        <v>7800</v>
      </c>
      <c r="X852" t="s">
        <v>184</v>
      </c>
      <c r="Y852" t="s">
        <v>185</v>
      </c>
      <c r="AA852" s="13">
        <f>Tableau8[[#This Row],[density (kg/m2) or specific weight (kg/m2)]]*Tableau8[[#This Row],[nb of item used ]]*Tableau8[[#This Row],[volume or area]]</f>
        <v>59.035391999999995</v>
      </c>
      <c r="AB852">
        <v>25.3</v>
      </c>
      <c r="AC852">
        <v>1.95</v>
      </c>
      <c r="AD852" s="11">
        <f t="shared" si="226"/>
        <v>62.233142399999991</v>
      </c>
      <c r="AE852" s="11">
        <f>_xlfn.RANK.AVG(Tableau8[[#This Row],[EE ( MJ/m²)]],AD852:AD2007)</f>
        <v>72</v>
      </c>
      <c r="AF852" s="11">
        <f t="shared" si="227"/>
        <v>20.744380799999998</v>
      </c>
      <c r="AG852" s="11">
        <f t="shared" si="230"/>
        <v>4.7966255999999996</v>
      </c>
      <c r="AH852" s="11">
        <f t="shared" si="228"/>
        <v>4.7966255999999996</v>
      </c>
      <c r="AI852" s="11">
        <f t="shared" si="231"/>
        <v>1.5988751999999999</v>
      </c>
      <c r="AJ852" s="11">
        <f t="shared" si="229"/>
        <v>1.5988751999999999</v>
      </c>
    </row>
    <row r="853" spans="1:36" x14ac:dyDescent="0.25">
      <c r="A853" s="4" t="s">
        <v>945</v>
      </c>
      <c r="B853" s="4" t="s">
        <v>987</v>
      </c>
      <c r="C853" s="4" t="s">
        <v>17</v>
      </c>
      <c r="D853" s="4" t="s">
        <v>938</v>
      </c>
      <c r="E853" t="s">
        <v>255</v>
      </c>
      <c r="F853" t="s">
        <v>256</v>
      </c>
      <c r="G853" t="s">
        <v>257</v>
      </c>
      <c r="H853">
        <v>24</v>
      </c>
      <c r="I853">
        <v>3</v>
      </c>
      <c r="J853" t="s">
        <v>56</v>
      </c>
      <c r="K853" t="s">
        <v>17</v>
      </c>
      <c r="L853" t="s">
        <v>263</v>
      </c>
      <c r="M853" t="s">
        <v>12</v>
      </c>
      <c r="N853" t="s">
        <v>91</v>
      </c>
      <c r="P853">
        <f>(0.06*0.03*2.3)-(0.0576*0.0276*2.3)</f>
        <v>4.8355199999999994E-4</v>
      </c>
      <c r="Q853" t="s">
        <v>180</v>
      </c>
      <c r="R853" t="s">
        <v>175</v>
      </c>
      <c r="T853">
        <v>8</v>
      </c>
      <c r="W853">
        <v>7800</v>
      </c>
      <c r="X853" t="s">
        <v>184</v>
      </c>
      <c r="Y853" t="s">
        <v>185</v>
      </c>
      <c r="AA853" s="13">
        <f>Tableau8[[#This Row],[density (kg/m2) or specific weight (kg/m2)]]*Tableau8[[#This Row],[nb of item used ]]*Tableau8[[#This Row],[volume or area]]</f>
        <v>30.173644799999995</v>
      </c>
      <c r="AB853">
        <v>24.9</v>
      </c>
      <c r="AC853">
        <v>1.94</v>
      </c>
      <c r="AD853" s="11">
        <f t="shared" si="226"/>
        <v>31.305156479999994</v>
      </c>
      <c r="AE853" s="11">
        <f>_xlfn.RANK.AVG(Tableau8[[#This Row],[EE ( MJ/m²)]],AD853:AD2008)</f>
        <v>99</v>
      </c>
      <c r="AF853" s="11">
        <f t="shared" si="227"/>
        <v>10.435052159999998</v>
      </c>
      <c r="AG853" s="11">
        <f t="shared" si="230"/>
        <v>2.4390362879999996</v>
      </c>
      <c r="AH853" s="11">
        <f t="shared" si="228"/>
        <v>2.4390362879999996</v>
      </c>
      <c r="AI853" s="11">
        <f t="shared" si="231"/>
        <v>0.81301209599999991</v>
      </c>
      <c r="AJ853" s="11">
        <f t="shared" si="229"/>
        <v>0.81301209599999991</v>
      </c>
    </row>
    <row r="854" spans="1:36" x14ac:dyDescent="0.25">
      <c r="A854" s="4" t="s">
        <v>945</v>
      </c>
      <c r="B854" s="4" t="s">
        <v>987</v>
      </c>
      <c r="C854" s="4" t="s">
        <v>17</v>
      </c>
      <c r="D854" s="4" t="s">
        <v>938</v>
      </c>
      <c r="E854" t="s">
        <v>255</v>
      </c>
      <c r="F854" t="s">
        <v>256</v>
      </c>
      <c r="G854" t="s">
        <v>257</v>
      </c>
      <c r="H854">
        <v>24</v>
      </c>
      <c r="I854">
        <v>3</v>
      </c>
      <c r="J854" t="s">
        <v>56</v>
      </c>
      <c r="K854" t="s">
        <v>17</v>
      </c>
      <c r="L854" t="s">
        <v>264</v>
      </c>
      <c r="M854" t="s">
        <v>12</v>
      </c>
      <c r="N854" t="s">
        <v>91</v>
      </c>
      <c r="P854">
        <f>(0.06*0.03*1.97)-(0.0576*0.0276*1.97)</f>
        <v>4.1417279999999982E-4</v>
      </c>
      <c r="Q854" t="s">
        <v>180</v>
      </c>
      <c r="R854" t="s">
        <v>175</v>
      </c>
      <c r="T854">
        <v>120</v>
      </c>
      <c r="W854">
        <v>7800</v>
      </c>
      <c r="X854" t="s">
        <v>184</v>
      </c>
      <c r="Y854" t="s">
        <v>185</v>
      </c>
      <c r="AA854" s="13">
        <f>Tableau8[[#This Row],[density (kg/m2) or specific weight (kg/m2)]]*Tableau8[[#This Row],[nb of item used ]]*Tableau8[[#This Row],[volume or area]]</f>
        <v>387.66574079999981</v>
      </c>
      <c r="AB854">
        <v>24.9</v>
      </c>
      <c r="AC854">
        <v>1.94</v>
      </c>
      <c r="AD854" s="11">
        <f t="shared" si="226"/>
        <v>402.20320607999975</v>
      </c>
      <c r="AE854" s="11">
        <f>_xlfn.RANK.AVG(Tableau8[[#This Row],[EE ( MJ/m²)]],AD854:AD2009)</f>
        <v>12</v>
      </c>
      <c r="AF854" s="11">
        <f t="shared" si="227"/>
        <v>134.06773535999992</v>
      </c>
      <c r="AG854" s="11">
        <f t="shared" si="230"/>
        <v>31.336314047999981</v>
      </c>
      <c r="AH854" s="11">
        <f t="shared" si="228"/>
        <v>31.336314047999981</v>
      </c>
      <c r="AI854" s="11">
        <f t="shared" si="231"/>
        <v>10.445438015999994</v>
      </c>
      <c r="AJ854" s="11">
        <f t="shared" si="229"/>
        <v>10.445438015999994</v>
      </c>
    </row>
    <row r="855" spans="1:36" x14ac:dyDescent="0.25">
      <c r="A855" s="4" t="s">
        <v>945</v>
      </c>
      <c r="B855" s="4" t="s">
        <v>987</v>
      </c>
      <c r="C855" s="4" t="s">
        <v>17</v>
      </c>
      <c r="D855" s="4" t="s">
        <v>938</v>
      </c>
      <c r="E855" t="s">
        <v>255</v>
      </c>
      <c r="F855" t="s">
        <v>256</v>
      </c>
      <c r="G855" t="s">
        <v>257</v>
      </c>
      <c r="H855">
        <v>24</v>
      </c>
      <c r="I855">
        <v>3</v>
      </c>
      <c r="J855" t="s">
        <v>56</v>
      </c>
      <c r="K855" t="s">
        <v>17</v>
      </c>
      <c r="L855" t="s">
        <v>265</v>
      </c>
      <c r="M855" t="s">
        <v>12</v>
      </c>
      <c r="N855" t="s">
        <v>91</v>
      </c>
      <c r="P855">
        <f>0.05*0.002*1</f>
        <v>1E-4</v>
      </c>
      <c r="Q855" t="s">
        <v>180</v>
      </c>
      <c r="R855" t="s">
        <v>175</v>
      </c>
      <c r="T855">
        <v>8</v>
      </c>
      <c r="W855">
        <v>7800</v>
      </c>
      <c r="X855" t="s">
        <v>184</v>
      </c>
      <c r="Y855" t="s">
        <v>185</v>
      </c>
      <c r="AA855" s="13">
        <f>Tableau8[[#This Row],[density (kg/m2) or specific weight (kg/m2)]]*Tableau8[[#This Row],[nb of item used ]]*Tableau8[[#This Row],[volume or area]]</f>
        <v>6.24</v>
      </c>
      <c r="AB855">
        <v>24.9</v>
      </c>
      <c r="AC855">
        <v>1.94</v>
      </c>
      <c r="AD855" s="11">
        <f t="shared" si="226"/>
        <v>6.4740000000000002</v>
      </c>
      <c r="AE855" s="11">
        <f>_xlfn.RANK.AVG(Tableau8[[#This Row],[EE ( MJ/m²)]],AD855:AD2010)</f>
        <v>191</v>
      </c>
      <c r="AF855" s="11">
        <f t="shared" si="227"/>
        <v>2.1579999999999999</v>
      </c>
      <c r="AG855" s="11">
        <f t="shared" si="230"/>
        <v>0.50440000000000007</v>
      </c>
      <c r="AH855" s="11">
        <f t="shared" si="228"/>
        <v>0.50440000000000007</v>
      </c>
      <c r="AI855" s="11">
        <f t="shared" si="231"/>
        <v>0.16813333333333336</v>
      </c>
      <c r="AJ855" s="11">
        <f t="shared" si="229"/>
        <v>0.16813333333333336</v>
      </c>
    </row>
    <row r="856" spans="1:36" x14ac:dyDescent="0.25">
      <c r="A856" s="4" t="s">
        <v>945</v>
      </c>
      <c r="B856" s="4" t="s">
        <v>987</v>
      </c>
      <c r="C856" s="4" t="s">
        <v>17</v>
      </c>
      <c r="D856" s="4" t="s">
        <v>938</v>
      </c>
      <c r="E856" t="s">
        <v>255</v>
      </c>
      <c r="F856" t="s">
        <v>256</v>
      </c>
      <c r="G856" t="s">
        <v>257</v>
      </c>
      <c r="H856">
        <v>24</v>
      </c>
      <c r="I856">
        <v>3</v>
      </c>
      <c r="J856" t="s">
        <v>56</v>
      </c>
      <c r="K856" t="s">
        <v>17</v>
      </c>
      <c r="L856" t="s">
        <v>266</v>
      </c>
      <c r="M856" t="s">
        <v>12</v>
      </c>
      <c r="N856" t="s">
        <v>12</v>
      </c>
      <c r="P856">
        <f>(0.05*2.5*0.1)-(0.0476*2.476*0.1)</f>
        <v>7.1423999999999967E-4</v>
      </c>
      <c r="Q856" t="s">
        <v>180</v>
      </c>
      <c r="R856" t="s">
        <v>175</v>
      </c>
      <c r="T856">
        <v>4</v>
      </c>
      <c r="W856">
        <v>7800</v>
      </c>
      <c r="X856" t="s">
        <v>184</v>
      </c>
      <c r="Y856" t="s">
        <v>185</v>
      </c>
      <c r="AA856" s="13">
        <f>Tableau8[[#This Row],[density (kg/m2) or specific weight (kg/m2)]]*Tableau8[[#This Row],[nb of item used ]]*Tableau8[[#This Row],[volume or area]]</f>
        <v>22.284287999999989</v>
      </c>
      <c r="AB856">
        <v>25.3</v>
      </c>
      <c r="AC856">
        <v>1.95</v>
      </c>
      <c r="AD856" s="11">
        <f t="shared" si="226"/>
        <v>23.491353599999993</v>
      </c>
      <c r="AE856" s="11">
        <f>_xlfn.RANK.AVG(Tableau8[[#This Row],[EE ( MJ/m²)]],AD856:AD2011)</f>
        <v>117</v>
      </c>
      <c r="AF856" s="11">
        <f t="shared" si="227"/>
        <v>7.8304511999999979</v>
      </c>
      <c r="AG856" s="11">
        <f t="shared" si="230"/>
        <v>1.8105983999999991</v>
      </c>
      <c r="AH856" s="11">
        <f t="shared" si="228"/>
        <v>1.8105983999999991</v>
      </c>
      <c r="AI856" s="11">
        <f t="shared" si="231"/>
        <v>0.60353279999999965</v>
      </c>
      <c r="AJ856" s="11">
        <f t="shared" si="229"/>
        <v>0.60353279999999965</v>
      </c>
    </row>
    <row r="857" spans="1:36" x14ac:dyDescent="0.25">
      <c r="A857" s="4" t="s">
        <v>945</v>
      </c>
      <c r="B857" s="4" t="s">
        <v>987</v>
      </c>
      <c r="C857" s="4" t="s">
        <v>17</v>
      </c>
      <c r="D857" s="4" t="s">
        <v>938</v>
      </c>
      <c r="E857" t="s">
        <v>255</v>
      </c>
      <c r="F857" t="s">
        <v>256</v>
      </c>
      <c r="G857" t="s">
        <v>257</v>
      </c>
      <c r="H857">
        <v>24</v>
      </c>
      <c r="I857">
        <v>3</v>
      </c>
      <c r="J857" t="s">
        <v>13</v>
      </c>
      <c r="K857" t="s">
        <v>17</v>
      </c>
      <c r="L857" t="s">
        <v>267</v>
      </c>
      <c r="M857" t="s">
        <v>12</v>
      </c>
      <c r="N857" t="s">
        <v>12</v>
      </c>
      <c r="P857">
        <f>0.15*0.15*0.006</f>
        <v>1.35E-4</v>
      </c>
      <c r="Q857" t="s">
        <v>180</v>
      </c>
      <c r="R857" t="s">
        <v>175</v>
      </c>
      <c r="T857">
        <v>14</v>
      </c>
      <c r="W857">
        <v>7800</v>
      </c>
      <c r="X857" t="s">
        <v>184</v>
      </c>
      <c r="Y857" t="s">
        <v>185</v>
      </c>
      <c r="AA857" s="13">
        <f>Tableau8[[#This Row],[density (kg/m2) or specific weight (kg/m2)]]*Tableau8[[#This Row],[nb of item used ]]*Tableau8[[#This Row],[volume or area]]</f>
        <v>14.742000000000001</v>
      </c>
      <c r="AB857">
        <v>25.3</v>
      </c>
      <c r="AC857">
        <v>1.95</v>
      </c>
      <c r="AD857" s="11">
        <f t="shared" si="226"/>
        <v>15.540525000000002</v>
      </c>
      <c r="AE857" s="11">
        <f>_xlfn.RANK.AVG(Tableau8[[#This Row],[EE ( MJ/m²)]],AD857:AD2012)</f>
        <v>144</v>
      </c>
      <c r="AF857" s="11">
        <f t="shared" si="227"/>
        <v>5.1801750000000011</v>
      </c>
      <c r="AG857" s="11">
        <f t="shared" si="230"/>
        <v>1.1977875</v>
      </c>
      <c r="AH857" s="11">
        <f t="shared" si="228"/>
        <v>1.1977875</v>
      </c>
      <c r="AI857" s="11">
        <f t="shared" si="231"/>
        <v>0.39926250000000002</v>
      </c>
      <c r="AJ857" s="11">
        <f t="shared" si="229"/>
        <v>0.39926250000000002</v>
      </c>
    </row>
    <row r="858" spans="1:36" x14ac:dyDescent="0.25">
      <c r="A858" s="4" t="s">
        <v>945</v>
      </c>
      <c r="B858" s="4" t="s">
        <v>987</v>
      </c>
      <c r="C858" s="4" t="s">
        <v>17</v>
      </c>
      <c r="D858" s="4" t="s">
        <v>938</v>
      </c>
      <c r="E858" t="s">
        <v>255</v>
      </c>
      <c r="F858" t="s">
        <v>256</v>
      </c>
      <c r="G858" t="s">
        <v>257</v>
      </c>
      <c r="H858">
        <v>24</v>
      </c>
      <c r="I858">
        <v>3</v>
      </c>
      <c r="J858" t="s">
        <v>13</v>
      </c>
      <c r="K858" t="s">
        <v>17</v>
      </c>
      <c r="L858" t="s">
        <v>268</v>
      </c>
      <c r="M858" t="s">
        <v>12</v>
      </c>
      <c r="N858" t="s">
        <v>12</v>
      </c>
      <c r="P858">
        <f>(0.05*0.025*0.3)-(0.047*0.012*0.3)</f>
        <v>2.0580000000000004E-4</v>
      </c>
      <c r="Q858" t="s">
        <v>180</v>
      </c>
      <c r="R858" t="s">
        <v>175</v>
      </c>
      <c r="T858">
        <f>14*4</f>
        <v>56</v>
      </c>
      <c r="W858">
        <v>7800</v>
      </c>
      <c r="X858" t="s">
        <v>184</v>
      </c>
      <c r="Y858" t="s">
        <v>185</v>
      </c>
      <c r="AA858" s="13">
        <f>Tableau8[[#This Row],[density (kg/m2) or specific weight (kg/m2)]]*Tableau8[[#This Row],[nb of item used ]]*Tableau8[[#This Row],[volume or area]]</f>
        <v>89.893440000000012</v>
      </c>
      <c r="AB858">
        <v>25.3</v>
      </c>
      <c r="AC858">
        <v>1.95</v>
      </c>
      <c r="AD858" s="11">
        <f t="shared" si="226"/>
        <v>94.762668000000019</v>
      </c>
      <c r="AE858" s="11">
        <f>_xlfn.RANK.AVG(Tableau8[[#This Row],[EE ( MJ/m²)]],AD858:AD2013)</f>
        <v>48</v>
      </c>
      <c r="AF858" s="11">
        <f t="shared" si="227"/>
        <v>31.587556000000006</v>
      </c>
      <c r="AG858" s="11">
        <f t="shared" si="230"/>
        <v>7.3038420000000004</v>
      </c>
      <c r="AH858" s="11">
        <f t="shared" si="228"/>
        <v>7.3038420000000004</v>
      </c>
      <c r="AI858" s="11">
        <f t="shared" si="231"/>
        <v>2.4346140000000003</v>
      </c>
      <c r="AJ858" s="11">
        <f t="shared" si="229"/>
        <v>2.4346140000000003</v>
      </c>
    </row>
    <row r="859" spans="1:36" s="20" customFormat="1" x14ac:dyDescent="0.25">
      <c r="A859" s="4" t="s">
        <v>945</v>
      </c>
      <c r="B859" s="4" t="s">
        <v>987</v>
      </c>
      <c r="C859" s="4" t="s">
        <v>17</v>
      </c>
      <c r="D859" s="4" t="s">
        <v>938</v>
      </c>
      <c r="E859" t="s">
        <v>255</v>
      </c>
      <c r="F859" t="s">
        <v>256</v>
      </c>
      <c r="G859" t="s">
        <v>257</v>
      </c>
      <c r="H859">
        <v>24</v>
      </c>
      <c r="I859">
        <v>3</v>
      </c>
      <c r="J859" t="s">
        <v>44</v>
      </c>
      <c r="K859" t="s">
        <v>17</v>
      </c>
      <c r="L859" t="s">
        <v>269</v>
      </c>
      <c r="M859" t="s">
        <v>12</v>
      </c>
      <c r="N859" t="s">
        <v>12</v>
      </c>
      <c r="O859"/>
      <c r="P859">
        <f>PI()*(0.008^2)*0.3</f>
        <v>6.031857894892402E-5</v>
      </c>
      <c r="Q859" t="s">
        <v>180</v>
      </c>
      <c r="R859" t="s">
        <v>175</v>
      </c>
      <c r="S859"/>
      <c r="T859">
        <v>28</v>
      </c>
      <c r="U859"/>
      <c r="V859"/>
      <c r="W859">
        <v>7800</v>
      </c>
      <c r="X859" t="s">
        <v>184</v>
      </c>
      <c r="Y859" t="s">
        <v>185</v>
      </c>
      <c r="Z859"/>
      <c r="AA859" s="13">
        <f>Tableau8[[#This Row],[density (kg/m2) or specific weight (kg/m2)]]*Tableau8[[#This Row],[nb of item used ]]*Tableau8[[#This Row],[volume or area]]</f>
        <v>13.173577642445006</v>
      </c>
      <c r="AB859">
        <v>25.3</v>
      </c>
      <c r="AC859">
        <v>1.95</v>
      </c>
      <c r="AD859" s="11">
        <f t="shared" si="226"/>
        <v>13.887146431410777</v>
      </c>
      <c r="AE859" s="11">
        <f>_xlfn.RANK.AVG(Tableau8[[#This Row],[EE ( MJ/m²)]],AD859:AD2014)</f>
        <v>148</v>
      </c>
      <c r="AF859" s="11">
        <f t="shared" si="227"/>
        <v>4.629048810470259</v>
      </c>
      <c r="AG859" s="11">
        <f t="shared" si="230"/>
        <v>1.0703531834486568</v>
      </c>
      <c r="AH859" s="11">
        <f t="shared" si="228"/>
        <v>1.0703531834486568</v>
      </c>
      <c r="AI859" s="11">
        <f t="shared" si="231"/>
        <v>0.35678439448288563</v>
      </c>
      <c r="AJ859" s="11">
        <f t="shared" si="229"/>
        <v>0.35678439448288563</v>
      </c>
    </row>
    <row r="860" spans="1:36" x14ac:dyDescent="0.25">
      <c r="A860" s="4" t="s">
        <v>945</v>
      </c>
      <c r="B860" s="4" t="s">
        <v>987</v>
      </c>
      <c r="C860" s="4" t="s">
        <v>17</v>
      </c>
      <c r="D860" s="4" t="s">
        <v>938</v>
      </c>
      <c r="E860" t="s">
        <v>255</v>
      </c>
      <c r="F860" t="s">
        <v>256</v>
      </c>
      <c r="G860" t="s">
        <v>257</v>
      </c>
      <c r="H860">
        <v>24</v>
      </c>
      <c r="I860">
        <v>3</v>
      </c>
      <c r="J860" t="s">
        <v>44</v>
      </c>
      <c r="K860" t="s">
        <v>17</v>
      </c>
      <c r="L860" t="s">
        <v>270</v>
      </c>
      <c r="M860" t="s">
        <v>12</v>
      </c>
      <c r="N860" t="s">
        <v>12</v>
      </c>
      <c r="P860">
        <f>0.03*0.02*0.002*0.95</f>
        <v>1.1399999999999999E-6</v>
      </c>
      <c r="Q860" t="s">
        <v>180</v>
      </c>
      <c r="R860" t="s">
        <v>175</v>
      </c>
      <c r="T860">
        <v>4</v>
      </c>
      <c r="W860" s="1">
        <v>7800</v>
      </c>
      <c r="X860" t="s">
        <v>184</v>
      </c>
      <c r="Y860" t="s">
        <v>185</v>
      </c>
      <c r="AA860" s="13">
        <f>Tableau8[[#This Row],[density (kg/m2) or specific weight (kg/m2)]]*Tableau8[[#This Row],[nb of item used ]]*Tableau8[[#This Row],[volume or area]]</f>
        <v>3.5567999999999995E-2</v>
      </c>
      <c r="AB860">
        <v>25.3</v>
      </c>
      <c r="AC860">
        <v>1.95</v>
      </c>
      <c r="AD860" s="11">
        <f t="shared" si="226"/>
        <v>3.7494599999999996E-2</v>
      </c>
      <c r="AE860" s="11">
        <f>_xlfn.RANK.AVG(Tableau8[[#This Row],[EE ( MJ/m²)]],AD860:AD2015)</f>
        <v>293</v>
      </c>
      <c r="AF860" s="11">
        <f t="shared" si="227"/>
        <v>1.2498199999999999E-2</v>
      </c>
      <c r="AG860" s="11">
        <f t="shared" si="230"/>
        <v>2.8898999999999995E-3</v>
      </c>
      <c r="AH860" s="11">
        <f t="shared" si="228"/>
        <v>2.8898999999999995E-3</v>
      </c>
      <c r="AI860" s="11">
        <f t="shared" si="231"/>
        <v>9.6329999999999983E-4</v>
      </c>
      <c r="AJ860" s="11">
        <f t="shared" si="229"/>
        <v>9.6329999999999983E-4</v>
      </c>
    </row>
    <row r="861" spans="1:36" x14ac:dyDescent="0.25">
      <c r="A861" s="4" t="s">
        <v>945</v>
      </c>
      <c r="B861" s="4" t="s">
        <v>987</v>
      </c>
      <c r="C861" s="4" t="s">
        <v>17</v>
      </c>
      <c r="D861" s="4" t="s">
        <v>938</v>
      </c>
      <c r="E861" t="s">
        <v>255</v>
      </c>
      <c r="F861" t="s">
        <v>256</v>
      </c>
      <c r="G861" t="s">
        <v>257</v>
      </c>
      <c r="H861">
        <v>24</v>
      </c>
      <c r="I861">
        <v>3</v>
      </c>
      <c r="J861" t="s">
        <v>44</v>
      </c>
      <c r="K861" t="s">
        <v>17</v>
      </c>
      <c r="L861" t="s">
        <v>306</v>
      </c>
      <c r="M861" t="s">
        <v>12</v>
      </c>
      <c r="N861" t="s">
        <v>12</v>
      </c>
      <c r="P861">
        <f>0.03*0.02*0.002*0.05</f>
        <v>5.9999999999999995E-8</v>
      </c>
      <c r="Q861" t="s">
        <v>180</v>
      </c>
      <c r="R861" t="s">
        <v>175</v>
      </c>
      <c r="T861">
        <v>2</v>
      </c>
      <c r="W861" s="1">
        <v>7800</v>
      </c>
      <c r="X861" t="s">
        <v>184</v>
      </c>
      <c r="Y861" t="s">
        <v>185</v>
      </c>
      <c r="AA861" s="13">
        <f>Tableau8[[#This Row],[density (kg/m2) or specific weight (kg/m2)]]*Tableau8[[#This Row],[nb of item used ]]*Tableau8[[#This Row],[volume or area]]</f>
        <v>9.3599999999999987E-4</v>
      </c>
      <c r="AB861">
        <v>25.3</v>
      </c>
      <c r="AC861">
        <v>1.95</v>
      </c>
      <c r="AD861" s="11">
        <f t="shared" si="226"/>
        <v>9.8669999999999986E-4</v>
      </c>
      <c r="AE861" s="11">
        <f>_xlfn.RANK.AVG(Tableau8[[#This Row],[EE ( MJ/m²)]],AD861:AD2016)</f>
        <v>297</v>
      </c>
      <c r="AF861" s="11">
        <f t="shared" si="227"/>
        <v>3.2889999999999997E-4</v>
      </c>
      <c r="AG861" s="11">
        <f t="shared" si="230"/>
        <v>7.6049999999999992E-5</v>
      </c>
      <c r="AH861" s="11">
        <f t="shared" si="228"/>
        <v>7.6049999999999992E-5</v>
      </c>
      <c r="AI861" s="11">
        <f t="shared" si="231"/>
        <v>2.5349999999999996E-5</v>
      </c>
      <c r="AJ861" s="11">
        <f t="shared" si="229"/>
        <v>2.5349999999999996E-5</v>
      </c>
    </row>
    <row r="862" spans="1:36" x14ac:dyDescent="0.25">
      <c r="A862" s="4" t="s">
        <v>945</v>
      </c>
      <c r="B862" s="4" t="s">
        <v>987</v>
      </c>
      <c r="C862" s="4" t="s">
        <v>17</v>
      </c>
      <c r="D862" s="4" t="s">
        <v>938</v>
      </c>
      <c r="E862" t="s">
        <v>255</v>
      </c>
      <c r="F862" t="s">
        <v>256</v>
      </c>
      <c r="G862" t="s">
        <v>257</v>
      </c>
      <c r="H862">
        <v>24</v>
      </c>
      <c r="I862">
        <v>3</v>
      </c>
      <c r="J862" t="s">
        <v>40</v>
      </c>
      <c r="K862" t="s">
        <v>17</v>
      </c>
      <c r="L862" t="s">
        <v>271</v>
      </c>
      <c r="M862" t="s">
        <v>12</v>
      </c>
      <c r="N862" t="s">
        <v>91</v>
      </c>
      <c r="P862">
        <f>(0.03*0.03*2)-(0.0276*0.0276*2)</f>
        <v>2.7647999999999995E-4</v>
      </c>
      <c r="Q862" t="s">
        <v>180</v>
      </c>
      <c r="R862" t="s">
        <v>175</v>
      </c>
      <c r="T862">
        <v>2</v>
      </c>
      <c r="W862">
        <v>7800</v>
      </c>
      <c r="X862" t="s">
        <v>184</v>
      </c>
      <c r="Y862" t="s">
        <v>185</v>
      </c>
      <c r="AA862" s="13">
        <f>Tableau8[[#This Row],[density (kg/m2) or specific weight (kg/m2)]]*Tableau8[[#This Row],[nb of item used ]]*Tableau8[[#This Row],[volume or area]]</f>
        <v>4.3130879999999996</v>
      </c>
      <c r="AB862">
        <v>24.9</v>
      </c>
      <c r="AC862">
        <v>1.94</v>
      </c>
      <c r="AD862" s="11">
        <f t="shared" si="226"/>
        <v>4.4748287999999992</v>
      </c>
      <c r="AE862" s="11">
        <f>_xlfn.RANK.AVG(Tableau8[[#This Row],[EE ( MJ/m²)]],AD862:AD2017)</f>
        <v>197</v>
      </c>
      <c r="AF862" s="11">
        <f t="shared" si="227"/>
        <v>1.4916095999999996</v>
      </c>
      <c r="AG862" s="11">
        <f t="shared" si="230"/>
        <v>0.34864128</v>
      </c>
      <c r="AH862" s="11">
        <f t="shared" si="228"/>
        <v>0.34864128</v>
      </c>
      <c r="AI862" s="11">
        <f t="shared" si="231"/>
        <v>0.11621376</v>
      </c>
      <c r="AJ862" s="11">
        <f t="shared" si="229"/>
        <v>0.11621376</v>
      </c>
    </row>
    <row r="863" spans="1:36" x14ac:dyDescent="0.25">
      <c r="A863" s="4" t="s">
        <v>945</v>
      </c>
      <c r="B863" s="4" t="s">
        <v>987</v>
      </c>
      <c r="C863" s="4" t="s">
        <v>17</v>
      </c>
      <c r="D863" s="4" t="s">
        <v>938</v>
      </c>
      <c r="E863" t="s">
        <v>255</v>
      </c>
      <c r="F863" t="s">
        <v>256</v>
      </c>
      <c r="G863" t="s">
        <v>257</v>
      </c>
      <c r="H863">
        <v>24</v>
      </c>
      <c r="I863">
        <v>3</v>
      </c>
      <c r="J863" t="s">
        <v>40</v>
      </c>
      <c r="K863" t="s">
        <v>17</v>
      </c>
      <c r="L863" t="s">
        <v>272</v>
      </c>
      <c r="M863" t="s">
        <v>12</v>
      </c>
      <c r="N863" t="s">
        <v>91</v>
      </c>
      <c r="P863">
        <f>(0.03*0.03*1.2)-(0.0276*0.0276*1.2)</f>
        <v>1.658880000000001E-4</v>
      </c>
      <c r="Q863" t="s">
        <v>180</v>
      </c>
      <c r="R863" t="s">
        <v>175</v>
      </c>
      <c r="T863">
        <v>3</v>
      </c>
      <c r="W863">
        <v>7800</v>
      </c>
      <c r="X863" t="s">
        <v>184</v>
      </c>
      <c r="Y863" t="s">
        <v>185</v>
      </c>
      <c r="AA863" s="13">
        <f>Tableau8[[#This Row],[density (kg/m2) or specific weight (kg/m2)]]*Tableau8[[#This Row],[nb of item used ]]*Tableau8[[#This Row],[volume or area]]</f>
        <v>3.8817792000000022</v>
      </c>
      <c r="AB863">
        <v>24.9</v>
      </c>
      <c r="AC863">
        <v>1.94</v>
      </c>
      <c r="AD863" s="11">
        <f t="shared" si="226"/>
        <v>4.0273459200000019</v>
      </c>
      <c r="AE863" s="11">
        <f>_xlfn.RANK.AVG(Tableau8[[#This Row],[EE ( MJ/m²)]],AD863:AD2018)</f>
        <v>199</v>
      </c>
      <c r="AF863" s="11">
        <f t="shared" si="227"/>
        <v>1.3424486400000006</v>
      </c>
      <c r="AG863" s="11">
        <f t="shared" si="230"/>
        <v>0.31377715200000017</v>
      </c>
      <c r="AH863" s="11">
        <f t="shared" si="228"/>
        <v>0.31377715200000017</v>
      </c>
      <c r="AI863" s="11">
        <f t="shared" si="231"/>
        <v>0.10459238400000005</v>
      </c>
      <c r="AJ863" s="11">
        <f t="shared" si="229"/>
        <v>0.10459238400000005</v>
      </c>
    </row>
    <row r="864" spans="1:36" x14ac:dyDescent="0.25">
      <c r="A864" s="4" t="s">
        <v>945</v>
      </c>
      <c r="B864" s="4" t="s">
        <v>987</v>
      </c>
      <c r="C864" s="4" t="s">
        <v>17</v>
      </c>
      <c r="D864" s="4" t="s">
        <v>938</v>
      </c>
      <c r="E864" t="s">
        <v>255</v>
      </c>
      <c r="F864" t="s">
        <v>256</v>
      </c>
      <c r="G864" t="s">
        <v>257</v>
      </c>
      <c r="H864">
        <v>24</v>
      </c>
      <c r="I864">
        <v>3</v>
      </c>
      <c r="J864" t="s">
        <v>40</v>
      </c>
      <c r="K864" t="s">
        <v>17</v>
      </c>
      <c r="L864" t="s">
        <v>273</v>
      </c>
      <c r="M864" t="s">
        <v>12</v>
      </c>
      <c r="N864" t="s">
        <v>91</v>
      </c>
      <c r="P864">
        <f>((0.03*0.03)-(0.0276*0.0276))*(SQRT((2^2)+(1.2^2)))</f>
        <v>3.2242831597736567E-4</v>
      </c>
      <c r="Q864" t="s">
        <v>180</v>
      </c>
      <c r="R864" t="s">
        <v>175</v>
      </c>
      <c r="T864">
        <v>2</v>
      </c>
      <c r="W864">
        <v>7800</v>
      </c>
      <c r="X864" t="s">
        <v>184</v>
      </c>
      <c r="Y864" t="s">
        <v>185</v>
      </c>
      <c r="AA864" s="13">
        <f>Tableau8[[#This Row],[density (kg/m2) or specific weight (kg/m2)]]*Tableau8[[#This Row],[nb of item used ]]*Tableau8[[#This Row],[volume or area]]</f>
        <v>5.0298817292469042</v>
      </c>
      <c r="AB864">
        <v>24.9</v>
      </c>
      <c r="AC864">
        <v>1.94</v>
      </c>
      <c r="AD864" s="11">
        <f t="shared" si="226"/>
        <v>5.2185022940936632</v>
      </c>
      <c r="AE864" s="11">
        <f>_xlfn.RANK.AVG(Tableau8[[#This Row],[EE ( MJ/m²)]],AD864:AD2019)</f>
        <v>191</v>
      </c>
      <c r="AF864" s="11">
        <f t="shared" si="227"/>
        <v>1.7395007646978877</v>
      </c>
      <c r="AG864" s="11">
        <f t="shared" si="230"/>
        <v>0.40658210644745812</v>
      </c>
      <c r="AH864" s="11">
        <f t="shared" si="228"/>
        <v>0.40658210644745812</v>
      </c>
      <c r="AI864" s="11">
        <f t="shared" si="231"/>
        <v>0.13552736881581937</v>
      </c>
      <c r="AJ864" s="11">
        <f t="shared" si="229"/>
        <v>0.13552736881581937</v>
      </c>
    </row>
    <row r="865" spans="1:36" x14ac:dyDescent="0.25">
      <c r="A865" s="4" t="s">
        <v>945</v>
      </c>
      <c r="B865" s="4" t="s">
        <v>987</v>
      </c>
      <c r="C865" s="4" t="s">
        <v>17</v>
      </c>
      <c r="D865" s="4" t="s">
        <v>938</v>
      </c>
      <c r="E865" t="s">
        <v>255</v>
      </c>
      <c r="F865" t="s">
        <v>256</v>
      </c>
      <c r="G865" t="s">
        <v>257</v>
      </c>
      <c r="H865">
        <v>24</v>
      </c>
      <c r="I865">
        <v>3</v>
      </c>
      <c r="J865" t="s">
        <v>44</v>
      </c>
      <c r="K865" t="s">
        <v>17</v>
      </c>
      <c r="L865" t="s">
        <v>276</v>
      </c>
      <c r="M865" t="s">
        <v>12</v>
      </c>
      <c r="N865" t="s">
        <v>12</v>
      </c>
      <c r="P865">
        <f>0.08*0.16*0.002</f>
        <v>2.5600000000000002E-5</v>
      </c>
      <c r="Q865" t="s">
        <v>180</v>
      </c>
      <c r="R865" t="s">
        <v>175</v>
      </c>
      <c r="T865">
        <v>2</v>
      </c>
      <c r="W865">
        <v>7800</v>
      </c>
      <c r="X865" t="s">
        <v>184</v>
      </c>
      <c r="Y865" t="s">
        <v>185</v>
      </c>
      <c r="AA865" s="13">
        <f>Tableau8[[#This Row],[density (kg/m2) or specific weight (kg/m2)]]*Tableau8[[#This Row],[nb of item used ]]*Tableau8[[#This Row],[volume or area]]</f>
        <v>0.39936000000000005</v>
      </c>
      <c r="AB865">
        <v>25.3</v>
      </c>
      <c r="AC865">
        <v>1.95</v>
      </c>
      <c r="AD865" s="11">
        <f t="shared" si="226"/>
        <v>0.42099200000000003</v>
      </c>
      <c r="AE865" s="11">
        <f>_xlfn.RANK.AVG(Tableau8[[#This Row],[EE ( MJ/m²)]],AD865:AD2020)</f>
        <v>274</v>
      </c>
      <c r="AF865" s="11">
        <f t="shared" si="227"/>
        <v>0.14033066666666669</v>
      </c>
      <c r="AG865" s="11">
        <f t="shared" si="230"/>
        <v>3.2448000000000005E-2</v>
      </c>
      <c r="AH865" s="11">
        <f t="shared" si="228"/>
        <v>3.2448000000000005E-2</v>
      </c>
      <c r="AI865" s="11">
        <f t="shared" si="231"/>
        <v>1.0816000000000001E-2</v>
      </c>
      <c r="AJ865" s="11">
        <f t="shared" si="229"/>
        <v>1.0816000000000001E-2</v>
      </c>
    </row>
    <row r="866" spans="1:36" x14ac:dyDescent="0.25">
      <c r="A866" s="4" t="s">
        <v>945</v>
      </c>
      <c r="B866" s="4" t="s">
        <v>987</v>
      </c>
      <c r="C866" s="4" t="s">
        <v>17</v>
      </c>
      <c r="D866" s="4" t="s">
        <v>938</v>
      </c>
      <c r="E866" t="s">
        <v>255</v>
      </c>
      <c r="F866" t="s">
        <v>256</v>
      </c>
      <c r="G866" t="s">
        <v>257</v>
      </c>
      <c r="H866">
        <v>24</v>
      </c>
      <c r="I866">
        <v>3</v>
      </c>
      <c r="J866" t="s">
        <v>44</v>
      </c>
      <c r="K866" t="s">
        <v>17</v>
      </c>
      <c r="L866" t="s">
        <v>277</v>
      </c>
      <c r="M866" t="s">
        <v>12</v>
      </c>
      <c r="N866" t="s">
        <v>12</v>
      </c>
      <c r="P866">
        <f>0.04*0.04*0.02</f>
        <v>3.2000000000000005E-5</v>
      </c>
      <c r="Q866" t="s">
        <v>180</v>
      </c>
      <c r="R866" t="s">
        <v>175</v>
      </c>
      <c r="T866">
        <v>1</v>
      </c>
      <c r="W866">
        <v>7800</v>
      </c>
      <c r="X866" t="s">
        <v>184</v>
      </c>
      <c r="Y866" t="s">
        <v>185</v>
      </c>
      <c r="AA866" s="13">
        <f>Tableau8[[#This Row],[density (kg/m2) or specific weight (kg/m2)]]*Tableau8[[#This Row],[nb of item used ]]*Tableau8[[#This Row],[volume or area]]</f>
        <v>0.24960000000000004</v>
      </c>
      <c r="AB866">
        <v>25.3</v>
      </c>
      <c r="AC866">
        <v>1.95</v>
      </c>
      <c r="AD866" s="11">
        <f t="shared" si="226"/>
        <v>0.26312000000000008</v>
      </c>
      <c r="AE866" s="11">
        <f>_xlfn.RANK.AVG(Tableau8[[#This Row],[EE ( MJ/m²)]],AD866:AD2021)</f>
        <v>279</v>
      </c>
      <c r="AF866" s="11">
        <f t="shared" si="227"/>
        <v>8.7706666666666697E-2</v>
      </c>
      <c r="AG866" s="11">
        <f t="shared" si="230"/>
        <v>2.0280000000000003E-2</v>
      </c>
      <c r="AH866" s="11">
        <f t="shared" si="228"/>
        <v>2.0280000000000003E-2</v>
      </c>
      <c r="AI866" s="11">
        <f t="shared" si="231"/>
        <v>6.7600000000000013E-3</v>
      </c>
      <c r="AJ866" s="11">
        <f t="shared" si="229"/>
        <v>6.7600000000000013E-3</v>
      </c>
    </row>
    <row r="867" spans="1:36" x14ac:dyDescent="0.25">
      <c r="A867" s="4" t="s">
        <v>945</v>
      </c>
      <c r="B867" s="4" t="s">
        <v>987</v>
      </c>
      <c r="C867" s="4" t="s">
        <v>17</v>
      </c>
      <c r="D867" s="4" t="s">
        <v>938</v>
      </c>
      <c r="E867" t="s">
        <v>255</v>
      </c>
      <c r="F867" t="s">
        <v>256</v>
      </c>
      <c r="G867" t="s">
        <v>257</v>
      </c>
      <c r="H867">
        <v>24</v>
      </c>
      <c r="I867">
        <v>3</v>
      </c>
      <c r="J867" t="s">
        <v>44</v>
      </c>
      <c r="K867" t="s">
        <v>17</v>
      </c>
      <c r="L867" t="s">
        <v>278</v>
      </c>
      <c r="M867" t="s">
        <v>12</v>
      </c>
      <c r="N867" t="s">
        <v>12</v>
      </c>
      <c r="R867" t="s">
        <v>187</v>
      </c>
      <c r="T867">
        <v>1</v>
      </c>
      <c r="W867">
        <v>7800</v>
      </c>
      <c r="X867" t="s">
        <v>184</v>
      </c>
      <c r="Y867" t="s">
        <v>185</v>
      </c>
      <c r="Z867" t="s">
        <v>281</v>
      </c>
      <c r="AA867" s="13">
        <v>0.53800000000000003</v>
      </c>
      <c r="AB867">
        <v>25.3</v>
      </c>
      <c r="AC867">
        <v>1.95</v>
      </c>
      <c r="AD867" s="11">
        <f t="shared" si="226"/>
        <v>0.56714166666666677</v>
      </c>
      <c r="AE867" s="11">
        <f>_xlfn.RANK.AVG(Tableau8[[#This Row],[EE ( MJ/m²)]],AD867:AD2022)</f>
        <v>270</v>
      </c>
      <c r="AF867" s="11">
        <f t="shared" si="227"/>
        <v>0.18904722222222226</v>
      </c>
      <c r="AG867" s="11">
        <f t="shared" si="230"/>
        <v>4.3712500000000008E-2</v>
      </c>
      <c r="AH867" s="11">
        <f t="shared" si="228"/>
        <v>4.3712500000000008E-2</v>
      </c>
      <c r="AI867" s="11">
        <f t="shared" si="231"/>
        <v>1.4570833333333337E-2</v>
      </c>
      <c r="AJ867" s="11">
        <f t="shared" si="229"/>
        <v>1.4570833333333337E-2</v>
      </c>
    </row>
    <row r="868" spans="1:36" x14ac:dyDescent="0.25">
      <c r="A868" s="4" t="s">
        <v>945</v>
      </c>
      <c r="B868" s="4" t="s">
        <v>987</v>
      </c>
      <c r="C868" s="4" t="s">
        <v>17</v>
      </c>
      <c r="D868" s="4" t="s">
        <v>938</v>
      </c>
      <c r="E868" t="s">
        <v>255</v>
      </c>
      <c r="F868" t="s">
        <v>256</v>
      </c>
      <c r="G868" t="s">
        <v>257</v>
      </c>
      <c r="H868">
        <v>24</v>
      </c>
      <c r="I868">
        <v>3</v>
      </c>
      <c r="J868" t="s">
        <v>44</v>
      </c>
      <c r="K868" t="s">
        <v>17</v>
      </c>
      <c r="L868" t="s">
        <v>279</v>
      </c>
      <c r="M868" t="s">
        <v>12</v>
      </c>
      <c r="N868" t="s">
        <v>12</v>
      </c>
      <c r="P868">
        <f>0.1*PI()*(0.0025^2)</f>
        <v>1.9634954084936209E-6</v>
      </c>
      <c r="R868" t="s">
        <v>175</v>
      </c>
      <c r="T868">
        <v>2</v>
      </c>
      <c r="W868">
        <v>7800</v>
      </c>
      <c r="X868" t="s">
        <v>184</v>
      </c>
      <c r="Y868" t="s">
        <v>185</v>
      </c>
      <c r="AA868" s="13">
        <f>Tableau8[[#This Row],[density (kg/m2) or specific weight (kg/m2)]]*Tableau8[[#This Row],[nb of item used ]]*Tableau8[[#This Row],[volume or area]]</f>
        <v>3.0630528372500486E-2</v>
      </c>
      <c r="AB868">
        <v>25.3</v>
      </c>
      <c r="AC868">
        <v>1.95</v>
      </c>
      <c r="AD868" s="11">
        <f t="shared" si="226"/>
        <v>3.22896819926776E-2</v>
      </c>
      <c r="AE868" s="11">
        <f>_xlfn.RANK.AVG(Tableau8[[#This Row],[EE ( MJ/m²)]],AD868:AD2023)</f>
        <v>287</v>
      </c>
      <c r="AF868" s="11">
        <f t="shared" si="227"/>
        <v>1.0763227330892534E-2</v>
      </c>
      <c r="AG868" s="11">
        <f t="shared" si="230"/>
        <v>2.4887304302656644E-3</v>
      </c>
      <c r="AH868" s="11">
        <f t="shared" si="228"/>
        <v>2.4887304302656644E-3</v>
      </c>
      <c r="AI868" s="11">
        <f t="shared" si="231"/>
        <v>8.2957681008855478E-4</v>
      </c>
      <c r="AJ868" s="11">
        <f t="shared" si="229"/>
        <v>8.2957681008855478E-4</v>
      </c>
    </row>
    <row r="869" spans="1:36" x14ac:dyDescent="0.25">
      <c r="A869" s="4" t="s">
        <v>945</v>
      </c>
      <c r="B869" s="4" t="s">
        <v>987</v>
      </c>
      <c r="C869" s="4" t="s">
        <v>17</v>
      </c>
      <c r="D869" s="4" t="s">
        <v>938</v>
      </c>
      <c r="E869" t="s">
        <v>255</v>
      </c>
      <c r="F869" t="s">
        <v>256</v>
      </c>
      <c r="G869" t="s">
        <v>257</v>
      </c>
      <c r="H869">
        <v>24</v>
      </c>
      <c r="I869">
        <v>3</v>
      </c>
      <c r="J869" t="s">
        <v>44</v>
      </c>
      <c r="K869" t="s">
        <v>17</v>
      </c>
      <c r="L869" t="s">
        <v>280</v>
      </c>
      <c r="M869" t="s">
        <v>12</v>
      </c>
      <c r="N869" t="s">
        <v>12</v>
      </c>
      <c r="P869">
        <f>0.2*1.1*0.0004</f>
        <v>8.8000000000000011E-5</v>
      </c>
      <c r="Q869" t="s">
        <v>180</v>
      </c>
      <c r="R869" t="s">
        <v>175</v>
      </c>
      <c r="T869">
        <v>2</v>
      </c>
      <c r="W869">
        <v>7800</v>
      </c>
      <c r="X869" t="s">
        <v>184</v>
      </c>
      <c r="Y869" t="s">
        <v>185</v>
      </c>
      <c r="AA869" s="13">
        <f>Tableau8[[#This Row],[density (kg/m2) or specific weight (kg/m2)]]*Tableau8[[#This Row],[nb of item used ]]*Tableau8[[#This Row],[volume or area]]</f>
        <v>1.3728000000000002</v>
      </c>
      <c r="AB869">
        <v>25.3</v>
      </c>
      <c r="AC869">
        <v>1.95</v>
      </c>
      <c r="AD869" s="11">
        <f t="shared" si="226"/>
        <v>1.4471600000000002</v>
      </c>
      <c r="AE869" s="11">
        <f>_xlfn.RANK.AVG(Tableau8[[#This Row],[EE ( MJ/m²)]],AD869:AD2024)</f>
        <v>241</v>
      </c>
      <c r="AF869" s="11">
        <f t="shared" si="227"/>
        <v>0.48238666666666674</v>
      </c>
      <c r="AG869" s="11">
        <f t="shared" si="230"/>
        <v>0.11154000000000001</v>
      </c>
      <c r="AH869" s="11">
        <f t="shared" si="228"/>
        <v>0.11154000000000001</v>
      </c>
      <c r="AI869" s="11">
        <f t="shared" si="231"/>
        <v>3.7180000000000005E-2</v>
      </c>
      <c r="AJ869" s="11">
        <f t="shared" si="229"/>
        <v>3.7180000000000005E-2</v>
      </c>
    </row>
    <row r="870" spans="1:36" x14ac:dyDescent="0.25">
      <c r="A870" s="4" t="s">
        <v>945</v>
      </c>
      <c r="B870" s="4" t="s">
        <v>987</v>
      </c>
      <c r="C870" s="4" t="s">
        <v>17</v>
      </c>
      <c r="D870" s="4" t="s">
        <v>938</v>
      </c>
      <c r="E870" t="s">
        <v>255</v>
      </c>
      <c r="F870" t="s">
        <v>256</v>
      </c>
      <c r="G870" t="s">
        <v>257</v>
      </c>
      <c r="H870">
        <v>24</v>
      </c>
      <c r="I870">
        <v>3</v>
      </c>
      <c r="J870" t="s">
        <v>40</v>
      </c>
      <c r="K870" t="s">
        <v>17</v>
      </c>
      <c r="L870" t="s">
        <v>282</v>
      </c>
      <c r="M870" t="s">
        <v>12</v>
      </c>
      <c r="N870" t="s">
        <v>91</v>
      </c>
      <c r="P870">
        <f>(0.03*0.03*0.9)-(0.0276*0.0276*0.9)</f>
        <v>1.2441599999999991E-4</v>
      </c>
      <c r="Q870" t="s">
        <v>180</v>
      </c>
      <c r="R870" t="s">
        <v>187</v>
      </c>
      <c r="T870">
        <v>2</v>
      </c>
      <c r="W870">
        <v>7800</v>
      </c>
      <c r="X870" t="s">
        <v>184</v>
      </c>
      <c r="Y870" t="s">
        <v>185</v>
      </c>
      <c r="AA870" s="13">
        <f>Tableau8[[#This Row],[density (kg/m2) or specific weight (kg/m2)]]*Tableau8[[#This Row],[nb of item used ]]*Tableau8[[#This Row],[volume or area]]</f>
        <v>1.9408895999999987</v>
      </c>
      <c r="AB870">
        <v>24.9</v>
      </c>
      <c r="AC870">
        <v>1.94</v>
      </c>
      <c r="AD870" s="11">
        <f t="shared" si="226"/>
        <v>2.0136729599999987</v>
      </c>
      <c r="AE870" s="11">
        <f>_xlfn.RANK.AVG(Tableau8[[#This Row],[EE ( MJ/m²)]],AD870:AD2025)</f>
        <v>231</v>
      </c>
      <c r="AF870" s="11">
        <f t="shared" si="227"/>
        <v>0.67122431999999954</v>
      </c>
      <c r="AG870" s="11">
        <f t="shared" si="230"/>
        <v>0.15688857599999989</v>
      </c>
      <c r="AH870" s="11">
        <f t="shared" si="228"/>
        <v>0.15688857599999989</v>
      </c>
      <c r="AI870" s="11">
        <f t="shared" si="231"/>
        <v>5.2296191999999964E-2</v>
      </c>
      <c r="AJ870" s="11">
        <f t="shared" si="229"/>
        <v>5.2296191999999964E-2</v>
      </c>
    </row>
    <row r="871" spans="1:36" x14ac:dyDescent="0.25">
      <c r="A871" s="4" t="s">
        <v>945</v>
      </c>
      <c r="B871" s="4" t="s">
        <v>987</v>
      </c>
      <c r="C871" s="4" t="s">
        <v>17</v>
      </c>
      <c r="D871" s="4" t="s">
        <v>938</v>
      </c>
      <c r="E871" t="s">
        <v>255</v>
      </c>
      <c r="F871" t="s">
        <v>256</v>
      </c>
      <c r="G871" t="s">
        <v>257</v>
      </c>
      <c r="H871">
        <v>24</v>
      </c>
      <c r="I871">
        <v>3</v>
      </c>
      <c r="J871" t="s">
        <v>40</v>
      </c>
      <c r="K871" t="s">
        <v>17</v>
      </c>
      <c r="L871" t="s">
        <v>283</v>
      </c>
      <c r="M871" t="s">
        <v>12</v>
      </c>
      <c r="N871" t="s">
        <v>91</v>
      </c>
      <c r="P871">
        <f>(0.03*0.03*0.89)-(0.0276*0.0276*0.89)</f>
        <v>1.2303359999999992E-4</v>
      </c>
      <c r="Q871" t="s">
        <v>180</v>
      </c>
      <c r="R871" t="s">
        <v>187</v>
      </c>
      <c r="T871">
        <v>3</v>
      </c>
      <c r="W871">
        <v>7800</v>
      </c>
      <c r="X871" t="s">
        <v>184</v>
      </c>
      <c r="Y871" t="s">
        <v>185</v>
      </c>
      <c r="AA871" s="13">
        <f>Tableau8[[#This Row],[density (kg/m2) or specific weight (kg/m2)]]*Tableau8[[#This Row],[nb of item used ]]*Tableau8[[#This Row],[volume or area]]</f>
        <v>2.8789862399999979</v>
      </c>
      <c r="AB871">
        <v>24.9</v>
      </c>
      <c r="AC871">
        <v>1.94</v>
      </c>
      <c r="AD871" s="11">
        <f t="shared" ref="AD871:AD906" si="232">AB871*AA871/H871</f>
        <v>2.9869482239999976</v>
      </c>
      <c r="AE871" s="11">
        <f>_xlfn.RANK.AVG(Tableau8[[#This Row],[EE ( MJ/m²)]],AD871:AD2026)</f>
        <v>212</v>
      </c>
      <c r="AF871" s="11">
        <f t="shared" ref="AF871:AF890" si="233">AB871*AA871/H871/I871</f>
        <v>0.99564940799999924</v>
      </c>
      <c r="AG871" s="11">
        <f t="shared" si="230"/>
        <v>0.23271805439999982</v>
      </c>
      <c r="AH871" s="11">
        <f t="shared" ref="AH871:AH906" si="234">AC871*AA871/H871</f>
        <v>0.23271805439999982</v>
      </c>
      <c r="AI871" s="11">
        <f t="shared" si="231"/>
        <v>7.7572684799999944E-2</v>
      </c>
      <c r="AJ871" s="11">
        <f t="shared" ref="AJ871:AJ890" si="235">AC871*AA871/H871/I871</f>
        <v>7.7572684799999944E-2</v>
      </c>
    </row>
    <row r="872" spans="1:36" x14ac:dyDescent="0.25">
      <c r="A872" s="4" t="s">
        <v>945</v>
      </c>
      <c r="B872" s="4" t="s">
        <v>987</v>
      </c>
      <c r="C872" s="4" t="s">
        <v>17</v>
      </c>
      <c r="D872" s="4" t="s">
        <v>938</v>
      </c>
      <c r="E872" t="s">
        <v>255</v>
      </c>
      <c r="F872" t="s">
        <v>256</v>
      </c>
      <c r="G872" t="s">
        <v>257</v>
      </c>
      <c r="H872">
        <v>24</v>
      </c>
      <c r="I872">
        <v>3</v>
      </c>
      <c r="J872" t="s">
        <v>44</v>
      </c>
      <c r="K872" t="s">
        <v>17</v>
      </c>
      <c r="L872" t="s">
        <v>284</v>
      </c>
      <c r="M872" t="s">
        <v>12</v>
      </c>
      <c r="N872" t="s">
        <v>12</v>
      </c>
      <c r="P872">
        <f>0.014*0.1*0.05</f>
        <v>7.0000000000000007E-5</v>
      </c>
      <c r="Q872" t="s">
        <v>180</v>
      </c>
      <c r="R872" t="s">
        <v>187</v>
      </c>
      <c r="T872">
        <v>4</v>
      </c>
      <c r="W872">
        <v>7800</v>
      </c>
      <c r="X872" t="s">
        <v>184</v>
      </c>
      <c r="Y872" t="s">
        <v>185</v>
      </c>
      <c r="AA872" s="13">
        <f>Tableau8[[#This Row],[density (kg/m2) or specific weight (kg/m2)]]*Tableau8[[#This Row],[nb of item used ]]*Tableau8[[#This Row],[volume or area]]</f>
        <v>2.1840000000000002</v>
      </c>
      <c r="AB872">
        <v>25.3</v>
      </c>
      <c r="AC872">
        <v>1.95</v>
      </c>
      <c r="AD872" s="11">
        <f t="shared" si="232"/>
        <v>2.3023000000000002</v>
      </c>
      <c r="AE872" s="11">
        <f>_xlfn.RANK.AVG(Tableau8[[#This Row],[EE ( MJ/m²)]],AD872:AD2027)</f>
        <v>221</v>
      </c>
      <c r="AF872" s="11">
        <f t="shared" si="233"/>
        <v>0.76743333333333341</v>
      </c>
      <c r="AG872" s="11">
        <f t="shared" ref="AG872:AG904" si="236">(AC872)*AA872/H872</f>
        <v>0.17745</v>
      </c>
      <c r="AH872" s="11">
        <f t="shared" si="234"/>
        <v>0.17745</v>
      </c>
      <c r="AI872" s="11">
        <f t="shared" ref="AI872:AI904" si="237">(AC872)*AA872/H872/I872</f>
        <v>5.9150000000000001E-2</v>
      </c>
      <c r="AJ872" s="11">
        <f t="shared" si="235"/>
        <v>5.9150000000000001E-2</v>
      </c>
    </row>
    <row r="873" spans="1:36" x14ac:dyDescent="0.25">
      <c r="A873" s="4" t="s">
        <v>945</v>
      </c>
      <c r="B873" s="4" t="s">
        <v>987</v>
      </c>
      <c r="C873" s="4" t="s">
        <v>17</v>
      </c>
      <c r="D873" s="4" t="s">
        <v>938</v>
      </c>
      <c r="E873" t="s">
        <v>255</v>
      </c>
      <c r="F873" t="s">
        <v>256</v>
      </c>
      <c r="G873" t="s">
        <v>257</v>
      </c>
      <c r="H873">
        <v>24</v>
      </c>
      <c r="I873">
        <v>3</v>
      </c>
      <c r="J873" t="s">
        <v>44</v>
      </c>
      <c r="K873" t="s">
        <v>17</v>
      </c>
      <c r="L873" t="s">
        <v>285</v>
      </c>
      <c r="M873" t="s">
        <v>12</v>
      </c>
      <c r="N873" t="s">
        <v>12</v>
      </c>
      <c r="R873" t="s">
        <v>175</v>
      </c>
      <c r="T873">
        <v>2</v>
      </c>
      <c r="W873">
        <v>7800</v>
      </c>
      <c r="X873" t="s">
        <v>184</v>
      </c>
      <c r="Y873" t="s">
        <v>185</v>
      </c>
      <c r="AA873" s="13">
        <f>2*AA867</f>
        <v>1.0760000000000001</v>
      </c>
      <c r="AB873">
        <v>25.3</v>
      </c>
      <c r="AC873">
        <v>1.95</v>
      </c>
      <c r="AD873" s="11">
        <f t="shared" si="232"/>
        <v>1.1342833333333335</v>
      </c>
      <c r="AE873" s="11">
        <f>_xlfn.RANK.AVG(Tableau8[[#This Row],[EE ( MJ/m²)]],AD873:AD2028)</f>
        <v>247</v>
      </c>
      <c r="AF873" s="11">
        <f t="shared" si="233"/>
        <v>0.37809444444444451</v>
      </c>
      <c r="AG873" s="11">
        <f t="shared" si="236"/>
        <v>8.7425000000000017E-2</v>
      </c>
      <c r="AH873" s="11">
        <f t="shared" si="234"/>
        <v>8.7425000000000017E-2</v>
      </c>
      <c r="AI873" s="11">
        <f t="shared" si="237"/>
        <v>2.9141666666666673E-2</v>
      </c>
      <c r="AJ873" s="11">
        <f t="shared" si="235"/>
        <v>2.9141666666666673E-2</v>
      </c>
    </row>
    <row r="874" spans="1:36" x14ac:dyDescent="0.25">
      <c r="A874" s="4" t="s">
        <v>945</v>
      </c>
      <c r="B874" s="4" t="s">
        <v>987</v>
      </c>
      <c r="C874" s="4" t="s">
        <v>17</v>
      </c>
      <c r="D874" s="4" t="s">
        <v>938</v>
      </c>
      <c r="E874" t="s">
        <v>255</v>
      </c>
      <c r="F874" t="s">
        <v>256</v>
      </c>
      <c r="G874" t="s">
        <v>257</v>
      </c>
      <c r="H874">
        <v>24</v>
      </c>
      <c r="I874">
        <v>3</v>
      </c>
      <c r="J874" t="s">
        <v>40</v>
      </c>
      <c r="K874" t="s">
        <v>17</v>
      </c>
      <c r="L874" t="s">
        <v>286</v>
      </c>
      <c r="M874" t="s">
        <v>12</v>
      </c>
      <c r="N874" t="s">
        <v>12</v>
      </c>
      <c r="P874">
        <f>0.89*0.05*0.003</f>
        <v>1.3350000000000002E-4</v>
      </c>
      <c r="Q874" t="s">
        <v>180</v>
      </c>
      <c r="R874" t="s">
        <v>175</v>
      </c>
      <c r="T874">
        <v>2</v>
      </c>
      <c r="W874">
        <v>7800</v>
      </c>
      <c r="X874" t="s">
        <v>184</v>
      </c>
      <c r="Y874" t="s">
        <v>185</v>
      </c>
      <c r="AA874" s="13">
        <f>Tableau8[[#This Row],[density (kg/m2) or specific weight (kg/m2)]]*Tableau8[[#This Row],[nb of item used ]]*Tableau8[[#This Row],[volume or area]]</f>
        <v>2.0826000000000002</v>
      </c>
      <c r="AB874">
        <v>25.3</v>
      </c>
      <c r="AC874">
        <v>1.95</v>
      </c>
      <c r="AD874" s="11">
        <f t="shared" si="232"/>
        <v>2.1954075000000004</v>
      </c>
      <c r="AE874" s="11">
        <f>_xlfn.RANK.AVG(Tableau8[[#This Row],[EE ( MJ/m²)]],AD874:AD2029)</f>
        <v>224</v>
      </c>
      <c r="AF874" s="11">
        <f t="shared" si="233"/>
        <v>0.73180250000000013</v>
      </c>
      <c r="AG874" s="11">
        <f t="shared" si="236"/>
        <v>0.16921125000000001</v>
      </c>
      <c r="AH874" s="11">
        <f t="shared" si="234"/>
        <v>0.16921125000000001</v>
      </c>
      <c r="AI874" s="11">
        <f t="shared" si="237"/>
        <v>5.6403750000000002E-2</v>
      </c>
      <c r="AJ874" s="11">
        <f t="shared" si="235"/>
        <v>5.6403750000000002E-2</v>
      </c>
    </row>
    <row r="875" spans="1:36" x14ac:dyDescent="0.25">
      <c r="A875" s="4" t="s">
        <v>945</v>
      </c>
      <c r="B875" s="4" t="s">
        <v>987</v>
      </c>
      <c r="C875" s="4" t="s">
        <v>17</v>
      </c>
      <c r="D875" s="4" t="s">
        <v>938</v>
      </c>
      <c r="E875" t="s">
        <v>255</v>
      </c>
      <c r="F875" t="s">
        <v>256</v>
      </c>
      <c r="G875" t="s">
        <v>257</v>
      </c>
      <c r="H875">
        <v>24</v>
      </c>
      <c r="I875">
        <v>3</v>
      </c>
      <c r="J875" t="s">
        <v>44</v>
      </c>
      <c r="K875" t="s">
        <v>17</v>
      </c>
      <c r="L875" t="s">
        <v>288</v>
      </c>
      <c r="M875" t="s">
        <v>12</v>
      </c>
      <c r="N875" t="s">
        <v>12</v>
      </c>
      <c r="P875">
        <f>0.2*1*0.0004</f>
        <v>8.0000000000000007E-5</v>
      </c>
      <c r="Q875" t="s">
        <v>180</v>
      </c>
      <c r="R875" t="s">
        <v>175</v>
      </c>
      <c r="T875">
        <v>4</v>
      </c>
      <c r="W875">
        <v>7800</v>
      </c>
      <c r="X875" t="s">
        <v>184</v>
      </c>
      <c r="Y875" t="s">
        <v>185</v>
      </c>
      <c r="AA875" s="13">
        <f>Tableau8[[#This Row],[density (kg/m2) or specific weight (kg/m2)]]*Tableau8[[#This Row],[nb of item used ]]*Tableau8[[#This Row],[volume or area]]</f>
        <v>2.496</v>
      </c>
      <c r="AB875">
        <v>25.3</v>
      </c>
      <c r="AC875">
        <v>1.95</v>
      </c>
      <c r="AD875" s="11">
        <f t="shared" si="232"/>
        <v>2.6312000000000002</v>
      </c>
      <c r="AE875" s="11">
        <f>_xlfn.RANK.AVG(Tableau8[[#This Row],[EE ( MJ/m²)]],AD875:AD2030)</f>
        <v>215</v>
      </c>
      <c r="AF875" s="11">
        <f t="shared" si="233"/>
        <v>0.87706666666666677</v>
      </c>
      <c r="AG875" s="11">
        <f t="shared" si="236"/>
        <v>0.20279999999999998</v>
      </c>
      <c r="AH875" s="11">
        <f t="shared" si="234"/>
        <v>0.20279999999999998</v>
      </c>
      <c r="AI875" s="11">
        <f t="shared" si="237"/>
        <v>6.7599999999999993E-2</v>
      </c>
      <c r="AJ875" s="11">
        <f t="shared" si="235"/>
        <v>6.7599999999999993E-2</v>
      </c>
    </row>
    <row r="876" spans="1:36" x14ac:dyDescent="0.25">
      <c r="A876" s="4" t="s">
        <v>945</v>
      </c>
      <c r="B876" s="4" t="s">
        <v>987</v>
      </c>
      <c r="C876" s="4" t="s">
        <v>17</v>
      </c>
      <c r="D876" s="4" t="s">
        <v>938</v>
      </c>
      <c r="E876" t="s">
        <v>255</v>
      </c>
      <c r="F876" t="s">
        <v>256</v>
      </c>
      <c r="G876" t="s">
        <v>257</v>
      </c>
      <c r="H876">
        <v>24</v>
      </c>
      <c r="I876">
        <v>3</v>
      </c>
      <c r="J876" t="s">
        <v>44</v>
      </c>
      <c r="K876" t="s">
        <v>17</v>
      </c>
      <c r="L876" t="s">
        <v>293</v>
      </c>
      <c r="M876" t="s">
        <v>12</v>
      </c>
      <c r="N876" t="s">
        <v>12</v>
      </c>
      <c r="P876">
        <f>0.3*0.0004*2.5</f>
        <v>3.0000000000000003E-4</v>
      </c>
      <c r="Q876" t="s">
        <v>180</v>
      </c>
      <c r="R876" t="s">
        <v>175</v>
      </c>
      <c r="T876">
        <v>4</v>
      </c>
      <c r="W876" s="1">
        <v>7800</v>
      </c>
      <c r="X876" t="s">
        <v>184</v>
      </c>
      <c r="Y876" t="s">
        <v>185</v>
      </c>
      <c r="AA876" s="13">
        <f>Tableau8[[#This Row],[density (kg/m2) or specific weight (kg/m2)]]*Tableau8[[#This Row],[nb of item used ]]*Tableau8[[#This Row],[volume or area]]</f>
        <v>9.3600000000000012</v>
      </c>
      <c r="AB876">
        <v>25.3</v>
      </c>
      <c r="AC876">
        <v>1.95</v>
      </c>
      <c r="AD876" s="11">
        <f t="shared" si="232"/>
        <v>9.8670000000000027</v>
      </c>
      <c r="AE876" s="11">
        <f>_xlfn.RANK.AVG(Tableau8[[#This Row],[EE ( MJ/m²)]],AD876:AD2031)</f>
        <v>167</v>
      </c>
      <c r="AF876" s="11">
        <f t="shared" si="233"/>
        <v>3.289000000000001</v>
      </c>
      <c r="AG876" s="11">
        <f t="shared" si="236"/>
        <v>0.76050000000000006</v>
      </c>
      <c r="AH876" s="11">
        <f t="shared" si="234"/>
        <v>0.76050000000000006</v>
      </c>
      <c r="AI876" s="11">
        <f t="shared" si="237"/>
        <v>0.2535</v>
      </c>
      <c r="AJ876" s="11">
        <f t="shared" si="235"/>
        <v>0.2535</v>
      </c>
    </row>
    <row r="877" spans="1:36" x14ac:dyDescent="0.25">
      <c r="A877" s="4" t="s">
        <v>945</v>
      </c>
      <c r="B877" s="4" t="s">
        <v>987</v>
      </c>
      <c r="C877" s="4" t="s">
        <v>17</v>
      </c>
      <c r="D877" s="4" t="s">
        <v>938</v>
      </c>
      <c r="E877" t="s">
        <v>255</v>
      </c>
      <c r="F877" t="s">
        <v>256</v>
      </c>
      <c r="G877" t="s">
        <v>257</v>
      </c>
      <c r="H877">
        <v>24</v>
      </c>
      <c r="I877">
        <v>3</v>
      </c>
      <c r="J877" t="s">
        <v>44</v>
      </c>
      <c r="K877" t="s">
        <v>17</v>
      </c>
      <c r="L877" t="s">
        <v>294</v>
      </c>
      <c r="M877" t="s">
        <v>12</v>
      </c>
      <c r="N877" t="s">
        <v>12</v>
      </c>
      <c r="P877">
        <f>0.3*0.0004*6.105</f>
        <v>7.3260000000000003E-4</v>
      </c>
      <c r="Q877" t="s">
        <v>180</v>
      </c>
      <c r="R877" t="s">
        <v>175</v>
      </c>
      <c r="T877">
        <v>1</v>
      </c>
      <c r="W877">
        <v>7800</v>
      </c>
      <c r="X877" t="s">
        <v>184</v>
      </c>
      <c r="Y877" t="s">
        <v>185</v>
      </c>
      <c r="AA877" s="13">
        <f>Tableau8[[#This Row],[density (kg/m2) or specific weight (kg/m2)]]*Tableau8[[#This Row],[nb of item used ]]*Tableau8[[#This Row],[volume or area]]</f>
        <v>5.7142800000000005</v>
      </c>
      <c r="AB877">
        <v>25.3</v>
      </c>
      <c r="AC877">
        <v>1.95</v>
      </c>
      <c r="AD877" s="11">
        <f t="shared" si="232"/>
        <v>6.0238035000000005</v>
      </c>
      <c r="AE877" s="11">
        <f>_xlfn.RANK.AVG(Tableau8[[#This Row],[EE ( MJ/m²)]],AD877:AD2032)</f>
        <v>187</v>
      </c>
      <c r="AF877" s="11">
        <f t="shared" si="233"/>
        <v>2.0079345000000002</v>
      </c>
      <c r="AG877" s="11">
        <f t="shared" si="236"/>
        <v>0.46428525000000004</v>
      </c>
      <c r="AH877" s="11">
        <f t="shared" si="234"/>
        <v>0.46428525000000004</v>
      </c>
      <c r="AI877" s="11">
        <f t="shared" si="237"/>
        <v>0.15476175</v>
      </c>
      <c r="AJ877" s="11">
        <f t="shared" si="235"/>
        <v>0.15476175</v>
      </c>
    </row>
    <row r="878" spans="1:36" s="20" customFormat="1" x14ac:dyDescent="0.25">
      <c r="A878" s="4" t="s">
        <v>945</v>
      </c>
      <c r="B878" s="4" t="s">
        <v>987</v>
      </c>
      <c r="C878" s="4" t="s">
        <v>17</v>
      </c>
      <c r="D878" s="4" t="s">
        <v>938</v>
      </c>
      <c r="E878" t="s">
        <v>255</v>
      </c>
      <c r="F878" t="s">
        <v>256</v>
      </c>
      <c r="G878" t="s">
        <v>257</v>
      </c>
      <c r="H878">
        <v>24</v>
      </c>
      <c r="I878">
        <v>3</v>
      </c>
      <c r="J878" t="s">
        <v>44</v>
      </c>
      <c r="K878" t="s">
        <v>17</v>
      </c>
      <c r="L878" t="s">
        <v>295</v>
      </c>
      <c r="M878" t="s">
        <v>12</v>
      </c>
      <c r="N878" t="s">
        <v>12</v>
      </c>
      <c r="O878"/>
      <c r="P878">
        <f>0.3*0.0004*2.25</f>
        <v>2.7E-4</v>
      </c>
      <c r="Q878" t="s">
        <v>180</v>
      </c>
      <c r="R878" t="s">
        <v>175</v>
      </c>
      <c r="S878"/>
      <c r="T878">
        <v>4</v>
      </c>
      <c r="U878"/>
      <c r="V878"/>
      <c r="W878">
        <v>7800</v>
      </c>
      <c r="X878" t="s">
        <v>184</v>
      </c>
      <c r="Y878" t="s">
        <v>185</v>
      </c>
      <c r="Z878"/>
      <c r="AA878" s="13">
        <f>Tableau8[[#This Row],[density (kg/m2) or specific weight (kg/m2)]]*Tableau8[[#This Row],[nb of item used ]]*Tableau8[[#This Row],[volume or area]]</f>
        <v>8.4239999999999995</v>
      </c>
      <c r="AB878">
        <v>25.3</v>
      </c>
      <c r="AC878">
        <v>1.95</v>
      </c>
      <c r="AD878" s="11">
        <f t="shared" si="232"/>
        <v>8.8803000000000001</v>
      </c>
      <c r="AE878" s="11">
        <f>_xlfn.RANK.AVG(Tableau8[[#This Row],[EE ( MJ/m²)]],AD878:AD2033)</f>
        <v>171</v>
      </c>
      <c r="AF878" s="11">
        <f t="shared" si="233"/>
        <v>2.9601000000000002</v>
      </c>
      <c r="AG878" s="11">
        <f t="shared" si="236"/>
        <v>0.68445</v>
      </c>
      <c r="AH878" s="11">
        <f t="shared" si="234"/>
        <v>0.68445</v>
      </c>
      <c r="AI878" s="11">
        <f t="shared" si="237"/>
        <v>0.22814999999999999</v>
      </c>
      <c r="AJ878" s="11">
        <f t="shared" si="235"/>
        <v>0.22814999999999999</v>
      </c>
    </row>
    <row r="879" spans="1:36" x14ac:dyDescent="0.25">
      <c r="A879" s="4" t="s">
        <v>945</v>
      </c>
      <c r="B879" s="4" t="s">
        <v>987</v>
      </c>
      <c r="C879" s="4" t="s">
        <v>17</v>
      </c>
      <c r="D879" s="4" t="s">
        <v>938</v>
      </c>
      <c r="E879" t="s">
        <v>255</v>
      </c>
      <c r="F879" t="s">
        <v>256</v>
      </c>
      <c r="G879" t="s">
        <v>257</v>
      </c>
      <c r="H879">
        <v>24</v>
      </c>
      <c r="I879">
        <v>3</v>
      </c>
      <c r="J879" t="s">
        <v>44</v>
      </c>
      <c r="K879" t="s">
        <v>17</v>
      </c>
      <c r="L879" t="s">
        <v>296</v>
      </c>
      <c r="M879" t="s">
        <v>12</v>
      </c>
      <c r="N879" t="s">
        <v>12</v>
      </c>
      <c r="P879">
        <f>0.16*0.0004*6.1</f>
        <v>3.9040000000000006E-4</v>
      </c>
      <c r="Q879" t="s">
        <v>180</v>
      </c>
      <c r="R879" t="s">
        <v>175</v>
      </c>
      <c r="T879">
        <v>2</v>
      </c>
      <c r="W879">
        <v>7800</v>
      </c>
      <c r="X879" t="s">
        <v>184</v>
      </c>
      <c r="Y879" t="s">
        <v>185</v>
      </c>
      <c r="AA879" s="13">
        <f>Tableau8[[#This Row],[density (kg/m2) or specific weight (kg/m2)]]*Tableau8[[#This Row],[nb of item used ]]*Tableau8[[#This Row],[volume or area]]</f>
        <v>6.0902400000000005</v>
      </c>
      <c r="AB879">
        <v>25.3</v>
      </c>
      <c r="AC879">
        <v>1.95</v>
      </c>
      <c r="AD879" s="11">
        <f t="shared" si="232"/>
        <v>6.4201280000000009</v>
      </c>
      <c r="AE879" s="11">
        <f>_xlfn.RANK.AVG(Tableau8[[#This Row],[EE ( MJ/m²)]],AD879:AD2034)</f>
        <v>185</v>
      </c>
      <c r="AF879" s="11">
        <f t="shared" si="233"/>
        <v>2.140042666666667</v>
      </c>
      <c r="AG879" s="11">
        <f t="shared" si="236"/>
        <v>0.49483199999999999</v>
      </c>
      <c r="AH879" s="11">
        <f t="shared" si="234"/>
        <v>0.49483199999999999</v>
      </c>
      <c r="AI879" s="11">
        <f t="shared" si="237"/>
        <v>0.16494400000000001</v>
      </c>
      <c r="AJ879" s="11">
        <f t="shared" si="235"/>
        <v>0.16494400000000001</v>
      </c>
    </row>
    <row r="880" spans="1:36" x14ac:dyDescent="0.25">
      <c r="A880" s="4" t="s">
        <v>945</v>
      </c>
      <c r="B880" s="4" t="s">
        <v>987</v>
      </c>
      <c r="C880" s="4" t="s">
        <v>17</v>
      </c>
      <c r="D880" s="4" t="s">
        <v>938</v>
      </c>
      <c r="E880" t="s">
        <v>255</v>
      </c>
      <c r="F880" t="s">
        <v>256</v>
      </c>
      <c r="G880" t="s">
        <v>257</v>
      </c>
      <c r="H880">
        <v>24</v>
      </c>
      <c r="I880">
        <v>3</v>
      </c>
      <c r="J880" t="s">
        <v>44</v>
      </c>
      <c r="K880" t="s">
        <v>17</v>
      </c>
      <c r="L880" t="s">
        <v>299</v>
      </c>
      <c r="M880" t="s">
        <v>12</v>
      </c>
      <c r="N880" t="s">
        <v>12</v>
      </c>
      <c r="P880">
        <f>0.06*0.002*0.05</f>
        <v>6.0000000000000002E-6</v>
      </c>
      <c r="Q880" t="s">
        <v>180</v>
      </c>
      <c r="R880" t="s">
        <v>175</v>
      </c>
      <c r="T880">
        <v>4</v>
      </c>
      <c r="W880">
        <v>7800</v>
      </c>
      <c r="X880" t="s">
        <v>184</v>
      </c>
      <c r="Y880" t="s">
        <v>185</v>
      </c>
      <c r="AA880" s="13">
        <f>Tableau8[[#This Row],[density (kg/m2) or specific weight (kg/m2)]]*Tableau8[[#This Row],[nb of item used ]]*Tableau8[[#This Row],[volume or area]]</f>
        <v>0.18720000000000001</v>
      </c>
      <c r="AB880">
        <v>25.3</v>
      </c>
      <c r="AC880">
        <v>1.95</v>
      </c>
      <c r="AD880" s="11">
        <f t="shared" si="232"/>
        <v>0.19733999999999999</v>
      </c>
      <c r="AE880" s="11">
        <f>_xlfn.RANK.AVG(Tableau8[[#This Row],[EE ( MJ/m²)]],AD880:AD2035)</f>
        <v>268</v>
      </c>
      <c r="AF880" s="11">
        <f t="shared" si="233"/>
        <v>6.5779999999999991E-2</v>
      </c>
      <c r="AG880" s="11">
        <f t="shared" si="236"/>
        <v>1.521E-2</v>
      </c>
      <c r="AH880" s="11">
        <f t="shared" si="234"/>
        <v>1.521E-2</v>
      </c>
      <c r="AI880" s="11">
        <f t="shared" si="237"/>
        <v>5.0699999999999999E-3</v>
      </c>
      <c r="AJ880" s="11">
        <f t="shared" si="235"/>
        <v>5.0699999999999999E-3</v>
      </c>
    </row>
    <row r="881" spans="1:36" x14ac:dyDescent="0.25">
      <c r="A881" s="4" t="s">
        <v>945</v>
      </c>
      <c r="B881" s="4" t="s">
        <v>987</v>
      </c>
      <c r="C881" s="4" t="s">
        <v>17</v>
      </c>
      <c r="D881" s="4" t="s">
        <v>938</v>
      </c>
      <c r="E881" t="s">
        <v>255</v>
      </c>
      <c r="F881" t="s">
        <v>256</v>
      </c>
      <c r="G881" t="s">
        <v>257</v>
      </c>
      <c r="H881">
        <v>24</v>
      </c>
      <c r="I881">
        <v>3</v>
      </c>
      <c r="J881" t="s">
        <v>44</v>
      </c>
      <c r="K881" t="s">
        <v>17</v>
      </c>
      <c r="L881" t="s">
        <v>300</v>
      </c>
      <c r="M881" t="s">
        <v>12</v>
      </c>
      <c r="N881" t="s">
        <v>12</v>
      </c>
      <c r="P881">
        <f>16*PI()*(0.00175^2)</f>
        <v>1.5393804002589989E-4</v>
      </c>
      <c r="Q881" t="s">
        <v>180</v>
      </c>
      <c r="R881" t="s">
        <v>187</v>
      </c>
      <c r="T881">
        <v>5</v>
      </c>
      <c r="W881" s="1">
        <v>7800</v>
      </c>
      <c r="X881" t="s">
        <v>184</v>
      </c>
      <c r="Y881" t="s">
        <v>185</v>
      </c>
      <c r="AA881" s="13">
        <v>0.3</v>
      </c>
      <c r="AB881">
        <v>25.3</v>
      </c>
      <c r="AC881">
        <v>1.95</v>
      </c>
      <c r="AD881" s="11">
        <f t="shared" si="232"/>
        <v>0.31624999999999998</v>
      </c>
      <c r="AE881" s="11">
        <f>_xlfn.RANK.AVG(Tableau8[[#This Row],[EE ( MJ/m²)]],AD881:AD2036)</f>
        <v>264.5</v>
      </c>
      <c r="AF881" s="11">
        <f t="shared" si="233"/>
        <v>0.10541666666666666</v>
      </c>
      <c r="AG881" s="11">
        <f t="shared" si="236"/>
        <v>2.4374999999999997E-2</v>
      </c>
      <c r="AH881" s="11">
        <f t="shared" si="234"/>
        <v>2.4374999999999997E-2</v>
      </c>
      <c r="AI881" s="11">
        <f t="shared" si="237"/>
        <v>8.1249999999999985E-3</v>
      </c>
      <c r="AJ881" s="11">
        <f t="shared" si="235"/>
        <v>8.1249999999999985E-3</v>
      </c>
    </row>
    <row r="882" spans="1:36" x14ac:dyDescent="0.25">
      <c r="A882" s="4" t="s">
        <v>945</v>
      </c>
      <c r="B882" s="4" t="s">
        <v>987</v>
      </c>
      <c r="C882" s="4" t="s">
        <v>17</v>
      </c>
      <c r="D882" s="4" t="s">
        <v>938</v>
      </c>
      <c r="E882" t="s">
        <v>255</v>
      </c>
      <c r="F882" t="s">
        <v>256</v>
      </c>
      <c r="G882" t="s">
        <v>257</v>
      </c>
      <c r="H882">
        <v>24</v>
      </c>
      <c r="I882">
        <v>3</v>
      </c>
      <c r="J882" t="s">
        <v>44</v>
      </c>
      <c r="K882" t="s">
        <v>17</v>
      </c>
      <c r="L882" t="s">
        <v>301</v>
      </c>
      <c r="M882" t="s">
        <v>12</v>
      </c>
      <c r="N882" t="s">
        <v>12</v>
      </c>
      <c r="P882">
        <f>18*PI()*(0.00175^2)</f>
        <v>1.7318029502913737E-4</v>
      </c>
      <c r="Q882" t="s">
        <v>180</v>
      </c>
      <c r="R882" t="s">
        <v>175</v>
      </c>
      <c r="T882">
        <v>1</v>
      </c>
      <c r="W882">
        <v>7800</v>
      </c>
      <c r="X882" t="s">
        <v>184</v>
      </c>
      <c r="Y882" t="s">
        <v>185</v>
      </c>
      <c r="AA882" s="13">
        <f>Tableau8[[#This Row],[density (kg/m2) or specific weight (kg/m2)]]*Tableau8[[#This Row],[nb of item used ]]*Tableau8[[#This Row],[volume or area]]</f>
        <v>1.3508063012272715</v>
      </c>
      <c r="AB882">
        <v>25.3</v>
      </c>
      <c r="AC882">
        <v>1.95</v>
      </c>
      <c r="AD882" s="11">
        <f t="shared" si="232"/>
        <v>1.4239749758770819</v>
      </c>
      <c r="AE882" s="11">
        <f>_xlfn.RANK.AVG(Tableau8[[#This Row],[EE ( MJ/m²)]],AD882:AD2037)</f>
        <v>232</v>
      </c>
      <c r="AF882" s="11">
        <f t="shared" si="233"/>
        <v>0.47465832529236063</v>
      </c>
      <c r="AG882" s="11">
        <f t="shared" si="236"/>
        <v>0.10975301197471581</v>
      </c>
      <c r="AH882" s="11">
        <f t="shared" si="234"/>
        <v>0.10975301197471581</v>
      </c>
      <c r="AI882" s="11">
        <f t="shared" si="237"/>
        <v>3.6584337324905271E-2</v>
      </c>
      <c r="AJ882" s="11">
        <f t="shared" si="235"/>
        <v>3.6584337324905271E-2</v>
      </c>
    </row>
    <row r="883" spans="1:36" x14ac:dyDescent="0.25">
      <c r="A883" s="4" t="s">
        <v>945</v>
      </c>
      <c r="B883" s="4" t="s">
        <v>987</v>
      </c>
      <c r="C883" s="4" t="s">
        <v>17</v>
      </c>
      <c r="D883" s="4" t="s">
        <v>938</v>
      </c>
      <c r="E883" t="s">
        <v>255</v>
      </c>
      <c r="F883" t="s">
        <v>256</v>
      </c>
      <c r="G883" t="s">
        <v>257</v>
      </c>
      <c r="H883">
        <v>24</v>
      </c>
      <c r="I883">
        <v>3</v>
      </c>
      <c r="J883" t="s">
        <v>44</v>
      </c>
      <c r="K883" t="s">
        <v>17</v>
      </c>
      <c r="L883" t="s">
        <v>302</v>
      </c>
      <c r="M883" t="s">
        <v>12</v>
      </c>
      <c r="N883" t="s">
        <v>12</v>
      </c>
      <c r="P883">
        <f>12*PI()*(0.00175^2)</f>
        <v>1.1545353001942491E-4</v>
      </c>
      <c r="Q883" t="s">
        <v>180</v>
      </c>
      <c r="R883" t="s">
        <v>175</v>
      </c>
      <c r="T883">
        <v>1</v>
      </c>
      <c r="W883">
        <v>7800</v>
      </c>
      <c r="X883" t="s">
        <v>184</v>
      </c>
      <c r="Y883" t="s">
        <v>185</v>
      </c>
      <c r="AA883" s="13">
        <f>Tableau8[[#This Row],[density (kg/m2) or specific weight (kg/m2)]]*Tableau8[[#This Row],[nb of item used ]]*Tableau8[[#This Row],[volume or area]]</f>
        <v>0.90053753415151427</v>
      </c>
      <c r="AB883">
        <v>25.3</v>
      </c>
      <c r="AC883">
        <v>1.95</v>
      </c>
      <c r="AD883" s="11">
        <f t="shared" si="232"/>
        <v>0.94931665058472126</v>
      </c>
      <c r="AE883" s="11">
        <f>_xlfn.RANK.AVG(Tableau8[[#This Row],[EE ( MJ/m²)]],AD883:AD2038)</f>
        <v>248</v>
      </c>
      <c r="AF883" s="11">
        <f t="shared" si="233"/>
        <v>0.3164388835282404</v>
      </c>
      <c r="AG883" s="11">
        <f t="shared" si="236"/>
        <v>7.3168674649810542E-2</v>
      </c>
      <c r="AH883" s="11">
        <f t="shared" si="234"/>
        <v>7.3168674649810542E-2</v>
      </c>
      <c r="AI883" s="11">
        <f t="shared" si="237"/>
        <v>2.4389558216603515E-2</v>
      </c>
      <c r="AJ883" s="11">
        <f t="shared" si="235"/>
        <v>2.4389558216603515E-2</v>
      </c>
    </row>
    <row r="884" spans="1:36" x14ac:dyDescent="0.25">
      <c r="A884" s="4" t="s">
        <v>945</v>
      </c>
      <c r="B884" s="4" t="s">
        <v>987</v>
      </c>
      <c r="C884" s="4" t="s">
        <v>17</v>
      </c>
      <c r="D884" s="4" t="s">
        <v>938</v>
      </c>
      <c r="E884" t="s">
        <v>255</v>
      </c>
      <c r="F884" t="s">
        <v>256</v>
      </c>
      <c r="G884" t="s">
        <v>257</v>
      </c>
      <c r="H884">
        <v>24</v>
      </c>
      <c r="I884">
        <v>3</v>
      </c>
      <c r="J884" t="s">
        <v>44</v>
      </c>
      <c r="K884" t="s">
        <v>17</v>
      </c>
      <c r="L884" t="s">
        <v>305</v>
      </c>
      <c r="M884" t="s">
        <v>12</v>
      </c>
      <c r="N884" t="s">
        <v>12</v>
      </c>
      <c r="P884">
        <f>PI()*(0.0015^2)*0.03</f>
        <v>2.1205750411731103E-7</v>
      </c>
      <c r="Q884" t="s">
        <v>180</v>
      </c>
      <c r="R884" t="s">
        <v>175</v>
      </c>
      <c r="T884">
        <v>600</v>
      </c>
      <c r="W884">
        <v>7800</v>
      </c>
      <c r="X884" t="s">
        <v>184</v>
      </c>
      <c r="Y884" t="s">
        <v>185</v>
      </c>
      <c r="AA884" s="13">
        <f>Tableau8[[#This Row],[density (kg/m2) or specific weight (kg/m2)]]*Tableau8[[#This Row],[nb of item used ]]*Tableau8[[#This Row],[volume or area]]</f>
        <v>0.99242911926901556</v>
      </c>
      <c r="AB884">
        <v>25.3</v>
      </c>
      <c r="AC884">
        <v>1.95</v>
      </c>
      <c r="AD884" s="11">
        <f t="shared" si="232"/>
        <v>1.0461856965627538</v>
      </c>
      <c r="AE884" s="11">
        <f>_xlfn.RANK.AVG(Tableau8[[#This Row],[EE ( MJ/m²)]],AD884:AD2039)</f>
        <v>243</v>
      </c>
      <c r="AF884" s="11">
        <f t="shared" si="233"/>
        <v>0.34872856552091797</v>
      </c>
      <c r="AG884" s="11">
        <f t="shared" si="236"/>
        <v>8.0634865940607509E-2</v>
      </c>
      <c r="AH884" s="11">
        <f t="shared" si="234"/>
        <v>8.0634865940607509E-2</v>
      </c>
      <c r="AI884" s="11">
        <f t="shared" si="237"/>
        <v>2.687828864686917E-2</v>
      </c>
      <c r="AJ884" s="11">
        <f t="shared" si="235"/>
        <v>2.687828864686917E-2</v>
      </c>
    </row>
    <row r="885" spans="1:36" x14ac:dyDescent="0.25">
      <c r="A885" s="4" t="s">
        <v>945</v>
      </c>
      <c r="B885" s="4" t="s">
        <v>987</v>
      </c>
      <c r="C885" s="4" t="s">
        <v>17</v>
      </c>
      <c r="D885" s="4" t="s">
        <v>938</v>
      </c>
      <c r="E885" t="s">
        <v>255</v>
      </c>
      <c r="F885" t="s">
        <v>256</v>
      </c>
      <c r="G885" t="s">
        <v>257</v>
      </c>
      <c r="H885">
        <v>24</v>
      </c>
      <c r="I885">
        <v>3</v>
      </c>
      <c r="J885" t="s">
        <v>56</v>
      </c>
      <c r="K885" t="s">
        <v>17</v>
      </c>
      <c r="L885" t="s">
        <v>290</v>
      </c>
      <c r="M885" t="s">
        <v>310</v>
      </c>
      <c r="N885" t="s">
        <v>311</v>
      </c>
      <c r="P885">
        <f>31*0.00035</f>
        <v>1.085E-2</v>
      </c>
      <c r="Q885" t="s">
        <v>180</v>
      </c>
      <c r="R885" t="s">
        <v>175</v>
      </c>
      <c r="T885">
        <v>1</v>
      </c>
      <c r="W885">
        <v>7850</v>
      </c>
      <c r="X885" t="s">
        <v>184</v>
      </c>
      <c r="Y885" t="s">
        <v>185</v>
      </c>
      <c r="AA885" s="13">
        <f>Tableau8[[#This Row],[density (kg/m2) or specific weight (kg/m2)]]*Tableau8[[#This Row],[nb of item used ]]*Tableau8[[#This Row],[volume or area]]</f>
        <v>85.172499999999999</v>
      </c>
      <c r="AB885">
        <v>56.7</v>
      </c>
      <c r="AC885">
        <v>6.15</v>
      </c>
      <c r="AD885" s="11">
        <f t="shared" si="232"/>
        <v>201.22003125000001</v>
      </c>
      <c r="AE885" s="11">
        <f>_xlfn.RANK.AVG(Tableau8[[#This Row],[EE ( MJ/m²)]],AD885:AD2040)</f>
        <v>20</v>
      </c>
      <c r="AF885" s="11">
        <f t="shared" si="233"/>
        <v>67.073343750000006</v>
      </c>
      <c r="AG885" s="11">
        <f t="shared" si="236"/>
        <v>21.825453124999999</v>
      </c>
      <c r="AH885" s="11">
        <f t="shared" si="234"/>
        <v>21.825453124999999</v>
      </c>
      <c r="AI885" s="11">
        <f t="shared" si="237"/>
        <v>7.2751510416666667</v>
      </c>
      <c r="AJ885" s="11">
        <f t="shared" si="235"/>
        <v>7.2751510416666667</v>
      </c>
    </row>
    <row r="886" spans="1:36" x14ac:dyDescent="0.25">
      <c r="A886" s="4" t="s">
        <v>945</v>
      </c>
      <c r="B886" s="4" t="s">
        <v>987</v>
      </c>
      <c r="C886" s="4" t="s">
        <v>17</v>
      </c>
      <c r="D886" s="4" t="s">
        <v>938</v>
      </c>
      <c r="E886" t="s">
        <v>255</v>
      </c>
      <c r="F886" t="s">
        <v>256</v>
      </c>
      <c r="G886" t="s">
        <v>257</v>
      </c>
      <c r="H886">
        <v>24</v>
      </c>
      <c r="I886">
        <v>3</v>
      </c>
      <c r="J886" t="s">
        <v>40</v>
      </c>
      <c r="K886" t="s">
        <v>17</v>
      </c>
      <c r="L886" t="s">
        <v>291</v>
      </c>
      <c r="M886" t="s">
        <v>310</v>
      </c>
      <c r="N886" t="s">
        <v>311</v>
      </c>
      <c r="P886">
        <f>50*0.00035</f>
        <v>1.7499999999999998E-2</v>
      </c>
      <c r="Q886" t="s">
        <v>180</v>
      </c>
      <c r="R886" t="s">
        <v>175</v>
      </c>
      <c r="T886">
        <v>1</v>
      </c>
      <c r="W886">
        <v>7850</v>
      </c>
      <c r="X886" t="s">
        <v>184</v>
      </c>
      <c r="Y886" t="s">
        <v>185</v>
      </c>
      <c r="AA886" s="13">
        <f>Tableau8[[#This Row],[density (kg/m2) or specific weight (kg/m2)]]*Tableau8[[#This Row],[nb of item used ]]*Tableau8[[#This Row],[volume or area]]</f>
        <v>137.375</v>
      </c>
      <c r="AB886">
        <v>56.7</v>
      </c>
      <c r="AC886">
        <v>6.15</v>
      </c>
      <c r="AD886" s="11">
        <f t="shared" si="232"/>
        <v>324.54843750000003</v>
      </c>
      <c r="AE886" s="11">
        <f>_xlfn.RANK.AVG(Tableau8[[#This Row],[EE ( MJ/m²)]],AD886:AD2041)</f>
        <v>13.5</v>
      </c>
      <c r="AF886" s="11">
        <f t="shared" si="233"/>
        <v>108.18281250000001</v>
      </c>
      <c r="AG886" s="11">
        <f t="shared" si="236"/>
        <v>35.202343750000004</v>
      </c>
      <c r="AH886" s="11">
        <f t="shared" si="234"/>
        <v>35.202343750000004</v>
      </c>
      <c r="AI886" s="11">
        <f t="shared" si="237"/>
        <v>11.734114583333335</v>
      </c>
      <c r="AJ886" s="11">
        <f t="shared" si="235"/>
        <v>11.734114583333335</v>
      </c>
    </row>
    <row r="887" spans="1:36" x14ac:dyDescent="0.25">
      <c r="A887" s="4" t="s">
        <v>945</v>
      </c>
      <c r="B887" s="4" t="s">
        <v>987</v>
      </c>
      <c r="C887" s="4" t="s">
        <v>17</v>
      </c>
      <c r="D887" s="4" t="s">
        <v>938</v>
      </c>
      <c r="E887" t="s">
        <v>255</v>
      </c>
      <c r="F887" t="s">
        <v>256</v>
      </c>
      <c r="G887" t="s">
        <v>257</v>
      </c>
      <c r="H887">
        <v>24</v>
      </c>
      <c r="I887">
        <v>3</v>
      </c>
      <c r="J887" t="s">
        <v>40</v>
      </c>
      <c r="K887" t="s">
        <v>17</v>
      </c>
      <c r="L887" t="s">
        <v>292</v>
      </c>
      <c r="M887" t="s">
        <v>310</v>
      </c>
      <c r="N887" t="s">
        <v>311</v>
      </c>
      <c r="P887">
        <f>50*0.00035</f>
        <v>1.7499999999999998E-2</v>
      </c>
      <c r="Q887" t="s">
        <v>180</v>
      </c>
      <c r="R887" t="s">
        <v>175</v>
      </c>
      <c r="T887">
        <v>1</v>
      </c>
      <c r="W887">
        <v>7850</v>
      </c>
      <c r="X887" t="s">
        <v>184</v>
      </c>
      <c r="Y887" t="s">
        <v>185</v>
      </c>
      <c r="AA887" s="13">
        <f>Tableau8[[#This Row],[density (kg/m2) or specific weight (kg/m2)]]*Tableau8[[#This Row],[nb of item used ]]*Tableau8[[#This Row],[volume or area]]</f>
        <v>137.375</v>
      </c>
      <c r="AB887">
        <v>56.7</v>
      </c>
      <c r="AC887">
        <v>6.15</v>
      </c>
      <c r="AD887" s="11">
        <f t="shared" si="232"/>
        <v>324.54843750000003</v>
      </c>
      <c r="AE887" s="11">
        <f>_xlfn.RANK.AVG(Tableau8[[#This Row],[EE ( MJ/m²)]],AD887:AD2042)</f>
        <v>13</v>
      </c>
      <c r="AF887" s="11">
        <f t="shared" si="233"/>
        <v>108.18281250000001</v>
      </c>
      <c r="AG887" s="11">
        <f t="shared" si="236"/>
        <v>35.202343750000004</v>
      </c>
      <c r="AH887" s="11">
        <f t="shared" si="234"/>
        <v>35.202343750000004</v>
      </c>
      <c r="AI887" s="11">
        <f t="shared" si="237"/>
        <v>11.734114583333335</v>
      </c>
      <c r="AJ887" s="11">
        <f t="shared" si="235"/>
        <v>11.734114583333335</v>
      </c>
    </row>
    <row r="888" spans="1:36" x14ac:dyDescent="0.25">
      <c r="A888" s="4" t="s">
        <v>945</v>
      </c>
      <c r="B888" s="4" t="s">
        <v>987</v>
      </c>
      <c r="C888" s="4" t="s">
        <v>17</v>
      </c>
      <c r="D888" s="4" t="s">
        <v>938</v>
      </c>
      <c r="E888" t="s">
        <v>255</v>
      </c>
      <c r="F888" t="s">
        <v>256</v>
      </c>
      <c r="G888" t="s">
        <v>257</v>
      </c>
      <c r="H888">
        <v>24</v>
      </c>
      <c r="I888">
        <v>3</v>
      </c>
      <c r="J888" t="s">
        <v>40</v>
      </c>
      <c r="K888" t="s">
        <v>14</v>
      </c>
      <c r="L888" t="s">
        <v>303</v>
      </c>
      <c r="M888" t="s">
        <v>315</v>
      </c>
      <c r="N888" t="s">
        <v>316</v>
      </c>
      <c r="P888">
        <f>((PI()*(0.0762^2))-(PI()*(0.07605^2)))*10</f>
        <v>7.1746122226355041E-4</v>
      </c>
      <c r="Q888" t="s">
        <v>180</v>
      </c>
      <c r="R888" t="s">
        <v>175</v>
      </c>
      <c r="T888">
        <v>4</v>
      </c>
      <c r="W888">
        <v>1380</v>
      </c>
      <c r="X888" t="s">
        <v>184</v>
      </c>
      <c r="AA888" s="13">
        <f>W888*T888*P888</f>
        <v>3.9603859468947982</v>
      </c>
      <c r="AB888">
        <v>24.4</v>
      </c>
      <c r="AC888">
        <v>3.23</v>
      </c>
      <c r="AD888" s="11">
        <f t="shared" si="232"/>
        <v>4.0263923793430445</v>
      </c>
      <c r="AE888" s="11">
        <f>_xlfn.RANK.AVG(Tableau8[[#This Row],[EE ( MJ/m²)]],AD888:AD2043)</f>
        <v>191</v>
      </c>
      <c r="AF888" s="11">
        <f t="shared" si="233"/>
        <v>1.3421307931143482</v>
      </c>
      <c r="AG888" s="11">
        <f t="shared" si="236"/>
        <v>0.53300194201959161</v>
      </c>
      <c r="AH888" s="11">
        <f t="shared" si="234"/>
        <v>0.53300194201959161</v>
      </c>
      <c r="AI888" s="11">
        <f t="shared" si="237"/>
        <v>0.17766731400653055</v>
      </c>
      <c r="AJ888" s="11">
        <f t="shared" si="235"/>
        <v>0.17766731400653055</v>
      </c>
    </row>
    <row r="889" spans="1:36" x14ac:dyDescent="0.25">
      <c r="A889" s="4" t="s">
        <v>945</v>
      </c>
      <c r="B889" s="4" t="s">
        <v>987</v>
      </c>
      <c r="C889" s="4" t="s">
        <v>17</v>
      </c>
      <c r="D889" s="4" t="s">
        <v>938</v>
      </c>
      <c r="E889" t="s">
        <v>255</v>
      </c>
      <c r="F889" t="s">
        <v>256</v>
      </c>
      <c r="G889" t="s">
        <v>257</v>
      </c>
      <c r="H889">
        <v>24</v>
      </c>
      <c r="I889">
        <v>3</v>
      </c>
      <c r="J889" t="s">
        <v>40</v>
      </c>
      <c r="K889" t="s">
        <v>14</v>
      </c>
      <c r="L889" t="s">
        <v>287</v>
      </c>
      <c r="M889" t="s">
        <v>309</v>
      </c>
      <c r="N889" t="s">
        <v>79</v>
      </c>
      <c r="P889">
        <f>0.84*0.85</f>
        <v>0.71399999999999997</v>
      </c>
      <c r="Q889" t="s">
        <v>179</v>
      </c>
      <c r="R889" t="s">
        <v>175</v>
      </c>
      <c r="T889">
        <v>1</v>
      </c>
      <c r="W889" s="15">
        <v>3.7999999999999999E-2</v>
      </c>
      <c r="X889" t="s">
        <v>183</v>
      </c>
      <c r="AA889" s="13">
        <f>W889*T889*P889</f>
        <v>2.7131999999999996E-2</v>
      </c>
      <c r="AB889">
        <v>54.4</v>
      </c>
      <c r="AC889">
        <v>2.54</v>
      </c>
      <c r="AD889" s="11">
        <f t="shared" si="232"/>
        <v>6.1499199999999997E-2</v>
      </c>
      <c r="AE889" s="11">
        <f>_xlfn.RANK.AVG(Tableau8[[#This Row],[EE ( MJ/m²)]],AD889:AD2044)</f>
        <v>264</v>
      </c>
      <c r="AF889" s="11">
        <f t="shared" si="233"/>
        <v>2.0499733333333332E-2</v>
      </c>
      <c r="AG889" s="11">
        <f t="shared" si="236"/>
        <v>2.8714699999999997E-3</v>
      </c>
      <c r="AH889" s="11">
        <f t="shared" si="234"/>
        <v>2.8714699999999997E-3</v>
      </c>
      <c r="AI889" s="11">
        <f t="shared" si="237"/>
        <v>9.5715666666666656E-4</v>
      </c>
      <c r="AJ889" s="11">
        <f t="shared" si="235"/>
        <v>9.5715666666666656E-4</v>
      </c>
    </row>
    <row r="890" spans="1:36" x14ac:dyDescent="0.25">
      <c r="A890" s="4" t="s">
        <v>945</v>
      </c>
      <c r="B890" s="4" t="s">
        <v>987</v>
      </c>
      <c r="C890" s="4" t="s">
        <v>17</v>
      </c>
      <c r="D890" s="4" t="s">
        <v>938</v>
      </c>
      <c r="E890" t="s">
        <v>255</v>
      </c>
      <c r="F890" t="s">
        <v>256</v>
      </c>
      <c r="G890" t="s">
        <v>257</v>
      </c>
      <c r="H890">
        <v>24</v>
      </c>
      <c r="I890">
        <v>3</v>
      </c>
      <c r="J890" t="s">
        <v>40</v>
      </c>
      <c r="K890" t="s">
        <v>14</v>
      </c>
      <c r="L890" t="s">
        <v>304</v>
      </c>
      <c r="M890" t="s">
        <v>79</v>
      </c>
      <c r="N890" t="s">
        <v>79</v>
      </c>
      <c r="P890">
        <f>PI()*(0.0762^2)</f>
        <v>1.8241469247509919E-2</v>
      </c>
      <c r="Q890" t="s">
        <v>179</v>
      </c>
      <c r="R890" t="s">
        <v>175</v>
      </c>
      <c r="T890">
        <v>4</v>
      </c>
      <c r="W890" s="15">
        <v>3.7999999999999999E-2</v>
      </c>
      <c r="X890" t="s">
        <v>183</v>
      </c>
      <c r="AA890" s="13">
        <f>W890*T890*P890</f>
        <v>2.7727033256215077E-3</v>
      </c>
      <c r="AB890">
        <v>54.4</v>
      </c>
      <c r="AC890">
        <v>2.54</v>
      </c>
      <c r="AD890" s="11">
        <f t="shared" si="232"/>
        <v>6.2847942047420842E-3</v>
      </c>
      <c r="AE890" s="11">
        <f>_xlfn.RANK.AVG(Tableau8[[#This Row],[EE ( MJ/m²)]],AD890:AD2045)</f>
        <v>268</v>
      </c>
      <c r="AF890" s="11">
        <f t="shared" si="233"/>
        <v>2.0949314015806949E-3</v>
      </c>
      <c r="AG890" s="11">
        <f t="shared" si="236"/>
        <v>2.934444352949429E-4</v>
      </c>
      <c r="AH890" s="11">
        <f t="shared" si="234"/>
        <v>2.934444352949429E-4</v>
      </c>
      <c r="AI890" s="11">
        <f t="shared" si="237"/>
        <v>9.7814811764980968E-5</v>
      </c>
      <c r="AJ890" s="11">
        <f t="shared" si="235"/>
        <v>9.7814811764980968E-5</v>
      </c>
    </row>
    <row r="891" spans="1:36" x14ac:dyDescent="0.25">
      <c r="A891" s="4" t="s">
        <v>945</v>
      </c>
      <c r="B891" s="4" t="s">
        <v>987</v>
      </c>
      <c r="C891" s="4" t="s">
        <v>17</v>
      </c>
      <c r="D891" s="4" t="s">
        <v>938</v>
      </c>
      <c r="E891" t="s">
        <v>255</v>
      </c>
      <c r="F891" t="s">
        <v>256</v>
      </c>
      <c r="G891" t="s">
        <v>257</v>
      </c>
      <c r="H891">
        <v>24</v>
      </c>
      <c r="I891">
        <v>3</v>
      </c>
      <c r="J891" t="s">
        <v>40</v>
      </c>
      <c r="K891" t="s">
        <v>17</v>
      </c>
      <c r="L891" t="s">
        <v>274</v>
      </c>
      <c r="M891" t="s">
        <v>236</v>
      </c>
      <c r="N891" t="s">
        <v>59</v>
      </c>
      <c r="P891">
        <f>2*1.1*0.0016</f>
        <v>3.5200000000000006E-3</v>
      </c>
      <c r="Q891" t="s">
        <v>180</v>
      </c>
      <c r="R891" t="s">
        <v>175</v>
      </c>
      <c r="T891">
        <v>1</v>
      </c>
      <c r="W891">
        <v>7870</v>
      </c>
      <c r="X891" t="s">
        <v>184</v>
      </c>
      <c r="Y891" t="s">
        <v>185</v>
      </c>
      <c r="AA891" s="13">
        <f>Tableau8[[#This Row],[density (kg/m2) or specific weight (kg/m2)]]*Tableau8[[#This Row],[nb of item used ]]*Tableau8[[#This Row],[volume or area]]</f>
        <v>27.702400000000004</v>
      </c>
      <c r="AB891">
        <v>25</v>
      </c>
      <c r="AC891">
        <v>2.0299999999999998</v>
      </c>
      <c r="AD891" s="11">
        <f t="shared" si="232"/>
        <v>28.856666666666669</v>
      </c>
      <c r="AE891" s="11">
        <f>_xlfn.RANK.AVG(Tableau8[[#This Row],[EE ( MJ/m²)]],AD891:AD2046)</f>
        <v>97</v>
      </c>
      <c r="AF891" s="11">
        <f>AB891*AA891/H891/I890</f>
        <v>9.6188888888888897</v>
      </c>
      <c r="AG891" s="11">
        <f t="shared" si="236"/>
        <v>2.3431613333333332</v>
      </c>
      <c r="AH891" s="11">
        <f t="shared" si="234"/>
        <v>2.3431613333333332</v>
      </c>
      <c r="AI891" s="11">
        <f t="shared" si="237"/>
        <v>0.78105377777777774</v>
      </c>
      <c r="AJ891" s="11">
        <f>AC891*AA891/H891/I890</f>
        <v>0.78105377777777774</v>
      </c>
    </row>
    <row r="892" spans="1:36" x14ac:dyDescent="0.25">
      <c r="A892" s="4" t="s">
        <v>945</v>
      </c>
      <c r="B892" s="4" t="s">
        <v>987</v>
      </c>
      <c r="C892" s="4" t="s">
        <v>17</v>
      </c>
      <c r="D892" s="4" t="s">
        <v>938</v>
      </c>
      <c r="E892" t="s">
        <v>255</v>
      </c>
      <c r="F892" t="s">
        <v>256</v>
      </c>
      <c r="G892" t="s">
        <v>257</v>
      </c>
      <c r="H892">
        <v>24</v>
      </c>
      <c r="I892">
        <v>3</v>
      </c>
      <c r="J892" t="s">
        <v>40</v>
      </c>
      <c r="K892" t="s">
        <v>307</v>
      </c>
      <c r="L892" t="s">
        <v>275</v>
      </c>
      <c r="M892" t="s">
        <v>308</v>
      </c>
      <c r="N892" t="s">
        <v>308</v>
      </c>
      <c r="P892">
        <f>2*1.1*0.015</f>
        <v>3.3000000000000002E-2</v>
      </c>
      <c r="Q892" t="s">
        <v>180</v>
      </c>
      <c r="R892" t="s">
        <v>175</v>
      </c>
      <c r="T892">
        <v>1</v>
      </c>
      <c r="W892">
        <v>50</v>
      </c>
      <c r="X892" t="s">
        <v>184</v>
      </c>
      <c r="Y892" t="s">
        <v>194</v>
      </c>
      <c r="Z892" t="s">
        <v>446</v>
      </c>
      <c r="AA892" s="13">
        <f>Tableau8[[#This Row],[density (kg/m2) or specific weight (kg/m2)]]*Tableau8[[#This Row],[volume or area]]</f>
        <v>1.6500000000000001</v>
      </c>
      <c r="AB892">
        <v>45</v>
      </c>
      <c r="AC892">
        <v>16.5</v>
      </c>
      <c r="AD892" s="11">
        <f t="shared" si="232"/>
        <v>3.09375</v>
      </c>
      <c r="AE892" s="11">
        <f>_xlfn.RANK.AVG(Tableau8[[#This Row],[EE ( MJ/m²)]],AD892:AD2047)</f>
        <v>199</v>
      </c>
      <c r="AF892" s="11">
        <f>AB892*AA892/H892/I891</f>
        <v>1.03125</v>
      </c>
      <c r="AG892" s="11">
        <f t="shared" si="236"/>
        <v>1.1343750000000001</v>
      </c>
      <c r="AH892" s="11">
        <f t="shared" si="234"/>
        <v>1.1343750000000001</v>
      </c>
      <c r="AI892" s="11">
        <f t="shared" si="237"/>
        <v>0.37812500000000004</v>
      </c>
      <c r="AJ892" s="11">
        <f>AC892*AA892/H892/I891</f>
        <v>0.37812500000000004</v>
      </c>
    </row>
    <row r="893" spans="1:36" x14ac:dyDescent="0.25">
      <c r="A893" s="4" t="s">
        <v>945</v>
      </c>
      <c r="B893" s="4" t="s">
        <v>987</v>
      </c>
      <c r="C893" s="4" t="s">
        <v>17</v>
      </c>
      <c r="D893" s="4" t="s">
        <v>938</v>
      </c>
      <c r="E893" t="s">
        <v>255</v>
      </c>
      <c r="F893" t="s">
        <v>256</v>
      </c>
      <c r="G893" t="s">
        <v>257</v>
      </c>
      <c r="H893">
        <v>24</v>
      </c>
      <c r="I893">
        <v>3</v>
      </c>
      <c r="J893" t="s">
        <v>40</v>
      </c>
      <c r="K893" t="s">
        <v>307</v>
      </c>
      <c r="L893" t="s">
        <v>289</v>
      </c>
      <c r="M893" t="s">
        <v>308</v>
      </c>
      <c r="N893" t="s">
        <v>308</v>
      </c>
      <c r="P893">
        <f>70*0.015</f>
        <v>1.05</v>
      </c>
      <c r="Q893" t="s">
        <v>180</v>
      </c>
      <c r="R893" t="s">
        <v>175</v>
      </c>
      <c r="T893">
        <v>1</v>
      </c>
      <c r="W893">
        <v>50</v>
      </c>
      <c r="X893" t="s">
        <v>184</v>
      </c>
      <c r="Y893" t="s">
        <v>194</v>
      </c>
      <c r="Z893" t="s">
        <v>446</v>
      </c>
      <c r="AA893" s="13">
        <f>Tableau8[[#This Row],[density (kg/m2) or specific weight (kg/m2)]]*Tableau8[[#This Row],[volume or area]]</f>
        <v>52.5</v>
      </c>
      <c r="AB893">
        <v>45</v>
      </c>
      <c r="AC893">
        <v>16.5</v>
      </c>
      <c r="AD893" s="11">
        <f t="shared" si="232"/>
        <v>98.4375</v>
      </c>
      <c r="AE893" s="11">
        <f>_xlfn.RANK.AVG(Tableau8[[#This Row],[EE ( MJ/m²)]],AD893:AD2048)</f>
        <v>44</v>
      </c>
      <c r="AF893" s="11">
        <f t="shared" ref="AF893:AF906" si="238">AB893*AA893/H893/I893</f>
        <v>32.8125</v>
      </c>
      <c r="AG893" s="11">
        <f t="shared" si="236"/>
        <v>36.09375</v>
      </c>
      <c r="AH893" s="11">
        <f t="shared" si="234"/>
        <v>36.09375</v>
      </c>
      <c r="AI893" s="11">
        <f t="shared" si="237"/>
        <v>12.03125</v>
      </c>
      <c r="AJ893" s="11">
        <f t="shared" ref="AJ893:AJ906" si="239">AC893*AA893/H893/I893</f>
        <v>12.03125</v>
      </c>
    </row>
    <row r="894" spans="1:36" x14ac:dyDescent="0.25">
      <c r="A894" s="4" t="s">
        <v>945</v>
      </c>
      <c r="B894" s="4" t="s">
        <v>987</v>
      </c>
      <c r="C894" s="4" t="s">
        <v>17</v>
      </c>
      <c r="D894" s="4" t="s">
        <v>938</v>
      </c>
      <c r="E894" t="s">
        <v>255</v>
      </c>
      <c r="F894" t="s">
        <v>256</v>
      </c>
      <c r="G894" t="s">
        <v>257</v>
      </c>
      <c r="H894">
        <v>24</v>
      </c>
      <c r="I894">
        <v>3</v>
      </c>
      <c r="J894" t="s">
        <v>57</v>
      </c>
      <c r="K894" t="s">
        <v>18</v>
      </c>
      <c r="L894" t="s">
        <v>298</v>
      </c>
      <c r="M894" t="s">
        <v>314</v>
      </c>
      <c r="N894" t="s">
        <v>39</v>
      </c>
      <c r="P894">
        <f>24.2*0.05</f>
        <v>1.21</v>
      </c>
      <c r="Q894" t="s">
        <v>180</v>
      </c>
      <c r="R894" t="s">
        <v>175</v>
      </c>
      <c r="T894">
        <v>1</v>
      </c>
      <c r="W894" s="1">
        <v>2400</v>
      </c>
      <c r="X894" t="s">
        <v>184</v>
      </c>
      <c r="AA894" s="13">
        <f>W894*T894*P894</f>
        <v>2904</v>
      </c>
      <c r="AB894">
        <v>0.75</v>
      </c>
      <c r="AC894">
        <v>0.107</v>
      </c>
      <c r="AD894" s="11">
        <f t="shared" si="232"/>
        <v>90.75</v>
      </c>
      <c r="AE894" s="11">
        <f>_xlfn.RANK.AVG(Tableau8[[#This Row],[EE ( MJ/m²)]],AD894:AD2049)</f>
        <v>45</v>
      </c>
      <c r="AF894" s="11">
        <f t="shared" si="238"/>
        <v>30.25</v>
      </c>
      <c r="AG894" s="11">
        <f t="shared" si="236"/>
        <v>12.947000000000001</v>
      </c>
      <c r="AH894" s="11">
        <f t="shared" si="234"/>
        <v>12.947000000000001</v>
      </c>
      <c r="AI894" s="11">
        <f t="shared" si="237"/>
        <v>4.315666666666667</v>
      </c>
      <c r="AJ894" s="11">
        <f t="shared" si="239"/>
        <v>4.315666666666667</v>
      </c>
    </row>
    <row r="895" spans="1:36" x14ac:dyDescent="0.25">
      <c r="A895" s="4" t="s">
        <v>945</v>
      </c>
      <c r="B895" s="4" t="s">
        <v>988</v>
      </c>
      <c r="C895" s="4" t="s">
        <v>15</v>
      </c>
      <c r="D895" s="4" t="s">
        <v>938</v>
      </c>
      <c r="E895" t="s">
        <v>317</v>
      </c>
      <c r="F895" t="s">
        <v>256</v>
      </c>
      <c r="G895" t="s">
        <v>318</v>
      </c>
      <c r="H895">
        <v>21</v>
      </c>
      <c r="I895">
        <v>3</v>
      </c>
      <c r="J895" t="s">
        <v>42</v>
      </c>
      <c r="K895" t="s">
        <v>41</v>
      </c>
      <c r="L895" t="s">
        <v>320</v>
      </c>
      <c r="M895" t="s">
        <v>324</v>
      </c>
      <c r="N895" t="s">
        <v>324</v>
      </c>
      <c r="P895">
        <v>3.0000000000000001E-3</v>
      </c>
      <c r="Q895" t="s">
        <v>180</v>
      </c>
      <c r="R895" t="s">
        <v>175</v>
      </c>
      <c r="T895">
        <v>1</v>
      </c>
      <c r="W895">
        <v>741</v>
      </c>
      <c r="X895" t="s">
        <v>184</v>
      </c>
      <c r="Y895" t="s">
        <v>499</v>
      </c>
      <c r="AA895" s="13">
        <v>14</v>
      </c>
      <c r="AB895">
        <v>33.159999999999997</v>
      </c>
      <c r="AC895">
        <v>2.2925</v>
      </c>
      <c r="AD895" s="11">
        <f t="shared" si="232"/>
        <v>22.106666666666666</v>
      </c>
      <c r="AE895" s="11">
        <f>_xlfn.RANK.AVG(Tableau8[[#This Row],[EE ( MJ/m²)]],AD895:AD2050)</f>
        <v>114</v>
      </c>
      <c r="AF895" s="11">
        <f t="shared" si="238"/>
        <v>7.3688888888888888</v>
      </c>
      <c r="AG895" s="11">
        <f t="shared" si="236"/>
        <v>1.5283333333333333</v>
      </c>
      <c r="AH895" s="11">
        <f t="shared" si="234"/>
        <v>1.5283333333333333</v>
      </c>
      <c r="AI895" s="11">
        <f t="shared" si="237"/>
        <v>0.50944444444444448</v>
      </c>
      <c r="AJ895" s="11">
        <f t="shared" si="239"/>
        <v>0.50944444444444448</v>
      </c>
    </row>
    <row r="896" spans="1:36" x14ac:dyDescent="0.25">
      <c r="A896" s="4" t="s">
        <v>945</v>
      </c>
      <c r="B896" s="4" t="s">
        <v>988</v>
      </c>
      <c r="C896" s="4" t="s">
        <v>15</v>
      </c>
      <c r="D896" s="4" t="s">
        <v>938</v>
      </c>
      <c r="E896" t="s">
        <v>317</v>
      </c>
      <c r="F896" t="s">
        <v>256</v>
      </c>
      <c r="G896" t="s">
        <v>318</v>
      </c>
      <c r="H896">
        <v>21</v>
      </c>
      <c r="I896">
        <v>3</v>
      </c>
      <c r="J896" t="s">
        <v>44</v>
      </c>
      <c r="K896" t="s">
        <v>17</v>
      </c>
      <c r="L896" t="s">
        <v>9</v>
      </c>
      <c r="M896" t="s">
        <v>17</v>
      </c>
      <c r="N896" t="s">
        <v>12</v>
      </c>
      <c r="W896">
        <v>7800</v>
      </c>
      <c r="X896" t="s">
        <v>184</v>
      </c>
      <c r="Y896" t="s">
        <v>185</v>
      </c>
      <c r="AA896" s="13">
        <v>2.5</v>
      </c>
      <c r="AB896">
        <v>25.3</v>
      </c>
      <c r="AC896">
        <v>1.95</v>
      </c>
      <c r="AD896" s="11">
        <f t="shared" si="232"/>
        <v>3.0119047619047619</v>
      </c>
      <c r="AE896" s="11">
        <f>_xlfn.RANK.AVG(Tableau8[[#This Row],[EE ( MJ/m²)]],AD896:AD2051)</f>
        <v>197.5</v>
      </c>
      <c r="AF896" s="11">
        <f t="shared" si="238"/>
        <v>1.003968253968254</v>
      </c>
      <c r="AG896" s="11">
        <f t="shared" si="236"/>
        <v>0.23214285714285715</v>
      </c>
      <c r="AH896" s="11">
        <f t="shared" si="234"/>
        <v>0.23214285714285715</v>
      </c>
      <c r="AI896" s="11">
        <f t="shared" si="237"/>
        <v>7.7380952380952384E-2</v>
      </c>
      <c r="AJ896" s="11">
        <f t="shared" si="239"/>
        <v>7.7380952380952384E-2</v>
      </c>
    </row>
    <row r="897" spans="1:36" x14ac:dyDescent="0.25">
      <c r="A897" s="4" t="s">
        <v>945</v>
      </c>
      <c r="B897" s="4" t="s">
        <v>988</v>
      </c>
      <c r="C897" s="4" t="s">
        <v>15</v>
      </c>
      <c r="D897" s="4" t="s">
        <v>938</v>
      </c>
      <c r="E897" t="s">
        <v>317</v>
      </c>
      <c r="F897" t="s">
        <v>256</v>
      </c>
      <c r="G897" t="s">
        <v>318</v>
      </c>
      <c r="H897">
        <v>21</v>
      </c>
      <c r="I897">
        <v>3</v>
      </c>
      <c r="J897" t="s">
        <v>44</v>
      </c>
      <c r="K897" t="s">
        <v>17</v>
      </c>
      <c r="L897" t="s">
        <v>9</v>
      </c>
      <c r="M897" t="s">
        <v>17</v>
      </c>
      <c r="N897" t="s">
        <v>12</v>
      </c>
      <c r="W897">
        <v>7800</v>
      </c>
      <c r="X897" t="s">
        <v>184</v>
      </c>
      <c r="Y897" t="s">
        <v>185</v>
      </c>
      <c r="AA897" s="13">
        <v>2.5</v>
      </c>
      <c r="AB897">
        <v>25.3</v>
      </c>
      <c r="AC897">
        <v>1.95</v>
      </c>
      <c r="AD897" s="11">
        <f t="shared" si="232"/>
        <v>3.0119047619047619</v>
      </c>
      <c r="AE897" s="11">
        <f>_xlfn.RANK.AVG(Tableau8[[#This Row],[EE ( MJ/m²)]],AD897:AD2052)</f>
        <v>197</v>
      </c>
      <c r="AF897" s="11">
        <f t="shared" si="238"/>
        <v>1.003968253968254</v>
      </c>
      <c r="AG897" s="11">
        <f t="shared" si="236"/>
        <v>0.23214285714285715</v>
      </c>
      <c r="AH897" s="11">
        <f t="shared" si="234"/>
        <v>0.23214285714285715</v>
      </c>
      <c r="AI897" s="11">
        <f t="shared" si="237"/>
        <v>7.7380952380952384E-2</v>
      </c>
      <c r="AJ897" s="11">
        <f t="shared" si="239"/>
        <v>7.7380952380952384E-2</v>
      </c>
    </row>
    <row r="898" spans="1:36" x14ac:dyDescent="0.25">
      <c r="A898" s="4" t="s">
        <v>945</v>
      </c>
      <c r="B898" s="4" t="s">
        <v>988</v>
      </c>
      <c r="C898" s="4" t="s">
        <v>15</v>
      </c>
      <c r="D898" s="4" t="s">
        <v>938</v>
      </c>
      <c r="E898" t="s">
        <v>317</v>
      </c>
      <c r="F898" t="s">
        <v>256</v>
      </c>
      <c r="G898" t="s">
        <v>318</v>
      </c>
      <c r="H898">
        <v>21</v>
      </c>
      <c r="I898">
        <v>3</v>
      </c>
      <c r="J898" t="s">
        <v>44</v>
      </c>
      <c r="K898" t="s">
        <v>17</v>
      </c>
      <c r="L898" t="s">
        <v>9</v>
      </c>
      <c r="M898" t="s">
        <v>17</v>
      </c>
      <c r="N898" t="s">
        <v>12</v>
      </c>
      <c r="W898">
        <v>7800</v>
      </c>
      <c r="X898" t="s">
        <v>184</v>
      </c>
      <c r="Y898" t="s">
        <v>185</v>
      </c>
      <c r="AA898" s="13">
        <v>1.5</v>
      </c>
      <c r="AB898">
        <v>25.3</v>
      </c>
      <c r="AC898">
        <v>1.95</v>
      </c>
      <c r="AD898" s="11">
        <f t="shared" si="232"/>
        <v>1.8071428571428574</v>
      </c>
      <c r="AE898" s="11">
        <f>_xlfn.RANK.AVG(Tableau8[[#This Row],[EE ( MJ/m²)]],AD898:AD2053)</f>
        <v>216</v>
      </c>
      <c r="AF898" s="11">
        <f t="shared" si="238"/>
        <v>0.60238095238095246</v>
      </c>
      <c r="AG898" s="11">
        <f t="shared" si="236"/>
        <v>0.13928571428571429</v>
      </c>
      <c r="AH898" s="11">
        <f t="shared" si="234"/>
        <v>0.13928571428571429</v>
      </c>
      <c r="AI898" s="11">
        <f t="shared" si="237"/>
        <v>4.642857142857143E-2</v>
      </c>
      <c r="AJ898" s="11">
        <f t="shared" si="239"/>
        <v>4.642857142857143E-2</v>
      </c>
    </row>
    <row r="899" spans="1:36" x14ac:dyDescent="0.25">
      <c r="A899" s="4" t="s">
        <v>945</v>
      </c>
      <c r="B899" s="4" t="s">
        <v>988</v>
      </c>
      <c r="C899" s="4" t="s">
        <v>15</v>
      </c>
      <c r="D899" s="4" t="s">
        <v>938</v>
      </c>
      <c r="E899" t="s">
        <v>317</v>
      </c>
      <c r="F899" t="s">
        <v>256</v>
      </c>
      <c r="G899" t="s">
        <v>318</v>
      </c>
      <c r="H899">
        <v>21</v>
      </c>
      <c r="I899">
        <v>3</v>
      </c>
      <c r="J899" t="s">
        <v>44</v>
      </c>
      <c r="K899" t="s">
        <v>17</v>
      </c>
      <c r="L899" t="s">
        <v>9</v>
      </c>
      <c r="M899" t="s">
        <v>17</v>
      </c>
      <c r="N899" t="s">
        <v>12</v>
      </c>
      <c r="W899">
        <v>7800</v>
      </c>
      <c r="X899" t="s">
        <v>184</v>
      </c>
      <c r="Y899" t="s">
        <v>185</v>
      </c>
      <c r="AA899" s="13">
        <v>3</v>
      </c>
      <c r="AB899">
        <v>25.3</v>
      </c>
      <c r="AC899">
        <v>1.95</v>
      </c>
      <c r="AD899" s="11">
        <f t="shared" si="232"/>
        <v>3.6142857142857148</v>
      </c>
      <c r="AE899" s="11">
        <f>_xlfn.RANK.AVG(Tableau8[[#This Row],[EE ( MJ/m²)]],AD899:AD2054)</f>
        <v>188</v>
      </c>
      <c r="AF899" s="11">
        <f t="shared" si="238"/>
        <v>1.2047619047619049</v>
      </c>
      <c r="AG899" s="11">
        <f t="shared" si="236"/>
        <v>0.27857142857142858</v>
      </c>
      <c r="AH899" s="11">
        <f t="shared" si="234"/>
        <v>0.27857142857142858</v>
      </c>
      <c r="AI899" s="11">
        <f t="shared" si="237"/>
        <v>9.285714285714286E-2</v>
      </c>
      <c r="AJ899" s="11">
        <f t="shared" si="239"/>
        <v>9.285714285714286E-2</v>
      </c>
    </row>
    <row r="900" spans="1:36" x14ac:dyDescent="0.25">
      <c r="A900" s="4" t="s">
        <v>945</v>
      </c>
      <c r="B900" s="4" t="s">
        <v>988</v>
      </c>
      <c r="C900" s="4" t="s">
        <v>15</v>
      </c>
      <c r="D900" s="4" t="s">
        <v>938</v>
      </c>
      <c r="E900" t="s">
        <v>317</v>
      </c>
      <c r="F900" t="s">
        <v>256</v>
      </c>
      <c r="G900" t="s">
        <v>318</v>
      </c>
      <c r="H900">
        <v>21</v>
      </c>
      <c r="I900">
        <v>3</v>
      </c>
      <c r="J900" t="s">
        <v>44</v>
      </c>
      <c r="K900" t="s">
        <v>15</v>
      </c>
      <c r="L900" t="s">
        <v>9</v>
      </c>
      <c r="M900" t="s">
        <v>17</v>
      </c>
      <c r="N900" t="s">
        <v>12</v>
      </c>
      <c r="W900">
        <v>7800</v>
      </c>
      <c r="X900" t="s">
        <v>184</v>
      </c>
      <c r="Y900" t="s">
        <v>185</v>
      </c>
      <c r="AA900" s="13">
        <v>4</v>
      </c>
      <c r="AB900">
        <v>25.3</v>
      </c>
      <c r="AC900">
        <v>1.95</v>
      </c>
      <c r="AD900" s="11">
        <f t="shared" si="232"/>
        <v>4.8190476190476188</v>
      </c>
      <c r="AE900" s="11">
        <f>_xlfn.RANK.AVG(Tableau8[[#This Row],[EE ( MJ/m²)]],AD900:AD2055)</f>
        <v>182</v>
      </c>
      <c r="AF900" s="11">
        <f t="shared" si="238"/>
        <v>1.6063492063492062</v>
      </c>
      <c r="AG900" s="11">
        <f t="shared" si="236"/>
        <v>0.37142857142857144</v>
      </c>
      <c r="AH900" s="11">
        <f t="shared" si="234"/>
        <v>0.37142857142857144</v>
      </c>
      <c r="AI900" s="11">
        <f t="shared" si="237"/>
        <v>0.12380952380952381</v>
      </c>
      <c r="AJ900" s="11">
        <f t="shared" si="239"/>
        <v>0.12380952380952381</v>
      </c>
    </row>
    <row r="901" spans="1:36" x14ac:dyDescent="0.25">
      <c r="A901" s="4" t="s">
        <v>945</v>
      </c>
      <c r="B901" s="4" t="s">
        <v>988</v>
      </c>
      <c r="C901" s="4" t="s">
        <v>15</v>
      </c>
      <c r="D901" s="4" t="s">
        <v>938</v>
      </c>
      <c r="E901" t="s">
        <v>317</v>
      </c>
      <c r="F901" t="s">
        <v>256</v>
      </c>
      <c r="G901" t="s">
        <v>318</v>
      </c>
      <c r="H901">
        <v>21</v>
      </c>
      <c r="I901">
        <v>3</v>
      </c>
      <c r="J901" t="s">
        <v>44</v>
      </c>
      <c r="K901" t="s">
        <v>17</v>
      </c>
      <c r="L901" t="s">
        <v>321</v>
      </c>
      <c r="M901" t="s">
        <v>17</v>
      </c>
      <c r="N901" t="s">
        <v>12</v>
      </c>
      <c r="W901">
        <v>7800</v>
      </c>
      <c r="X901" t="s">
        <v>184</v>
      </c>
      <c r="Y901" t="s">
        <v>185</v>
      </c>
      <c r="Z901" t="s">
        <v>327</v>
      </c>
      <c r="AA901" s="13">
        <v>1.26</v>
      </c>
      <c r="AB901">
        <v>25.3</v>
      </c>
      <c r="AC901">
        <v>1.95</v>
      </c>
      <c r="AD901" s="11">
        <f t="shared" si="232"/>
        <v>1.518</v>
      </c>
      <c r="AE901" s="11">
        <f>_xlfn.RANK.AVG(Tableau8[[#This Row],[EE ( MJ/m²)]],AD901:AD2056)</f>
        <v>216</v>
      </c>
      <c r="AF901" s="11">
        <f t="shared" si="238"/>
        <v>0.50600000000000001</v>
      </c>
      <c r="AG901" s="11">
        <f t="shared" si="236"/>
        <v>0.11699999999999999</v>
      </c>
      <c r="AH901" s="11">
        <f t="shared" si="234"/>
        <v>0.11699999999999999</v>
      </c>
      <c r="AI901" s="11">
        <f t="shared" si="237"/>
        <v>3.9E-2</v>
      </c>
      <c r="AJ901" s="11">
        <f t="shared" si="239"/>
        <v>3.9E-2</v>
      </c>
    </row>
    <row r="902" spans="1:36" s="18" customFormat="1" x14ac:dyDescent="0.25">
      <c r="A902" s="4" t="s">
        <v>945</v>
      </c>
      <c r="B902" s="4" t="s">
        <v>988</v>
      </c>
      <c r="C902" s="4" t="s">
        <v>15</v>
      </c>
      <c r="D902" s="4" t="s">
        <v>938</v>
      </c>
      <c r="E902" t="s">
        <v>317</v>
      </c>
      <c r="F902" t="s">
        <v>256</v>
      </c>
      <c r="G902" t="s">
        <v>318</v>
      </c>
      <c r="H902">
        <v>21</v>
      </c>
      <c r="I902">
        <v>3</v>
      </c>
      <c r="J902" t="s">
        <v>44</v>
      </c>
      <c r="K902" t="s">
        <v>17</v>
      </c>
      <c r="L902" t="s">
        <v>322</v>
      </c>
      <c r="M902" t="s">
        <v>17</v>
      </c>
      <c r="N902" t="s">
        <v>12</v>
      </c>
      <c r="O902"/>
      <c r="P902"/>
      <c r="Q902"/>
      <c r="R902"/>
      <c r="S902"/>
      <c r="T902"/>
      <c r="U902"/>
      <c r="V902"/>
      <c r="W902">
        <v>7800</v>
      </c>
      <c r="X902" t="s">
        <v>184</v>
      </c>
      <c r="Y902" t="s">
        <v>185</v>
      </c>
      <c r="Z902" t="s">
        <v>326</v>
      </c>
      <c r="AA902" s="13">
        <v>1.8</v>
      </c>
      <c r="AB902">
        <v>25.3</v>
      </c>
      <c r="AC902">
        <v>1.95</v>
      </c>
      <c r="AD902" s="11">
        <f t="shared" si="232"/>
        <v>2.1685714285714286</v>
      </c>
      <c r="AE902" s="11">
        <f>_xlfn.RANK.AVG(Tableau8[[#This Row],[EE ( MJ/m²)]],AD902:AD2057)</f>
        <v>207</v>
      </c>
      <c r="AF902" s="11">
        <f t="shared" si="238"/>
        <v>0.72285714285714286</v>
      </c>
      <c r="AG902" s="11">
        <f t="shared" si="236"/>
        <v>0.16714285714285712</v>
      </c>
      <c r="AH902" s="11">
        <f t="shared" si="234"/>
        <v>0.16714285714285712</v>
      </c>
      <c r="AI902" s="11">
        <f t="shared" si="237"/>
        <v>5.5714285714285709E-2</v>
      </c>
      <c r="AJ902" s="11">
        <f t="shared" si="239"/>
        <v>5.5714285714285709E-2</v>
      </c>
    </row>
    <row r="903" spans="1:36" s="18" customFormat="1" x14ac:dyDescent="0.25">
      <c r="A903" s="4" t="s">
        <v>945</v>
      </c>
      <c r="B903" s="4" t="s">
        <v>988</v>
      </c>
      <c r="C903" s="4" t="s">
        <v>15</v>
      </c>
      <c r="D903" s="4" t="s">
        <v>938</v>
      </c>
      <c r="E903" t="s">
        <v>317</v>
      </c>
      <c r="F903" t="s">
        <v>256</v>
      </c>
      <c r="G903" t="s">
        <v>318</v>
      </c>
      <c r="H903">
        <v>21</v>
      </c>
      <c r="I903">
        <v>3</v>
      </c>
      <c r="J903" t="s">
        <v>44</v>
      </c>
      <c r="K903" t="s">
        <v>17</v>
      </c>
      <c r="L903" s="1" t="s">
        <v>323</v>
      </c>
      <c r="M903" t="s">
        <v>17</v>
      </c>
      <c r="N903" t="s">
        <v>12</v>
      </c>
      <c r="O903"/>
      <c r="P903"/>
      <c r="Q903"/>
      <c r="R903"/>
      <c r="S903"/>
      <c r="T903"/>
      <c r="U903"/>
      <c r="V903"/>
      <c r="W903">
        <v>7800</v>
      </c>
      <c r="X903" t="s">
        <v>184</v>
      </c>
      <c r="Y903" t="s">
        <v>185</v>
      </c>
      <c r="Z903" t="s">
        <v>328</v>
      </c>
      <c r="AA903" s="13">
        <f>0.3*2</f>
        <v>0.6</v>
      </c>
      <c r="AB903">
        <v>25.3</v>
      </c>
      <c r="AC903">
        <v>1.95</v>
      </c>
      <c r="AD903" s="11">
        <f t="shared" si="232"/>
        <v>0.72285714285714286</v>
      </c>
      <c r="AE903" s="11">
        <f>_xlfn.RANK.AVG(Tableau8[[#This Row],[EE ( MJ/m²)]],AD903:AD2058)</f>
        <v>237</v>
      </c>
      <c r="AF903" s="11">
        <f t="shared" si="238"/>
        <v>0.24095238095238095</v>
      </c>
      <c r="AG903" s="11">
        <f t="shared" si="236"/>
        <v>5.5714285714285709E-2</v>
      </c>
      <c r="AH903" s="11">
        <f t="shared" si="234"/>
        <v>5.5714285714285709E-2</v>
      </c>
      <c r="AI903" s="11">
        <f t="shared" si="237"/>
        <v>1.8571428571428569E-2</v>
      </c>
      <c r="AJ903" s="11">
        <f t="shared" si="239"/>
        <v>1.8571428571428569E-2</v>
      </c>
    </row>
    <row r="904" spans="1:36" x14ac:dyDescent="0.25">
      <c r="A904" s="4" t="s">
        <v>945</v>
      </c>
      <c r="B904" s="4" t="s">
        <v>988</v>
      </c>
      <c r="C904" s="4" t="s">
        <v>15</v>
      </c>
      <c r="D904" s="4" t="s">
        <v>938</v>
      </c>
      <c r="E904" t="s">
        <v>317</v>
      </c>
      <c r="F904" t="s">
        <v>256</v>
      </c>
      <c r="G904" t="s">
        <v>318</v>
      </c>
      <c r="H904">
        <v>21</v>
      </c>
      <c r="I904">
        <v>3</v>
      </c>
      <c r="J904" t="s">
        <v>44</v>
      </c>
      <c r="K904" t="s">
        <v>17</v>
      </c>
      <c r="L904" t="s">
        <v>323</v>
      </c>
      <c r="M904" t="s">
        <v>17</v>
      </c>
      <c r="N904" t="s">
        <v>12</v>
      </c>
      <c r="W904">
        <v>7800</v>
      </c>
      <c r="X904" t="s">
        <v>184</v>
      </c>
      <c r="Y904" t="s">
        <v>185</v>
      </c>
      <c r="Z904" t="s">
        <v>328</v>
      </c>
      <c r="AA904" s="13">
        <f>0.5*2</f>
        <v>1</v>
      </c>
      <c r="AB904">
        <v>25.3</v>
      </c>
      <c r="AC904">
        <v>1.95</v>
      </c>
      <c r="AD904" s="11">
        <f t="shared" si="232"/>
        <v>1.2047619047619047</v>
      </c>
      <c r="AE904" s="11">
        <f>_xlfn.RANK.AVG(Tableau8[[#This Row],[EE ( MJ/m²)]],AD904:AD2059)</f>
        <v>222.5</v>
      </c>
      <c r="AF904" s="11">
        <f t="shared" si="238"/>
        <v>0.40158730158730155</v>
      </c>
      <c r="AG904" s="11">
        <f t="shared" si="236"/>
        <v>9.285714285714286E-2</v>
      </c>
      <c r="AH904" s="11">
        <f t="shared" si="234"/>
        <v>9.285714285714286E-2</v>
      </c>
      <c r="AI904" s="11">
        <f t="shared" si="237"/>
        <v>3.0952380952380953E-2</v>
      </c>
      <c r="AJ904" s="11">
        <f t="shared" si="239"/>
        <v>3.0952380952380953E-2</v>
      </c>
    </row>
    <row r="905" spans="1:36" x14ac:dyDescent="0.25">
      <c r="A905" s="4" t="s">
        <v>945</v>
      </c>
      <c r="B905" s="4" t="s">
        <v>988</v>
      </c>
      <c r="C905" s="4" t="s">
        <v>15</v>
      </c>
      <c r="D905" s="4" t="s">
        <v>938</v>
      </c>
      <c r="E905" t="s">
        <v>317</v>
      </c>
      <c r="F905" t="s">
        <v>256</v>
      </c>
      <c r="G905" t="s">
        <v>318</v>
      </c>
      <c r="H905">
        <v>21</v>
      </c>
      <c r="I905">
        <v>3</v>
      </c>
      <c r="J905" t="s">
        <v>42</v>
      </c>
      <c r="K905" t="s">
        <v>15</v>
      </c>
      <c r="L905" t="s">
        <v>319</v>
      </c>
      <c r="M905" t="s">
        <v>210</v>
      </c>
      <c r="N905" t="s">
        <v>15</v>
      </c>
      <c r="P905">
        <f>PI()*(0.04^2)*4</f>
        <v>2.0106192982974676E-2</v>
      </c>
      <c r="Q905" t="s">
        <v>180</v>
      </c>
      <c r="R905" t="s">
        <v>187</v>
      </c>
      <c r="T905">
        <v>35</v>
      </c>
      <c r="W905">
        <v>480</v>
      </c>
      <c r="X905" t="s">
        <v>184</v>
      </c>
      <c r="Y905" t="s">
        <v>185</v>
      </c>
      <c r="AA905" s="13">
        <f>Tableau8[[#This Row],[density (kg/m2) or specific weight (kg/m2)]]*Tableau8[[#This Row],[volume or area]]</f>
        <v>9.6509726318278446</v>
      </c>
      <c r="AB905">
        <f>10-4.4</f>
        <v>5.6</v>
      </c>
      <c r="AC905">
        <f>0.31+0.41</f>
        <v>0.72</v>
      </c>
      <c r="AD905" s="11">
        <f t="shared" si="232"/>
        <v>2.5735927018207585</v>
      </c>
      <c r="AE905" s="11">
        <f>_xlfn.RANK.AVG(Tableau8[[#This Row],[EE ( MJ/m²)]],AD905:AD2060)</f>
        <v>198</v>
      </c>
      <c r="AF905" s="11">
        <f t="shared" si="238"/>
        <v>0.8578642339402528</v>
      </c>
      <c r="AG905" s="11">
        <f>(AC905-0.41)*AA905/H905</f>
        <v>0.142466738850792</v>
      </c>
      <c r="AH905" s="11">
        <f t="shared" si="234"/>
        <v>0.3308904902340975</v>
      </c>
      <c r="AI905" s="11">
        <f>(AC905-0.41)*AA905/H905/I905</f>
        <v>4.7488912950264001E-2</v>
      </c>
      <c r="AJ905" s="11">
        <f t="shared" si="239"/>
        <v>0.1102968300780325</v>
      </c>
    </row>
    <row r="906" spans="1:36" x14ac:dyDescent="0.25">
      <c r="A906" s="4" t="s">
        <v>945</v>
      </c>
      <c r="B906" s="4" t="s">
        <v>988</v>
      </c>
      <c r="C906" s="4" t="s">
        <v>15</v>
      </c>
      <c r="D906" s="4" t="s">
        <v>938</v>
      </c>
      <c r="E906" t="s">
        <v>317</v>
      </c>
      <c r="F906" t="s">
        <v>256</v>
      </c>
      <c r="G906" t="s">
        <v>318</v>
      </c>
      <c r="H906">
        <v>21</v>
      </c>
      <c r="I906">
        <v>3</v>
      </c>
      <c r="J906" t="s">
        <v>56</v>
      </c>
      <c r="K906" t="s">
        <v>17</v>
      </c>
      <c r="L906" t="s">
        <v>274</v>
      </c>
      <c r="M906" t="s">
        <v>325</v>
      </c>
      <c r="N906" t="s">
        <v>12</v>
      </c>
      <c r="P906">
        <f>2*0.9*0.0015</f>
        <v>2.7000000000000001E-3</v>
      </c>
      <c r="Q906" t="s">
        <v>180</v>
      </c>
      <c r="R906" t="s">
        <v>187</v>
      </c>
      <c r="T906">
        <v>24</v>
      </c>
      <c r="W906">
        <v>7800</v>
      </c>
      <c r="X906" t="s">
        <v>184</v>
      </c>
      <c r="Y906" t="s">
        <v>185</v>
      </c>
      <c r="AA906" s="13">
        <f>Tableau8[[#This Row],[density (kg/m2) or specific weight (kg/m2)]]*Tableau8[[#This Row],[volume or area]]</f>
        <v>21.060000000000002</v>
      </c>
      <c r="AB906">
        <v>25.3</v>
      </c>
      <c r="AC906">
        <v>1.95</v>
      </c>
      <c r="AD906" s="11">
        <f t="shared" si="232"/>
        <v>25.37228571428572</v>
      </c>
      <c r="AE906" s="11">
        <f>_xlfn.RANK.AVG(Tableau8[[#This Row],[EE ( MJ/m²)]],AD906:AD2061)</f>
        <v>103</v>
      </c>
      <c r="AF906" s="11">
        <f t="shared" si="238"/>
        <v>8.457428571428574</v>
      </c>
      <c r="AG906" s="11">
        <f>(AC906)*AA906/H906</f>
        <v>1.9555714285714285</v>
      </c>
      <c r="AH906" s="11">
        <f t="shared" si="234"/>
        <v>1.9555714285714285</v>
      </c>
      <c r="AI906" s="11">
        <f>(AC906)*AA906/H906/I906</f>
        <v>0.6518571428571428</v>
      </c>
      <c r="AJ906" s="11">
        <f t="shared" si="239"/>
        <v>0.6518571428571428</v>
      </c>
    </row>
    <row r="907" spans="1:36" x14ac:dyDescent="0.25">
      <c r="A907" s="4" t="s">
        <v>945</v>
      </c>
      <c r="B907" s="4" t="s">
        <v>988</v>
      </c>
      <c r="C907" s="4" t="s">
        <v>15</v>
      </c>
      <c r="D907" s="4" t="s">
        <v>938</v>
      </c>
      <c r="E907" t="s">
        <v>317</v>
      </c>
      <c r="F907" t="s">
        <v>256</v>
      </c>
      <c r="G907" t="s">
        <v>318</v>
      </c>
      <c r="H907">
        <v>21</v>
      </c>
      <c r="I907">
        <v>3</v>
      </c>
      <c r="J907" t="s">
        <v>42</v>
      </c>
      <c r="K907" t="s">
        <v>15</v>
      </c>
      <c r="L907" t="s">
        <v>235</v>
      </c>
      <c r="M907" t="s">
        <v>235</v>
      </c>
      <c r="N907" t="s">
        <v>235</v>
      </c>
      <c r="P907">
        <f>((PI()*(0.035^2))-(PI()*(0.02^2)))*4</f>
        <v>1.0367255756846319E-2</v>
      </c>
      <c r="Q907" t="s">
        <v>180</v>
      </c>
      <c r="R907" t="s">
        <v>187</v>
      </c>
      <c r="T907">
        <v>92</v>
      </c>
      <c r="W907">
        <v>100</v>
      </c>
      <c r="X907" t="s">
        <v>184</v>
      </c>
      <c r="Y907" t="s">
        <v>441</v>
      </c>
      <c r="Z907" t="s">
        <v>442</v>
      </c>
      <c r="AA907" s="13">
        <f t="shared" ref="AA907:AA914" si="240">W907*T907*P907</f>
        <v>95.378752962986127</v>
      </c>
      <c r="AB907">
        <v>13.13</v>
      </c>
      <c r="AC907">
        <v>12.37</v>
      </c>
      <c r="AD907" s="11">
        <f>AB907*(AA907/Tableau8[[#This Row],[density (kg/m2) or specific weight (kg/m2)]])/H907</f>
        <v>0.59634429828762281</v>
      </c>
      <c r="AE907" s="11">
        <f>_xlfn.RANK.AVG(Tableau8[[#This Row],[EE ( MJ/m²)]],AD907:AD2062)</f>
        <v>234</v>
      </c>
      <c r="AF907" s="11">
        <f>AB907*(AA907/Tableau8[[#This Row],[density (kg/m2) or specific weight (kg/m2)]])/H907/I907</f>
        <v>0.19878143276254093</v>
      </c>
      <c r="AG907" s="11">
        <f>(AC907)*(AA907/Tableau8[[#This Row],[density (kg/m2) or specific weight (kg/m2)]])/H907</f>
        <v>0.56182627340578017</v>
      </c>
      <c r="AH907" s="11">
        <f>AC907*(AA907/Tableau8[[#This Row],[density (kg/m2) or specific weight (kg/m2)]])/H907</f>
        <v>0.56182627340578017</v>
      </c>
      <c r="AI907" s="11">
        <f>(AC907)*(AA907/Tableau8[[#This Row],[density (kg/m2) or specific weight (kg/m2)]])/H907/I907</f>
        <v>0.18727542446859338</v>
      </c>
      <c r="AJ907" s="11">
        <f>AC907*(AA907/Tableau8[[#This Row],[density (kg/m2) or specific weight (kg/m2)]])/H907/I907</f>
        <v>0.18727542446859338</v>
      </c>
    </row>
    <row r="908" spans="1:36" x14ac:dyDescent="0.25">
      <c r="A908" s="4" t="s">
        <v>945</v>
      </c>
      <c r="B908" s="4" t="s">
        <v>989</v>
      </c>
      <c r="C908" s="4" t="s">
        <v>15</v>
      </c>
      <c r="D908" s="4" t="s">
        <v>938</v>
      </c>
      <c r="E908" t="s">
        <v>329</v>
      </c>
      <c r="F908" t="s">
        <v>256</v>
      </c>
      <c r="G908" t="s">
        <v>330</v>
      </c>
      <c r="H908">
        <v>36</v>
      </c>
      <c r="I908">
        <v>3</v>
      </c>
      <c r="J908" t="s">
        <v>30</v>
      </c>
      <c r="K908" t="s">
        <v>15</v>
      </c>
      <c r="L908" t="s">
        <v>333</v>
      </c>
      <c r="M908" t="s">
        <v>15</v>
      </c>
      <c r="N908" t="s">
        <v>15</v>
      </c>
      <c r="P908">
        <f>0.31148531</f>
        <v>0.31148531000000002</v>
      </c>
      <c r="Q908" t="s">
        <v>180</v>
      </c>
      <c r="R908" t="s">
        <v>175</v>
      </c>
      <c r="T908">
        <v>1</v>
      </c>
      <c r="W908">
        <v>510</v>
      </c>
      <c r="X908" t="s">
        <v>184</v>
      </c>
      <c r="Y908" t="s">
        <v>185</v>
      </c>
      <c r="AA908" s="13">
        <f t="shared" si="240"/>
        <v>158.85750810000002</v>
      </c>
      <c r="AB908">
        <f t="shared" ref="AB908:AB914" si="241">10-4.4</f>
        <v>5.6</v>
      </c>
      <c r="AC908">
        <f t="shared" ref="AC908:AC914" si="242">0.31+0.41</f>
        <v>0.72</v>
      </c>
      <c r="AD908" s="11">
        <f t="shared" ref="AD908:AD930" si="243">AB908*AA908/H908</f>
        <v>24.711167926666668</v>
      </c>
      <c r="AE908" s="11">
        <f>_xlfn.RANK.AVG(Tableau8[[#This Row],[EE ( MJ/m²)]],AD908:AD2063)</f>
        <v>103</v>
      </c>
      <c r="AF908" s="11">
        <f t="shared" ref="AF908:AF930" si="244">AB908*AA908/H908/I908</f>
        <v>8.2370559755555561</v>
      </c>
      <c r="AG908" s="11">
        <f t="shared" ref="AG908:AG914" si="245">(AC908-0.41)*AA908/H908</f>
        <v>1.3679396530833337</v>
      </c>
      <c r="AH908" s="11">
        <f t="shared" ref="AH908:AH930" si="246">AC908*AA908/H908</f>
        <v>3.1771501620000002</v>
      </c>
      <c r="AI908" s="11">
        <f t="shared" ref="AI908:AI914" si="247">(AC908-0.41)*AA908/H908/I908</f>
        <v>0.4559798843611112</v>
      </c>
      <c r="AJ908" s="11">
        <f t="shared" ref="AJ908:AJ930" si="248">AC908*AA908/H908/I908</f>
        <v>1.0590500540000001</v>
      </c>
    </row>
    <row r="909" spans="1:36" x14ac:dyDescent="0.25">
      <c r="A909" s="4" t="s">
        <v>945</v>
      </c>
      <c r="B909" s="4" t="s">
        <v>989</v>
      </c>
      <c r="C909" s="4" t="s">
        <v>15</v>
      </c>
      <c r="D909" s="4" t="s">
        <v>938</v>
      </c>
      <c r="E909" t="s">
        <v>329</v>
      </c>
      <c r="F909" t="s">
        <v>256</v>
      </c>
      <c r="G909" t="s">
        <v>330</v>
      </c>
      <c r="H909">
        <v>36</v>
      </c>
      <c r="I909">
        <v>3</v>
      </c>
      <c r="J909" t="s">
        <v>30</v>
      </c>
      <c r="K909" t="s">
        <v>15</v>
      </c>
      <c r="L909" t="s">
        <v>333</v>
      </c>
      <c r="M909" t="s">
        <v>15</v>
      </c>
      <c r="N909" t="s">
        <v>15</v>
      </c>
      <c r="P909">
        <v>0.73623801</v>
      </c>
      <c r="Q909" t="s">
        <v>180</v>
      </c>
      <c r="R909" t="s">
        <v>175</v>
      </c>
      <c r="T909">
        <v>1</v>
      </c>
      <c r="W909">
        <v>510</v>
      </c>
      <c r="X909" t="s">
        <v>184</v>
      </c>
      <c r="Y909" t="s">
        <v>185</v>
      </c>
      <c r="AA909" s="13">
        <f t="shared" si="240"/>
        <v>375.48138510000001</v>
      </c>
      <c r="AB909">
        <f t="shared" si="241"/>
        <v>5.6</v>
      </c>
      <c r="AC909">
        <f t="shared" si="242"/>
        <v>0.72</v>
      </c>
      <c r="AD909" s="11">
        <f t="shared" si="243"/>
        <v>58.408215460000001</v>
      </c>
      <c r="AE909" s="11">
        <f>_xlfn.RANK.AVG(Tableau8[[#This Row],[EE ( MJ/m²)]],AD909:AD2064)</f>
        <v>69</v>
      </c>
      <c r="AF909" s="11">
        <f t="shared" si="244"/>
        <v>19.469405153333334</v>
      </c>
      <c r="AG909" s="11">
        <f t="shared" si="245"/>
        <v>3.2333119272499999</v>
      </c>
      <c r="AH909" s="11">
        <f t="shared" si="246"/>
        <v>7.5096277019999995</v>
      </c>
      <c r="AI909" s="11">
        <f t="shared" si="247"/>
        <v>1.0777706424166666</v>
      </c>
      <c r="AJ909" s="11">
        <f t="shared" si="248"/>
        <v>2.5032092339999998</v>
      </c>
    </row>
    <row r="910" spans="1:36" x14ac:dyDescent="0.25">
      <c r="A910" s="4" t="s">
        <v>945</v>
      </c>
      <c r="B910" s="4" t="s">
        <v>989</v>
      </c>
      <c r="C910" s="4" t="s">
        <v>15</v>
      </c>
      <c r="D910" s="4" t="s">
        <v>938</v>
      </c>
      <c r="E910" t="s">
        <v>329</v>
      </c>
      <c r="F910" t="s">
        <v>256</v>
      </c>
      <c r="G910" t="s">
        <v>330</v>
      </c>
      <c r="H910">
        <v>36</v>
      </c>
      <c r="I910">
        <v>3</v>
      </c>
      <c r="J910" t="s">
        <v>30</v>
      </c>
      <c r="K910" t="s">
        <v>15</v>
      </c>
      <c r="L910" t="s">
        <v>333</v>
      </c>
      <c r="M910" t="s">
        <v>15</v>
      </c>
      <c r="N910" t="s">
        <v>15</v>
      </c>
      <c r="P910">
        <v>8.4950499999999998E-2</v>
      </c>
      <c r="Q910" t="s">
        <v>180</v>
      </c>
      <c r="R910" t="s">
        <v>175</v>
      </c>
      <c r="T910">
        <v>1</v>
      </c>
      <c r="W910" s="1">
        <v>510</v>
      </c>
      <c r="X910" t="s">
        <v>184</v>
      </c>
      <c r="Y910" t="s">
        <v>185</v>
      </c>
      <c r="AA910" s="13">
        <f t="shared" si="240"/>
        <v>43.324754999999996</v>
      </c>
      <c r="AB910">
        <f t="shared" si="241"/>
        <v>5.6</v>
      </c>
      <c r="AC910">
        <f t="shared" si="242"/>
        <v>0.72</v>
      </c>
      <c r="AD910" s="11">
        <f t="shared" si="243"/>
        <v>6.7394063333333323</v>
      </c>
      <c r="AE910" s="11">
        <f>_xlfn.RANK.AVG(Tableau8[[#This Row],[EE ( MJ/m²)]],AD910:AD2065)</f>
        <v>174</v>
      </c>
      <c r="AF910" s="11">
        <f t="shared" si="244"/>
        <v>2.2464687777777774</v>
      </c>
      <c r="AG910" s="11">
        <f t="shared" si="245"/>
        <v>0.37307427916666663</v>
      </c>
      <c r="AH910" s="11">
        <f t="shared" si="246"/>
        <v>0.86649509999999985</v>
      </c>
      <c r="AI910" s="11">
        <f t="shared" si="247"/>
        <v>0.12435809305555555</v>
      </c>
      <c r="AJ910" s="11">
        <f t="shared" si="248"/>
        <v>0.28883169999999997</v>
      </c>
    </row>
    <row r="911" spans="1:36" x14ac:dyDescent="0.25">
      <c r="A911" s="4" t="s">
        <v>945</v>
      </c>
      <c r="B911" s="4" t="s">
        <v>989</v>
      </c>
      <c r="C911" s="4" t="s">
        <v>15</v>
      </c>
      <c r="D911" s="4" t="s">
        <v>938</v>
      </c>
      <c r="E911" t="s">
        <v>329</v>
      </c>
      <c r="F911" t="s">
        <v>256</v>
      </c>
      <c r="G911" t="s">
        <v>330</v>
      </c>
      <c r="H911">
        <v>36</v>
      </c>
      <c r="I911">
        <v>3</v>
      </c>
      <c r="J911" t="s">
        <v>30</v>
      </c>
      <c r="K911" t="s">
        <v>15</v>
      </c>
      <c r="L911" t="s">
        <v>333</v>
      </c>
      <c r="M911" t="s">
        <v>15</v>
      </c>
      <c r="N911" t="s">
        <v>15</v>
      </c>
      <c r="P911">
        <v>1.0683946200000001</v>
      </c>
      <c r="Q911" t="s">
        <v>180</v>
      </c>
      <c r="R911" t="s">
        <v>175</v>
      </c>
      <c r="T911">
        <v>1</v>
      </c>
      <c r="W911" s="1">
        <v>510</v>
      </c>
      <c r="X911" t="s">
        <v>184</v>
      </c>
      <c r="Y911" t="s">
        <v>185</v>
      </c>
      <c r="AA911" s="13">
        <f t="shared" si="240"/>
        <v>544.88125620000005</v>
      </c>
      <c r="AB911">
        <f t="shared" si="241"/>
        <v>5.6</v>
      </c>
      <c r="AC911">
        <f t="shared" si="242"/>
        <v>0.72</v>
      </c>
      <c r="AD911" s="11">
        <f t="shared" si="243"/>
        <v>84.75930652000001</v>
      </c>
      <c r="AE911" s="11">
        <f>_xlfn.RANK.AVG(Tableau8[[#This Row],[EE ( MJ/m²)]],AD911:AD2066)</f>
        <v>50</v>
      </c>
      <c r="AF911" s="11">
        <f t="shared" si="244"/>
        <v>28.253102173333335</v>
      </c>
      <c r="AG911" s="11">
        <f t="shared" si="245"/>
        <v>4.6920330395000001</v>
      </c>
      <c r="AH911" s="11">
        <f t="shared" si="246"/>
        <v>10.897625124000001</v>
      </c>
      <c r="AI911" s="11">
        <f t="shared" si="247"/>
        <v>1.5640110131666667</v>
      </c>
      <c r="AJ911" s="11">
        <f t="shared" si="248"/>
        <v>3.6325417080000002</v>
      </c>
    </row>
    <row r="912" spans="1:36" x14ac:dyDescent="0.25">
      <c r="A912" s="4" t="s">
        <v>945</v>
      </c>
      <c r="B912" s="4" t="s">
        <v>989</v>
      </c>
      <c r="C912" s="4" t="s">
        <v>15</v>
      </c>
      <c r="D912" s="4" t="s">
        <v>938</v>
      </c>
      <c r="E912" t="s">
        <v>329</v>
      </c>
      <c r="F912" t="s">
        <v>256</v>
      </c>
      <c r="G912" t="s">
        <v>330</v>
      </c>
      <c r="H912">
        <v>36</v>
      </c>
      <c r="I912">
        <v>3</v>
      </c>
      <c r="J912" t="s">
        <v>30</v>
      </c>
      <c r="K912" t="s">
        <v>15</v>
      </c>
      <c r="L912" t="s">
        <v>333</v>
      </c>
      <c r="M912" t="s">
        <v>15</v>
      </c>
      <c r="N912" t="s">
        <v>15</v>
      </c>
      <c r="P912">
        <v>0.1056218</v>
      </c>
      <c r="Q912" t="s">
        <v>180</v>
      </c>
      <c r="R912" t="s">
        <v>175</v>
      </c>
      <c r="T912">
        <v>1</v>
      </c>
      <c r="W912" s="1">
        <v>510</v>
      </c>
      <c r="X912" t="s">
        <v>184</v>
      </c>
      <c r="Y912" t="s">
        <v>185</v>
      </c>
      <c r="AA912" s="13">
        <f t="shared" si="240"/>
        <v>53.867117999999998</v>
      </c>
      <c r="AB912">
        <f t="shared" si="241"/>
        <v>5.6</v>
      </c>
      <c r="AC912">
        <f t="shared" si="242"/>
        <v>0.72</v>
      </c>
      <c r="AD912" s="11">
        <f t="shared" si="243"/>
        <v>8.3793294666666664</v>
      </c>
      <c r="AE912" s="11">
        <f>_xlfn.RANK.AVG(Tableau8[[#This Row],[EE ( MJ/m²)]],AD912:AD2067)</f>
        <v>166</v>
      </c>
      <c r="AF912" s="11">
        <f t="shared" si="244"/>
        <v>2.7931098222222221</v>
      </c>
      <c r="AG912" s="11">
        <f t="shared" si="245"/>
        <v>0.46385573833333332</v>
      </c>
      <c r="AH912" s="11">
        <f t="shared" si="246"/>
        <v>1.0773423600000001</v>
      </c>
      <c r="AI912" s="11">
        <f t="shared" si="247"/>
        <v>0.15461857944444443</v>
      </c>
      <c r="AJ912" s="11">
        <f t="shared" si="248"/>
        <v>0.35911412000000004</v>
      </c>
    </row>
    <row r="913" spans="1:36" x14ac:dyDescent="0.25">
      <c r="A913" s="4" t="s">
        <v>945</v>
      </c>
      <c r="B913" s="4" t="s">
        <v>989</v>
      </c>
      <c r="C913" s="4" t="s">
        <v>15</v>
      </c>
      <c r="D913" s="4" t="s">
        <v>938</v>
      </c>
      <c r="E913" t="s">
        <v>329</v>
      </c>
      <c r="F913" t="s">
        <v>256</v>
      </c>
      <c r="G913" t="s">
        <v>330</v>
      </c>
      <c r="H913">
        <v>36</v>
      </c>
      <c r="I913">
        <v>3</v>
      </c>
      <c r="J913" t="s">
        <v>30</v>
      </c>
      <c r="K913" t="s">
        <v>15</v>
      </c>
      <c r="L913" t="s">
        <v>333</v>
      </c>
      <c r="M913" t="s">
        <v>15</v>
      </c>
      <c r="N913" t="s">
        <v>15</v>
      </c>
      <c r="P913">
        <v>7.4473310000000001E-2</v>
      </c>
      <c r="Q913" t="s">
        <v>180</v>
      </c>
      <c r="R913" t="s">
        <v>175</v>
      </c>
      <c r="T913">
        <v>1</v>
      </c>
      <c r="W913">
        <v>510</v>
      </c>
      <c r="X913" t="s">
        <v>184</v>
      </c>
      <c r="Y913" t="s">
        <v>185</v>
      </c>
      <c r="AA913" s="13">
        <f t="shared" si="240"/>
        <v>37.981388100000004</v>
      </c>
      <c r="AB913">
        <f t="shared" si="241"/>
        <v>5.6</v>
      </c>
      <c r="AC913">
        <f t="shared" si="242"/>
        <v>0.72</v>
      </c>
      <c r="AD913" s="11">
        <f t="shared" si="243"/>
        <v>5.9082159266666672</v>
      </c>
      <c r="AE913" s="11">
        <f>_xlfn.RANK.AVG(Tableau8[[#This Row],[EE ( MJ/m²)]],AD913:AD2068)</f>
        <v>173</v>
      </c>
      <c r="AF913" s="11">
        <f t="shared" si="244"/>
        <v>1.969405308888889</v>
      </c>
      <c r="AG913" s="11">
        <f t="shared" si="245"/>
        <v>0.32706195308333341</v>
      </c>
      <c r="AH913" s="11">
        <f t="shared" si="246"/>
        <v>0.75962776200000004</v>
      </c>
      <c r="AI913" s="11">
        <f t="shared" si="247"/>
        <v>0.1090206510277778</v>
      </c>
      <c r="AJ913" s="11">
        <f t="shared" si="248"/>
        <v>0.25320925399999999</v>
      </c>
    </row>
    <row r="914" spans="1:36" x14ac:dyDescent="0.25">
      <c r="A914" s="4" t="s">
        <v>945</v>
      </c>
      <c r="B914" s="4" t="s">
        <v>989</v>
      </c>
      <c r="C914" s="4" t="s">
        <v>15</v>
      </c>
      <c r="D914" s="4" t="s">
        <v>938</v>
      </c>
      <c r="E914" t="s">
        <v>329</v>
      </c>
      <c r="F914" t="s">
        <v>256</v>
      </c>
      <c r="G914" t="s">
        <v>330</v>
      </c>
      <c r="H914">
        <v>36</v>
      </c>
      <c r="I914">
        <v>3</v>
      </c>
      <c r="J914" t="s">
        <v>30</v>
      </c>
      <c r="K914" t="s">
        <v>15</v>
      </c>
      <c r="L914" t="s">
        <v>333</v>
      </c>
      <c r="M914" t="s">
        <v>15</v>
      </c>
      <c r="N914" t="s">
        <v>15</v>
      </c>
      <c r="P914">
        <v>0.2613645</v>
      </c>
      <c r="Q914" t="s">
        <v>180</v>
      </c>
      <c r="R914" t="s">
        <v>175</v>
      </c>
      <c r="T914">
        <v>1</v>
      </c>
      <c r="W914">
        <v>510</v>
      </c>
      <c r="X914" t="s">
        <v>184</v>
      </c>
      <c r="Y914" t="s">
        <v>185</v>
      </c>
      <c r="AA914" s="13">
        <f t="shared" si="240"/>
        <v>133.295895</v>
      </c>
      <c r="AB914">
        <f t="shared" si="241"/>
        <v>5.6</v>
      </c>
      <c r="AC914">
        <f t="shared" si="242"/>
        <v>0.72</v>
      </c>
      <c r="AD914" s="11">
        <f t="shared" si="243"/>
        <v>20.734916999999999</v>
      </c>
      <c r="AE914" s="11">
        <f>_xlfn.RANK.AVG(Tableau8[[#This Row],[EE ( MJ/m²)]],AD914:AD2069)</f>
        <v>113</v>
      </c>
      <c r="AF914" s="11">
        <f t="shared" si="244"/>
        <v>6.9116390000000001</v>
      </c>
      <c r="AG914" s="11">
        <f t="shared" si="245"/>
        <v>1.1478257624999999</v>
      </c>
      <c r="AH914" s="11">
        <f t="shared" si="246"/>
        <v>2.6659178999999997</v>
      </c>
      <c r="AI914" s="11">
        <f t="shared" si="247"/>
        <v>0.38260858749999999</v>
      </c>
      <c r="AJ914" s="11">
        <f t="shared" si="248"/>
        <v>0.88863929999999991</v>
      </c>
    </row>
    <row r="915" spans="1:36" x14ac:dyDescent="0.25">
      <c r="A915" s="4" t="s">
        <v>945</v>
      </c>
      <c r="B915" s="4" t="s">
        <v>989</v>
      </c>
      <c r="C915" s="4" t="s">
        <v>15</v>
      </c>
      <c r="D915" s="4" t="s">
        <v>938</v>
      </c>
      <c r="E915" t="s">
        <v>329</v>
      </c>
      <c r="F915" t="s">
        <v>256</v>
      </c>
      <c r="G915" t="s">
        <v>330</v>
      </c>
      <c r="H915">
        <v>36</v>
      </c>
      <c r="I915">
        <v>3</v>
      </c>
      <c r="J915" t="s">
        <v>44</v>
      </c>
      <c r="K915" t="s">
        <v>17</v>
      </c>
      <c r="L915" t="s">
        <v>332</v>
      </c>
      <c r="M915" t="s">
        <v>12</v>
      </c>
      <c r="N915" t="s">
        <v>12</v>
      </c>
      <c r="P915">
        <f>0.15*(PI()*(0.003^2))*30</f>
        <v>1.2723450247038661E-4</v>
      </c>
      <c r="Q915" t="s">
        <v>180</v>
      </c>
      <c r="R915" t="s">
        <v>187</v>
      </c>
      <c r="S915" t="s">
        <v>334</v>
      </c>
      <c r="T915">
        <v>18</v>
      </c>
      <c r="W915">
        <v>7800</v>
      </c>
      <c r="X915" t="s">
        <v>184</v>
      </c>
      <c r="Y915" t="s">
        <v>185</v>
      </c>
      <c r="AA915" s="13">
        <f>Tableau8[[#This Row],[density (kg/m2) or specific weight (kg/m2)]]*Tableau8[[#This Row],[nb of item used ]]*Tableau8[[#This Row],[volume or area]]</f>
        <v>17.86372414684228</v>
      </c>
      <c r="AB915">
        <v>25.3</v>
      </c>
      <c r="AC915">
        <v>1.95</v>
      </c>
      <c r="AD915" s="11">
        <f t="shared" si="243"/>
        <v>12.554228358753047</v>
      </c>
      <c r="AE915" s="11">
        <f>_xlfn.RANK.AVG(Tableau8[[#This Row],[EE ( MJ/m²)]],AD915:AD2070)</f>
        <v>141</v>
      </c>
      <c r="AF915" s="11">
        <f t="shared" si="244"/>
        <v>4.1847427862510154</v>
      </c>
      <c r="AG915" s="11">
        <f t="shared" ref="AG915:AG930" si="249">(AC915)*AA915/H915</f>
        <v>0.96761839128729021</v>
      </c>
      <c r="AH915" s="11">
        <f t="shared" si="246"/>
        <v>0.96761839128729021</v>
      </c>
      <c r="AI915" s="11">
        <f t="shared" ref="AI915:AI930" si="250">(AC915)*AA915/H915/I915</f>
        <v>0.32253946376243009</v>
      </c>
      <c r="AJ915" s="11">
        <f t="shared" si="248"/>
        <v>0.32253946376243009</v>
      </c>
    </row>
    <row r="916" spans="1:36" x14ac:dyDescent="0.25">
      <c r="A916" s="4" t="s">
        <v>945</v>
      </c>
      <c r="B916" s="4" t="s">
        <v>989</v>
      </c>
      <c r="C916" s="4" t="s">
        <v>15</v>
      </c>
      <c r="D916" s="4" t="s">
        <v>938</v>
      </c>
      <c r="E916" t="s">
        <v>329</v>
      </c>
      <c r="F916" t="s">
        <v>256</v>
      </c>
      <c r="G916" t="s">
        <v>330</v>
      </c>
      <c r="H916">
        <v>36</v>
      </c>
      <c r="I916">
        <v>3</v>
      </c>
      <c r="J916" t="s">
        <v>44</v>
      </c>
      <c r="K916" t="s">
        <v>17</v>
      </c>
      <c r="L916" t="s">
        <v>336</v>
      </c>
      <c r="M916" t="s">
        <v>12</v>
      </c>
      <c r="N916" t="s">
        <v>12</v>
      </c>
      <c r="P916">
        <f>0.1*0.03*0.0015</f>
        <v>4.5000000000000001E-6</v>
      </c>
      <c r="Q916" t="s">
        <v>180</v>
      </c>
      <c r="R916" t="s">
        <v>346</v>
      </c>
      <c r="S916" t="s">
        <v>350</v>
      </c>
      <c r="T916">
        <v>18</v>
      </c>
      <c r="W916">
        <v>7800</v>
      </c>
      <c r="X916" t="s">
        <v>184</v>
      </c>
      <c r="Y916" t="s">
        <v>185</v>
      </c>
      <c r="AA916" s="13">
        <f>Tableau8[[#This Row],[density (kg/m2) or specific weight (kg/m2)]]*Tableau8[[#This Row],[nb of item used ]]*Tableau8[[#This Row],[volume or area]]</f>
        <v>0.63180000000000003</v>
      </c>
      <c r="AB916">
        <v>25.3</v>
      </c>
      <c r="AC916">
        <v>1.95</v>
      </c>
      <c r="AD916" s="11">
        <f t="shared" si="243"/>
        <v>0.44401500000000005</v>
      </c>
      <c r="AE916" s="11">
        <f>_xlfn.RANK.AVG(Tableau8[[#This Row],[EE ( MJ/m²)]],AD916:AD2071)</f>
        <v>228</v>
      </c>
      <c r="AF916" s="11">
        <f t="shared" si="244"/>
        <v>0.14800500000000003</v>
      </c>
      <c r="AG916" s="11">
        <f t="shared" si="249"/>
        <v>3.4222500000000003E-2</v>
      </c>
      <c r="AH916" s="11">
        <f t="shared" si="246"/>
        <v>3.4222500000000003E-2</v>
      </c>
      <c r="AI916" s="11">
        <f t="shared" si="250"/>
        <v>1.1407500000000001E-2</v>
      </c>
      <c r="AJ916" s="11">
        <f t="shared" si="248"/>
        <v>1.1407500000000001E-2</v>
      </c>
    </row>
    <row r="917" spans="1:36" x14ac:dyDescent="0.25">
      <c r="A917" s="4" t="s">
        <v>945</v>
      </c>
      <c r="B917" s="4" t="s">
        <v>989</v>
      </c>
      <c r="C917" s="4" t="s">
        <v>15</v>
      </c>
      <c r="D917" s="4" t="s">
        <v>938</v>
      </c>
      <c r="E917" t="s">
        <v>329</v>
      </c>
      <c r="F917" t="s">
        <v>256</v>
      </c>
      <c r="G917" t="s">
        <v>330</v>
      </c>
      <c r="H917">
        <v>36</v>
      </c>
      <c r="I917">
        <v>3</v>
      </c>
      <c r="J917" t="s">
        <v>44</v>
      </c>
      <c r="K917" t="s">
        <v>17</v>
      </c>
      <c r="L917" t="s">
        <v>337</v>
      </c>
      <c r="M917" t="s">
        <v>12</v>
      </c>
      <c r="N917" t="s">
        <v>12</v>
      </c>
      <c r="P917">
        <f>0.12*PI()*(0.0025^2)</f>
        <v>2.3561944901923448E-6</v>
      </c>
      <c r="Q917" t="s">
        <v>180</v>
      </c>
      <c r="R917" t="s">
        <v>187</v>
      </c>
      <c r="S917" t="s">
        <v>348</v>
      </c>
      <c r="T917">
        <v>18</v>
      </c>
      <c r="W917">
        <v>7800</v>
      </c>
      <c r="X917" t="s">
        <v>184</v>
      </c>
      <c r="Y917" t="s">
        <v>185</v>
      </c>
      <c r="AA917" s="13">
        <f>Tableau8[[#This Row],[density (kg/m2) or specific weight (kg/m2)]]*Tableau8[[#This Row],[nb of item used ]]*Tableau8[[#This Row],[volume or area]]</f>
        <v>0.33080970642300522</v>
      </c>
      <c r="AB917">
        <v>25.3</v>
      </c>
      <c r="AC917">
        <v>1.95</v>
      </c>
      <c r="AD917" s="11">
        <f t="shared" si="243"/>
        <v>0.23248571034727869</v>
      </c>
      <c r="AE917" s="11">
        <f>_xlfn.RANK.AVG(Tableau8[[#This Row],[EE ( MJ/m²)]],AD917:AD2072)</f>
        <v>233</v>
      </c>
      <c r="AF917" s="11">
        <f t="shared" si="244"/>
        <v>7.749523678242623E-2</v>
      </c>
      <c r="AG917" s="11">
        <f t="shared" si="249"/>
        <v>1.7918859097912784E-2</v>
      </c>
      <c r="AH917" s="11">
        <f t="shared" si="246"/>
        <v>1.7918859097912784E-2</v>
      </c>
      <c r="AI917" s="11">
        <f t="shared" si="250"/>
        <v>5.9729530326375945E-3</v>
      </c>
      <c r="AJ917" s="11">
        <f t="shared" si="248"/>
        <v>5.9729530326375945E-3</v>
      </c>
    </row>
    <row r="918" spans="1:36" x14ac:dyDescent="0.25">
      <c r="A918" s="4" t="s">
        <v>945</v>
      </c>
      <c r="B918" s="4" t="s">
        <v>989</v>
      </c>
      <c r="C918" s="4" t="s">
        <v>15</v>
      </c>
      <c r="D918" s="4" t="s">
        <v>938</v>
      </c>
      <c r="E918" t="s">
        <v>329</v>
      </c>
      <c r="F918" t="s">
        <v>256</v>
      </c>
      <c r="G918" t="s">
        <v>330</v>
      </c>
      <c r="H918">
        <v>36</v>
      </c>
      <c r="I918">
        <v>3</v>
      </c>
      <c r="J918" t="s">
        <v>40</v>
      </c>
      <c r="K918" t="s">
        <v>17</v>
      </c>
      <c r="L918" s="3" t="s">
        <v>338</v>
      </c>
      <c r="M918" t="s">
        <v>12</v>
      </c>
      <c r="N918" t="s">
        <v>12</v>
      </c>
      <c r="P918">
        <f>0.08*0.16*0.002</f>
        <v>2.5600000000000002E-5</v>
      </c>
      <c r="Q918" t="s">
        <v>180</v>
      </c>
      <c r="R918" t="s">
        <v>187</v>
      </c>
      <c r="S918" t="s">
        <v>347</v>
      </c>
      <c r="T918">
        <v>10</v>
      </c>
      <c r="W918">
        <v>7800</v>
      </c>
      <c r="X918" t="s">
        <v>184</v>
      </c>
      <c r="Y918" t="s">
        <v>185</v>
      </c>
      <c r="AA918" s="13">
        <f>Tableau8[[#This Row],[density (kg/m2) or specific weight (kg/m2)]]*Tableau8[[#This Row],[nb of item used ]]*Tableau8[[#This Row],[volume or area]]</f>
        <v>1.9968000000000001</v>
      </c>
      <c r="AB918">
        <v>25.3</v>
      </c>
      <c r="AC918">
        <v>1.95</v>
      </c>
      <c r="AD918" s="11">
        <f t="shared" si="243"/>
        <v>1.4033066666666667</v>
      </c>
      <c r="AE918" s="11">
        <f>_xlfn.RANK.AVG(Tableau8[[#This Row],[EE ( MJ/m²)]],AD918:AD2073)</f>
        <v>207</v>
      </c>
      <c r="AF918" s="11">
        <f t="shared" si="244"/>
        <v>0.4677688888888889</v>
      </c>
      <c r="AG918" s="11">
        <f t="shared" si="249"/>
        <v>0.10816000000000001</v>
      </c>
      <c r="AH918" s="11">
        <f t="shared" si="246"/>
        <v>0.10816000000000001</v>
      </c>
      <c r="AI918" s="11">
        <f t="shared" si="250"/>
        <v>3.6053333333333333E-2</v>
      </c>
      <c r="AJ918" s="11">
        <f t="shared" si="248"/>
        <v>3.6053333333333333E-2</v>
      </c>
    </row>
    <row r="919" spans="1:36" x14ac:dyDescent="0.25">
      <c r="A919" s="4" t="s">
        <v>945</v>
      </c>
      <c r="B919" s="4" t="s">
        <v>989</v>
      </c>
      <c r="C919" s="4" t="s">
        <v>15</v>
      </c>
      <c r="D919" s="4" t="s">
        <v>938</v>
      </c>
      <c r="E919" t="s">
        <v>329</v>
      </c>
      <c r="F919" t="s">
        <v>256</v>
      </c>
      <c r="G919" t="s">
        <v>330</v>
      </c>
      <c r="H919">
        <v>36</v>
      </c>
      <c r="I919">
        <v>3</v>
      </c>
      <c r="J919" t="s">
        <v>44</v>
      </c>
      <c r="K919" t="s">
        <v>17</v>
      </c>
      <c r="L919" t="s">
        <v>339</v>
      </c>
      <c r="M919" t="s">
        <v>12</v>
      </c>
      <c r="N919" t="s">
        <v>12</v>
      </c>
      <c r="R919" t="s">
        <v>346</v>
      </c>
      <c r="W919">
        <v>7800</v>
      </c>
      <c r="X919" t="s">
        <v>184</v>
      </c>
      <c r="Y919" t="s">
        <v>185</v>
      </c>
      <c r="Z919" t="s">
        <v>187</v>
      </c>
      <c r="AA919" s="13">
        <f>0.6</f>
        <v>0.6</v>
      </c>
      <c r="AB919">
        <v>25.3</v>
      </c>
      <c r="AC919">
        <v>1.95</v>
      </c>
      <c r="AD919" s="11">
        <f t="shared" si="243"/>
        <v>0.42166666666666663</v>
      </c>
      <c r="AE919" s="11">
        <f>_xlfn.RANK.AVG(Tableau8[[#This Row],[EE ( MJ/m²)]],AD919:AD2074)</f>
        <v>227</v>
      </c>
      <c r="AF919" s="11">
        <f t="shared" si="244"/>
        <v>0.14055555555555554</v>
      </c>
      <c r="AG919" s="11">
        <f t="shared" si="249"/>
        <v>3.2500000000000001E-2</v>
      </c>
      <c r="AH919" s="11">
        <f t="shared" si="246"/>
        <v>3.2500000000000001E-2</v>
      </c>
      <c r="AI919" s="11">
        <f t="shared" si="250"/>
        <v>1.0833333333333334E-2</v>
      </c>
      <c r="AJ919" s="11">
        <f t="shared" si="248"/>
        <v>1.0833333333333334E-2</v>
      </c>
    </row>
    <row r="920" spans="1:36" x14ac:dyDescent="0.25">
      <c r="A920" s="4" t="s">
        <v>945</v>
      </c>
      <c r="B920" s="4" t="s">
        <v>989</v>
      </c>
      <c r="C920" s="4" t="s">
        <v>15</v>
      </c>
      <c r="D920" s="4" t="s">
        <v>938</v>
      </c>
      <c r="E920" t="s">
        <v>329</v>
      </c>
      <c r="F920" t="s">
        <v>256</v>
      </c>
      <c r="G920" t="s">
        <v>330</v>
      </c>
      <c r="H920">
        <v>36</v>
      </c>
      <c r="I920">
        <v>3</v>
      </c>
      <c r="J920" t="s">
        <v>44</v>
      </c>
      <c r="K920" t="s">
        <v>17</v>
      </c>
      <c r="L920" t="s">
        <v>340</v>
      </c>
      <c r="M920" t="s">
        <v>12</v>
      </c>
      <c r="N920" t="s">
        <v>12</v>
      </c>
      <c r="R920" t="s">
        <v>175</v>
      </c>
      <c r="W920">
        <v>7800</v>
      </c>
      <c r="X920" t="s">
        <v>184</v>
      </c>
      <c r="Y920" t="s">
        <v>185</v>
      </c>
      <c r="AA920" s="13">
        <f>1.63293*3.06</f>
        <v>4.9967658000000004</v>
      </c>
      <c r="AB920">
        <v>25.3</v>
      </c>
      <c r="AC920">
        <v>1.95</v>
      </c>
      <c r="AD920" s="11">
        <f t="shared" si="243"/>
        <v>3.5116159650000003</v>
      </c>
      <c r="AE920" s="11">
        <f>_xlfn.RANK.AVG(Tableau8[[#This Row],[EE ( MJ/m²)]],AD920:AD2075)</f>
        <v>178</v>
      </c>
      <c r="AF920" s="11">
        <f t="shared" si="244"/>
        <v>1.1705386550000001</v>
      </c>
      <c r="AG920" s="11">
        <f t="shared" si="249"/>
        <v>0.27065814750000006</v>
      </c>
      <c r="AH920" s="11">
        <f t="shared" si="246"/>
        <v>0.27065814750000006</v>
      </c>
      <c r="AI920" s="11">
        <f t="shared" si="250"/>
        <v>9.0219382500000014E-2</v>
      </c>
      <c r="AJ920" s="11">
        <f t="shared" si="248"/>
        <v>9.0219382500000014E-2</v>
      </c>
    </row>
    <row r="921" spans="1:36" x14ac:dyDescent="0.25">
      <c r="A921" s="4" t="s">
        <v>945</v>
      </c>
      <c r="B921" s="4" t="s">
        <v>989</v>
      </c>
      <c r="C921" s="4" t="s">
        <v>15</v>
      </c>
      <c r="D921" s="4" t="s">
        <v>938</v>
      </c>
      <c r="E921" t="s">
        <v>329</v>
      </c>
      <c r="F921" t="s">
        <v>256</v>
      </c>
      <c r="G921" t="s">
        <v>330</v>
      </c>
      <c r="H921">
        <v>36</v>
      </c>
      <c r="I921">
        <v>3</v>
      </c>
      <c r="J921" t="s">
        <v>44</v>
      </c>
      <c r="K921" t="s">
        <v>17</v>
      </c>
      <c r="L921" t="s">
        <v>341</v>
      </c>
      <c r="M921" t="s">
        <v>12</v>
      </c>
      <c r="N921" t="s">
        <v>12</v>
      </c>
      <c r="R921" t="s">
        <v>175</v>
      </c>
      <c r="W921">
        <v>7800</v>
      </c>
      <c r="X921" t="s">
        <v>184</v>
      </c>
      <c r="Y921" t="s">
        <v>185</v>
      </c>
      <c r="AA921" s="13">
        <f>1.63293*7.16</f>
        <v>11.6917788</v>
      </c>
      <c r="AB921">
        <v>25.3</v>
      </c>
      <c r="AC921">
        <v>1.95</v>
      </c>
      <c r="AD921" s="11">
        <f t="shared" si="243"/>
        <v>8.2167223233333342</v>
      </c>
      <c r="AE921" s="11">
        <f>_xlfn.RANK.AVG(Tableau8[[#This Row],[EE ( MJ/m²)]],AD921:AD2076)</f>
        <v>164</v>
      </c>
      <c r="AF921" s="11">
        <f t="shared" si="244"/>
        <v>2.7389074411111114</v>
      </c>
      <c r="AG921" s="11">
        <f t="shared" si="249"/>
        <v>0.63330468500000003</v>
      </c>
      <c r="AH921" s="11">
        <f t="shared" si="246"/>
        <v>0.63330468500000003</v>
      </c>
      <c r="AI921" s="11">
        <f t="shared" si="250"/>
        <v>0.21110156166666669</v>
      </c>
      <c r="AJ921" s="11">
        <f t="shared" si="248"/>
        <v>0.21110156166666669</v>
      </c>
    </row>
    <row r="922" spans="1:36" x14ac:dyDescent="0.25">
      <c r="A922" s="4" t="s">
        <v>945</v>
      </c>
      <c r="B922" s="4" t="s">
        <v>989</v>
      </c>
      <c r="C922" s="4" t="s">
        <v>15</v>
      </c>
      <c r="D922" s="4" t="s">
        <v>938</v>
      </c>
      <c r="E922" t="s">
        <v>329</v>
      </c>
      <c r="F922" t="s">
        <v>256</v>
      </c>
      <c r="G922" t="s">
        <v>330</v>
      </c>
      <c r="H922">
        <v>36</v>
      </c>
      <c r="I922">
        <v>3</v>
      </c>
      <c r="J922" t="s">
        <v>56</v>
      </c>
      <c r="K922" t="s">
        <v>17</v>
      </c>
      <c r="L922" t="s">
        <v>342</v>
      </c>
      <c r="M922" t="s">
        <v>12</v>
      </c>
      <c r="N922" t="s">
        <v>12</v>
      </c>
      <c r="P922">
        <f>2.13*0.864*0.0003</f>
        <v>5.5209599999999997E-4</v>
      </c>
      <c r="Q922" t="s">
        <v>180</v>
      </c>
      <c r="R922" t="s">
        <v>175</v>
      </c>
      <c r="T922">
        <v>49.46</v>
      </c>
      <c r="W922">
        <v>7800</v>
      </c>
      <c r="X922" t="s">
        <v>184</v>
      </c>
      <c r="Y922" t="s">
        <v>185</v>
      </c>
      <c r="AA922" s="13">
        <f>Tableau8[[#This Row],[density (kg/m2) or specific weight (kg/m2)]]*Tableau8[[#This Row],[nb of item used ]]*Tableau8[[#This Row],[volume or area]]</f>
        <v>212.99201164799999</v>
      </c>
      <c r="AB922">
        <v>25.3</v>
      </c>
      <c r="AC922">
        <v>1.95</v>
      </c>
      <c r="AD922" s="11">
        <f t="shared" si="243"/>
        <v>149.68605263040001</v>
      </c>
      <c r="AE922" s="11">
        <f>_xlfn.RANK.AVG(Tableau8[[#This Row],[EE ( MJ/m²)]],AD922:AD2077)</f>
        <v>23</v>
      </c>
      <c r="AF922" s="11">
        <f t="shared" si="244"/>
        <v>49.895350876800002</v>
      </c>
      <c r="AG922" s="11">
        <f t="shared" si="249"/>
        <v>11.537067297599998</v>
      </c>
      <c r="AH922" s="11">
        <f t="shared" si="246"/>
        <v>11.537067297599998</v>
      </c>
      <c r="AI922" s="11">
        <f t="shared" si="250"/>
        <v>3.8456890991999995</v>
      </c>
      <c r="AJ922" s="11">
        <f t="shared" si="248"/>
        <v>3.8456890991999995</v>
      </c>
    </row>
    <row r="923" spans="1:36" x14ac:dyDescent="0.25">
      <c r="A923" s="4" t="s">
        <v>945</v>
      </c>
      <c r="B923" s="4" t="s">
        <v>989</v>
      </c>
      <c r="C923" s="4" t="s">
        <v>15</v>
      </c>
      <c r="D923" s="4" t="s">
        <v>938</v>
      </c>
      <c r="E923" t="s">
        <v>329</v>
      </c>
      <c r="F923" t="s">
        <v>256</v>
      </c>
      <c r="G923" t="s">
        <v>330</v>
      </c>
      <c r="H923">
        <v>36</v>
      </c>
      <c r="I923">
        <v>3</v>
      </c>
      <c r="J923" t="s">
        <v>56</v>
      </c>
      <c r="K923" t="s">
        <v>17</v>
      </c>
      <c r="L923" t="s">
        <v>343</v>
      </c>
      <c r="M923" t="s">
        <v>12</v>
      </c>
      <c r="N923" t="s">
        <v>12</v>
      </c>
      <c r="P923">
        <v>0.12516050000000001</v>
      </c>
      <c r="Q923" t="s">
        <v>180</v>
      </c>
      <c r="R923" t="s">
        <v>187</v>
      </c>
      <c r="S923" t="s">
        <v>345</v>
      </c>
      <c r="T923">
        <v>1</v>
      </c>
      <c r="W923">
        <v>7800</v>
      </c>
      <c r="X923" t="s">
        <v>184</v>
      </c>
      <c r="Y923" t="s">
        <v>185</v>
      </c>
      <c r="AA923" s="13">
        <f>W923*T923*P923</f>
        <v>976.25190000000009</v>
      </c>
      <c r="AB923">
        <v>25.3</v>
      </c>
      <c r="AC923">
        <v>1.95</v>
      </c>
      <c r="AD923" s="11">
        <f t="shared" si="243"/>
        <v>686.08814083333345</v>
      </c>
      <c r="AE923" s="11">
        <f>_xlfn.RANK.AVG(Tableau8[[#This Row],[EE ( MJ/m²)]],AD923:AD2078)</f>
        <v>7</v>
      </c>
      <c r="AF923" s="11">
        <f t="shared" si="244"/>
        <v>228.69604694444448</v>
      </c>
      <c r="AG923" s="11">
        <f t="shared" si="249"/>
        <v>52.880311250000005</v>
      </c>
      <c r="AH923" s="11">
        <f t="shared" si="246"/>
        <v>52.880311250000005</v>
      </c>
      <c r="AI923" s="11">
        <f t="shared" si="250"/>
        <v>17.62677041666667</v>
      </c>
      <c r="AJ923" s="11">
        <f t="shared" si="248"/>
        <v>17.62677041666667</v>
      </c>
    </row>
    <row r="924" spans="1:36" x14ac:dyDescent="0.25">
      <c r="A924" s="4" t="s">
        <v>945</v>
      </c>
      <c r="B924" s="4" t="s">
        <v>989</v>
      </c>
      <c r="C924" s="4" t="s">
        <v>15</v>
      </c>
      <c r="D924" s="4" t="s">
        <v>938</v>
      </c>
      <c r="E924" t="s">
        <v>329</v>
      </c>
      <c r="F924" t="s">
        <v>256</v>
      </c>
      <c r="G924" t="s">
        <v>330</v>
      </c>
      <c r="H924">
        <v>36</v>
      </c>
      <c r="I924">
        <v>3</v>
      </c>
      <c r="J924" t="s">
        <v>56</v>
      </c>
      <c r="K924" t="s">
        <v>17</v>
      </c>
      <c r="L924" t="s">
        <v>344</v>
      </c>
      <c r="M924" t="s">
        <v>12</v>
      </c>
      <c r="N924" t="s">
        <v>12</v>
      </c>
      <c r="P924">
        <f>2.438*0.0762*0.0003</f>
        <v>5.5732680000000001E-5</v>
      </c>
      <c r="Q924" t="s">
        <v>180</v>
      </c>
      <c r="R924" t="s">
        <v>175</v>
      </c>
      <c r="T924">
        <v>1.93</v>
      </c>
      <c r="W924">
        <v>7800</v>
      </c>
      <c r="X924" t="s">
        <v>184</v>
      </c>
      <c r="Y924" t="s">
        <v>185</v>
      </c>
      <c r="AA924" s="13">
        <f>Tableau8[[#This Row],[density (kg/m2) or specific weight (kg/m2)]]*Tableau8[[#This Row],[nb of item used ]]*Tableau8[[#This Row],[volume or area]]</f>
        <v>0.83899976472000004</v>
      </c>
      <c r="AB924">
        <v>25.3</v>
      </c>
      <c r="AC924">
        <v>1.95</v>
      </c>
      <c r="AD924" s="11">
        <f t="shared" si="243"/>
        <v>0.58963039020600005</v>
      </c>
      <c r="AE924" s="11">
        <f>_xlfn.RANK.AVG(Tableau8[[#This Row],[EE ( MJ/m²)]],AD924:AD2079)</f>
        <v>221</v>
      </c>
      <c r="AF924" s="11">
        <f t="shared" si="244"/>
        <v>0.19654346340200002</v>
      </c>
      <c r="AG924" s="11">
        <f t="shared" si="249"/>
        <v>4.5445820589000006E-2</v>
      </c>
      <c r="AH924" s="11">
        <f t="shared" si="246"/>
        <v>4.5445820589000006E-2</v>
      </c>
      <c r="AI924" s="11">
        <f t="shared" si="250"/>
        <v>1.5148606863000002E-2</v>
      </c>
      <c r="AJ924" s="11">
        <f t="shared" si="248"/>
        <v>1.5148606863000002E-2</v>
      </c>
    </row>
    <row r="925" spans="1:36" x14ac:dyDescent="0.25">
      <c r="A925" s="4" t="s">
        <v>945</v>
      </c>
      <c r="B925" s="4" t="s">
        <v>989</v>
      </c>
      <c r="C925" s="4" t="s">
        <v>15</v>
      </c>
      <c r="D925" s="4" t="s">
        <v>938</v>
      </c>
      <c r="E925" t="s">
        <v>329</v>
      </c>
      <c r="F925" t="s">
        <v>256</v>
      </c>
      <c r="G925" t="s">
        <v>330</v>
      </c>
      <c r="H925">
        <v>36</v>
      </c>
      <c r="I925">
        <v>3</v>
      </c>
      <c r="J925" t="s">
        <v>56</v>
      </c>
      <c r="K925" t="s">
        <v>17</v>
      </c>
      <c r="L925" t="s">
        <v>351</v>
      </c>
      <c r="M925" t="s">
        <v>12</v>
      </c>
      <c r="N925" t="s">
        <v>12</v>
      </c>
      <c r="P925">
        <f>0.457*0.0005*16.4592</f>
        <v>3.7609272000000003E-3</v>
      </c>
      <c r="Q925" t="s">
        <v>180</v>
      </c>
      <c r="R925" t="s">
        <v>187</v>
      </c>
      <c r="S925" t="s">
        <v>352</v>
      </c>
      <c r="T925">
        <v>1</v>
      </c>
      <c r="W925">
        <v>7800</v>
      </c>
      <c r="X925" t="s">
        <v>184</v>
      </c>
      <c r="Y925" t="s">
        <v>185</v>
      </c>
      <c r="AA925" s="13">
        <f>Tableau8[[#This Row],[density (kg/m2) or specific weight (kg/m2)]]*Tableau8[[#This Row],[nb of item used ]]*Tableau8[[#This Row],[volume or area]]</f>
        <v>29.335232160000004</v>
      </c>
      <c r="AB925">
        <v>25.3</v>
      </c>
      <c r="AC925">
        <v>1.95</v>
      </c>
      <c r="AD925" s="11">
        <f t="shared" si="243"/>
        <v>20.616149268000001</v>
      </c>
      <c r="AE925" s="11">
        <f>_xlfn.RANK.AVG(Tableau8[[#This Row],[EE ( MJ/m²)]],AD925:AD2080)</f>
        <v>111</v>
      </c>
      <c r="AF925" s="11">
        <f t="shared" si="244"/>
        <v>6.872049756</v>
      </c>
      <c r="AG925" s="11">
        <f t="shared" si="249"/>
        <v>1.5889917420000002</v>
      </c>
      <c r="AH925" s="11">
        <f t="shared" si="246"/>
        <v>1.5889917420000002</v>
      </c>
      <c r="AI925" s="11">
        <f t="shared" si="250"/>
        <v>0.52966391400000001</v>
      </c>
      <c r="AJ925" s="11">
        <f t="shared" si="248"/>
        <v>0.52966391400000001</v>
      </c>
    </row>
    <row r="926" spans="1:36" x14ac:dyDescent="0.25">
      <c r="A926" s="4" t="s">
        <v>945</v>
      </c>
      <c r="B926" s="4" t="s">
        <v>989</v>
      </c>
      <c r="C926" s="4" t="s">
        <v>15</v>
      </c>
      <c r="D926" s="4" t="s">
        <v>938</v>
      </c>
      <c r="E926" t="s">
        <v>329</v>
      </c>
      <c r="F926" t="s">
        <v>256</v>
      </c>
      <c r="G926" t="s">
        <v>330</v>
      </c>
      <c r="H926">
        <v>36</v>
      </c>
      <c r="I926">
        <v>3</v>
      </c>
      <c r="J926" t="s">
        <v>56</v>
      </c>
      <c r="K926" t="s">
        <v>14</v>
      </c>
      <c r="L926" t="s">
        <v>353</v>
      </c>
      <c r="M926" t="s">
        <v>315</v>
      </c>
      <c r="N926" t="s">
        <v>316</v>
      </c>
      <c r="P926">
        <f>((PI()*(0.05^2))-(PI()*(0.0485^2)))*3.048</f>
        <v>1.4147911188029361E-3</v>
      </c>
      <c r="Q926" t="s">
        <v>180</v>
      </c>
      <c r="R926" t="s">
        <v>187</v>
      </c>
      <c r="S926" t="s">
        <v>358</v>
      </c>
      <c r="T926">
        <v>1</v>
      </c>
      <c r="W926">
        <v>1380</v>
      </c>
      <c r="X926" t="s">
        <v>184</v>
      </c>
      <c r="AA926" s="13">
        <f>Tableau8[[#This Row],[density (kg/m2) or specific weight (kg/m2)]]*Tableau8[[#This Row],[nb of item used ]]*Tableau8[[#This Row],[volume or area]]</f>
        <v>1.9524117439480519</v>
      </c>
      <c r="AB926">
        <v>24.4</v>
      </c>
      <c r="AC926">
        <v>3.23</v>
      </c>
      <c r="AD926" s="11">
        <f t="shared" si="243"/>
        <v>1.3233012931203463</v>
      </c>
      <c r="AE926" s="11">
        <f>_xlfn.RANK.AVG(Tableau8[[#This Row],[EE ( MJ/m²)]],AD926:AD2081)</f>
        <v>204</v>
      </c>
      <c r="AF926" s="11">
        <f t="shared" si="244"/>
        <v>0.44110043104011543</v>
      </c>
      <c r="AG926" s="11">
        <f t="shared" si="249"/>
        <v>0.17517472035978354</v>
      </c>
      <c r="AH926" s="11">
        <f t="shared" si="246"/>
        <v>0.17517472035978354</v>
      </c>
      <c r="AI926" s="11">
        <f t="shared" si="250"/>
        <v>5.8391573453261181E-2</v>
      </c>
      <c r="AJ926" s="11">
        <f t="shared" si="248"/>
        <v>5.8391573453261181E-2</v>
      </c>
    </row>
    <row r="927" spans="1:36" x14ac:dyDescent="0.25">
      <c r="A927" s="4" t="s">
        <v>945</v>
      </c>
      <c r="B927" s="4" t="s">
        <v>989</v>
      </c>
      <c r="C927" s="4" t="s">
        <v>15</v>
      </c>
      <c r="D927" s="4" t="s">
        <v>938</v>
      </c>
      <c r="E927" t="s">
        <v>329</v>
      </c>
      <c r="F927" t="s">
        <v>256</v>
      </c>
      <c r="G927" t="s">
        <v>330</v>
      </c>
      <c r="H927">
        <v>36</v>
      </c>
      <c r="I927">
        <v>3</v>
      </c>
      <c r="J927" t="s">
        <v>44</v>
      </c>
      <c r="K927" t="s">
        <v>14</v>
      </c>
      <c r="L927" t="s">
        <v>354</v>
      </c>
      <c r="M927" t="s">
        <v>315</v>
      </c>
      <c r="N927" t="s">
        <v>316</v>
      </c>
      <c r="P927">
        <f>((PI()*(0.05^2))-(PI()*(0.0485^2)))*0.14</f>
        <v>6.4983844039504952E-5</v>
      </c>
      <c r="Q927" t="s">
        <v>180</v>
      </c>
      <c r="R927" t="s">
        <v>346</v>
      </c>
      <c r="S927" t="s">
        <v>357</v>
      </c>
      <c r="T927">
        <v>1</v>
      </c>
      <c r="W927">
        <v>1380</v>
      </c>
      <c r="X927" t="s">
        <v>184</v>
      </c>
      <c r="AA927" s="13">
        <f>W927*T927*P927</f>
        <v>8.9677704774516837E-2</v>
      </c>
      <c r="AB927">
        <v>24.4</v>
      </c>
      <c r="AC927">
        <v>3.23</v>
      </c>
      <c r="AD927" s="11">
        <f t="shared" si="243"/>
        <v>6.0781555458283627E-2</v>
      </c>
      <c r="AE927" s="11">
        <f>_xlfn.RANK.AVG(Tableau8[[#This Row],[EE ( MJ/m²)]],AD927:AD2082)</f>
        <v>228</v>
      </c>
      <c r="AF927" s="11">
        <f t="shared" si="244"/>
        <v>2.0260518486094541E-2</v>
      </c>
      <c r="AG927" s="11">
        <f t="shared" si="249"/>
        <v>8.0460829561580377E-3</v>
      </c>
      <c r="AH927" s="11">
        <f t="shared" si="246"/>
        <v>8.0460829561580377E-3</v>
      </c>
      <c r="AI927" s="11">
        <f t="shared" si="250"/>
        <v>2.6820276520526792E-3</v>
      </c>
      <c r="AJ927" s="11">
        <f t="shared" si="248"/>
        <v>2.6820276520526792E-3</v>
      </c>
    </row>
    <row r="928" spans="1:36" x14ac:dyDescent="0.25">
      <c r="A928" s="4" t="s">
        <v>945</v>
      </c>
      <c r="B928" s="4" t="s">
        <v>989</v>
      </c>
      <c r="C928" s="4" t="s">
        <v>15</v>
      </c>
      <c r="D928" s="4" t="s">
        <v>938</v>
      </c>
      <c r="E928" t="s">
        <v>329</v>
      </c>
      <c r="F928" t="s">
        <v>256</v>
      </c>
      <c r="G928" t="s">
        <v>330</v>
      </c>
      <c r="H928">
        <v>36</v>
      </c>
      <c r="I928">
        <v>3</v>
      </c>
      <c r="J928" t="s">
        <v>44</v>
      </c>
      <c r="K928" t="s">
        <v>14</v>
      </c>
      <c r="L928" t="s">
        <v>355</v>
      </c>
      <c r="M928" t="s">
        <v>315</v>
      </c>
      <c r="N928" t="s">
        <v>316</v>
      </c>
      <c r="P928">
        <f>((PI()*(0.05^2))-(PI()*(0.0485^2)))*0.14</f>
        <v>6.4983844039504952E-5</v>
      </c>
      <c r="Q928" t="s">
        <v>180</v>
      </c>
      <c r="R928" t="s">
        <v>346</v>
      </c>
      <c r="S928" t="s">
        <v>357</v>
      </c>
      <c r="T928">
        <v>2</v>
      </c>
      <c r="W928">
        <v>1380</v>
      </c>
      <c r="X928" t="s">
        <v>184</v>
      </c>
      <c r="AA928" s="13">
        <f>W928*T928*P928</f>
        <v>0.17935540954903367</v>
      </c>
      <c r="AB928">
        <v>24.4</v>
      </c>
      <c r="AC928">
        <v>3.23</v>
      </c>
      <c r="AD928" s="11">
        <f t="shared" si="243"/>
        <v>0.12156311091656725</v>
      </c>
      <c r="AE928" s="11">
        <f>_xlfn.RANK.AVG(Tableau8[[#This Row],[EE ( MJ/m²)]],AD928:AD2083)</f>
        <v>225</v>
      </c>
      <c r="AF928" s="11">
        <f t="shared" si="244"/>
        <v>4.0521036972189083E-2</v>
      </c>
      <c r="AG928" s="11">
        <f t="shared" si="249"/>
        <v>1.6092165912316075E-2</v>
      </c>
      <c r="AH928" s="11">
        <f t="shared" si="246"/>
        <v>1.6092165912316075E-2</v>
      </c>
      <c r="AI928" s="11">
        <f t="shared" si="250"/>
        <v>5.3640553041053585E-3</v>
      </c>
      <c r="AJ928" s="11">
        <f t="shared" si="248"/>
        <v>5.3640553041053585E-3</v>
      </c>
    </row>
    <row r="929" spans="1:36" x14ac:dyDescent="0.25">
      <c r="A929" s="4" t="s">
        <v>945</v>
      </c>
      <c r="B929" s="4" t="s">
        <v>989</v>
      </c>
      <c r="C929" s="4" t="s">
        <v>15</v>
      </c>
      <c r="D929" s="4" t="s">
        <v>938</v>
      </c>
      <c r="E929" t="s">
        <v>329</v>
      </c>
      <c r="F929" t="s">
        <v>256</v>
      </c>
      <c r="G929" t="s">
        <v>330</v>
      </c>
      <c r="H929">
        <v>36</v>
      </c>
      <c r="I929">
        <v>3</v>
      </c>
      <c r="J929" t="s">
        <v>40</v>
      </c>
      <c r="K929" t="s">
        <v>41</v>
      </c>
      <c r="L929" t="s">
        <v>356</v>
      </c>
      <c r="M929" t="s">
        <v>324</v>
      </c>
      <c r="N929" t="s">
        <v>324</v>
      </c>
      <c r="P929">
        <v>1.8927099999999999E-2</v>
      </c>
      <c r="Q929" t="s">
        <v>180</v>
      </c>
      <c r="R929" t="s">
        <v>187</v>
      </c>
      <c r="T929">
        <v>1</v>
      </c>
      <c r="W929">
        <v>741</v>
      </c>
      <c r="X929" t="s">
        <v>184</v>
      </c>
      <c r="Y929" t="s">
        <v>499</v>
      </c>
      <c r="AA929" s="13">
        <f>Tableau8[[#This Row],[nb of item used ]]*Tableau8[[#This Row],[volume or area]]*Tableau8[[#This Row],[density (kg/m2) or specific weight (kg/m2)]]</f>
        <v>14.0249811</v>
      </c>
      <c r="AB929">
        <v>44.75</v>
      </c>
      <c r="AC929">
        <v>3.0989</v>
      </c>
      <c r="AD929" s="11">
        <f t="shared" si="243"/>
        <v>17.433830672916667</v>
      </c>
      <c r="AE929" s="11">
        <f>_xlfn.RANK.AVG(Tableau8[[#This Row],[EE ( MJ/m²)]],AD929:AD2084)</f>
        <v>120</v>
      </c>
      <c r="AF929" s="11">
        <f t="shared" si="244"/>
        <v>5.8112768909722226</v>
      </c>
      <c r="AG929" s="11">
        <f t="shared" si="249"/>
        <v>1.2072781647441666</v>
      </c>
      <c r="AH929" s="11">
        <f t="shared" si="246"/>
        <v>1.2072781647441666</v>
      </c>
      <c r="AI929" s="11">
        <f t="shared" si="250"/>
        <v>0.40242605491472222</v>
      </c>
      <c r="AJ929" s="11">
        <f t="shared" si="248"/>
        <v>0.40242605491472222</v>
      </c>
    </row>
    <row r="930" spans="1:36" x14ac:dyDescent="0.25">
      <c r="A930" s="4" t="s">
        <v>945</v>
      </c>
      <c r="B930" s="4" t="s">
        <v>989</v>
      </c>
      <c r="C930" s="4" t="s">
        <v>15</v>
      </c>
      <c r="D930" s="4" t="s">
        <v>938</v>
      </c>
      <c r="E930" t="s">
        <v>329</v>
      </c>
      <c r="F930" t="s">
        <v>256</v>
      </c>
      <c r="G930" t="s">
        <v>330</v>
      </c>
      <c r="H930">
        <v>36</v>
      </c>
      <c r="I930">
        <v>3</v>
      </c>
      <c r="J930" t="s">
        <v>13</v>
      </c>
      <c r="K930" t="s">
        <v>18</v>
      </c>
      <c r="L930" t="s">
        <v>331</v>
      </c>
      <c r="M930" t="s">
        <v>18</v>
      </c>
      <c r="N930" t="s">
        <v>39</v>
      </c>
      <c r="P930">
        <f>0.3*0.3*1.2</f>
        <v>0.108</v>
      </c>
      <c r="Q930" t="s">
        <v>180</v>
      </c>
      <c r="R930" t="s">
        <v>175</v>
      </c>
      <c r="T930">
        <v>9</v>
      </c>
      <c r="W930">
        <v>2400</v>
      </c>
      <c r="X930" t="s">
        <v>184</v>
      </c>
      <c r="Y930" t="s">
        <v>185</v>
      </c>
      <c r="Z930" t="s">
        <v>48</v>
      </c>
      <c r="AA930" s="13">
        <f>W930*T930*P930</f>
        <v>2332.8000000000002</v>
      </c>
      <c r="AB930">
        <v>0.75</v>
      </c>
      <c r="AC930">
        <v>0.107</v>
      </c>
      <c r="AD930" s="11">
        <f t="shared" si="243"/>
        <v>48.6</v>
      </c>
      <c r="AE930" s="11">
        <f>_xlfn.RANK.AVG(Tableau8[[#This Row],[EE ( MJ/m²)]],AD930:AD2085)</f>
        <v>74</v>
      </c>
      <c r="AF930" s="11">
        <f t="shared" si="244"/>
        <v>16.2</v>
      </c>
      <c r="AG930" s="11">
        <f t="shared" si="249"/>
        <v>6.9336000000000002</v>
      </c>
      <c r="AH930" s="11">
        <f t="shared" si="246"/>
        <v>6.9336000000000002</v>
      </c>
      <c r="AI930" s="11">
        <f t="shared" si="250"/>
        <v>2.3111999999999999</v>
      </c>
      <c r="AJ930" s="11">
        <f t="shared" si="248"/>
        <v>2.3111999999999999</v>
      </c>
    </row>
    <row r="931" spans="1:36" x14ac:dyDescent="0.25">
      <c r="A931" s="4" t="s">
        <v>945</v>
      </c>
      <c r="B931" s="4" t="s">
        <v>989</v>
      </c>
      <c r="C931" s="4" t="s">
        <v>15</v>
      </c>
      <c r="D931" s="4" t="s">
        <v>938</v>
      </c>
      <c r="E931" t="s">
        <v>329</v>
      </c>
      <c r="F931" t="s">
        <v>256</v>
      </c>
      <c r="G931" t="s">
        <v>330</v>
      </c>
      <c r="H931">
        <v>36</v>
      </c>
      <c r="I931">
        <v>3</v>
      </c>
      <c r="J931" t="s">
        <v>57</v>
      </c>
      <c r="K931" t="s">
        <v>15</v>
      </c>
      <c r="L931" t="s">
        <v>335</v>
      </c>
      <c r="M931" t="s">
        <v>235</v>
      </c>
      <c r="N931" t="s">
        <v>335</v>
      </c>
      <c r="P931">
        <f>95.34638995*0.004</f>
        <v>0.3813855598</v>
      </c>
      <c r="Q931" t="s">
        <v>180</v>
      </c>
      <c r="R931" t="s">
        <v>187</v>
      </c>
      <c r="S931" t="s">
        <v>349</v>
      </c>
      <c r="T931">
        <v>1</v>
      </c>
      <c r="W931">
        <v>178.2</v>
      </c>
      <c r="X931" t="s">
        <v>184</v>
      </c>
      <c r="Y931" t="s">
        <v>441</v>
      </c>
      <c r="Z931" t="s">
        <v>442</v>
      </c>
      <c r="AA931" s="13">
        <f>W931*T931*P931</f>
        <v>67.962906756359999</v>
      </c>
      <c r="AB931">
        <v>28.58</v>
      </c>
      <c r="AC931">
        <v>26.91</v>
      </c>
      <c r="AD931" s="11">
        <f>AB931*(AA931/Tableau8[[#This Row],[density (kg/m2) or specific weight (kg/m2)]])/H931</f>
        <v>0.30277775830788889</v>
      </c>
      <c r="AE931" s="11">
        <f>_xlfn.RANK.AVG(Tableau8[[#This Row],[EE ( MJ/m²)]],AD931:AD2086)</f>
        <v>221</v>
      </c>
      <c r="AF931" s="11">
        <f>AB931*(AA931/Tableau8[[#This Row],[density (kg/m2) or specific weight (kg/m2)]])/H931/I931</f>
        <v>0.10092591943596296</v>
      </c>
      <c r="AG931" s="11">
        <f>(AC931)*(AA931/Tableau8[[#This Row],[density (kg/m2) or specific weight (kg/m2)]])/H931</f>
        <v>0.28508570595050003</v>
      </c>
      <c r="AH931" s="11">
        <f>AC931*(AA931/Tableau8[[#This Row],[density (kg/m2) or specific weight (kg/m2)]])/H931</f>
        <v>0.28508570595050003</v>
      </c>
      <c r="AI931" s="11">
        <f>(AC931)*(AA931/Tableau8[[#This Row],[density (kg/m2) or specific weight (kg/m2)]])/H931/I931</f>
        <v>9.5028568650166678E-2</v>
      </c>
      <c r="AJ931" s="11">
        <f>AC931*(AA931/Tableau8[[#This Row],[density (kg/m2) or specific weight (kg/m2)]])/H931/I931</f>
        <v>9.5028568650166678E-2</v>
      </c>
    </row>
    <row r="932" spans="1:36" x14ac:dyDescent="0.25">
      <c r="A932" s="4" t="s">
        <v>944</v>
      </c>
      <c r="B932" s="4" t="s">
        <v>996</v>
      </c>
      <c r="C932" s="4" t="s">
        <v>235</v>
      </c>
      <c r="D932" s="4" t="s">
        <v>1004</v>
      </c>
      <c r="E932" t="s">
        <v>1036</v>
      </c>
      <c r="F932" t="s">
        <v>256</v>
      </c>
      <c r="G932" t="s">
        <v>318</v>
      </c>
      <c r="H932">
        <v>21</v>
      </c>
      <c r="I932">
        <v>5</v>
      </c>
      <c r="J932" t="s">
        <v>1042</v>
      </c>
      <c r="K932" t="s">
        <v>15</v>
      </c>
      <c r="L932" t="s">
        <v>1043</v>
      </c>
      <c r="M932" t="s">
        <v>2</v>
      </c>
      <c r="N932" t="s">
        <v>15</v>
      </c>
      <c r="O932" t="s">
        <v>1039</v>
      </c>
      <c r="P932">
        <v>2</v>
      </c>
      <c r="Q932" t="s">
        <v>180</v>
      </c>
      <c r="R932" t="s">
        <v>176</v>
      </c>
      <c r="T932">
        <v>1</v>
      </c>
      <c r="U932" t="s">
        <v>1006</v>
      </c>
      <c r="W932">
        <v>480</v>
      </c>
      <c r="X932" t="s">
        <v>204</v>
      </c>
      <c r="AA932" s="13">
        <f>W932*T932*P932</f>
        <v>960</v>
      </c>
      <c r="AB932">
        <f>10-4.4</f>
        <v>5.6</v>
      </c>
      <c r="AC932">
        <f>0.31+0.41</f>
        <v>0.72</v>
      </c>
      <c r="AD932" s="11">
        <f t="shared" ref="AD932:AD958" si="251">AB932*AA932/H932</f>
        <v>256</v>
      </c>
      <c r="AE932" s="11">
        <f>_xlfn.RANK.AVG(Tableau8[[#This Row],[EE ( MJ/m²)]],AD932:AD2087)</f>
        <v>14</v>
      </c>
      <c r="AF932" s="11">
        <f t="shared" ref="AF932:AF958" si="252">AB932*AA932/H932/I932</f>
        <v>51.2</v>
      </c>
      <c r="AG932" s="11">
        <f>(AC932-0.41)*AA932/H932</f>
        <v>14.171428571428573</v>
      </c>
      <c r="AH932" s="11">
        <f t="shared" ref="AH932:AH958" si="253">AC932*AA932/H932</f>
        <v>32.914285714285711</v>
      </c>
      <c r="AI932" s="11">
        <f>(AC932-0.41)*AA932/H932/I932</f>
        <v>2.8342857142857145</v>
      </c>
      <c r="AJ932" s="11">
        <f t="shared" ref="AJ932:AJ958" si="254">AC932*AA932/H932/I932</f>
        <v>6.5828571428571419</v>
      </c>
    </row>
    <row r="933" spans="1:36" x14ac:dyDescent="0.25">
      <c r="A933" s="4" t="s">
        <v>944</v>
      </c>
      <c r="B933" s="4" t="s">
        <v>996</v>
      </c>
      <c r="C933" s="4" t="s">
        <v>15</v>
      </c>
      <c r="D933" s="4" t="s">
        <v>1004</v>
      </c>
      <c r="E933" t="s">
        <v>1036</v>
      </c>
      <c r="F933" t="s">
        <v>256</v>
      </c>
      <c r="G933" t="s">
        <v>318</v>
      </c>
      <c r="H933">
        <v>21</v>
      </c>
      <c r="I933">
        <v>5</v>
      </c>
      <c r="J933" t="s">
        <v>40</v>
      </c>
      <c r="K933" t="s">
        <v>15</v>
      </c>
      <c r="L933" t="s">
        <v>319</v>
      </c>
      <c r="M933" t="s">
        <v>15</v>
      </c>
      <c r="N933" t="s">
        <v>15</v>
      </c>
      <c r="O933" t="s">
        <v>1039</v>
      </c>
      <c r="P933">
        <v>1.18</v>
      </c>
      <c r="Q933" t="s">
        <v>180</v>
      </c>
      <c r="R933" t="s">
        <v>176</v>
      </c>
      <c r="T933">
        <v>1</v>
      </c>
      <c r="U933" t="s">
        <v>1006</v>
      </c>
      <c r="W933">
        <v>480</v>
      </c>
      <c r="X933" t="s">
        <v>184</v>
      </c>
      <c r="AA933" s="13">
        <f>Tableau8[[#This Row],[nb of item used ]]*Tableau8[[#This Row],[density (kg/m2) or specific weight (kg/m2)]]*Tableau8[[#This Row],[volume or area]]</f>
        <v>566.4</v>
      </c>
      <c r="AB933">
        <f>10-4.4</f>
        <v>5.6</v>
      </c>
      <c r="AC933">
        <f>0.31+0.41</f>
        <v>0.72</v>
      </c>
      <c r="AD933" s="11">
        <f t="shared" si="251"/>
        <v>151.04</v>
      </c>
      <c r="AE933" s="11">
        <f>_xlfn.RANK.AVG(Tableau8[[#This Row],[EE ( MJ/m²)]],AD933:AD2088)</f>
        <v>20</v>
      </c>
      <c r="AF933" s="11">
        <f t="shared" si="252"/>
        <v>30.207999999999998</v>
      </c>
      <c r="AG933" s="11">
        <f>(AC933-0.41)*AA933/H933</f>
        <v>8.3611428571428572</v>
      </c>
      <c r="AH933" s="11">
        <f t="shared" si="253"/>
        <v>19.419428571428572</v>
      </c>
      <c r="AI933" s="11">
        <f>(AC933-0.41)*AA933/H933/I933</f>
        <v>1.6722285714285714</v>
      </c>
      <c r="AJ933" s="11">
        <f t="shared" si="254"/>
        <v>3.8838857142857144</v>
      </c>
    </row>
    <row r="934" spans="1:36" x14ac:dyDescent="0.25">
      <c r="A934" s="4" t="s">
        <v>944</v>
      </c>
      <c r="B934" s="4" t="s">
        <v>996</v>
      </c>
      <c r="C934" s="4" t="s">
        <v>12</v>
      </c>
      <c r="D934" s="4" t="s">
        <v>1004</v>
      </c>
      <c r="E934" t="s">
        <v>1036</v>
      </c>
      <c r="F934" t="s">
        <v>256</v>
      </c>
      <c r="G934" t="s">
        <v>318</v>
      </c>
      <c r="H934">
        <v>21</v>
      </c>
      <c r="I934">
        <v>5</v>
      </c>
      <c r="J934" t="s">
        <v>44</v>
      </c>
      <c r="K934" t="s">
        <v>17</v>
      </c>
      <c r="L934" t="s">
        <v>9</v>
      </c>
      <c r="M934" t="s">
        <v>12</v>
      </c>
      <c r="N934" t="s">
        <v>12</v>
      </c>
      <c r="R934" t="s">
        <v>175</v>
      </c>
      <c r="T934">
        <v>1</v>
      </c>
      <c r="U934" t="s">
        <v>175</v>
      </c>
      <c r="W934">
        <v>7800</v>
      </c>
      <c r="X934" t="s">
        <v>184</v>
      </c>
      <c r="AA934" s="13">
        <v>2</v>
      </c>
      <c r="AB934">
        <v>25.3</v>
      </c>
      <c r="AC934">
        <v>1.95</v>
      </c>
      <c r="AD934" s="11">
        <f t="shared" si="251"/>
        <v>2.4095238095238094</v>
      </c>
      <c r="AE934" s="11">
        <f>_xlfn.RANK.AVG(Tableau8[[#This Row],[EE ( MJ/m²)]],AD934:AD2089)</f>
        <v>181</v>
      </c>
      <c r="AF934" s="11">
        <f t="shared" si="252"/>
        <v>0.48190476190476189</v>
      </c>
      <c r="AG934" s="11">
        <f>(AC934)*AA934/H934</f>
        <v>0.18571428571428572</v>
      </c>
      <c r="AH934" s="11">
        <f t="shared" si="253"/>
        <v>0.18571428571428572</v>
      </c>
      <c r="AI934" s="33">
        <f>(AC934)*AA934/H934/I934</f>
        <v>3.7142857142857144E-2</v>
      </c>
      <c r="AJ934" s="11">
        <f t="shared" si="254"/>
        <v>3.7142857142857144E-2</v>
      </c>
    </row>
    <row r="935" spans="1:36" x14ac:dyDescent="0.25">
      <c r="A935" s="4" t="s">
        <v>944</v>
      </c>
      <c r="B935" s="4" t="s">
        <v>996</v>
      </c>
      <c r="C935" s="4" t="s">
        <v>324</v>
      </c>
      <c r="D935" s="4" t="s">
        <v>1004</v>
      </c>
      <c r="E935" t="s">
        <v>1036</v>
      </c>
      <c r="F935" t="s">
        <v>256</v>
      </c>
      <c r="G935" t="s">
        <v>318</v>
      </c>
      <c r="H935">
        <v>21</v>
      </c>
      <c r="I935">
        <v>5</v>
      </c>
      <c r="J935" t="s">
        <v>13</v>
      </c>
      <c r="K935" t="s">
        <v>41</v>
      </c>
      <c r="L935" t="s">
        <v>1037</v>
      </c>
      <c r="M935" t="s">
        <v>324</v>
      </c>
      <c r="N935" t="s">
        <v>324</v>
      </c>
      <c r="P935">
        <v>5.0000000000000001E-3</v>
      </c>
      <c r="Q935" t="s">
        <v>180</v>
      </c>
      <c r="R935" t="s">
        <v>175</v>
      </c>
      <c r="T935">
        <v>1</v>
      </c>
      <c r="U935" t="s">
        <v>175</v>
      </c>
      <c r="W935">
        <v>741</v>
      </c>
      <c r="X935" t="s">
        <v>184</v>
      </c>
      <c r="AA935" s="13">
        <v>14</v>
      </c>
      <c r="AB935">
        <v>33.1</v>
      </c>
      <c r="AC935">
        <v>3.0989</v>
      </c>
      <c r="AD935" s="11">
        <f t="shared" si="251"/>
        <v>22.06666666666667</v>
      </c>
      <c r="AE935" s="11">
        <f>_xlfn.RANK.AVG(Tableau8[[#This Row],[EE ( MJ/m²)]],AD935:AD2090)</f>
        <v>105</v>
      </c>
      <c r="AF935" s="11">
        <f t="shared" si="252"/>
        <v>4.413333333333334</v>
      </c>
      <c r="AG935" s="11">
        <f>(AC935)*AA935/H935</f>
        <v>2.0659333333333332</v>
      </c>
      <c r="AH935" s="11">
        <f t="shared" si="253"/>
        <v>2.0659333333333332</v>
      </c>
      <c r="AI935" s="33">
        <f>(AC935)*AA935/H935/I935</f>
        <v>0.41318666666666665</v>
      </c>
      <c r="AJ935" s="11">
        <f t="shared" si="254"/>
        <v>0.41318666666666665</v>
      </c>
    </row>
    <row r="936" spans="1:36" x14ac:dyDescent="0.25">
      <c r="A936" s="4" t="s">
        <v>944</v>
      </c>
      <c r="B936" s="4" t="s">
        <v>996</v>
      </c>
      <c r="C936" s="4" t="s">
        <v>14</v>
      </c>
      <c r="D936" s="4" t="s">
        <v>1004</v>
      </c>
      <c r="E936" t="s">
        <v>1036</v>
      </c>
      <c r="F936" t="s">
        <v>256</v>
      </c>
      <c r="G936" t="s">
        <v>318</v>
      </c>
      <c r="H936">
        <v>21</v>
      </c>
      <c r="I936">
        <v>5</v>
      </c>
      <c r="J936" t="s">
        <v>44</v>
      </c>
      <c r="K936" t="s">
        <v>14</v>
      </c>
      <c r="L936" t="s">
        <v>786</v>
      </c>
      <c r="M936" t="s">
        <v>233</v>
      </c>
      <c r="N936" t="s">
        <v>234</v>
      </c>
      <c r="R936" t="s">
        <v>175</v>
      </c>
      <c r="T936">
        <v>1</v>
      </c>
      <c r="U936" t="s">
        <v>175</v>
      </c>
      <c r="W936">
        <v>0.2</v>
      </c>
      <c r="X936" t="s">
        <v>183</v>
      </c>
      <c r="AA936" s="13">
        <v>10</v>
      </c>
      <c r="AB936">
        <v>143</v>
      </c>
      <c r="AC936">
        <v>6.78</v>
      </c>
      <c r="AD936" s="11">
        <f t="shared" si="251"/>
        <v>68.095238095238102</v>
      </c>
      <c r="AE936" s="11">
        <f>_xlfn.RANK.AVG(Tableau8[[#This Row],[EE ( MJ/m²)]],AD936:AD2091)</f>
        <v>59</v>
      </c>
      <c r="AF936" s="11">
        <f t="shared" si="252"/>
        <v>13.61904761904762</v>
      </c>
      <c r="AG936" s="11">
        <f>(AC936)*AA936/H936</f>
        <v>3.2285714285714286</v>
      </c>
      <c r="AH936" s="11">
        <f t="shared" si="253"/>
        <v>3.2285714285714286</v>
      </c>
      <c r="AI936" s="33">
        <f>(AC936)*AA936/H936/I936</f>
        <v>0.64571428571428569</v>
      </c>
      <c r="AJ936" s="11">
        <f t="shared" si="254"/>
        <v>0.64571428571428569</v>
      </c>
    </row>
    <row r="937" spans="1:36" x14ac:dyDescent="0.25">
      <c r="A937" s="4" t="s">
        <v>944</v>
      </c>
      <c r="B937" s="4" t="s">
        <v>996</v>
      </c>
      <c r="C937" s="4" t="s">
        <v>15</v>
      </c>
      <c r="D937" s="4" t="s">
        <v>1004</v>
      </c>
      <c r="E937" t="s">
        <v>1036</v>
      </c>
      <c r="F937" t="s">
        <v>256</v>
      </c>
      <c r="G937" t="s">
        <v>318</v>
      </c>
      <c r="H937">
        <v>21</v>
      </c>
      <c r="I937">
        <v>5</v>
      </c>
      <c r="J937" t="s">
        <v>56</v>
      </c>
      <c r="K937" t="s">
        <v>15</v>
      </c>
      <c r="L937" t="s">
        <v>1040</v>
      </c>
      <c r="M937" s="20" t="s">
        <v>10</v>
      </c>
      <c r="N937" s="20" t="s">
        <v>15</v>
      </c>
      <c r="P937" s="20">
        <v>3</v>
      </c>
      <c r="Q937" s="20" t="s">
        <v>180</v>
      </c>
      <c r="R937" s="20" t="s">
        <v>187</v>
      </c>
      <c r="S937" s="20"/>
      <c r="T937" s="20">
        <v>1</v>
      </c>
      <c r="U937" s="20" t="s">
        <v>346</v>
      </c>
      <c r="V937" s="20"/>
      <c r="W937" s="20">
        <v>90</v>
      </c>
      <c r="X937" t="s">
        <v>184</v>
      </c>
      <c r="AA937" s="13">
        <f>W937*T937*P937</f>
        <v>270</v>
      </c>
      <c r="AB937">
        <f>10-4.4</f>
        <v>5.6</v>
      </c>
      <c r="AC937">
        <f>0.31+0.41</f>
        <v>0.72</v>
      </c>
      <c r="AD937" s="11">
        <f t="shared" si="251"/>
        <v>72</v>
      </c>
      <c r="AE937" s="11">
        <f>_xlfn.RANK.AVG(Tableau8[[#This Row],[EE ( MJ/m²)]],AD937:AD2092)</f>
        <v>54</v>
      </c>
      <c r="AF937" s="11">
        <f t="shared" si="252"/>
        <v>14.4</v>
      </c>
      <c r="AG937" s="11">
        <f>(AC937-0.41)*AA937/H937</f>
        <v>3.9857142857142858</v>
      </c>
      <c r="AH937" s="11">
        <f t="shared" si="253"/>
        <v>9.257142857142858</v>
      </c>
      <c r="AI937" s="11">
        <f>(AC937-0.41)*AA937/H937/I937</f>
        <v>0.79714285714285715</v>
      </c>
      <c r="AJ937" s="11">
        <f t="shared" si="254"/>
        <v>1.8514285714285716</v>
      </c>
    </row>
    <row r="938" spans="1:36" x14ac:dyDescent="0.25">
      <c r="A938" s="4" t="s">
        <v>944</v>
      </c>
      <c r="B938" s="4" t="s">
        <v>996</v>
      </c>
      <c r="C938" s="4" t="s">
        <v>15</v>
      </c>
      <c r="D938" s="4" t="s">
        <v>1004</v>
      </c>
      <c r="E938" t="s">
        <v>1036</v>
      </c>
      <c r="F938" t="s">
        <v>256</v>
      </c>
      <c r="G938" t="s">
        <v>318</v>
      </c>
      <c r="H938">
        <v>21</v>
      </c>
      <c r="I938">
        <v>5</v>
      </c>
      <c r="J938" t="s">
        <v>56</v>
      </c>
      <c r="K938" t="s">
        <v>15</v>
      </c>
      <c r="L938" t="s">
        <v>1041</v>
      </c>
      <c r="M938" s="20" t="s">
        <v>10</v>
      </c>
      <c r="N938" s="20" t="s">
        <v>15</v>
      </c>
      <c r="P938" s="20">
        <v>1</v>
      </c>
      <c r="Q938" s="20" t="s">
        <v>180</v>
      </c>
      <c r="R938" s="20" t="s">
        <v>187</v>
      </c>
      <c r="S938" s="20"/>
      <c r="T938" s="20">
        <v>1</v>
      </c>
      <c r="U938" s="20" t="s">
        <v>346</v>
      </c>
      <c r="V938" s="20"/>
      <c r="W938" s="20">
        <v>90</v>
      </c>
      <c r="X938" t="s">
        <v>184</v>
      </c>
      <c r="AA938" s="13">
        <f>W938*T938*P938</f>
        <v>90</v>
      </c>
      <c r="AB938">
        <f>10-4.4</f>
        <v>5.6</v>
      </c>
      <c r="AC938">
        <f>0.31+0.41</f>
        <v>0.72</v>
      </c>
      <c r="AD938" s="11">
        <f t="shared" si="251"/>
        <v>23.999999999999996</v>
      </c>
      <c r="AE938" s="11">
        <f>_xlfn.RANK.AVG(Tableau8[[#This Row],[EE ( MJ/m²)]],AD938:AD2093)</f>
        <v>95</v>
      </c>
      <c r="AF938" s="11">
        <f t="shared" si="252"/>
        <v>4.7999999999999989</v>
      </c>
      <c r="AG938" s="11">
        <f>(AC938-0.41)*AA938/H938</f>
        <v>1.3285714285714285</v>
      </c>
      <c r="AH938" s="11">
        <f t="shared" si="253"/>
        <v>3.0857142857142854</v>
      </c>
      <c r="AI938" s="11">
        <f>(AC938-0.41)*AA938/H938/I938</f>
        <v>0.26571428571428568</v>
      </c>
      <c r="AJ938" s="11">
        <f t="shared" si="254"/>
        <v>0.6171428571428571</v>
      </c>
    </row>
    <row r="939" spans="1:36" x14ac:dyDescent="0.25">
      <c r="A939" s="4" t="s">
        <v>944</v>
      </c>
      <c r="B939" s="4" t="s">
        <v>996</v>
      </c>
      <c r="C939" s="4" t="s">
        <v>15</v>
      </c>
      <c r="D939" s="4" t="s">
        <v>1004</v>
      </c>
      <c r="E939" t="s">
        <v>1036</v>
      </c>
      <c r="F939" t="s">
        <v>256</v>
      </c>
      <c r="G939" t="s">
        <v>318</v>
      </c>
      <c r="H939">
        <v>21</v>
      </c>
      <c r="I939">
        <v>5</v>
      </c>
      <c r="J939" t="s">
        <v>56</v>
      </c>
      <c r="K939" t="s">
        <v>15</v>
      </c>
      <c r="L939" t="s">
        <v>235</v>
      </c>
      <c r="M939" s="20" t="s">
        <v>235</v>
      </c>
      <c r="N939" s="20" t="s">
        <v>15</v>
      </c>
      <c r="P939" s="20">
        <v>2.25</v>
      </c>
      <c r="Q939" s="20" t="s">
        <v>180</v>
      </c>
      <c r="R939" s="20" t="s">
        <v>176</v>
      </c>
      <c r="S939" s="20"/>
      <c r="T939" s="20">
        <v>1</v>
      </c>
      <c r="U939" s="20" t="s">
        <v>1006</v>
      </c>
      <c r="V939" s="20"/>
      <c r="W939" s="20">
        <v>100</v>
      </c>
      <c r="X939" t="s">
        <v>184</v>
      </c>
      <c r="AA939" s="13">
        <f>W939*T939*P939</f>
        <v>225</v>
      </c>
      <c r="AB939">
        <f>10-4.4</f>
        <v>5.6</v>
      </c>
      <c r="AC939">
        <f>0.31+0.41</f>
        <v>0.72</v>
      </c>
      <c r="AD939" s="11">
        <f t="shared" si="251"/>
        <v>60</v>
      </c>
      <c r="AE939" s="11">
        <f>_xlfn.RANK.AVG(Tableau8[[#This Row],[EE ( MJ/m²)]],AD939:AD2094)</f>
        <v>60</v>
      </c>
      <c r="AF939" s="11">
        <f t="shared" si="252"/>
        <v>12</v>
      </c>
      <c r="AG939" s="11">
        <f>(AC939-0.41)*AA939/H939</f>
        <v>3.3214285714285716</v>
      </c>
      <c r="AH939" s="11">
        <f t="shared" si="253"/>
        <v>7.7142857142857144</v>
      </c>
      <c r="AI939" s="11">
        <f>(AC939-0.41)*AA939/H939/I939</f>
        <v>0.66428571428571437</v>
      </c>
      <c r="AJ939" s="11">
        <f t="shared" si="254"/>
        <v>1.5428571428571429</v>
      </c>
    </row>
    <row r="940" spans="1:36" x14ac:dyDescent="0.25">
      <c r="A940" s="4" t="s">
        <v>944</v>
      </c>
      <c r="B940" s="4" t="s">
        <v>1049</v>
      </c>
      <c r="C940" s="4" t="s">
        <v>15</v>
      </c>
      <c r="D940" s="4" t="s">
        <v>1004</v>
      </c>
      <c r="E940" t="s">
        <v>1044</v>
      </c>
      <c r="F940" t="s">
        <v>256</v>
      </c>
      <c r="G940" t="s">
        <v>1045</v>
      </c>
      <c r="H940">
        <v>21</v>
      </c>
      <c r="I940">
        <v>5</v>
      </c>
      <c r="J940" t="s">
        <v>40</v>
      </c>
      <c r="K940" t="s">
        <v>15</v>
      </c>
      <c r="L940" t="s">
        <v>319</v>
      </c>
      <c r="M940" t="s">
        <v>15</v>
      </c>
      <c r="N940" t="s">
        <v>15</v>
      </c>
      <c r="P940">
        <v>1.1499999999999999</v>
      </c>
      <c r="Q940" t="s">
        <v>180</v>
      </c>
      <c r="R940" t="s">
        <v>176</v>
      </c>
      <c r="T940">
        <v>1</v>
      </c>
      <c r="U940" t="s">
        <v>175</v>
      </c>
      <c r="W940">
        <v>480</v>
      </c>
      <c r="X940" t="s">
        <v>184</v>
      </c>
      <c r="AA940" s="13">
        <f>Tableau8[[#This Row],[nb of item used ]]*Tableau8[[#This Row],[density (kg/m2) or specific weight (kg/m2)]]*Tableau8[[#This Row],[volume or area]]</f>
        <v>552</v>
      </c>
      <c r="AB940">
        <f>10-4.4</f>
        <v>5.6</v>
      </c>
      <c r="AC940">
        <f>0.31+0.41</f>
        <v>0.72</v>
      </c>
      <c r="AD940" s="11">
        <f t="shared" si="251"/>
        <v>147.19999999999999</v>
      </c>
      <c r="AE940" s="11">
        <f>_xlfn.RANK.AVG(Tableau8[[#This Row],[EE ( MJ/m²)]],AD940:AD2095)</f>
        <v>20</v>
      </c>
      <c r="AF940" s="11">
        <f t="shared" si="252"/>
        <v>29.439999999999998</v>
      </c>
      <c r="AG940" s="11">
        <f>(AC940-0.41)*AA940/H940</f>
        <v>8.1485714285714295</v>
      </c>
      <c r="AH940" s="11">
        <f t="shared" si="253"/>
        <v>18.925714285714285</v>
      </c>
      <c r="AI940" s="11">
        <f>(AC940-0.41)*AA940/H940/I940</f>
        <v>1.6297142857142859</v>
      </c>
      <c r="AJ940" s="11">
        <f t="shared" si="254"/>
        <v>3.7851428571428571</v>
      </c>
    </row>
    <row r="941" spans="1:36" x14ac:dyDescent="0.25">
      <c r="A941" s="4" t="s">
        <v>944</v>
      </c>
      <c r="B941" s="4" t="s">
        <v>1049</v>
      </c>
      <c r="C941" s="4" t="s">
        <v>386</v>
      </c>
      <c r="D941" s="4" t="s">
        <v>1004</v>
      </c>
      <c r="E941" t="s">
        <v>1044</v>
      </c>
      <c r="F941" t="s">
        <v>256</v>
      </c>
      <c r="G941" t="s">
        <v>1045</v>
      </c>
      <c r="H941">
        <v>21</v>
      </c>
      <c r="I941">
        <v>5</v>
      </c>
      <c r="J941" t="s">
        <v>40</v>
      </c>
      <c r="K941" t="s">
        <v>386</v>
      </c>
      <c r="L941" t="s">
        <v>1041</v>
      </c>
      <c r="M941" t="s">
        <v>438</v>
      </c>
      <c r="N941" t="s">
        <v>15</v>
      </c>
      <c r="P941">
        <v>1.026</v>
      </c>
      <c r="Q941" t="s">
        <v>180</v>
      </c>
      <c r="R941" t="s">
        <v>176</v>
      </c>
      <c r="T941">
        <v>1</v>
      </c>
      <c r="U941" t="s">
        <v>175</v>
      </c>
      <c r="W941">
        <v>480</v>
      </c>
      <c r="X941" t="s">
        <v>184</v>
      </c>
      <c r="AA941" s="13">
        <f>Tableau8[[#This Row],[nb of item used ]]*Tableau8[[#This Row],[density (kg/m2) or specific weight (kg/m2)]]*Tableau8[[#This Row],[volume or area]]</f>
        <v>492.48</v>
      </c>
      <c r="AB941">
        <f>10-4.4</f>
        <v>5.6</v>
      </c>
      <c r="AC941">
        <f>0.31+0.41</f>
        <v>0.72</v>
      </c>
      <c r="AD941" s="11">
        <f t="shared" si="251"/>
        <v>131.328</v>
      </c>
      <c r="AE941" s="11">
        <f>_xlfn.RANK.AVG(Tableau8[[#This Row],[EE ( MJ/m²)]],AD941:AD2096)</f>
        <v>25</v>
      </c>
      <c r="AF941" s="11">
        <f t="shared" si="252"/>
        <v>26.265599999999999</v>
      </c>
      <c r="AG941" s="11">
        <f>(AC941)*AA941/H941</f>
        <v>16.88502857142857</v>
      </c>
      <c r="AH941" s="11">
        <f t="shared" si="253"/>
        <v>16.88502857142857</v>
      </c>
      <c r="AI941" s="33">
        <f>(AC941)*AA941/H941/I941</f>
        <v>3.3770057142857142</v>
      </c>
      <c r="AJ941" s="11">
        <f t="shared" si="254"/>
        <v>3.3770057142857142</v>
      </c>
    </row>
    <row r="942" spans="1:36" x14ac:dyDescent="0.25">
      <c r="A942" s="4" t="s">
        <v>944</v>
      </c>
      <c r="B942" s="4" t="s">
        <v>1049</v>
      </c>
      <c r="C942" s="4" t="s">
        <v>12</v>
      </c>
      <c r="D942" s="4" t="s">
        <v>1004</v>
      </c>
      <c r="E942" t="s">
        <v>1044</v>
      </c>
      <c r="F942" t="s">
        <v>256</v>
      </c>
      <c r="G942" t="s">
        <v>1045</v>
      </c>
      <c r="H942">
        <v>21</v>
      </c>
      <c r="I942">
        <v>5</v>
      </c>
      <c r="J942" t="s">
        <v>42</v>
      </c>
      <c r="K942" t="s">
        <v>17</v>
      </c>
      <c r="L942" t="s">
        <v>1047</v>
      </c>
      <c r="M942" t="s">
        <v>12</v>
      </c>
      <c r="N942" t="s">
        <v>12</v>
      </c>
      <c r="R942" t="s">
        <v>175</v>
      </c>
      <c r="T942">
        <v>1</v>
      </c>
      <c r="U942" t="s">
        <v>175</v>
      </c>
      <c r="W942">
        <v>7800</v>
      </c>
      <c r="X942" t="s">
        <v>184</v>
      </c>
      <c r="AA942" s="13">
        <v>0.1</v>
      </c>
      <c r="AB942">
        <v>25.3</v>
      </c>
      <c r="AC942">
        <v>1.95</v>
      </c>
      <c r="AD942" s="11">
        <f t="shared" si="251"/>
        <v>0.12047619047619049</v>
      </c>
      <c r="AE942" s="11">
        <f>_xlfn.RANK.AVG(Tableau8[[#This Row],[EE ( MJ/m²)]],AD942:AD2097)</f>
        <v>212</v>
      </c>
      <c r="AF942" s="11">
        <f t="shared" si="252"/>
        <v>2.4095238095238097E-2</v>
      </c>
      <c r="AG942" s="11">
        <f>(AC942)*AA942/H942</f>
        <v>9.285714285714286E-3</v>
      </c>
      <c r="AH942" s="11">
        <f t="shared" si="253"/>
        <v>9.285714285714286E-3</v>
      </c>
      <c r="AI942" s="33">
        <f>(AC942)*AA942/H942/I942</f>
        <v>1.8571428571428571E-3</v>
      </c>
      <c r="AJ942" s="11">
        <f t="shared" si="254"/>
        <v>1.8571428571428571E-3</v>
      </c>
    </row>
    <row r="943" spans="1:36" x14ac:dyDescent="0.25">
      <c r="A943" s="4" t="s">
        <v>944</v>
      </c>
      <c r="B943" s="4" t="s">
        <v>1049</v>
      </c>
      <c r="C943" s="4" t="s">
        <v>12</v>
      </c>
      <c r="D943" s="4" t="s">
        <v>1004</v>
      </c>
      <c r="E943" t="s">
        <v>1044</v>
      </c>
      <c r="F943" t="s">
        <v>256</v>
      </c>
      <c r="G943" t="s">
        <v>1045</v>
      </c>
      <c r="H943">
        <v>21</v>
      </c>
      <c r="I943">
        <v>5</v>
      </c>
      <c r="J943" t="s">
        <v>44</v>
      </c>
      <c r="K943" t="s">
        <v>17</v>
      </c>
      <c r="L943" t="s">
        <v>1046</v>
      </c>
      <c r="M943" t="s">
        <v>12</v>
      </c>
      <c r="N943" t="s">
        <v>12</v>
      </c>
      <c r="R943" t="s">
        <v>175</v>
      </c>
      <c r="T943">
        <v>1</v>
      </c>
      <c r="U943" t="s">
        <v>175</v>
      </c>
      <c r="W943">
        <v>7800</v>
      </c>
      <c r="X943" t="s">
        <v>184</v>
      </c>
      <c r="AA943" s="13">
        <v>13</v>
      </c>
      <c r="AB943">
        <v>25.3</v>
      </c>
      <c r="AC943">
        <v>1.95</v>
      </c>
      <c r="AD943" s="11">
        <f t="shared" si="251"/>
        <v>15.661904761904763</v>
      </c>
      <c r="AE943" s="11">
        <f>_xlfn.RANK.AVG(Tableau8[[#This Row],[EE ( MJ/m²)]],AD943:AD2098)</f>
        <v>114.5</v>
      </c>
      <c r="AF943" s="11">
        <f t="shared" si="252"/>
        <v>3.1323809523809527</v>
      </c>
      <c r="AG943" s="11">
        <f>(AC943)*AA943/H943</f>
        <v>1.2071428571428571</v>
      </c>
      <c r="AH943" s="11">
        <f t="shared" si="253"/>
        <v>1.2071428571428571</v>
      </c>
      <c r="AI943" s="33">
        <f>(AC943)*AA943/H943/I943</f>
        <v>0.24142857142857141</v>
      </c>
      <c r="AJ943" s="11">
        <f t="shared" si="254"/>
        <v>0.24142857142857141</v>
      </c>
    </row>
    <row r="944" spans="1:36" x14ac:dyDescent="0.25">
      <c r="A944" s="4" t="s">
        <v>944</v>
      </c>
      <c r="B944" s="4" t="s">
        <v>1049</v>
      </c>
      <c r="C944" s="4" t="s">
        <v>15</v>
      </c>
      <c r="D944" s="4" t="s">
        <v>1004</v>
      </c>
      <c r="E944" t="s">
        <v>1044</v>
      </c>
      <c r="F944" t="s">
        <v>256</v>
      </c>
      <c r="G944" t="s">
        <v>1045</v>
      </c>
      <c r="H944">
        <v>21</v>
      </c>
      <c r="I944">
        <v>5</v>
      </c>
      <c r="J944" t="s">
        <v>44</v>
      </c>
      <c r="K944" t="s">
        <v>17</v>
      </c>
      <c r="L944" t="s">
        <v>321</v>
      </c>
      <c r="M944" t="s">
        <v>12</v>
      </c>
      <c r="N944" t="s">
        <v>12</v>
      </c>
      <c r="R944" t="s">
        <v>175</v>
      </c>
      <c r="T944">
        <v>1</v>
      </c>
      <c r="U944" t="s">
        <v>175</v>
      </c>
      <c r="W944">
        <v>7800</v>
      </c>
      <c r="X944" t="s">
        <v>184</v>
      </c>
      <c r="AA944" s="13">
        <v>1</v>
      </c>
      <c r="AB944">
        <v>25.3</v>
      </c>
      <c r="AC944">
        <v>1.95</v>
      </c>
      <c r="AD944" s="11">
        <f t="shared" si="251"/>
        <v>1.2047619047619047</v>
      </c>
      <c r="AE944" s="11">
        <f>_xlfn.RANK.AVG(Tableau8[[#This Row],[EE ( MJ/m²)]],AD944:AD2099)</f>
        <v>192</v>
      </c>
      <c r="AF944" s="11">
        <f t="shared" si="252"/>
        <v>0.24095238095238095</v>
      </c>
      <c r="AG944" s="11">
        <f>(AC944)*AA944/H944</f>
        <v>9.285714285714286E-2</v>
      </c>
      <c r="AH944" s="11">
        <f t="shared" si="253"/>
        <v>9.285714285714286E-2</v>
      </c>
      <c r="AI944" s="11">
        <f>(AC944)*AA944/H944/I944</f>
        <v>1.8571428571428572E-2</v>
      </c>
      <c r="AJ944" s="11">
        <f t="shared" si="254"/>
        <v>1.8571428571428572E-2</v>
      </c>
    </row>
    <row r="945" spans="1:36" x14ac:dyDescent="0.25">
      <c r="A945" s="4" t="s">
        <v>944</v>
      </c>
      <c r="B945" s="4" t="s">
        <v>1049</v>
      </c>
      <c r="C945" s="4" t="s">
        <v>12</v>
      </c>
      <c r="D945" s="4" t="s">
        <v>1004</v>
      </c>
      <c r="E945" t="s">
        <v>1044</v>
      </c>
      <c r="F945" t="s">
        <v>256</v>
      </c>
      <c r="G945" t="s">
        <v>1045</v>
      </c>
      <c r="H945">
        <v>21</v>
      </c>
      <c r="I945">
        <v>5</v>
      </c>
      <c r="J945" t="s">
        <v>56</v>
      </c>
      <c r="K945" t="s">
        <v>17</v>
      </c>
      <c r="L945" t="s">
        <v>628</v>
      </c>
      <c r="M945" t="s">
        <v>63</v>
      </c>
      <c r="N945" t="s">
        <v>12</v>
      </c>
      <c r="P945">
        <f>24*0.003</f>
        <v>7.2000000000000008E-2</v>
      </c>
      <c r="Q945" t="s">
        <v>180</v>
      </c>
      <c r="R945" t="s">
        <v>176</v>
      </c>
      <c r="T945">
        <v>1</v>
      </c>
      <c r="U945" t="s">
        <v>175</v>
      </c>
      <c r="W945">
        <v>7800</v>
      </c>
      <c r="X945" t="s">
        <v>184</v>
      </c>
      <c r="AA945" s="13">
        <f>Tableau8[[#This Row],[density (kg/m2) or specific weight (kg/m2)]]*Tableau8[[#This Row],[volume or area]]</f>
        <v>561.6</v>
      </c>
      <c r="AB945">
        <v>25.3</v>
      </c>
      <c r="AC945">
        <v>1.95</v>
      </c>
      <c r="AD945" s="11">
        <f t="shared" si="251"/>
        <v>676.59428571428577</v>
      </c>
      <c r="AE945" s="11">
        <f>_xlfn.RANK.AVG(Tableau8[[#This Row],[EE ( MJ/m²)]],AD945:AD2100)</f>
        <v>7</v>
      </c>
      <c r="AF945" s="11">
        <f t="shared" si="252"/>
        <v>135.31885714285715</v>
      </c>
      <c r="AG945" s="11">
        <f>(AC945)*AA945/H945</f>
        <v>52.148571428571437</v>
      </c>
      <c r="AH945" s="11">
        <f t="shared" si="253"/>
        <v>52.148571428571437</v>
      </c>
      <c r="AI945" s="33">
        <f>(AC945)*AA945/H945/I945</f>
        <v>10.429714285714287</v>
      </c>
      <c r="AJ945" s="11">
        <f t="shared" si="254"/>
        <v>10.429714285714287</v>
      </c>
    </row>
    <row r="946" spans="1:36" x14ac:dyDescent="0.25">
      <c r="A946" s="4" t="s">
        <v>944</v>
      </c>
      <c r="B946" s="4" t="s">
        <v>1049</v>
      </c>
      <c r="C946" s="4" t="s">
        <v>235</v>
      </c>
      <c r="D946" s="4" t="s">
        <v>1004</v>
      </c>
      <c r="E946" t="s">
        <v>1044</v>
      </c>
      <c r="F946" t="s">
        <v>256</v>
      </c>
      <c r="G946" t="s">
        <v>1045</v>
      </c>
      <c r="H946">
        <v>21</v>
      </c>
      <c r="I946">
        <v>5</v>
      </c>
      <c r="J946" t="s">
        <v>56</v>
      </c>
      <c r="K946" t="s">
        <v>15</v>
      </c>
      <c r="L946" t="s">
        <v>235</v>
      </c>
      <c r="M946" s="20" t="s">
        <v>235</v>
      </c>
      <c r="N946" s="20" t="s">
        <v>15</v>
      </c>
      <c r="P946" s="20">
        <v>0.17</v>
      </c>
      <c r="Q946" s="20" t="s">
        <v>180</v>
      </c>
      <c r="R946" s="20" t="s">
        <v>176</v>
      </c>
      <c r="S946" s="20"/>
      <c r="T946" s="20">
        <v>1</v>
      </c>
      <c r="U946" s="20" t="s">
        <v>175</v>
      </c>
      <c r="V946" s="20"/>
      <c r="W946" s="20">
        <v>100</v>
      </c>
      <c r="X946" t="s">
        <v>184</v>
      </c>
      <c r="AA946" s="13">
        <f>W946*T946*P946</f>
        <v>17</v>
      </c>
      <c r="AB946">
        <f>10-4.4</f>
        <v>5.6</v>
      </c>
      <c r="AC946">
        <f>0.31+0.41</f>
        <v>0.72</v>
      </c>
      <c r="AD946" s="11">
        <f t="shared" si="251"/>
        <v>4.5333333333333332</v>
      </c>
      <c r="AE946" s="11">
        <f>_xlfn.RANK.AVG(Tableau8[[#This Row],[EE ( MJ/m²)]],AD946:AD2101)</f>
        <v>157</v>
      </c>
      <c r="AF946" s="11">
        <f t="shared" si="252"/>
        <v>0.90666666666666662</v>
      </c>
      <c r="AG946" s="11">
        <f>(AC946-0.41)*AA946/H946</f>
        <v>0.25095238095238093</v>
      </c>
      <c r="AH946" s="11">
        <f t="shared" si="253"/>
        <v>0.58285714285714285</v>
      </c>
      <c r="AI946" s="11">
        <f>(AC946-0.41)*AA946/H946/I946</f>
        <v>5.0190476190476188E-2</v>
      </c>
      <c r="AJ946" s="11">
        <f t="shared" si="254"/>
        <v>0.11657142857142858</v>
      </c>
    </row>
    <row r="947" spans="1:36" x14ac:dyDescent="0.25">
      <c r="A947" s="4" t="s">
        <v>945</v>
      </c>
      <c r="B947" s="4" t="s">
        <v>1093</v>
      </c>
      <c r="C947" s="4" t="s">
        <v>15</v>
      </c>
      <c r="D947" s="4" t="s">
        <v>1004</v>
      </c>
      <c r="E947" t="s">
        <v>1091</v>
      </c>
      <c r="F947" t="s">
        <v>256</v>
      </c>
      <c r="G947" t="s">
        <v>1090</v>
      </c>
      <c r="H947">
        <v>15.8</v>
      </c>
      <c r="I947">
        <v>4</v>
      </c>
      <c r="J947" t="s">
        <v>42</v>
      </c>
      <c r="K947" t="s">
        <v>15</v>
      </c>
      <c r="L947" t="s">
        <v>1060</v>
      </c>
      <c r="M947" t="s">
        <v>15</v>
      </c>
      <c r="N947" t="s">
        <v>15</v>
      </c>
      <c r="P947">
        <v>3</v>
      </c>
      <c r="Q947" t="s">
        <v>180</v>
      </c>
      <c r="R947" t="s">
        <v>176</v>
      </c>
      <c r="T947">
        <v>1</v>
      </c>
      <c r="U947" t="s">
        <v>1006</v>
      </c>
      <c r="W947">
        <v>510</v>
      </c>
      <c r="X947" t="s">
        <v>184</v>
      </c>
      <c r="AA947" s="13">
        <f>Tableau8[[#This Row],[nb of item used ]]*Tableau8[[#This Row],[density (kg/m2) or specific weight (kg/m2)]]*Tableau8[[#This Row],[volume or area]]</f>
        <v>1530</v>
      </c>
      <c r="AB947">
        <f>10-4.4</f>
        <v>5.6</v>
      </c>
      <c r="AC947">
        <f>0.31+0.41</f>
        <v>0.72</v>
      </c>
      <c r="AD947" s="11">
        <f t="shared" si="251"/>
        <v>542.27848101265818</v>
      </c>
      <c r="AE947" s="11">
        <f>_xlfn.RANK.AVG(Tableau8[[#This Row],[EE ( MJ/m²)]],AD947:AD2102)</f>
        <v>8</v>
      </c>
      <c r="AF947" s="11">
        <f t="shared" si="252"/>
        <v>135.56962025316454</v>
      </c>
      <c r="AG947" s="11">
        <f>(AC947-0.41)*AA947/H947</f>
        <v>30.018987341772153</v>
      </c>
      <c r="AH947" s="11">
        <f t="shared" si="253"/>
        <v>69.721518987341767</v>
      </c>
      <c r="AI947" s="11">
        <f>(AC947-0.41)*AA947/H947/I947</f>
        <v>7.5047468354430382</v>
      </c>
      <c r="AJ947" s="11">
        <f t="shared" si="254"/>
        <v>17.430379746835442</v>
      </c>
    </row>
    <row r="948" spans="1:36" x14ac:dyDescent="0.25">
      <c r="A948" s="4" t="s">
        <v>945</v>
      </c>
      <c r="B948" s="4" t="s">
        <v>1093</v>
      </c>
      <c r="C948" s="4" t="s">
        <v>15</v>
      </c>
      <c r="D948" s="4" t="s">
        <v>1004</v>
      </c>
      <c r="E948" t="s">
        <v>1091</v>
      </c>
      <c r="F948" t="s">
        <v>256</v>
      </c>
      <c r="G948" t="s">
        <v>1090</v>
      </c>
      <c r="H948">
        <v>15.8</v>
      </c>
      <c r="I948">
        <v>4</v>
      </c>
      <c r="J948" t="s">
        <v>40</v>
      </c>
      <c r="K948" t="s">
        <v>15</v>
      </c>
      <c r="L948" t="s">
        <v>886</v>
      </c>
      <c r="M948" t="s">
        <v>15</v>
      </c>
      <c r="N948" t="s">
        <v>15</v>
      </c>
      <c r="P948">
        <v>0.06</v>
      </c>
      <c r="Q948" t="s">
        <v>180</v>
      </c>
      <c r="R948" t="s">
        <v>176</v>
      </c>
      <c r="T948">
        <v>1</v>
      </c>
      <c r="U948" t="s">
        <v>1006</v>
      </c>
      <c r="W948">
        <v>510</v>
      </c>
      <c r="X948" t="s">
        <v>184</v>
      </c>
      <c r="AA948" s="13">
        <f>Tableau8[[#This Row],[nb of item used ]]*Tableau8[[#This Row],[density (kg/m2) or specific weight (kg/m2)]]*Tableau8[[#This Row],[volume or area]]</f>
        <v>30.599999999999998</v>
      </c>
      <c r="AB948">
        <f>10-4.4</f>
        <v>5.6</v>
      </c>
      <c r="AC948">
        <f>0.31+0.41</f>
        <v>0.72</v>
      </c>
      <c r="AD948" s="11">
        <f t="shared" si="251"/>
        <v>10.845569620253164</v>
      </c>
      <c r="AE948" s="11">
        <f>_xlfn.RANK.AVG(Tableau8[[#This Row],[EE ( MJ/m²)]],AD948:AD2103)</f>
        <v>132</v>
      </c>
      <c r="AF948" s="11">
        <f t="shared" si="252"/>
        <v>2.7113924050632909</v>
      </c>
      <c r="AG948" s="11">
        <f>(AC948-0.41)*AA948/H948</f>
        <v>0.60037974683544293</v>
      </c>
      <c r="AH948" s="11">
        <f t="shared" si="253"/>
        <v>1.3944303797468351</v>
      </c>
      <c r="AI948" s="11">
        <f>(AC948-0.41)*AA948/H948/I948</f>
        <v>0.15009493670886073</v>
      </c>
      <c r="AJ948" s="11">
        <f t="shared" si="254"/>
        <v>0.34860759493670879</v>
      </c>
    </row>
    <row r="949" spans="1:36" x14ac:dyDescent="0.25">
      <c r="A949" s="4" t="s">
        <v>945</v>
      </c>
      <c r="B949" s="4" t="s">
        <v>1093</v>
      </c>
      <c r="C949" s="4" t="s">
        <v>12</v>
      </c>
      <c r="D949" s="4" t="s">
        <v>1004</v>
      </c>
      <c r="E949" t="s">
        <v>1091</v>
      </c>
      <c r="F949" t="s">
        <v>256</v>
      </c>
      <c r="G949" t="s">
        <v>1090</v>
      </c>
      <c r="H949">
        <v>15.8</v>
      </c>
      <c r="I949">
        <v>4</v>
      </c>
      <c r="J949" t="s">
        <v>42</v>
      </c>
      <c r="K949" t="s">
        <v>17</v>
      </c>
      <c r="L949" t="s">
        <v>274</v>
      </c>
      <c r="M949" t="s">
        <v>12</v>
      </c>
      <c r="N949" t="s">
        <v>12</v>
      </c>
      <c r="P949">
        <f>20*0.003</f>
        <v>0.06</v>
      </c>
      <c r="Q949" t="s">
        <v>180</v>
      </c>
      <c r="R949" t="s">
        <v>176</v>
      </c>
      <c r="S949" t="s">
        <v>1099</v>
      </c>
      <c r="T949">
        <v>1</v>
      </c>
      <c r="U949" t="s">
        <v>1006</v>
      </c>
      <c r="W949">
        <v>7800</v>
      </c>
      <c r="X949" t="s">
        <v>184</v>
      </c>
      <c r="AA949" s="13">
        <f>Tableau8[[#This Row],[density (kg/m2) or specific weight (kg/m2)]]*Tableau8[[#This Row],[volume or area]]</f>
        <v>468</v>
      </c>
      <c r="AB949">
        <v>25.3</v>
      </c>
      <c r="AC949">
        <v>1.95</v>
      </c>
      <c r="AD949" s="11">
        <f t="shared" si="251"/>
        <v>749.39240506329111</v>
      </c>
      <c r="AE949" s="11">
        <f>_xlfn.RANK.AVG(Tableau8[[#This Row],[EE ( MJ/m²)]],AD949:AD2104)</f>
        <v>3</v>
      </c>
      <c r="AF949" s="11">
        <f t="shared" si="252"/>
        <v>187.34810126582278</v>
      </c>
      <c r="AG949" s="11">
        <f>(AC949)*AA949/H949</f>
        <v>57.759493670886073</v>
      </c>
      <c r="AH949" s="11">
        <f t="shared" si="253"/>
        <v>57.759493670886073</v>
      </c>
      <c r="AI949" s="33">
        <f>(AC949)*AA949/H949/I949</f>
        <v>14.439873417721518</v>
      </c>
      <c r="AJ949" s="11">
        <f t="shared" si="254"/>
        <v>14.439873417721518</v>
      </c>
    </row>
    <row r="950" spans="1:36" x14ac:dyDescent="0.25">
      <c r="A950" s="4" t="s">
        <v>945</v>
      </c>
      <c r="B950" s="4" t="s">
        <v>1093</v>
      </c>
      <c r="C950" s="4" t="s">
        <v>12</v>
      </c>
      <c r="D950" s="4" t="s">
        <v>1004</v>
      </c>
      <c r="E950" t="s">
        <v>1091</v>
      </c>
      <c r="F950" t="s">
        <v>256</v>
      </c>
      <c r="G950" t="s">
        <v>1090</v>
      </c>
      <c r="H950">
        <v>15.8</v>
      </c>
      <c r="I950">
        <v>4</v>
      </c>
      <c r="J950" t="s">
        <v>44</v>
      </c>
      <c r="K950" t="s">
        <v>17</v>
      </c>
      <c r="L950" t="s">
        <v>712</v>
      </c>
      <c r="M950" t="s">
        <v>12</v>
      </c>
      <c r="N950" t="s">
        <v>12</v>
      </c>
      <c r="R950" t="s">
        <v>175</v>
      </c>
      <c r="T950">
        <v>1</v>
      </c>
      <c r="U950" t="s">
        <v>175</v>
      </c>
      <c r="W950">
        <v>7800</v>
      </c>
      <c r="X950" t="s">
        <v>184</v>
      </c>
      <c r="AA950" s="13">
        <v>14.8</v>
      </c>
      <c r="AB950">
        <v>25.3</v>
      </c>
      <c r="AC950">
        <v>1.95</v>
      </c>
      <c r="AD950" s="11">
        <f t="shared" si="251"/>
        <v>23.698734177215194</v>
      </c>
      <c r="AE950" s="11">
        <f>_xlfn.RANK.AVG(Tableau8[[#This Row],[EE ( MJ/m²)]],AD950:AD2105)</f>
        <v>90</v>
      </c>
      <c r="AF950" s="11">
        <f t="shared" si="252"/>
        <v>5.9246835443037984</v>
      </c>
      <c r="AG950" s="11">
        <f>(AC950)*AA950/H950</f>
        <v>1.8265822784810126</v>
      </c>
      <c r="AH950" s="11">
        <f t="shared" si="253"/>
        <v>1.8265822784810126</v>
      </c>
      <c r="AI950" s="33">
        <f>(AC950)*AA950/H950/I950</f>
        <v>0.45664556962025316</v>
      </c>
      <c r="AJ950" s="11">
        <f t="shared" si="254"/>
        <v>0.45664556962025316</v>
      </c>
    </row>
    <row r="951" spans="1:36" x14ac:dyDescent="0.25">
      <c r="A951" s="23" t="s">
        <v>945</v>
      </c>
      <c r="B951" s="23" t="s">
        <v>1093</v>
      </c>
      <c r="C951" s="23" t="s">
        <v>14</v>
      </c>
      <c r="D951" s="23" t="s">
        <v>1004</v>
      </c>
      <c r="E951" s="20" t="s">
        <v>1091</v>
      </c>
      <c r="F951" s="20" t="s">
        <v>256</v>
      </c>
      <c r="G951" s="20" t="s">
        <v>1090</v>
      </c>
      <c r="H951" s="20">
        <v>15.8</v>
      </c>
      <c r="I951" s="20">
        <v>4</v>
      </c>
      <c r="J951" s="20" t="s">
        <v>57</v>
      </c>
      <c r="K951" t="s">
        <v>14</v>
      </c>
      <c r="L951" s="20" t="s">
        <v>208</v>
      </c>
      <c r="M951" s="20" t="s">
        <v>14</v>
      </c>
      <c r="N951" s="20" t="s">
        <v>111</v>
      </c>
      <c r="P951" s="20"/>
      <c r="Q951" s="20"/>
      <c r="R951" s="20" t="s">
        <v>176</v>
      </c>
      <c r="S951" s="20" t="s">
        <v>1092</v>
      </c>
      <c r="T951" s="20">
        <v>1</v>
      </c>
      <c r="U951" s="20" t="s">
        <v>1006</v>
      </c>
      <c r="V951" s="20"/>
      <c r="W951" s="25">
        <v>1380</v>
      </c>
      <c r="X951" s="20" t="s">
        <v>184</v>
      </c>
      <c r="Y951" s="20"/>
      <c r="Z951" s="20"/>
      <c r="AA951" s="20">
        <v>35</v>
      </c>
      <c r="AB951" s="20">
        <v>35.6</v>
      </c>
      <c r="AC951">
        <v>3.31</v>
      </c>
      <c r="AD951" s="11">
        <f t="shared" si="251"/>
        <v>78.860759493670884</v>
      </c>
      <c r="AE951" s="11">
        <f>_xlfn.RANK.AVG(Tableau8[[#This Row],[EE ( MJ/m²)]],AD951:AD2106)</f>
        <v>42</v>
      </c>
      <c r="AF951" s="11">
        <f t="shared" si="252"/>
        <v>19.715189873417721</v>
      </c>
      <c r="AG951" s="11">
        <f>(AC951)*AA951/H951</f>
        <v>7.3322784810126587</v>
      </c>
      <c r="AH951" s="11">
        <f t="shared" si="253"/>
        <v>7.3322784810126587</v>
      </c>
      <c r="AI951" s="33">
        <f>(AC951)*AA951/H951/I951</f>
        <v>1.8330696202531647</v>
      </c>
      <c r="AJ951" s="11">
        <f t="shared" si="254"/>
        <v>1.8330696202531647</v>
      </c>
    </row>
    <row r="952" spans="1:36" x14ac:dyDescent="0.25">
      <c r="A952" s="4" t="s">
        <v>945</v>
      </c>
      <c r="B952" s="4" t="s">
        <v>1100</v>
      </c>
      <c r="C952" s="4" t="s">
        <v>15</v>
      </c>
      <c r="D952" s="4" t="s">
        <v>1004</v>
      </c>
      <c r="E952" t="s">
        <v>1103</v>
      </c>
      <c r="F952" t="s">
        <v>256</v>
      </c>
      <c r="G952" t="s">
        <v>1101</v>
      </c>
      <c r="H952">
        <v>29.7</v>
      </c>
      <c r="I952">
        <v>10</v>
      </c>
      <c r="J952" t="s">
        <v>56</v>
      </c>
      <c r="K952" t="s">
        <v>15</v>
      </c>
      <c r="L952" t="s">
        <v>1056</v>
      </c>
      <c r="M952" t="s">
        <v>15</v>
      </c>
      <c r="N952" t="s">
        <v>15</v>
      </c>
      <c r="O952" t="s">
        <v>1102</v>
      </c>
      <c r="P952">
        <v>2.83</v>
      </c>
      <c r="Q952" t="s">
        <v>180</v>
      </c>
      <c r="R952" t="s">
        <v>176</v>
      </c>
      <c r="T952">
        <v>1</v>
      </c>
      <c r="U952" t="s">
        <v>346</v>
      </c>
      <c r="W952">
        <v>510</v>
      </c>
      <c r="X952" t="s">
        <v>184</v>
      </c>
      <c r="AA952" s="13">
        <f>Tableau8[[#This Row],[nb of item used ]]*Tableau8[[#This Row],[density (kg/m2) or specific weight (kg/m2)]]*Tableau8[[#This Row],[volume or area]]</f>
        <v>1443.3</v>
      </c>
      <c r="AB952">
        <f>10-4.4</f>
        <v>5.6</v>
      </c>
      <c r="AC952">
        <f>0.31+0.41</f>
        <v>0.72</v>
      </c>
      <c r="AD952" s="11">
        <f t="shared" si="251"/>
        <v>272.13737373737371</v>
      </c>
      <c r="AE952" s="11">
        <f>_xlfn.RANK.AVG(Tableau8[[#This Row],[EE ( MJ/m²)]],AD952:AD2107)</f>
        <v>10</v>
      </c>
      <c r="AF952" s="11">
        <f t="shared" si="252"/>
        <v>27.21373737373737</v>
      </c>
      <c r="AG952" s="11">
        <f>(AC952-0.41)*AA952/H952</f>
        <v>15.064747474747476</v>
      </c>
      <c r="AH952" s="11">
        <f t="shared" si="253"/>
        <v>34.989090909090905</v>
      </c>
      <c r="AI952" s="11">
        <f>(AC952-0.41)*AA952/H952/I952</f>
        <v>1.5064747474747475</v>
      </c>
      <c r="AJ952" s="11">
        <f t="shared" si="254"/>
        <v>3.4989090909090903</v>
      </c>
    </row>
    <row r="953" spans="1:36" x14ac:dyDescent="0.25">
      <c r="A953" s="4" t="s">
        <v>945</v>
      </c>
      <c r="B953" s="4" t="s">
        <v>1100</v>
      </c>
      <c r="C953" s="4" t="s">
        <v>12</v>
      </c>
      <c r="D953" s="4" t="s">
        <v>1004</v>
      </c>
      <c r="E953" t="s">
        <v>1103</v>
      </c>
      <c r="F953" t="s">
        <v>256</v>
      </c>
      <c r="G953" t="s">
        <v>1101</v>
      </c>
      <c r="H953">
        <v>29.7</v>
      </c>
      <c r="I953">
        <v>10</v>
      </c>
      <c r="J953" t="s">
        <v>44</v>
      </c>
      <c r="K953" t="s">
        <v>17</v>
      </c>
      <c r="L953" t="s">
        <v>712</v>
      </c>
      <c r="M953" t="s">
        <v>12</v>
      </c>
      <c r="N953" t="s">
        <v>12</v>
      </c>
      <c r="R953" t="s">
        <v>175</v>
      </c>
      <c r="T953">
        <v>1</v>
      </c>
      <c r="U953" t="s">
        <v>175</v>
      </c>
      <c r="W953">
        <v>7800</v>
      </c>
      <c r="X953" t="s">
        <v>184</v>
      </c>
      <c r="AA953" s="13">
        <v>18.14</v>
      </c>
      <c r="AB953">
        <v>25.3</v>
      </c>
      <c r="AC953">
        <v>1.95</v>
      </c>
      <c r="AD953" s="11">
        <f t="shared" si="251"/>
        <v>15.452592592592593</v>
      </c>
      <c r="AE953" s="11">
        <f>_xlfn.RANK.AVG(Tableau8[[#This Row],[EE ( MJ/m²)]],AD953:AD2108)</f>
        <v>111</v>
      </c>
      <c r="AF953" s="11">
        <f t="shared" si="252"/>
        <v>1.5452592592592593</v>
      </c>
      <c r="AG953" s="11">
        <f>(AC953)*AA953/H953</f>
        <v>1.1910101010101009</v>
      </c>
      <c r="AH953" s="11">
        <f t="shared" si="253"/>
        <v>1.1910101010101009</v>
      </c>
      <c r="AI953" s="33">
        <f>(AC953)*AA953/H953/I953</f>
        <v>0.11910101010101008</v>
      </c>
      <c r="AJ953" s="11">
        <f t="shared" si="254"/>
        <v>0.11910101010101008</v>
      </c>
    </row>
    <row r="954" spans="1:36" x14ac:dyDescent="0.25">
      <c r="A954" s="4" t="s">
        <v>945</v>
      </c>
      <c r="B954" s="4" t="s">
        <v>954</v>
      </c>
      <c r="C954" s="4" t="s">
        <v>15</v>
      </c>
      <c r="D954" s="4" t="s">
        <v>941</v>
      </c>
      <c r="E954" t="s">
        <v>671</v>
      </c>
      <c r="F954" t="s">
        <v>256</v>
      </c>
      <c r="G954" t="s">
        <v>490</v>
      </c>
      <c r="H954">
        <f t="shared" ref="H954:H970" si="255">4.8*3.7</f>
        <v>17.760000000000002</v>
      </c>
      <c r="I954">
        <v>5</v>
      </c>
      <c r="J954" t="s">
        <v>42</v>
      </c>
      <c r="K954" t="s">
        <v>15</v>
      </c>
      <c r="L954" t="s">
        <v>667</v>
      </c>
      <c r="M954" t="s">
        <v>15</v>
      </c>
      <c r="N954" t="s">
        <v>15</v>
      </c>
      <c r="P954">
        <f>0.089*0.089*3.7</f>
        <v>2.9307699999999999E-2</v>
      </c>
      <c r="Q954" t="s">
        <v>180</v>
      </c>
      <c r="T954">
        <v>4</v>
      </c>
      <c r="W954">
        <v>510</v>
      </c>
      <c r="X954" t="s">
        <v>184</v>
      </c>
      <c r="AA954" s="13">
        <f>Tableau8[[#This Row],[nb of item used ]]*Tableau8[[#This Row],[density (kg/m2) or specific weight (kg/m2)]]*Tableau8[[#This Row],[volume or area]]</f>
        <v>59.787707999999995</v>
      </c>
      <c r="AB954">
        <f>10-4.4</f>
        <v>5.6</v>
      </c>
      <c r="AC954">
        <f>0.31+0.41</f>
        <v>0.72</v>
      </c>
      <c r="AD954" s="11">
        <f t="shared" si="251"/>
        <v>18.851979999999998</v>
      </c>
      <c r="AE954" s="11">
        <f>_xlfn.RANK.AVG(Tableau8[[#This Row],[EE ( MJ/m²)]],AD954:AD2109)</f>
        <v>99</v>
      </c>
      <c r="AF954" s="11">
        <f t="shared" si="252"/>
        <v>3.7703959999999994</v>
      </c>
      <c r="AG954" s="11">
        <f>(AC954-0.41)*AA954/H954</f>
        <v>1.0435917499999998</v>
      </c>
      <c r="AH954" s="11">
        <f t="shared" si="253"/>
        <v>2.4238259999999996</v>
      </c>
      <c r="AI954" s="11">
        <f>(AC954-0.41)*AA954/H954/I954</f>
        <v>0.20871834999999997</v>
      </c>
      <c r="AJ954" s="11">
        <f t="shared" si="254"/>
        <v>0.4847651999999999</v>
      </c>
    </row>
    <row r="955" spans="1:36" x14ac:dyDescent="0.25">
      <c r="A955" s="4" t="s">
        <v>945</v>
      </c>
      <c r="B955" s="4" t="s">
        <v>954</v>
      </c>
      <c r="C955" s="4" t="s">
        <v>15</v>
      </c>
      <c r="D955" s="4" t="s">
        <v>941</v>
      </c>
      <c r="E955" t="s">
        <v>671</v>
      </c>
      <c r="F955" t="s">
        <v>256</v>
      </c>
      <c r="G955" t="s">
        <v>490</v>
      </c>
      <c r="H955">
        <f t="shared" si="255"/>
        <v>17.760000000000002</v>
      </c>
      <c r="I955">
        <v>5</v>
      </c>
      <c r="J955" t="s">
        <v>42</v>
      </c>
      <c r="K955" t="s">
        <v>15</v>
      </c>
      <c r="L955" t="s">
        <v>668</v>
      </c>
      <c r="M955" t="s">
        <v>15</v>
      </c>
      <c r="N955" t="s">
        <v>15</v>
      </c>
      <c r="P955">
        <f>0.038*0.064*3.7</f>
        <v>8.9984000000000001E-3</v>
      </c>
      <c r="Q955" t="s">
        <v>180</v>
      </c>
      <c r="T955">
        <v>23</v>
      </c>
      <c r="W955">
        <v>510</v>
      </c>
      <c r="X955" t="s">
        <v>184</v>
      </c>
      <c r="AA955" s="13">
        <f>Tableau8[[#This Row],[nb of item used ]]*Tableau8[[#This Row],[density (kg/m2) or specific weight (kg/m2)]]*Tableau8[[#This Row],[volume or area]]</f>
        <v>105.551232</v>
      </c>
      <c r="AB955">
        <f>10-4.4</f>
        <v>5.6</v>
      </c>
      <c r="AC955">
        <f>0.31+0.41</f>
        <v>0.72</v>
      </c>
      <c r="AD955" s="11">
        <f t="shared" si="251"/>
        <v>33.281919999999992</v>
      </c>
      <c r="AE955" s="11">
        <f>_xlfn.RANK.AVG(Tableau8[[#This Row],[EE ( MJ/m²)]],AD955:AD2110)</f>
        <v>70</v>
      </c>
      <c r="AF955" s="11">
        <f t="shared" si="252"/>
        <v>6.6563839999999983</v>
      </c>
      <c r="AG955" s="11">
        <f>(AC955-0.41)*AA955/H955</f>
        <v>1.8423919999999996</v>
      </c>
      <c r="AH955" s="11">
        <f t="shared" si="253"/>
        <v>4.2791039999999994</v>
      </c>
      <c r="AI955" s="11">
        <f>(AC955-0.41)*AA955/H955/I955</f>
        <v>0.36847839999999993</v>
      </c>
      <c r="AJ955" s="11">
        <f t="shared" si="254"/>
        <v>0.85582079999999983</v>
      </c>
    </row>
    <row r="956" spans="1:36" x14ac:dyDescent="0.25">
      <c r="A956" s="4" t="s">
        <v>945</v>
      </c>
      <c r="B956" s="4" t="s">
        <v>954</v>
      </c>
      <c r="C956" s="4" t="s">
        <v>15</v>
      </c>
      <c r="D956" s="4" t="s">
        <v>941</v>
      </c>
      <c r="E956" t="s">
        <v>671</v>
      </c>
      <c r="F956" t="s">
        <v>256</v>
      </c>
      <c r="G956" t="s">
        <v>490</v>
      </c>
      <c r="H956">
        <f t="shared" si="255"/>
        <v>17.760000000000002</v>
      </c>
      <c r="I956">
        <v>5</v>
      </c>
      <c r="J956" t="s">
        <v>42</v>
      </c>
      <c r="K956" t="s">
        <v>15</v>
      </c>
      <c r="L956" t="s">
        <v>619</v>
      </c>
      <c r="M956" t="s">
        <v>15</v>
      </c>
      <c r="N956" t="s">
        <v>15</v>
      </c>
      <c r="P956">
        <f>0.038*0.089*3.7</f>
        <v>1.2513399999999999E-2</v>
      </c>
      <c r="Q956" t="s">
        <v>180</v>
      </c>
      <c r="T956">
        <v>6</v>
      </c>
      <c r="W956" s="1">
        <v>510</v>
      </c>
      <c r="X956" t="s">
        <v>184</v>
      </c>
      <c r="AA956" s="13">
        <f>Tableau8[[#This Row],[nb of item used ]]*Tableau8[[#This Row],[density (kg/m2) or specific weight (kg/m2)]]*Tableau8[[#This Row],[volume or area]]</f>
        <v>38.291004000000001</v>
      </c>
      <c r="AB956">
        <f>10-4.4</f>
        <v>5.6</v>
      </c>
      <c r="AC956">
        <f>0.31+0.41</f>
        <v>0.72</v>
      </c>
      <c r="AD956" s="11">
        <f t="shared" si="251"/>
        <v>12.073739999999999</v>
      </c>
      <c r="AE956" s="11">
        <f>_xlfn.RANK.AVG(Tableau8[[#This Row],[EE ( MJ/m²)]],AD956:AD2111)</f>
        <v>118</v>
      </c>
      <c r="AF956" s="11">
        <f t="shared" si="252"/>
        <v>2.4147479999999999</v>
      </c>
      <c r="AG956" s="11">
        <f>(AC956-0.41)*AA956/H956</f>
        <v>0.66836774999999993</v>
      </c>
      <c r="AH956" s="11">
        <f t="shared" si="253"/>
        <v>1.552338</v>
      </c>
      <c r="AI956" s="11">
        <f>(AC956-0.41)*AA956/H956/I956</f>
        <v>0.13367354999999997</v>
      </c>
      <c r="AJ956" s="11">
        <f t="shared" si="254"/>
        <v>0.31046760000000001</v>
      </c>
    </row>
    <row r="957" spans="1:36" x14ac:dyDescent="0.25">
      <c r="A957" s="4" t="s">
        <v>945</v>
      </c>
      <c r="B957" s="4" t="s">
        <v>954</v>
      </c>
      <c r="C957" s="4" t="s">
        <v>15</v>
      </c>
      <c r="D957" s="4" t="s">
        <v>941</v>
      </c>
      <c r="E957" t="s">
        <v>671</v>
      </c>
      <c r="F957" t="s">
        <v>256</v>
      </c>
      <c r="G957" t="s">
        <v>490</v>
      </c>
      <c r="H957">
        <f t="shared" si="255"/>
        <v>17.760000000000002</v>
      </c>
      <c r="I957">
        <v>5</v>
      </c>
      <c r="J957" t="s">
        <v>42</v>
      </c>
      <c r="K957" t="s">
        <v>15</v>
      </c>
      <c r="L957" t="s">
        <v>640</v>
      </c>
      <c r="M957" t="s">
        <v>15</v>
      </c>
      <c r="N957" t="s">
        <v>15</v>
      </c>
      <c r="P957">
        <f>0.038*0.038*3.7</f>
        <v>5.3428E-3</v>
      </c>
      <c r="Q957" t="s">
        <v>180</v>
      </c>
      <c r="T957">
        <v>32</v>
      </c>
      <c r="W957" s="1">
        <v>510</v>
      </c>
      <c r="X957" t="s">
        <v>184</v>
      </c>
      <c r="AA957" s="13">
        <f>Tableau8[[#This Row],[nb of item used ]]*Tableau8[[#This Row],[density (kg/m2) or specific weight (kg/m2)]]*Tableau8[[#This Row],[volume or area]]</f>
        <v>87.194496000000001</v>
      </c>
      <c r="AB957">
        <f>10-4.4</f>
        <v>5.6</v>
      </c>
      <c r="AC957">
        <f>0.31+0.41</f>
        <v>0.72</v>
      </c>
      <c r="AD957" s="11">
        <f t="shared" si="251"/>
        <v>27.493759999999995</v>
      </c>
      <c r="AE957" s="11">
        <f>_xlfn.RANK.AVG(Tableau8[[#This Row],[EE ( MJ/m²)]],AD957:AD2112)</f>
        <v>81</v>
      </c>
      <c r="AF957" s="11">
        <f t="shared" si="252"/>
        <v>5.4987519999999988</v>
      </c>
      <c r="AG957" s="11">
        <f>(AC957-0.41)*AA957/H957</f>
        <v>1.5219759999999998</v>
      </c>
      <c r="AH957" s="11">
        <f t="shared" si="253"/>
        <v>3.5349119999999994</v>
      </c>
      <c r="AI957" s="11">
        <f>(AC957-0.41)*AA957/H957/I957</f>
        <v>0.30439519999999998</v>
      </c>
      <c r="AJ957" s="11">
        <f t="shared" si="254"/>
        <v>0.7069823999999999</v>
      </c>
    </row>
    <row r="958" spans="1:36" x14ac:dyDescent="0.25">
      <c r="A958" s="4" t="s">
        <v>945</v>
      </c>
      <c r="B958" s="4" t="s">
        <v>954</v>
      </c>
      <c r="C958" s="4" t="s">
        <v>15</v>
      </c>
      <c r="D958" s="4" t="s">
        <v>941</v>
      </c>
      <c r="E958" t="s">
        <v>671</v>
      </c>
      <c r="F958" t="s">
        <v>256</v>
      </c>
      <c r="G958" t="s">
        <v>490</v>
      </c>
      <c r="H958">
        <f t="shared" si="255"/>
        <v>17.760000000000002</v>
      </c>
      <c r="I958">
        <v>5</v>
      </c>
      <c r="J958" t="s">
        <v>42</v>
      </c>
      <c r="K958" t="s">
        <v>15</v>
      </c>
      <c r="L958" t="s">
        <v>669</v>
      </c>
      <c r="M958" t="s">
        <v>15</v>
      </c>
      <c r="N958" t="s">
        <v>15</v>
      </c>
      <c r="P958">
        <f>0.038*0.038*2.4</f>
        <v>3.4655999999999997E-3</v>
      </c>
      <c r="Q958" t="s">
        <v>180</v>
      </c>
      <c r="T958">
        <v>28</v>
      </c>
      <c r="W958" s="1">
        <v>510</v>
      </c>
      <c r="X958" t="s">
        <v>184</v>
      </c>
      <c r="AA958" s="13">
        <f>Tableau8[[#This Row],[nb of item used ]]*Tableau8[[#This Row],[density (kg/m2) or specific weight (kg/m2)]]*Tableau8[[#This Row],[volume or area]]</f>
        <v>49.488767999999993</v>
      </c>
      <c r="AB958">
        <f>10-4.4</f>
        <v>5.6</v>
      </c>
      <c r="AC958">
        <f>0.31+0.41</f>
        <v>0.72</v>
      </c>
      <c r="AD958" s="11">
        <f t="shared" si="251"/>
        <v>15.604566486486481</v>
      </c>
      <c r="AE958" s="11">
        <f>_xlfn.RANK.AVG(Tableau8[[#This Row],[EE ( MJ/m²)]],AD958:AD2113)</f>
        <v>106</v>
      </c>
      <c r="AF958" s="11">
        <f t="shared" si="252"/>
        <v>3.1209132972972964</v>
      </c>
      <c r="AG958" s="11">
        <f>(AC958-0.41)*AA958/H958</f>
        <v>0.86382421621621608</v>
      </c>
      <c r="AH958" s="11">
        <f t="shared" si="253"/>
        <v>2.0063014054054049</v>
      </c>
      <c r="AI958" s="11">
        <f>(AC958-0.41)*AA958/H958/I958</f>
        <v>0.1727648432432432</v>
      </c>
      <c r="AJ958" s="11">
        <f t="shared" si="254"/>
        <v>0.40126028108108097</v>
      </c>
    </row>
    <row r="959" spans="1:36" x14ac:dyDescent="0.25">
      <c r="A959" s="4" t="s">
        <v>945</v>
      </c>
      <c r="B959" s="4" t="s">
        <v>954</v>
      </c>
      <c r="C959" s="4" t="s">
        <v>15</v>
      </c>
      <c r="D959" s="4" t="s">
        <v>941</v>
      </c>
      <c r="E959" t="s">
        <v>671</v>
      </c>
      <c r="F959" t="s">
        <v>256</v>
      </c>
      <c r="G959" t="s">
        <v>490</v>
      </c>
      <c r="H959">
        <f t="shared" si="255"/>
        <v>17.760000000000002</v>
      </c>
      <c r="I959">
        <v>5</v>
      </c>
      <c r="J959" t="s">
        <v>40</v>
      </c>
      <c r="K959" t="s">
        <v>15</v>
      </c>
      <c r="L959" t="s">
        <v>335</v>
      </c>
      <c r="M959" t="s">
        <v>15</v>
      </c>
      <c r="N959" t="s">
        <v>335</v>
      </c>
      <c r="P959">
        <f>(4.8+3.7)*2*2.5*0.005</f>
        <v>0.21249999999999999</v>
      </c>
      <c r="Q959" t="s">
        <v>180</v>
      </c>
      <c r="T959">
        <v>1</v>
      </c>
      <c r="W959">
        <v>178.2</v>
      </c>
      <c r="X959" t="s">
        <v>184</v>
      </c>
      <c r="AA959" s="13">
        <f>Tableau8[[#This Row],[nb of item used ]]*Tableau8[[#This Row],[density (kg/m2) or specific weight (kg/m2)]]*Tableau8[[#This Row],[volume or area]]</f>
        <v>37.8675</v>
      </c>
      <c r="AB959">
        <v>28.58</v>
      </c>
      <c r="AC959">
        <v>26.91</v>
      </c>
      <c r="AD959" s="11">
        <f>AB959*(AA959/Tableau8[[#This Row],[density (kg/m2) or specific weight (kg/m2)]])/H959</f>
        <v>0.34196227477477481</v>
      </c>
      <c r="AE959" s="11">
        <f>_xlfn.RANK.AVG(Tableau8[[#This Row],[EE ( MJ/m²)]],AD959:AD2114)</f>
        <v>193</v>
      </c>
      <c r="AF959" s="11">
        <f>AB959*(AA959/Tableau8[[#This Row],[density (kg/m2) or specific weight (kg/m2)]])/H959/I959</f>
        <v>6.8392454954954968E-2</v>
      </c>
      <c r="AG959" s="11">
        <f>(AC959)*(AA959/Tableau8[[#This Row],[density (kg/m2) or specific weight (kg/m2)]])/H959</f>
        <v>0.32198057432432436</v>
      </c>
      <c r="AH959" s="11">
        <f>AC959*(AA959/Tableau8[[#This Row],[density (kg/m2) or specific weight (kg/m2)]])/H959</f>
        <v>0.32198057432432436</v>
      </c>
      <c r="AI959" s="11">
        <f>(AC959)*(AA959/Tableau8[[#This Row],[density (kg/m2) or specific weight (kg/m2)]])/H959/I959</f>
        <v>6.4396114864864878E-2</v>
      </c>
      <c r="AJ959" s="11">
        <f>AC959*(AA959/Tableau8[[#This Row],[density (kg/m2) or specific weight (kg/m2)]])/H959/I959</f>
        <v>6.4396114864864878E-2</v>
      </c>
    </row>
    <row r="960" spans="1:36" x14ac:dyDescent="0.25">
      <c r="A960" s="4" t="s">
        <v>945</v>
      </c>
      <c r="B960" s="4" t="s">
        <v>954</v>
      </c>
      <c r="C960" s="4" t="s">
        <v>15</v>
      </c>
      <c r="D960" s="4" t="s">
        <v>941</v>
      </c>
      <c r="E960" t="s">
        <v>671</v>
      </c>
      <c r="F960" t="s">
        <v>256</v>
      </c>
      <c r="G960" t="s">
        <v>490</v>
      </c>
      <c r="H960">
        <f t="shared" si="255"/>
        <v>17.760000000000002</v>
      </c>
      <c r="I960">
        <v>5</v>
      </c>
      <c r="J960" t="s">
        <v>40</v>
      </c>
      <c r="K960" t="s">
        <v>15</v>
      </c>
      <c r="L960" t="s">
        <v>583</v>
      </c>
      <c r="M960" t="s">
        <v>15</v>
      </c>
      <c r="N960" t="s">
        <v>583</v>
      </c>
      <c r="P960">
        <f>(0.015^2)*PI()*2.4</f>
        <v>1.6964600329384882E-3</v>
      </c>
      <c r="Q960" t="s">
        <v>180</v>
      </c>
      <c r="T960">
        <v>3</v>
      </c>
      <c r="W960">
        <v>178.2</v>
      </c>
      <c r="X960" t="s">
        <v>184</v>
      </c>
      <c r="AA960" s="13">
        <f>Tableau8[[#This Row],[nb of item used ]]*Tableau8[[#This Row],[density (kg/m2) or specific weight (kg/m2)]]*Tableau8[[#This Row],[volume or area]]</f>
        <v>0.90692753360891565</v>
      </c>
      <c r="AB960">
        <v>26.59</v>
      </c>
      <c r="AC960">
        <v>25.03</v>
      </c>
      <c r="AD960" s="11">
        <f>AB960*(AA960/Tableau8[[#This Row],[density (kg/m2) or specific weight (kg/m2)]])/H960</f>
        <v>7.6197419384855395E-3</v>
      </c>
      <c r="AE960" s="11">
        <f>_xlfn.RANK.AVG(Tableau8[[#This Row],[EE ( MJ/m²)]],AD960:AD2115)</f>
        <v>198</v>
      </c>
      <c r="AF960" s="11">
        <f>AB960*(AA960/Tableau8[[#This Row],[density (kg/m2) or specific weight (kg/m2)]])/H960/I960</f>
        <v>1.5239483876971079E-3</v>
      </c>
      <c r="AG960" s="11">
        <f>(AC960)*(AA960/Tableau8[[#This Row],[density (kg/m2) or specific weight (kg/m2)]])/H960</f>
        <v>7.1727017946706679E-3</v>
      </c>
      <c r="AH960" s="11">
        <f>AC960*(AA960/Tableau8[[#This Row],[density (kg/m2) or specific weight (kg/m2)]])/H960</f>
        <v>7.1727017946706679E-3</v>
      </c>
      <c r="AI960" s="11">
        <f>(AC960)*(AA960/Tableau8[[#This Row],[density (kg/m2) or specific weight (kg/m2)]])/H960/I960</f>
        <v>1.4345403589341335E-3</v>
      </c>
      <c r="AJ960" s="11">
        <f>AC960*(AA960/Tableau8[[#This Row],[density (kg/m2) or specific weight (kg/m2)]])/H960/I960</f>
        <v>1.4345403589341335E-3</v>
      </c>
    </row>
    <row r="961" spans="1:36" x14ac:dyDescent="0.25">
      <c r="A961" s="4" t="s">
        <v>945</v>
      </c>
      <c r="B961" s="4" t="s">
        <v>954</v>
      </c>
      <c r="C961" s="4" t="s">
        <v>15</v>
      </c>
      <c r="D961" s="4" t="s">
        <v>941</v>
      </c>
      <c r="E961" t="s">
        <v>671</v>
      </c>
      <c r="F961" t="s">
        <v>256</v>
      </c>
      <c r="G961" t="s">
        <v>490</v>
      </c>
      <c r="H961">
        <f t="shared" si="255"/>
        <v>17.760000000000002</v>
      </c>
      <c r="I961">
        <v>5</v>
      </c>
      <c r="J961" t="s">
        <v>57</v>
      </c>
      <c r="K961" t="s">
        <v>15</v>
      </c>
      <c r="L961" t="s">
        <v>252</v>
      </c>
      <c r="M961" t="s">
        <v>15</v>
      </c>
      <c r="N961" t="s">
        <v>252</v>
      </c>
      <c r="P961">
        <f>1.2*2.4*0.013</f>
        <v>3.7439999999999994E-2</v>
      </c>
      <c r="Q961" t="s">
        <v>180</v>
      </c>
      <c r="T961">
        <v>8</v>
      </c>
      <c r="W961">
        <v>540</v>
      </c>
      <c r="X961" t="s">
        <v>184</v>
      </c>
      <c r="AA961" s="13">
        <f>Tableau8[[#This Row],[nb of item used ]]*Tableau8[[#This Row],[density (kg/m2) or specific weight (kg/m2)]]*Tableau8[[#This Row],[volume or area]]</f>
        <v>161.74079999999998</v>
      </c>
      <c r="AB961">
        <f>15-7.1</f>
        <v>7.9</v>
      </c>
      <c r="AC961">
        <f>0.45+0.65</f>
        <v>1.1000000000000001</v>
      </c>
      <c r="AD961" s="11">
        <f t="shared" ref="AD961:AD992" si="256">AB961*AA961/H961</f>
        <v>71.945513513513504</v>
      </c>
      <c r="AE961" s="11">
        <f>_xlfn.RANK.AVG(Tableau8[[#This Row],[EE ( MJ/m²)]],AD961:AD2116)</f>
        <v>47</v>
      </c>
      <c r="AF961" s="11">
        <f t="shared" ref="AF961:AF992" si="257">AB961*AA961/H961/I961</f>
        <v>14.389102702702701</v>
      </c>
      <c r="AG961" s="11">
        <f>(AC961-0.65)*AA961/H961</f>
        <v>4.0981621621621622</v>
      </c>
      <c r="AH961" s="11">
        <f t="shared" ref="AH961:AH992" si="258">AC961*AA961/H961</f>
        <v>10.017729729729728</v>
      </c>
      <c r="AI961" s="11">
        <f>(AC961-0.65)*AA961/H961/I961</f>
        <v>0.81963243243243245</v>
      </c>
      <c r="AJ961" s="11">
        <f t="shared" ref="AJ961:AJ992" si="259">AC961*AA961/H961/I961</f>
        <v>2.0035459459459455</v>
      </c>
    </row>
    <row r="962" spans="1:36" x14ac:dyDescent="0.25">
      <c r="A962" s="4" t="s">
        <v>945</v>
      </c>
      <c r="B962" s="4" t="s">
        <v>954</v>
      </c>
      <c r="C962" s="4" t="s">
        <v>15</v>
      </c>
      <c r="D962" s="4" t="s">
        <v>941</v>
      </c>
      <c r="E962" t="s">
        <v>671</v>
      </c>
      <c r="F962" t="s">
        <v>256</v>
      </c>
      <c r="G962" t="s">
        <v>490</v>
      </c>
      <c r="H962">
        <f t="shared" si="255"/>
        <v>17.760000000000002</v>
      </c>
      <c r="I962">
        <v>5</v>
      </c>
      <c r="J962" t="s">
        <v>13</v>
      </c>
      <c r="K962" t="s">
        <v>17</v>
      </c>
      <c r="L962" t="s">
        <v>665</v>
      </c>
      <c r="M962" t="s">
        <v>664</v>
      </c>
      <c r="N962" t="s">
        <v>99</v>
      </c>
      <c r="P962">
        <f>PI()*(0.005^2)*6</f>
        <v>4.7123889803846896E-4</v>
      </c>
      <c r="Q962" t="s">
        <v>180</v>
      </c>
      <c r="T962">
        <v>12</v>
      </c>
      <c r="W962">
        <v>7800</v>
      </c>
      <c r="X962" t="s">
        <v>184</v>
      </c>
      <c r="AA962" s="13">
        <f>Tableau8[[#This Row],[density (kg/m2) or specific weight (kg/m2)]]*Tableau8[[#This Row],[nb of item used ]]*Tableau8[[#This Row],[volume or area]]</f>
        <v>44.107960856400695</v>
      </c>
      <c r="AB962">
        <v>21.6</v>
      </c>
      <c r="AC962">
        <v>1.86</v>
      </c>
      <c r="AD962" s="11">
        <f t="shared" si="256"/>
        <v>53.644817257784624</v>
      </c>
      <c r="AE962" s="11">
        <f>_xlfn.RANK.AVG(Tableau8[[#This Row],[EE ( MJ/m²)]],AD962:AD2117)</f>
        <v>56</v>
      </c>
      <c r="AF962" s="11">
        <f t="shared" si="257"/>
        <v>10.728963451556925</v>
      </c>
      <c r="AG962" s="11">
        <f t="shared" ref="AG962:AG970" si="260">(AC962)*AA962/H962</f>
        <v>4.6194148194203422</v>
      </c>
      <c r="AH962" s="11">
        <f t="shared" si="258"/>
        <v>4.6194148194203422</v>
      </c>
      <c r="AI962" s="11">
        <f t="shared" ref="AI962:AI970" si="261">(AC962)*AA962/H962/I962</f>
        <v>0.92388296388406843</v>
      </c>
      <c r="AJ962" s="11">
        <f t="shared" si="259"/>
        <v>0.92388296388406843</v>
      </c>
    </row>
    <row r="963" spans="1:36" x14ac:dyDescent="0.25">
      <c r="A963" s="4" t="s">
        <v>945</v>
      </c>
      <c r="B963" s="4" t="s">
        <v>954</v>
      </c>
      <c r="C963" s="4" t="s">
        <v>15</v>
      </c>
      <c r="D963" s="4" t="s">
        <v>941</v>
      </c>
      <c r="E963" t="s">
        <v>671</v>
      </c>
      <c r="F963" t="s">
        <v>256</v>
      </c>
      <c r="G963" t="s">
        <v>490</v>
      </c>
      <c r="H963">
        <f t="shared" si="255"/>
        <v>17.760000000000002</v>
      </c>
      <c r="I963">
        <v>5</v>
      </c>
      <c r="J963" t="s">
        <v>13</v>
      </c>
      <c r="K963" t="s">
        <v>17</v>
      </c>
      <c r="L963" t="s">
        <v>666</v>
      </c>
      <c r="M963" t="s">
        <v>664</v>
      </c>
      <c r="N963" t="s">
        <v>99</v>
      </c>
      <c r="P963">
        <f>PI()*(0.004^2)*6</f>
        <v>3.0159289474462013E-4</v>
      </c>
      <c r="Q963" t="s">
        <v>180</v>
      </c>
      <c r="T963">
        <v>3</v>
      </c>
      <c r="W963">
        <v>7800</v>
      </c>
      <c r="X963" t="s">
        <v>184</v>
      </c>
      <c r="AA963" s="13">
        <f>Tableau8[[#This Row],[density (kg/m2) or specific weight (kg/m2)]]*Tableau8[[#This Row],[nb of item used ]]*Tableau8[[#This Row],[volume or area]]</f>
        <v>7.0572737370241114</v>
      </c>
      <c r="AB963">
        <v>21.6</v>
      </c>
      <c r="AC963">
        <v>1.86</v>
      </c>
      <c r="AD963" s="11">
        <f t="shared" si="256"/>
        <v>8.5831707612455421</v>
      </c>
      <c r="AE963" s="11">
        <f>_xlfn.RANK.AVG(Tableau8[[#This Row],[EE ( MJ/m²)]],AD963:AD2118)</f>
        <v>129</v>
      </c>
      <c r="AF963" s="11">
        <f t="shared" si="257"/>
        <v>1.7166341522491084</v>
      </c>
      <c r="AG963" s="11">
        <f t="shared" si="260"/>
        <v>0.73910637110725486</v>
      </c>
      <c r="AH963" s="11">
        <f t="shared" si="258"/>
        <v>0.73910637110725486</v>
      </c>
      <c r="AI963" s="11">
        <f t="shared" si="261"/>
        <v>0.14782127422145097</v>
      </c>
      <c r="AJ963" s="11">
        <f t="shared" si="259"/>
        <v>0.14782127422145097</v>
      </c>
    </row>
    <row r="964" spans="1:36" x14ac:dyDescent="0.25">
      <c r="A964" s="4" t="s">
        <v>945</v>
      </c>
      <c r="B964" s="4" t="s">
        <v>954</v>
      </c>
      <c r="C964" s="4" t="s">
        <v>15</v>
      </c>
      <c r="D964" s="4" t="s">
        <v>941</v>
      </c>
      <c r="E964" t="s">
        <v>671</v>
      </c>
      <c r="F964" t="s">
        <v>256</v>
      </c>
      <c r="G964" t="s">
        <v>490</v>
      </c>
      <c r="H964">
        <f t="shared" si="255"/>
        <v>17.760000000000002</v>
      </c>
      <c r="I964">
        <v>5</v>
      </c>
      <c r="J964" t="s">
        <v>44</v>
      </c>
      <c r="K964" t="s">
        <v>17</v>
      </c>
      <c r="L964" t="s">
        <v>9</v>
      </c>
      <c r="M964" t="s">
        <v>12</v>
      </c>
      <c r="N964" t="s">
        <v>12</v>
      </c>
      <c r="T964">
        <v>1</v>
      </c>
      <c r="W964">
        <v>7800</v>
      </c>
      <c r="X964" t="s">
        <v>184</v>
      </c>
      <c r="AA964" s="13">
        <f>6+1+4+1</f>
        <v>12</v>
      </c>
      <c r="AB964">
        <v>25.3</v>
      </c>
      <c r="AC964">
        <v>1.95</v>
      </c>
      <c r="AD964" s="11">
        <f t="shared" si="256"/>
        <v>17.094594594594593</v>
      </c>
      <c r="AE964" s="11">
        <f>_xlfn.RANK.AVG(Tableau8[[#This Row],[EE ( MJ/m²)]],AD964:AD2119)</f>
        <v>100</v>
      </c>
      <c r="AF964" s="11">
        <f t="shared" si="257"/>
        <v>3.4189189189189184</v>
      </c>
      <c r="AG964" s="11">
        <f t="shared" si="260"/>
        <v>1.3175675675675673</v>
      </c>
      <c r="AH964" s="11">
        <f t="shared" si="258"/>
        <v>1.3175675675675673</v>
      </c>
      <c r="AI964" s="11">
        <f t="shared" si="261"/>
        <v>0.26351351351351349</v>
      </c>
      <c r="AJ964" s="11">
        <f t="shared" si="259"/>
        <v>0.26351351351351349</v>
      </c>
    </row>
    <row r="965" spans="1:36" x14ac:dyDescent="0.25">
      <c r="A965" s="4" t="s">
        <v>945</v>
      </c>
      <c r="B965" s="4" t="s">
        <v>954</v>
      </c>
      <c r="C965" s="4" t="s">
        <v>15</v>
      </c>
      <c r="D965" s="4" t="s">
        <v>941</v>
      </c>
      <c r="E965" t="s">
        <v>671</v>
      </c>
      <c r="F965" t="s">
        <v>256</v>
      </c>
      <c r="G965" t="s">
        <v>490</v>
      </c>
      <c r="H965">
        <f t="shared" si="255"/>
        <v>17.760000000000002</v>
      </c>
      <c r="I965">
        <v>5</v>
      </c>
      <c r="J965" t="s">
        <v>44</v>
      </c>
      <c r="K965" t="s">
        <v>17</v>
      </c>
      <c r="L965" t="s">
        <v>670</v>
      </c>
      <c r="M965" t="s">
        <v>12</v>
      </c>
      <c r="N965" t="s">
        <v>923</v>
      </c>
      <c r="T965">
        <v>1</v>
      </c>
      <c r="W965">
        <v>7800</v>
      </c>
      <c r="X965" t="s">
        <v>184</v>
      </c>
      <c r="AA965" s="13">
        <v>2</v>
      </c>
      <c r="AB965">
        <v>36</v>
      </c>
      <c r="AC965">
        <v>3.02</v>
      </c>
      <c r="AD965" s="11">
        <f t="shared" si="256"/>
        <v>4.0540540540540535</v>
      </c>
      <c r="AE965" s="11">
        <f>_xlfn.RANK.AVG(Tableau8[[#This Row],[EE ( MJ/m²)]],AD965:AD2120)</f>
        <v>142</v>
      </c>
      <c r="AF965" s="11">
        <f t="shared" si="257"/>
        <v>0.81081081081081074</v>
      </c>
      <c r="AG965" s="11">
        <f t="shared" si="260"/>
        <v>0.34009009009009006</v>
      </c>
      <c r="AH965" s="11">
        <f t="shared" si="258"/>
        <v>0.34009009009009006</v>
      </c>
      <c r="AI965" s="11">
        <f t="shared" si="261"/>
        <v>6.8018018018018017E-2</v>
      </c>
      <c r="AJ965" s="11">
        <f t="shared" si="259"/>
        <v>6.8018018018018017E-2</v>
      </c>
    </row>
    <row r="966" spans="1:36" x14ac:dyDescent="0.25">
      <c r="A966" s="4" t="s">
        <v>945</v>
      </c>
      <c r="B966" s="4" t="s">
        <v>954</v>
      </c>
      <c r="C966" s="4" t="s">
        <v>15</v>
      </c>
      <c r="D966" s="4" t="s">
        <v>941</v>
      </c>
      <c r="E966" t="s">
        <v>671</v>
      </c>
      <c r="F966" t="s">
        <v>256</v>
      </c>
      <c r="G966" t="s">
        <v>490</v>
      </c>
      <c r="H966">
        <f t="shared" si="255"/>
        <v>17.760000000000002</v>
      </c>
      <c r="I966">
        <v>5</v>
      </c>
      <c r="J966" t="s">
        <v>44</v>
      </c>
      <c r="K966" t="s">
        <v>17</v>
      </c>
      <c r="L966" t="s">
        <v>659</v>
      </c>
      <c r="M966" t="s">
        <v>12</v>
      </c>
      <c r="N966" t="s">
        <v>12</v>
      </c>
      <c r="P966">
        <f>0.014*0.1*0.05</f>
        <v>7.0000000000000007E-5</v>
      </c>
      <c r="Q966" t="s">
        <v>180</v>
      </c>
      <c r="R966" t="s">
        <v>187</v>
      </c>
      <c r="T966">
        <v>2</v>
      </c>
      <c r="W966">
        <v>7800</v>
      </c>
      <c r="X966" t="s">
        <v>184</v>
      </c>
      <c r="AA966" s="13">
        <f>Tableau8[[#This Row],[density (kg/m2) or specific weight (kg/m2)]]*Tableau8[[#This Row],[nb of item used ]]*Tableau8[[#This Row],[volume or area]]</f>
        <v>1.0920000000000001</v>
      </c>
      <c r="AB966">
        <v>25.3</v>
      </c>
      <c r="AC966">
        <v>1.95</v>
      </c>
      <c r="AD966" s="11">
        <f t="shared" si="256"/>
        <v>1.5556081081081081</v>
      </c>
      <c r="AE966" s="11">
        <f>_xlfn.RANK.AVG(Tableau8[[#This Row],[EE ( MJ/m²)]],AD966:AD2121)</f>
        <v>167</v>
      </c>
      <c r="AF966" s="11">
        <f t="shared" si="257"/>
        <v>0.3111216216216216</v>
      </c>
      <c r="AG966" s="11">
        <f t="shared" si="260"/>
        <v>0.11989864864864863</v>
      </c>
      <c r="AH966" s="11">
        <f t="shared" si="258"/>
        <v>0.11989864864864863</v>
      </c>
      <c r="AI966" s="11">
        <f t="shared" si="261"/>
        <v>2.3979729729729726E-2</v>
      </c>
      <c r="AJ966" s="11">
        <f t="shared" si="259"/>
        <v>2.3979729729729726E-2</v>
      </c>
    </row>
    <row r="967" spans="1:36" x14ac:dyDescent="0.25">
      <c r="A967" s="4" t="s">
        <v>945</v>
      </c>
      <c r="B967" s="4" t="s">
        <v>954</v>
      </c>
      <c r="C967" s="4" t="s">
        <v>15</v>
      </c>
      <c r="D967" s="4" t="s">
        <v>941</v>
      </c>
      <c r="E967" t="s">
        <v>671</v>
      </c>
      <c r="F967" t="s">
        <v>256</v>
      </c>
      <c r="G967" t="s">
        <v>490</v>
      </c>
      <c r="H967">
        <f t="shared" si="255"/>
        <v>17.760000000000002</v>
      </c>
      <c r="I967">
        <v>5</v>
      </c>
      <c r="J967" t="s">
        <v>13</v>
      </c>
      <c r="K967" t="s">
        <v>29</v>
      </c>
      <c r="L967" t="s">
        <v>364</v>
      </c>
      <c r="M967" t="s">
        <v>364</v>
      </c>
      <c r="N967" t="s">
        <v>432</v>
      </c>
      <c r="P967">
        <v>0.1</v>
      </c>
      <c r="Q967" t="s">
        <v>180</v>
      </c>
      <c r="T967">
        <v>1</v>
      </c>
      <c r="W967">
        <v>2240</v>
      </c>
      <c r="X967" t="s">
        <v>184</v>
      </c>
      <c r="AA967" s="13">
        <f>Tableau8[[#This Row],[density (kg/m2) or specific weight (kg/m2)]]*Tableau8[[#This Row],[nb of item used ]]*Tableau8[[#This Row],[volume or area]]</f>
        <v>224</v>
      </c>
      <c r="AB967">
        <v>8.0999999999999996E-3</v>
      </c>
      <c r="AC967">
        <v>5.1000000000000004E-3</v>
      </c>
      <c r="AD967" s="11">
        <f t="shared" si="256"/>
        <v>0.10216216216216216</v>
      </c>
      <c r="AE967" s="11">
        <f>_xlfn.RANK.AVG(Tableau8[[#This Row],[EE ( MJ/m²)]],AD967:AD2122)</f>
        <v>189</v>
      </c>
      <c r="AF967" s="11">
        <f t="shared" si="257"/>
        <v>2.0432432432432431E-2</v>
      </c>
      <c r="AG967" s="11">
        <f t="shared" si="260"/>
        <v>6.432432432432432E-2</v>
      </c>
      <c r="AH967" s="11">
        <f t="shared" si="258"/>
        <v>6.432432432432432E-2</v>
      </c>
      <c r="AI967" s="11">
        <f t="shared" si="261"/>
        <v>1.2864864864864864E-2</v>
      </c>
      <c r="AJ967" s="11">
        <f t="shared" si="259"/>
        <v>1.2864864864864864E-2</v>
      </c>
    </row>
    <row r="968" spans="1:36" x14ac:dyDescent="0.25">
      <c r="A968" s="4" t="s">
        <v>945</v>
      </c>
      <c r="B968" s="4" t="s">
        <v>954</v>
      </c>
      <c r="C968" s="4" t="s">
        <v>15</v>
      </c>
      <c r="D968" s="4" t="s">
        <v>941</v>
      </c>
      <c r="E968" t="s">
        <v>671</v>
      </c>
      <c r="F968" t="s">
        <v>256</v>
      </c>
      <c r="G968" t="s">
        <v>490</v>
      </c>
      <c r="H968">
        <f t="shared" si="255"/>
        <v>17.760000000000002</v>
      </c>
      <c r="I968">
        <v>5</v>
      </c>
      <c r="J968" t="s">
        <v>56</v>
      </c>
      <c r="K968" t="s">
        <v>17</v>
      </c>
      <c r="L968" t="s">
        <v>628</v>
      </c>
      <c r="M968" t="s">
        <v>236</v>
      </c>
      <c r="N968" t="s">
        <v>59</v>
      </c>
      <c r="P968">
        <f>3.1*0.8*0.00035</f>
        <v>8.6800000000000017E-4</v>
      </c>
      <c r="Q968" t="s">
        <v>180</v>
      </c>
      <c r="T968">
        <v>14</v>
      </c>
      <c r="W968">
        <v>7870</v>
      </c>
      <c r="X968" t="s">
        <v>184</v>
      </c>
      <c r="AA968" s="13">
        <f>Tableau8[[#This Row],[density (kg/m2) or specific weight (kg/m2)]]*Tableau8[[#This Row],[nb of item used ]]*Tableau8[[#This Row],[volume or area]]</f>
        <v>95.636240000000015</v>
      </c>
      <c r="AB968">
        <v>25</v>
      </c>
      <c r="AC968">
        <v>2.0299999999999998</v>
      </c>
      <c r="AD968" s="11">
        <f t="shared" si="256"/>
        <v>134.62308558558559</v>
      </c>
      <c r="AE968" s="11">
        <f>_xlfn.RANK.AVG(Tableau8[[#This Row],[EE ( MJ/m²)]],AD968:AD2123)</f>
        <v>18</v>
      </c>
      <c r="AF968" s="11">
        <f t="shared" si="257"/>
        <v>26.924617117117116</v>
      </c>
      <c r="AG968" s="11">
        <f t="shared" si="260"/>
        <v>10.93139454954955</v>
      </c>
      <c r="AH968" s="11">
        <f t="shared" si="258"/>
        <v>10.93139454954955</v>
      </c>
      <c r="AI968" s="11">
        <f t="shared" si="261"/>
        <v>2.1862789099099098</v>
      </c>
      <c r="AJ968" s="11">
        <f t="shared" si="259"/>
        <v>2.1862789099099098</v>
      </c>
    </row>
    <row r="969" spans="1:36" x14ac:dyDescent="0.25">
      <c r="A969" s="4" t="s">
        <v>945</v>
      </c>
      <c r="B969" s="4" t="s">
        <v>954</v>
      </c>
      <c r="C969" s="4" t="s">
        <v>15</v>
      </c>
      <c r="D969" s="4" t="s">
        <v>941</v>
      </c>
      <c r="E969" t="s">
        <v>671</v>
      </c>
      <c r="F969" t="s">
        <v>256</v>
      </c>
      <c r="G969" t="s">
        <v>490</v>
      </c>
      <c r="H969">
        <f t="shared" si="255"/>
        <v>17.760000000000002</v>
      </c>
      <c r="I969">
        <v>5</v>
      </c>
      <c r="J969" t="s">
        <v>13</v>
      </c>
      <c r="K969" t="s">
        <v>29</v>
      </c>
      <c r="L969" t="s">
        <v>607</v>
      </c>
      <c r="M969" t="s">
        <v>607</v>
      </c>
      <c r="N969" t="s">
        <v>433</v>
      </c>
      <c r="P969">
        <v>0.1</v>
      </c>
      <c r="Q969" t="s">
        <v>180</v>
      </c>
      <c r="T969">
        <v>1</v>
      </c>
      <c r="W969">
        <v>2240</v>
      </c>
      <c r="X969" t="s">
        <v>184</v>
      </c>
      <c r="AA969" s="13">
        <f>Tableau8[[#This Row],[density (kg/m2) or specific weight (kg/m2)]]*Tableau8[[#This Row],[nb of item used ]]*Tableau8[[#This Row],[volume or area]]</f>
        <v>224</v>
      </c>
      <c r="AB969">
        <v>8.3000000000000004E-2</v>
      </c>
      <c r="AC969">
        <v>5.1999999999999998E-3</v>
      </c>
      <c r="AD969" s="11">
        <f t="shared" si="256"/>
        <v>1.0468468468468468</v>
      </c>
      <c r="AE969" s="11">
        <f>_xlfn.RANK.AVG(Tableau8[[#This Row],[EE ( MJ/m²)]],AD969:AD2124)</f>
        <v>173</v>
      </c>
      <c r="AF969" s="11">
        <f t="shared" si="257"/>
        <v>0.20936936936936937</v>
      </c>
      <c r="AG969" s="11">
        <f t="shared" si="260"/>
        <v>6.5585585585585582E-2</v>
      </c>
      <c r="AH969" s="11">
        <f t="shared" si="258"/>
        <v>6.5585585585585582E-2</v>
      </c>
      <c r="AI969" s="11">
        <f t="shared" si="261"/>
        <v>1.3117117117117116E-2</v>
      </c>
      <c r="AJ969" s="11">
        <f t="shared" si="259"/>
        <v>1.3117117117117116E-2</v>
      </c>
    </row>
    <row r="970" spans="1:36" x14ac:dyDescent="0.25">
      <c r="A970" s="4" t="s">
        <v>945</v>
      </c>
      <c r="B970" s="4" t="s">
        <v>954</v>
      </c>
      <c r="C970" s="4" t="s">
        <v>15</v>
      </c>
      <c r="D970" s="4" t="s">
        <v>941</v>
      </c>
      <c r="E970" t="s">
        <v>671</v>
      </c>
      <c r="F970" t="s">
        <v>256</v>
      </c>
      <c r="G970" t="s">
        <v>490</v>
      </c>
      <c r="H970">
        <f t="shared" si="255"/>
        <v>17.760000000000002</v>
      </c>
      <c r="I970">
        <v>5</v>
      </c>
      <c r="J970" t="s">
        <v>13</v>
      </c>
      <c r="K970" t="s">
        <v>18</v>
      </c>
      <c r="L970" t="s">
        <v>606</v>
      </c>
      <c r="M970" t="s">
        <v>363</v>
      </c>
      <c r="N970" t="s">
        <v>431</v>
      </c>
      <c r="T970">
        <v>1</v>
      </c>
      <c r="W970">
        <v>1860</v>
      </c>
      <c r="X970" t="s">
        <v>184</v>
      </c>
      <c r="AA970" s="13">
        <f>42.5*5</f>
        <v>212.5</v>
      </c>
      <c r="AB970">
        <v>4.51</v>
      </c>
      <c r="AC970">
        <v>0.74</v>
      </c>
      <c r="AD970" s="11">
        <f t="shared" si="256"/>
        <v>53.962556306306304</v>
      </c>
      <c r="AE970" s="11">
        <f>_xlfn.RANK.AVG(Tableau8[[#This Row],[EE ( MJ/m²)]],AD970:AD2125)</f>
        <v>53</v>
      </c>
      <c r="AF970" s="11">
        <f t="shared" si="257"/>
        <v>10.792511261261261</v>
      </c>
      <c r="AG970" s="11">
        <f t="shared" si="260"/>
        <v>8.8541666666666661</v>
      </c>
      <c r="AH970" s="11">
        <f t="shared" si="258"/>
        <v>8.8541666666666661</v>
      </c>
      <c r="AI970" s="11">
        <f t="shared" si="261"/>
        <v>1.7708333333333333</v>
      </c>
      <c r="AJ970" s="11">
        <f t="shared" si="259"/>
        <v>1.7708333333333333</v>
      </c>
    </row>
    <row r="971" spans="1:36" x14ac:dyDescent="0.25">
      <c r="A971" s="4" t="s">
        <v>944</v>
      </c>
      <c r="B971" s="4" t="s">
        <v>1127</v>
      </c>
      <c r="C971" t="s">
        <v>15</v>
      </c>
      <c r="D971" s="4" t="s">
        <v>1106</v>
      </c>
      <c r="E971" t="s">
        <v>1130</v>
      </c>
      <c r="F971" t="s">
        <v>256</v>
      </c>
      <c r="G971" t="s">
        <v>927</v>
      </c>
      <c r="H971">
        <v>21</v>
      </c>
      <c r="I971">
        <v>8</v>
      </c>
      <c r="J971" t="s">
        <v>30</v>
      </c>
      <c r="K971" t="s">
        <v>15</v>
      </c>
      <c r="L971" t="s">
        <v>1028</v>
      </c>
      <c r="M971" t="s">
        <v>15</v>
      </c>
      <c r="N971" t="s">
        <v>15</v>
      </c>
      <c r="O971" t="s">
        <v>1128</v>
      </c>
      <c r="P971">
        <f>0.33+0.15+0.3</f>
        <v>0.78</v>
      </c>
      <c r="Q971" t="s">
        <v>180</v>
      </c>
      <c r="R971" t="s">
        <v>176</v>
      </c>
      <c r="T971">
        <v>1</v>
      </c>
      <c r="U971" t="s">
        <v>1006</v>
      </c>
      <c r="W971">
        <v>510</v>
      </c>
      <c r="X971" t="s">
        <v>184</v>
      </c>
      <c r="AA971" s="13">
        <f>Tableau8[[#This Row],[nb of item used ]]*Tableau8[[#This Row],[density (kg/m2) or specific weight (kg/m2)]]*Tableau8[[#This Row],[volume or area]]</f>
        <v>397.8</v>
      </c>
      <c r="AB971">
        <f>10-4.4</f>
        <v>5.6</v>
      </c>
      <c r="AC971">
        <f>0.31+0.41</f>
        <v>0.72</v>
      </c>
      <c r="AD971" s="11">
        <f t="shared" si="256"/>
        <v>106.08</v>
      </c>
      <c r="AE971" s="11">
        <f>_xlfn.RANK.AVG(Tableau8[[#This Row],[EE ( MJ/m²)]],AD971:AD2126)</f>
        <v>28</v>
      </c>
      <c r="AF971" s="11">
        <f t="shared" si="257"/>
        <v>13.26</v>
      </c>
      <c r="AG971" s="11">
        <f>(AC971-0.41)*AA971/H971</f>
        <v>5.8722857142857139</v>
      </c>
      <c r="AH971" s="11">
        <f t="shared" si="258"/>
        <v>13.638857142857143</v>
      </c>
      <c r="AI971" s="11">
        <f>(AC971-0.41)*AA971/H971/I971</f>
        <v>0.73403571428571424</v>
      </c>
      <c r="AJ971" s="11">
        <f t="shared" si="259"/>
        <v>1.7048571428571428</v>
      </c>
    </row>
    <row r="972" spans="1:36" x14ac:dyDescent="0.25">
      <c r="A972" s="4" t="s">
        <v>944</v>
      </c>
      <c r="B972" s="4" t="s">
        <v>1127</v>
      </c>
      <c r="C972" t="s">
        <v>15</v>
      </c>
      <c r="D972" s="4" t="s">
        <v>1106</v>
      </c>
      <c r="E972" t="s">
        <v>1130</v>
      </c>
      <c r="F972" t="s">
        <v>256</v>
      </c>
      <c r="G972" t="s">
        <v>927</v>
      </c>
      <c r="H972">
        <v>21</v>
      </c>
      <c r="I972">
        <v>8</v>
      </c>
      <c r="J972" t="s">
        <v>57</v>
      </c>
      <c r="K972" t="s">
        <v>15</v>
      </c>
      <c r="L972" t="s">
        <v>888</v>
      </c>
      <c r="M972" t="s">
        <v>15</v>
      </c>
      <c r="N972" t="s">
        <v>15</v>
      </c>
      <c r="P972">
        <f>21*0.03</f>
        <v>0.63</v>
      </c>
      <c r="Q972" t="s">
        <v>180</v>
      </c>
      <c r="R972" t="s">
        <v>176</v>
      </c>
      <c r="T972">
        <v>1</v>
      </c>
      <c r="U972" t="s">
        <v>1006</v>
      </c>
      <c r="W972">
        <v>510</v>
      </c>
      <c r="X972" t="s">
        <v>184</v>
      </c>
      <c r="AA972" s="13">
        <f>Tableau8[[#This Row],[nb of item used ]]*Tableau8[[#This Row],[density (kg/m2) or specific weight (kg/m2)]]*Tableau8[[#This Row],[volume or area]]</f>
        <v>321.3</v>
      </c>
      <c r="AB972">
        <f>10-4.4</f>
        <v>5.6</v>
      </c>
      <c r="AC972">
        <f>0.31+0.41</f>
        <v>0.72</v>
      </c>
      <c r="AD972" s="11">
        <f t="shared" si="256"/>
        <v>85.679999999999993</v>
      </c>
      <c r="AE972" s="11">
        <f>_xlfn.RANK.AVG(Tableau8[[#This Row],[EE ( MJ/m²)]],AD972:AD2127)</f>
        <v>37</v>
      </c>
      <c r="AF972" s="11">
        <f t="shared" si="257"/>
        <v>10.709999999999999</v>
      </c>
      <c r="AG972" s="11">
        <f>(AC972-0.41)*AA972/H972</f>
        <v>4.7430000000000003</v>
      </c>
      <c r="AH972" s="11">
        <f t="shared" si="258"/>
        <v>11.016</v>
      </c>
      <c r="AI972" s="11">
        <f>(AC972-0.41)*AA972/H972/I972</f>
        <v>0.59287500000000004</v>
      </c>
      <c r="AJ972" s="11">
        <f t="shared" si="259"/>
        <v>1.377</v>
      </c>
    </row>
    <row r="973" spans="1:36" x14ac:dyDescent="0.25">
      <c r="A973" s="4" t="s">
        <v>944</v>
      </c>
      <c r="B973" s="4" t="s">
        <v>1127</v>
      </c>
      <c r="C973" t="s">
        <v>15</v>
      </c>
      <c r="D973" s="4" t="s">
        <v>1106</v>
      </c>
      <c r="E973" t="s">
        <v>1130</v>
      </c>
      <c r="F973" t="s">
        <v>256</v>
      </c>
      <c r="G973" t="s">
        <v>927</v>
      </c>
      <c r="H973">
        <v>21</v>
      </c>
      <c r="I973">
        <v>8</v>
      </c>
      <c r="J973" t="s">
        <v>40</v>
      </c>
      <c r="K973" t="s">
        <v>15</v>
      </c>
      <c r="L973" t="s">
        <v>488</v>
      </c>
      <c r="M973" t="s">
        <v>15</v>
      </c>
      <c r="N973" t="s">
        <v>15</v>
      </c>
      <c r="O973" t="s">
        <v>1129</v>
      </c>
      <c r="P973">
        <f>3*0.03</f>
        <v>0.09</v>
      </c>
      <c r="Q973" t="s">
        <v>180</v>
      </c>
      <c r="R973" t="s">
        <v>176</v>
      </c>
      <c r="T973">
        <v>1</v>
      </c>
      <c r="U973" t="s">
        <v>1006</v>
      </c>
      <c r="W973">
        <v>510</v>
      </c>
      <c r="X973" t="s">
        <v>184</v>
      </c>
      <c r="AA973" s="13">
        <f>Tableau8[[#This Row],[nb of item used ]]*Tableau8[[#This Row],[density (kg/m2) or specific weight (kg/m2)]]*Tableau8[[#This Row],[volume or area]]</f>
        <v>45.9</v>
      </c>
      <c r="AB973">
        <f>10-4.4</f>
        <v>5.6</v>
      </c>
      <c r="AC973">
        <f>0.31+0.41</f>
        <v>0.72</v>
      </c>
      <c r="AD973" s="11">
        <f t="shared" si="256"/>
        <v>12.239999999999998</v>
      </c>
      <c r="AE973" s="11">
        <f>_xlfn.RANK.AVG(Tableau8[[#This Row],[EE ( MJ/m²)]],AD973:AD2128)</f>
        <v>108</v>
      </c>
      <c r="AF973" s="11">
        <f t="shared" si="257"/>
        <v>1.5299999999999998</v>
      </c>
      <c r="AG973" s="11">
        <f>(AC973-0.41)*AA973/H973</f>
        <v>0.67757142857142849</v>
      </c>
      <c r="AH973" s="11">
        <f t="shared" si="258"/>
        <v>1.5737142857142854</v>
      </c>
      <c r="AI973" s="11">
        <f>(AC973-0.41)*AA973/H973/I973</f>
        <v>8.4696428571428561E-2</v>
      </c>
      <c r="AJ973" s="11">
        <f t="shared" si="259"/>
        <v>0.19671428571428567</v>
      </c>
    </row>
    <row r="974" spans="1:36" x14ac:dyDescent="0.25">
      <c r="A974" s="4" t="s">
        <v>944</v>
      </c>
      <c r="B974" s="4" t="s">
        <v>1127</v>
      </c>
      <c r="C974" t="s">
        <v>12</v>
      </c>
      <c r="D974" s="4" t="s">
        <v>1106</v>
      </c>
      <c r="E974" t="s">
        <v>1130</v>
      </c>
      <c r="F974" t="s">
        <v>256</v>
      </c>
      <c r="G974" t="s">
        <v>927</v>
      </c>
      <c r="H974">
        <v>21</v>
      </c>
      <c r="I974">
        <v>8</v>
      </c>
      <c r="J974" t="s">
        <v>56</v>
      </c>
      <c r="K974" t="s">
        <v>17</v>
      </c>
      <c r="L974" t="s">
        <v>274</v>
      </c>
      <c r="M974" t="s">
        <v>12</v>
      </c>
      <c r="N974" t="s">
        <v>12</v>
      </c>
      <c r="P974">
        <f>25*0.003</f>
        <v>7.4999999999999997E-2</v>
      </c>
      <c r="Q974" t="s">
        <v>180</v>
      </c>
      <c r="R974" t="s">
        <v>176</v>
      </c>
      <c r="T974">
        <v>1</v>
      </c>
      <c r="U974" t="s">
        <v>1006</v>
      </c>
      <c r="W974">
        <v>7800</v>
      </c>
      <c r="X974" t="s">
        <v>184</v>
      </c>
      <c r="AA974" s="13">
        <f>Tableau8[[#This Row],[density (kg/m2) or specific weight (kg/m2)]]*Tableau8[[#This Row],[volume or area]]</f>
        <v>585</v>
      </c>
      <c r="AB974">
        <v>25.3</v>
      </c>
      <c r="AC974">
        <v>1.95</v>
      </c>
      <c r="AD974" s="11">
        <f t="shared" si="256"/>
        <v>704.78571428571433</v>
      </c>
      <c r="AE974" s="11">
        <f>_xlfn.RANK.AVG(Tableau8[[#This Row],[EE ( MJ/m²)]],AD974:AD2129)</f>
        <v>5</v>
      </c>
      <c r="AF974" s="11">
        <f t="shared" si="257"/>
        <v>88.098214285714292</v>
      </c>
      <c r="AG974" s="11">
        <f>(AC974)*AA974/H974</f>
        <v>54.321428571428569</v>
      </c>
      <c r="AH974" s="11">
        <f t="shared" si="258"/>
        <v>54.321428571428569</v>
      </c>
      <c r="AI974" s="33">
        <f>(AC974)*AA974/H974/I974</f>
        <v>6.7901785714285712</v>
      </c>
      <c r="AJ974" s="11">
        <f t="shared" si="259"/>
        <v>6.7901785714285712</v>
      </c>
    </row>
    <row r="975" spans="1:36" x14ac:dyDescent="0.25">
      <c r="A975" s="4" t="s">
        <v>944</v>
      </c>
      <c r="B975" s="4" t="s">
        <v>1127</v>
      </c>
      <c r="C975" t="s">
        <v>12</v>
      </c>
      <c r="D975" s="4" t="s">
        <v>1106</v>
      </c>
      <c r="E975" t="s">
        <v>1130</v>
      </c>
      <c r="F975" t="s">
        <v>256</v>
      </c>
      <c r="G975" t="s">
        <v>927</v>
      </c>
      <c r="H975">
        <v>21</v>
      </c>
      <c r="I975">
        <v>8</v>
      </c>
      <c r="J975" t="s">
        <v>44</v>
      </c>
      <c r="K975" t="s">
        <v>17</v>
      </c>
      <c r="L975" t="s">
        <v>712</v>
      </c>
      <c r="M975" t="s">
        <v>12</v>
      </c>
      <c r="N975" t="s">
        <v>12</v>
      </c>
      <c r="R975" t="s">
        <v>187</v>
      </c>
      <c r="T975">
        <v>1</v>
      </c>
      <c r="U975" t="s">
        <v>346</v>
      </c>
      <c r="W975">
        <v>7800</v>
      </c>
      <c r="X975" t="s">
        <v>184</v>
      </c>
      <c r="AA975" s="13">
        <v>13</v>
      </c>
      <c r="AB975">
        <v>25.3</v>
      </c>
      <c r="AC975">
        <v>1.95</v>
      </c>
      <c r="AD975" s="11">
        <f t="shared" si="256"/>
        <v>15.661904761904763</v>
      </c>
      <c r="AE975" s="11">
        <f>_xlfn.RANK.AVG(Tableau8[[#This Row],[EE ( MJ/m²)]],AD975:AD2130)</f>
        <v>97</v>
      </c>
      <c r="AF975" s="11">
        <f t="shared" si="257"/>
        <v>1.9577380952380954</v>
      </c>
      <c r="AG975" s="11">
        <f>(AC975)*AA975/H975</f>
        <v>1.2071428571428571</v>
      </c>
      <c r="AH975" s="11">
        <f t="shared" si="258"/>
        <v>1.2071428571428571</v>
      </c>
      <c r="AI975" s="33">
        <f>(AC975)*AA975/H975/I975</f>
        <v>0.15089285714285713</v>
      </c>
      <c r="AJ975" s="11">
        <f t="shared" si="259"/>
        <v>0.15089285714285713</v>
      </c>
    </row>
    <row r="976" spans="1:36" x14ac:dyDescent="0.25">
      <c r="A976" s="23" t="s">
        <v>944</v>
      </c>
      <c r="B976" s="23" t="s">
        <v>1127</v>
      </c>
      <c r="C976" s="20" t="s">
        <v>14</v>
      </c>
      <c r="D976" s="23" t="s">
        <v>1106</v>
      </c>
      <c r="E976" s="20" t="s">
        <v>1130</v>
      </c>
      <c r="F976" s="20" t="s">
        <v>256</v>
      </c>
      <c r="G976" s="20" t="s">
        <v>927</v>
      </c>
      <c r="H976" s="20">
        <v>21</v>
      </c>
      <c r="I976" s="20">
        <v>8</v>
      </c>
      <c r="J976" s="20" t="s">
        <v>40</v>
      </c>
      <c r="K976" t="s">
        <v>14</v>
      </c>
      <c r="L976" s="20" t="s">
        <v>1012</v>
      </c>
      <c r="M976" s="20" t="s">
        <v>14</v>
      </c>
      <c r="N976" s="20" t="s">
        <v>111</v>
      </c>
      <c r="P976" s="20"/>
      <c r="Q976" s="20"/>
      <c r="R976" s="20" t="s">
        <v>176</v>
      </c>
      <c r="S976" s="20"/>
      <c r="T976" s="20">
        <v>1</v>
      </c>
      <c r="U976" s="20" t="s">
        <v>1006</v>
      </c>
      <c r="V976" s="20"/>
      <c r="W976" s="25">
        <v>1380</v>
      </c>
      <c r="X976" s="20" t="s">
        <v>184</v>
      </c>
      <c r="Y976" s="20"/>
      <c r="Z976" s="20"/>
      <c r="AA976" s="20">
        <v>45</v>
      </c>
      <c r="AB976" s="20">
        <v>35.6</v>
      </c>
      <c r="AC976">
        <v>3.31</v>
      </c>
      <c r="AD976" s="11">
        <f t="shared" si="256"/>
        <v>76.285714285714292</v>
      </c>
      <c r="AE976" s="11">
        <f>_xlfn.RANK.AVG(Tableau8[[#This Row],[EE ( MJ/m²)]],AD976:AD2131)</f>
        <v>41</v>
      </c>
      <c r="AF976" s="11">
        <f t="shared" si="257"/>
        <v>9.5357142857142865</v>
      </c>
      <c r="AG976" s="11">
        <f>(AC976)*AA976/H976</f>
        <v>7.0928571428571425</v>
      </c>
      <c r="AH976" s="11">
        <f t="shared" si="258"/>
        <v>7.0928571428571425</v>
      </c>
      <c r="AI976" s="33">
        <f>(AC976)*AA976/H976/I976</f>
        <v>0.88660714285714282</v>
      </c>
      <c r="AJ976" s="11">
        <f t="shared" si="259"/>
        <v>0.88660714285714282</v>
      </c>
    </row>
    <row r="977" spans="1:36" x14ac:dyDescent="0.25">
      <c r="A977" s="4" t="s">
        <v>944</v>
      </c>
      <c r="B977" s="4" t="s">
        <v>1127</v>
      </c>
      <c r="C977" t="s">
        <v>18</v>
      </c>
      <c r="D977" s="4" t="s">
        <v>1106</v>
      </c>
      <c r="E977" t="s">
        <v>1130</v>
      </c>
      <c r="F977" t="s">
        <v>256</v>
      </c>
      <c r="G977" t="s">
        <v>927</v>
      </c>
      <c r="H977">
        <v>21</v>
      </c>
      <c r="I977">
        <v>8</v>
      </c>
      <c r="J977" t="s">
        <v>13</v>
      </c>
      <c r="K977" t="s">
        <v>18</v>
      </c>
      <c r="L977" t="s">
        <v>414</v>
      </c>
      <c r="M977" t="s">
        <v>18</v>
      </c>
      <c r="N977" t="s">
        <v>39</v>
      </c>
      <c r="P977">
        <v>1.4</v>
      </c>
      <c r="Q977" t="s">
        <v>180</v>
      </c>
      <c r="R977" t="s">
        <v>175</v>
      </c>
      <c r="T977">
        <v>1</v>
      </c>
      <c r="U977" t="s">
        <v>175</v>
      </c>
      <c r="W977">
        <v>2400</v>
      </c>
      <c r="X977" t="s">
        <v>184</v>
      </c>
      <c r="AA977" s="13">
        <f>Tableau8[[#This Row],[density (kg/m2) or specific weight (kg/m2)]]*Tableau8[[#This Row],[nb of item used ]]*Tableau8[[#This Row],[volume or area]]</f>
        <v>3360</v>
      </c>
      <c r="AB977">
        <v>0.75</v>
      </c>
      <c r="AC977">
        <v>0.105</v>
      </c>
      <c r="AD977" s="11">
        <f t="shared" si="256"/>
        <v>120</v>
      </c>
      <c r="AE977" s="11">
        <f>_xlfn.RANK.AVG(Tableau8[[#This Row],[EE ( MJ/m²)]],AD977:AD2132)</f>
        <v>21</v>
      </c>
      <c r="AF977" s="11">
        <f t="shared" si="257"/>
        <v>15</v>
      </c>
      <c r="AG977" s="11">
        <f>(AC977)*AA977/H977</f>
        <v>16.8</v>
      </c>
      <c r="AH977" s="11">
        <f t="shared" si="258"/>
        <v>16.8</v>
      </c>
      <c r="AI977" s="33">
        <f>(AC977)*AA977/H977/I977</f>
        <v>2.1</v>
      </c>
      <c r="AJ977" s="11">
        <f t="shared" si="259"/>
        <v>2.1</v>
      </c>
    </row>
    <row r="978" spans="1:36" x14ac:dyDescent="0.25">
      <c r="A978" s="4" t="s">
        <v>944</v>
      </c>
      <c r="B978" s="4" t="s">
        <v>1151</v>
      </c>
      <c r="C978" t="s">
        <v>15</v>
      </c>
      <c r="D978" s="4" t="s">
        <v>1106</v>
      </c>
      <c r="E978" t="s">
        <v>1154</v>
      </c>
      <c r="F978" t="s">
        <v>256</v>
      </c>
      <c r="G978" t="s">
        <v>524</v>
      </c>
      <c r="H978">
        <v>18</v>
      </c>
      <c r="I978">
        <v>6</v>
      </c>
      <c r="J978" t="s">
        <v>40</v>
      </c>
      <c r="K978" t="s">
        <v>15</v>
      </c>
      <c r="L978" t="s">
        <v>1156</v>
      </c>
      <c r="M978" t="s">
        <v>15</v>
      </c>
      <c r="N978" t="s">
        <v>15</v>
      </c>
      <c r="P978">
        <v>0.34</v>
      </c>
      <c r="Q978" t="s">
        <v>180</v>
      </c>
      <c r="R978" t="s">
        <v>176</v>
      </c>
      <c r="T978">
        <v>1</v>
      </c>
      <c r="U978" t="s">
        <v>1006</v>
      </c>
      <c r="W978">
        <v>510</v>
      </c>
      <c r="X978" t="s">
        <v>184</v>
      </c>
      <c r="AA978" s="13">
        <f>Tableau8[[#This Row],[nb of item used ]]*Tableau8[[#This Row],[density (kg/m2) or specific weight (kg/m2)]]*Tableau8[[#This Row],[volume or area]]</f>
        <v>173.4</v>
      </c>
      <c r="AB978">
        <f>10-4.4</f>
        <v>5.6</v>
      </c>
      <c r="AC978">
        <f>0.31+0.41</f>
        <v>0.72</v>
      </c>
      <c r="AD978" s="11">
        <f t="shared" si="256"/>
        <v>53.946666666666665</v>
      </c>
      <c r="AE978" s="11">
        <f>_xlfn.RANK.AVG(Tableau8[[#This Row],[EE ( MJ/m²)]],AD978:AD2133)</f>
        <v>48</v>
      </c>
      <c r="AF978" s="11">
        <f t="shared" si="257"/>
        <v>8.9911111111111115</v>
      </c>
      <c r="AG978" s="11">
        <f>(AC978-0.41)*AA978/H978</f>
        <v>2.9863333333333335</v>
      </c>
      <c r="AH978" s="11">
        <f t="shared" si="258"/>
        <v>6.9359999999999999</v>
      </c>
      <c r="AI978" s="11">
        <f>(AC978-0.41)*AA978/H978/I978</f>
        <v>0.49772222222222223</v>
      </c>
      <c r="AJ978" s="11">
        <f t="shared" si="259"/>
        <v>1.1559999999999999</v>
      </c>
    </row>
    <row r="979" spans="1:36" x14ac:dyDescent="0.25">
      <c r="A979" s="4" t="s">
        <v>944</v>
      </c>
      <c r="B979" s="4" t="s">
        <v>1151</v>
      </c>
      <c r="C979" t="s">
        <v>15</v>
      </c>
      <c r="D979" s="4" t="s">
        <v>1106</v>
      </c>
      <c r="E979" t="s">
        <v>1154</v>
      </c>
      <c r="F979" t="s">
        <v>256</v>
      </c>
      <c r="G979" t="s">
        <v>524</v>
      </c>
      <c r="H979">
        <v>18</v>
      </c>
      <c r="I979">
        <v>6</v>
      </c>
      <c r="J979" t="s">
        <v>42</v>
      </c>
      <c r="K979" t="s">
        <v>15</v>
      </c>
      <c r="L979" t="s">
        <v>1157</v>
      </c>
      <c r="M979" t="s">
        <v>15</v>
      </c>
      <c r="N979" t="s">
        <v>15</v>
      </c>
      <c r="P979">
        <v>5.8000000000000003E-2</v>
      </c>
      <c r="Q979" t="s">
        <v>180</v>
      </c>
      <c r="R979" t="s">
        <v>175</v>
      </c>
      <c r="T979">
        <v>1</v>
      </c>
      <c r="U979" t="s">
        <v>175</v>
      </c>
      <c r="W979">
        <v>510</v>
      </c>
      <c r="X979" t="s">
        <v>184</v>
      </c>
      <c r="AA979" s="13">
        <f>Tableau8[[#This Row],[nb of item used ]]*Tableau8[[#This Row],[density (kg/m2) or specific weight (kg/m2)]]*Tableau8[[#This Row],[volume or area]]</f>
        <v>29.580000000000002</v>
      </c>
      <c r="AB979">
        <f>10-4.4</f>
        <v>5.6</v>
      </c>
      <c r="AC979">
        <f>0.31+0.41</f>
        <v>0.72</v>
      </c>
      <c r="AD979" s="11">
        <f t="shared" si="256"/>
        <v>9.2026666666666657</v>
      </c>
      <c r="AE979" s="11">
        <f>_xlfn.RANK.AVG(Tableau8[[#This Row],[EE ( MJ/m²)]],AD979:AD2134)</f>
        <v>115</v>
      </c>
      <c r="AF979" s="11">
        <f t="shared" si="257"/>
        <v>1.5337777777777777</v>
      </c>
      <c r="AG979" s="11">
        <f>(AC979-0.41)*AA979/H979</f>
        <v>0.5094333333333334</v>
      </c>
      <c r="AH979" s="11">
        <f t="shared" si="258"/>
        <v>1.1832</v>
      </c>
      <c r="AI979" s="11">
        <f>(AC979-0.41)*AA979/H979/I979</f>
        <v>8.4905555555555567E-2</v>
      </c>
      <c r="AJ979" s="11">
        <f t="shared" si="259"/>
        <v>0.19720000000000001</v>
      </c>
    </row>
    <row r="980" spans="1:36" x14ac:dyDescent="0.25">
      <c r="A980" s="4" t="s">
        <v>944</v>
      </c>
      <c r="B980" s="4" t="s">
        <v>1151</v>
      </c>
      <c r="C980" t="s">
        <v>15</v>
      </c>
      <c r="D980" s="4" t="s">
        <v>1106</v>
      </c>
      <c r="E980" t="s">
        <v>1154</v>
      </c>
      <c r="F980" t="s">
        <v>256</v>
      </c>
      <c r="G980" t="s">
        <v>524</v>
      </c>
      <c r="H980">
        <v>18</v>
      </c>
      <c r="I980">
        <v>6</v>
      </c>
      <c r="J980" t="s">
        <v>40</v>
      </c>
      <c r="K980" t="s">
        <v>15</v>
      </c>
      <c r="L980" t="s">
        <v>1158</v>
      </c>
      <c r="M980" t="s">
        <v>15</v>
      </c>
      <c r="N980" t="s">
        <v>15</v>
      </c>
      <c r="P980">
        <v>8.1000000000000003E-2</v>
      </c>
      <c r="Q980" t="s">
        <v>180</v>
      </c>
      <c r="R980" t="s">
        <v>175</v>
      </c>
      <c r="T980">
        <v>1</v>
      </c>
      <c r="U980" t="s">
        <v>175</v>
      </c>
      <c r="W980">
        <v>510</v>
      </c>
      <c r="X980" t="s">
        <v>184</v>
      </c>
      <c r="AA980" s="13">
        <f>Tableau8[[#This Row],[nb of item used ]]*Tableau8[[#This Row],[density (kg/m2) or specific weight (kg/m2)]]*Tableau8[[#This Row],[volume or area]]</f>
        <v>41.31</v>
      </c>
      <c r="AB980">
        <f>10-4.4</f>
        <v>5.6</v>
      </c>
      <c r="AC980">
        <f>0.31+0.41</f>
        <v>0.72</v>
      </c>
      <c r="AD980" s="11">
        <f t="shared" si="256"/>
        <v>12.851999999999999</v>
      </c>
      <c r="AE980" s="11">
        <f>_xlfn.RANK.AVG(Tableau8[[#This Row],[EE ( MJ/m²)]],AD980:AD2135)</f>
        <v>101</v>
      </c>
      <c r="AF980" s="11">
        <f t="shared" si="257"/>
        <v>2.1419999999999999</v>
      </c>
      <c r="AG980" s="11">
        <f>(AC980-0.41)*AA980/H980</f>
        <v>0.71145000000000003</v>
      </c>
      <c r="AH980" s="11">
        <f t="shared" si="258"/>
        <v>1.6524000000000001</v>
      </c>
      <c r="AI980" s="11">
        <f>(AC980-0.41)*AA980/H980/I980</f>
        <v>0.118575</v>
      </c>
      <c r="AJ980" s="11">
        <f t="shared" si="259"/>
        <v>0.27540000000000003</v>
      </c>
    </row>
    <row r="981" spans="1:36" x14ac:dyDescent="0.25">
      <c r="A981" s="4" t="s">
        <v>944</v>
      </c>
      <c r="B981" s="4" t="s">
        <v>1151</v>
      </c>
      <c r="C981" t="s">
        <v>15</v>
      </c>
      <c r="D981" s="4" t="s">
        <v>1106</v>
      </c>
      <c r="E981" t="s">
        <v>1154</v>
      </c>
      <c r="F981" t="s">
        <v>256</v>
      </c>
      <c r="G981" t="s">
        <v>524</v>
      </c>
      <c r="H981">
        <v>18</v>
      </c>
      <c r="I981">
        <v>6</v>
      </c>
      <c r="J981" t="s">
        <v>56</v>
      </c>
      <c r="K981" t="s">
        <v>15</v>
      </c>
      <c r="L981" t="s">
        <v>1159</v>
      </c>
      <c r="M981" t="s">
        <v>15</v>
      </c>
      <c r="N981" t="s">
        <v>15</v>
      </c>
      <c r="P981">
        <v>0.57699999999999996</v>
      </c>
      <c r="Q981" t="s">
        <v>180</v>
      </c>
      <c r="R981" t="s">
        <v>175</v>
      </c>
      <c r="T981">
        <v>1</v>
      </c>
      <c r="U981" t="s">
        <v>175</v>
      </c>
      <c r="W981">
        <v>510</v>
      </c>
      <c r="X981" t="s">
        <v>184</v>
      </c>
      <c r="AA981" s="13">
        <f>Tableau8[[#This Row],[nb of item used ]]*Tableau8[[#This Row],[density (kg/m2) or specific weight (kg/m2)]]*Tableau8[[#This Row],[volume or area]]</f>
        <v>294.27</v>
      </c>
      <c r="AB981">
        <f>10-4.4</f>
        <v>5.6</v>
      </c>
      <c r="AC981">
        <f>0.31+0.41</f>
        <v>0.72</v>
      </c>
      <c r="AD981" s="11">
        <f t="shared" si="256"/>
        <v>91.550666666666658</v>
      </c>
      <c r="AE981" s="11">
        <f>_xlfn.RANK.AVG(Tableau8[[#This Row],[EE ( MJ/m²)]],AD981:AD2136)</f>
        <v>30</v>
      </c>
      <c r="AF981" s="11">
        <f t="shared" si="257"/>
        <v>15.258444444444443</v>
      </c>
      <c r="AG981" s="11">
        <f>(AC981-0.41)*AA981/H981</f>
        <v>5.0679833333333333</v>
      </c>
      <c r="AH981" s="11">
        <f t="shared" si="258"/>
        <v>11.770799999999999</v>
      </c>
      <c r="AI981" s="11">
        <f>(AC981-0.41)*AA981/H981/I981</f>
        <v>0.84466388888888888</v>
      </c>
      <c r="AJ981" s="11">
        <f t="shared" si="259"/>
        <v>1.9618</v>
      </c>
    </row>
    <row r="982" spans="1:36" x14ac:dyDescent="0.25">
      <c r="A982" s="4" t="s">
        <v>944</v>
      </c>
      <c r="B982" s="4" t="s">
        <v>1151</v>
      </c>
      <c r="C982" t="s">
        <v>12</v>
      </c>
      <c r="D982" s="4" t="s">
        <v>1106</v>
      </c>
      <c r="E982" t="s">
        <v>1154</v>
      </c>
      <c r="F982" t="s">
        <v>256</v>
      </c>
      <c r="G982" t="s">
        <v>524</v>
      </c>
      <c r="H982">
        <v>18</v>
      </c>
      <c r="I982">
        <v>6</v>
      </c>
      <c r="J982" t="s">
        <v>42</v>
      </c>
      <c r="K982" t="s">
        <v>17</v>
      </c>
      <c r="L982" t="s">
        <v>274</v>
      </c>
      <c r="M982" t="s">
        <v>12</v>
      </c>
      <c r="N982" t="s">
        <v>12</v>
      </c>
      <c r="P982">
        <f>1.8*0.7*0.0035*52</f>
        <v>0.22932</v>
      </c>
      <c r="Q982" t="s">
        <v>180</v>
      </c>
      <c r="R982" t="s">
        <v>176</v>
      </c>
      <c r="T982">
        <v>1</v>
      </c>
      <c r="U982" t="s">
        <v>1006</v>
      </c>
      <c r="W982">
        <v>7800</v>
      </c>
      <c r="X982" t="s">
        <v>184</v>
      </c>
      <c r="AA982" s="13">
        <f>Tableau8[[#This Row],[density (kg/m2) or specific weight (kg/m2)]]*Tableau8[[#This Row],[volume or area]]</f>
        <v>1788.6959999999999</v>
      </c>
      <c r="AB982">
        <v>25.3</v>
      </c>
      <c r="AC982">
        <v>1.95</v>
      </c>
      <c r="AD982" s="11">
        <f t="shared" si="256"/>
        <v>2514.1115999999997</v>
      </c>
      <c r="AE982" s="11">
        <f>_xlfn.RANK.AVG(Tableau8[[#This Row],[EE ( MJ/m²)]],AD982:AD2137)</f>
        <v>1</v>
      </c>
      <c r="AF982" s="11">
        <f t="shared" si="257"/>
        <v>419.01859999999994</v>
      </c>
      <c r="AG982" s="11">
        <f>(AC982)*AA982/H982</f>
        <v>193.77539999999999</v>
      </c>
      <c r="AH982" s="11">
        <f t="shared" si="258"/>
        <v>193.77539999999999</v>
      </c>
      <c r="AI982" s="33">
        <f>(AC982)*AA982/H982/I982</f>
        <v>32.295899999999996</v>
      </c>
      <c r="AJ982" s="11">
        <f t="shared" si="259"/>
        <v>32.295899999999996</v>
      </c>
    </row>
    <row r="983" spans="1:36" x14ac:dyDescent="0.25">
      <c r="A983" s="4" t="s">
        <v>944</v>
      </c>
      <c r="B983" s="4" t="s">
        <v>1151</v>
      </c>
      <c r="C983" t="s">
        <v>12</v>
      </c>
      <c r="D983" s="4" t="s">
        <v>1106</v>
      </c>
      <c r="E983" t="s">
        <v>1154</v>
      </c>
      <c r="F983" t="s">
        <v>256</v>
      </c>
      <c r="G983" t="s">
        <v>524</v>
      </c>
      <c r="H983">
        <v>18</v>
      </c>
      <c r="I983">
        <v>6</v>
      </c>
      <c r="J983" t="s">
        <v>56</v>
      </c>
      <c r="K983" t="s">
        <v>17</v>
      </c>
      <c r="L983" t="s">
        <v>1160</v>
      </c>
      <c r="M983" t="s">
        <v>12</v>
      </c>
      <c r="N983" t="s">
        <v>12</v>
      </c>
      <c r="R983" t="s">
        <v>176</v>
      </c>
      <c r="T983">
        <v>1</v>
      </c>
      <c r="U983" t="s">
        <v>1006</v>
      </c>
      <c r="W983">
        <v>7800</v>
      </c>
      <c r="X983" t="s">
        <v>184</v>
      </c>
      <c r="AA983" s="13">
        <v>15</v>
      </c>
      <c r="AB983">
        <v>25.3</v>
      </c>
      <c r="AC983">
        <v>1.95</v>
      </c>
      <c r="AD983" s="11">
        <f t="shared" si="256"/>
        <v>21.083333333333332</v>
      </c>
      <c r="AE983" s="11">
        <f>_xlfn.RANK.AVG(Tableau8[[#This Row],[EE ( MJ/m²)]],AD983:AD2138)</f>
        <v>80</v>
      </c>
      <c r="AF983" s="11">
        <f t="shared" si="257"/>
        <v>3.5138888888888888</v>
      </c>
      <c r="AG983" s="11">
        <f>(AC983)*AA983/H983</f>
        <v>1.625</v>
      </c>
      <c r="AH983" s="11">
        <f t="shared" si="258"/>
        <v>1.625</v>
      </c>
      <c r="AI983" s="33">
        <f>(AC983)*AA983/H983/I983</f>
        <v>0.27083333333333331</v>
      </c>
      <c r="AJ983" s="11">
        <f t="shared" si="259"/>
        <v>0.27083333333333331</v>
      </c>
    </row>
    <row r="984" spans="1:36" s="20" customFormat="1" x14ac:dyDescent="0.25">
      <c r="A984" s="23" t="s">
        <v>944</v>
      </c>
      <c r="B984" s="23" t="s">
        <v>1151</v>
      </c>
      <c r="C984" s="20" t="s">
        <v>18</v>
      </c>
      <c r="D984" s="23" t="s">
        <v>1106</v>
      </c>
      <c r="E984" s="20" t="s">
        <v>1154</v>
      </c>
      <c r="F984" s="20" t="s">
        <v>256</v>
      </c>
      <c r="G984" s="20" t="s">
        <v>524</v>
      </c>
      <c r="H984" s="20">
        <v>18</v>
      </c>
      <c r="I984" s="20">
        <v>6</v>
      </c>
      <c r="J984" s="20" t="s">
        <v>13</v>
      </c>
      <c r="K984" t="s">
        <v>18</v>
      </c>
      <c r="L984" s="20" t="s">
        <v>1155</v>
      </c>
      <c r="M984" s="20" t="s">
        <v>18</v>
      </c>
      <c r="N984" s="20" t="s">
        <v>39</v>
      </c>
      <c r="O984"/>
      <c r="P984" s="20">
        <v>1</v>
      </c>
      <c r="Q984" s="20" t="s">
        <v>180</v>
      </c>
      <c r="R984" s="20" t="s">
        <v>187</v>
      </c>
      <c r="T984" s="20">
        <v>1</v>
      </c>
      <c r="U984" s="20" t="s">
        <v>346</v>
      </c>
      <c r="W984" s="20">
        <v>2400</v>
      </c>
      <c r="X984" s="20" t="s">
        <v>184</v>
      </c>
      <c r="AA984" s="24">
        <f>Tableau8[[#This Row],[density (kg/m2) or specific weight (kg/m2)]]*Tableau8[[#This Row],[nb of item used ]]*Tableau8[[#This Row],[volume or area]]</f>
        <v>2400</v>
      </c>
      <c r="AB984" s="20">
        <v>0.75</v>
      </c>
      <c r="AC984" s="20">
        <v>0.105</v>
      </c>
      <c r="AD984" s="33">
        <f t="shared" si="256"/>
        <v>100</v>
      </c>
      <c r="AE984" s="33">
        <f>_xlfn.RANK.AVG(Tableau8[[#This Row],[EE ( MJ/m²)]],AD984:AD2139)</f>
        <v>26.5</v>
      </c>
      <c r="AF984" s="33">
        <f t="shared" si="257"/>
        <v>16.666666666666668</v>
      </c>
      <c r="AG984" s="11">
        <f>(AC984)*AA984/H984</f>
        <v>14</v>
      </c>
      <c r="AH984" s="33">
        <f t="shared" si="258"/>
        <v>14</v>
      </c>
      <c r="AI984" s="33">
        <f>(AC984)*AA984/H984/I984</f>
        <v>2.3333333333333335</v>
      </c>
      <c r="AJ984" s="33">
        <f t="shared" si="259"/>
        <v>2.3333333333333335</v>
      </c>
    </row>
    <row r="985" spans="1:36" s="20" customFormat="1" x14ac:dyDescent="0.25">
      <c r="A985" s="23" t="s">
        <v>944</v>
      </c>
      <c r="B985" s="23" t="s">
        <v>1151</v>
      </c>
      <c r="C985" s="20" t="s">
        <v>12</v>
      </c>
      <c r="D985" s="23" t="s">
        <v>1106</v>
      </c>
      <c r="E985" s="20" t="s">
        <v>1154</v>
      </c>
      <c r="F985" s="20" t="s">
        <v>256</v>
      </c>
      <c r="G985" s="20" t="s">
        <v>524</v>
      </c>
      <c r="H985" s="20">
        <v>18</v>
      </c>
      <c r="I985" s="20">
        <v>6</v>
      </c>
      <c r="J985" s="20" t="s">
        <v>44</v>
      </c>
      <c r="K985" t="s">
        <v>17</v>
      </c>
      <c r="L985" s="20" t="s">
        <v>712</v>
      </c>
      <c r="M985" s="20" t="s">
        <v>12</v>
      </c>
      <c r="N985" s="20" t="s">
        <v>12</v>
      </c>
      <c r="O985"/>
      <c r="R985" s="20" t="s">
        <v>175</v>
      </c>
      <c r="T985" s="20">
        <v>1</v>
      </c>
      <c r="U985" s="20" t="s">
        <v>175</v>
      </c>
      <c r="W985" s="20">
        <v>7800</v>
      </c>
      <c r="X985" s="20" t="s">
        <v>184</v>
      </c>
      <c r="AA985" s="24">
        <v>16.5</v>
      </c>
      <c r="AB985" s="20">
        <v>25.3</v>
      </c>
      <c r="AC985" s="20">
        <v>1.95</v>
      </c>
      <c r="AD985" s="33">
        <f t="shared" si="256"/>
        <v>23.191666666666666</v>
      </c>
      <c r="AE985" s="33">
        <f>_xlfn.RANK.AVG(Tableau8[[#This Row],[EE ( MJ/m²)]],AD985:AD2140)</f>
        <v>77</v>
      </c>
      <c r="AF985" s="33">
        <f t="shared" si="257"/>
        <v>3.8652777777777776</v>
      </c>
      <c r="AG985" s="11">
        <f>(AC985)*AA985/H985</f>
        <v>1.7874999999999999</v>
      </c>
      <c r="AH985" s="33">
        <f t="shared" si="258"/>
        <v>1.7874999999999999</v>
      </c>
      <c r="AI985" s="33">
        <f>(AC985)*AA985/H985/I985</f>
        <v>0.29791666666666666</v>
      </c>
      <c r="AJ985" s="33">
        <f t="shared" si="259"/>
        <v>0.29791666666666666</v>
      </c>
    </row>
    <row r="986" spans="1:36" x14ac:dyDescent="0.25">
      <c r="A986" s="4" t="s">
        <v>945</v>
      </c>
      <c r="B986" s="4" t="s">
        <v>1246</v>
      </c>
      <c r="C986" t="s">
        <v>15</v>
      </c>
      <c r="D986" s="4" t="s">
        <v>1004</v>
      </c>
      <c r="E986" t="s">
        <v>1078</v>
      </c>
      <c r="F986" t="s">
        <v>256</v>
      </c>
      <c r="G986" t="s">
        <v>1079</v>
      </c>
      <c r="H986">
        <v>18</v>
      </c>
      <c r="I986">
        <v>8</v>
      </c>
      <c r="J986" t="s">
        <v>219</v>
      </c>
      <c r="K986" t="s">
        <v>15</v>
      </c>
      <c r="L986" t="s">
        <v>1080</v>
      </c>
      <c r="M986" t="s">
        <v>15</v>
      </c>
      <c r="N986" t="s">
        <v>15</v>
      </c>
      <c r="O986" t="s">
        <v>1081</v>
      </c>
      <c r="P986">
        <v>3</v>
      </c>
      <c r="Q986" t="s">
        <v>180</v>
      </c>
      <c r="R986" t="s">
        <v>187</v>
      </c>
      <c r="T986">
        <v>1</v>
      </c>
      <c r="U986" t="s">
        <v>346</v>
      </c>
      <c r="W986">
        <v>510</v>
      </c>
      <c r="X986" t="s">
        <v>184</v>
      </c>
      <c r="AA986" s="13">
        <f>Tableau8[[#This Row],[nb of item used ]]*Tableau8[[#This Row],[density (kg/m2) or specific weight (kg/m2)]]*Tableau8[[#This Row],[volume or area]]</f>
        <v>1530</v>
      </c>
      <c r="AB986">
        <f>10-4.4</f>
        <v>5.6</v>
      </c>
      <c r="AC986">
        <f>0.31+0.41</f>
        <v>0.72</v>
      </c>
      <c r="AD986" s="11">
        <f t="shared" si="256"/>
        <v>476</v>
      </c>
      <c r="AE986" s="11">
        <f>_xlfn.RANK.AVG(Tableau8[[#This Row],[EE ( MJ/m²)]],AD986:AD2141)</f>
        <v>5</v>
      </c>
      <c r="AF986" s="11">
        <f t="shared" si="257"/>
        <v>59.5</v>
      </c>
      <c r="AG986" s="11">
        <f>(AC986-0.41)*AA986/H986</f>
        <v>26.35</v>
      </c>
      <c r="AH986" s="11">
        <f t="shared" si="258"/>
        <v>61.199999999999996</v>
      </c>
      <c r="AI986" s="11">
        <f>(AC986-0.41)*AA986/H986/I986</f>
        <v>3.2937500000000002</v>
      </c>
      <c r="AJ986" s="11">
        <f t="shared" si="259"/>
        <v>7.6499999999999995</v>
      </c>
    </row>
    <row r="987" spans="1:36" x14ac:dyDescent="0.25">
      <c r="A987" s="4" t="s">
        <v>945</v>
      </c>
      <c r="B987" s="4" t="s">
        <v>1246</v>
      </c>
      <c r="C987" t="s">
        <v>12</v>
      </c>
      <c r="D987" s="4" t="s">
        <v>1004</v>
      </c>
      <c r="E987" t="s">
        <v>1078</v>
      </c>
      <c r="F987" t="s">
        <v>256</v>
      </c>
      <c r="G987" t="s">
        <v>1079</v>
      </c>
      <c r="H987">
        <v>18</v>
      </c>
      <c r="I987">
        <v>8</v>
      </c>
      <c r="J987" t="s">
        <v>56</v>
      </c>
      <c r="K987" t="s">
        <v>17</v>
      </c>
      <c r="L987" t="s">
        <v>274</v>
      </c>
      <c r="M987" t="s">
        <v>12</v>
      </c>
      <c r="N987" t="s">
        <v>12</v>
      </c>
      <c r="P987">
        <v>5.6000000000000001E-2</v>
      </c>
      <c r="Q987" t="s">
        <v>180</v>
      </c>
      <c r="R987" t="s">
        <v>176</v>
      </c>
      <c r="T987">
        <v>1</v>
      </c>
      <c r="U987" t="s">
        <v>1006</v>
      </c>
      <c r="W987">
        <v>7800</v>
      </c>
      <c r="X987" t="s">
        <v>184</v>
      </c>
      <c r="AA987" s="13">
        <f>Tableau8[[#This Row],[density (kg/m2) or specific weight (kg/m2)]]*Tableau8[[#This Row],[volume or area]]</f>
        <v>436.8</v>
      </c>
      <c r="AB987">
        <v>25.3</v>
      </c>
      <c r="AC987">
        <v>1.95</v>
      </c>
      <c r="AD987" s="11">
        <f t="shared" si="256"/>
        <v>613.94666666666672</v>
      </c>
      <c r="AE987" s="11">
        <f>_xlfn.RANK.AVG(Tableau8[[#This Row],[EE ( MJ/m²)]],AD987:AD2142)</f>
        <v>4</v>
      </c>
      <c r="AF987" s="11">
        <f t="shared" si="257"/>
        <v>76.743333333333339</v>
      </c>
      <c r="AG987" s="11">
        <f>(AC987)*AA987/H987</f>
        <v>47.32</v>
      </c>
      <c r="AH987" s="11">
        <f t="shared" si="258"/>
        <v>47.32</v>
      </c>
      <c r="AI987" s="33">
        <f>(AC987)*AA987/H987/I987</f>
        <v>5.915</v>
      </c>
      <c r="AJ987" s="11">
        <f t="shared" si="259"/>
        <v>5.915</v>
      </c>
    </row>
    <row r="988" spans="1:36" x14ac:dyDescent="0.25">
      <c r="A988" s="4" t="s">
        <v>945</v>
      </c>
      <c r="B988" s="4" t="s">
        <v>1246</v>
      </c>
      <c r="C988" t="s">
        <v>12</v>
      </c>
      <c r="D988" s="4" t="s">
        <v>1004</v>
      </c>
      <c r="E988" t="s">
        <v>1078</v>
      </c>
      <c r="F988" t="s">
        <v>256</v>
      </c>
      <c r="G988" t="s">
        <v>1079</v>
      </c>
      <c r="H988">
        <v>18</v>
      </c>
      <c r="I988">
        <v>8</v>
      </c>
      <c r="J988" t="s">
        <v>44</v>
      </c>
      <c r="K988" t="s">
        <v>17</v>
      </c>
      <c r="L988" t="s">
        <v>712</v>
      </c>
      <c r="M988" t="s">
        <v>12</v>
      </c>
      <c r="N988" t="s">
        <v>12</v>
      </c>
      <c r="R988" t="s">
        <v>187</v>
      </c>
      <c r="S988" t="s">
        <v>1082</v>
      </c>
      <c r="T988">
        <v>1</v>
      </c>
      <c r="U988" t="s">
        <v>346</v>
      </c>
      <c r="W988">
        <v>7800</v>
      </c>
      <c r="X988" t="s">
        <v>184</v>
      </c>
      <c r="AA988" s="13">
        <v>11</v>
      </c>
      <c r="AB988">
        <v>25.3</v>
      </c>
      <c r="AC988">
        <v>1.95</v>
      </c>
      <c r="AD988" s="11">
        <f t="shared" si="256"/>
        <v>15.461111111111112</v>
      </c>
      <c r="AE988" s="11">
        <f>_xlfn.RANK.AVG(Tableau8[[#This Row],[EE ( MJ/m²)]],AD988:AD2143)</f>
        <v>87</v>
      </c>
      <c r="AF988" s="11">
        <f t="shared" si="257"/>
        <v>1.932638888888889</v>
      </c>
      <c r="AG988" s="11">
        <f>(AC988)*AA988/H988</f>
        <v>1.1916666666666667</v>
      </c>
      <c r="AH988" s="11">
        <f t="shared" si="258"/>
        <v>1.1916666666666667</v>
      </c>
      <c r="AI988" s="33">
        <f>(AC988)*AA988/H988/I988</f>
        <v>0.14895833333333333</v>
      </c>
      <c r="AJ988" s="11">
        <f t="shared" si="259"/>
        <v>0.14895833333333333</v>
      </c>
    </row>
    <row r="989" spans="1:36" x14ac:dyDescent="0.25">
      <c r="A989" s="4" t="s">
        <v>945</v>
      </c>
      <c r="B989" s="4" t="s">
        <v>1246</v>
      </c>
      <c r="C989" t="s">
        <v>18</v>
      </c>
      <c r="D989" s="4" t="s">
        <v>1004</v>
      </c>
      <c r="E989" t="s">
        <v>1078</v>
      </c>
      <c r="F989" t="s">
        <v>256</v>
      </c>
      <c r="G989" t="s">
        <v>1079</v>
      </c>
      <c r="H989">
        <v>18</v>
      </c>
      <c r="I989">
        <v>8</v>
      </c>
      <c r="J989" t="s">
        <v>13</v>
      </c>
      <c r="K989" t="s">
        <v>18</v>
      </c>
      <c r="L989" t="s">
        <v>331</v>
      </c>
      <c r="M989" t="s">
        <v>18</v>
      </c>
      <c r="N989" t="s">
        <v>39</v>
      </c>
      <c r="P989">
        <v>1</v>
      </c>
      <c r="Q989" t="s">
        <v>180</v>
      </c>
      <c r="R989" t="s">
        <v>176</v>
      </c>
      <c r="T989">
        <v>1</v>
      </c>
      <c r="U989" t="s">
        <v>1006</v>
      </c>
      <c r="W989">
        <v>2400</v>
      </c>
      <c r="X989" t="s">
        <v>184</v>
      </c>
      <c r="AA989" s="13">
        <f>Tableau8[[#This Row],[density (kg/m2) or specific weight (kg/m2)]]*Tableau8[[#This Row],[nb of item used ]]*Tableau8[[#This Row],[volume or area]]</f>
        <v>2400</v>
      </c>
      <c r="AB989">
        <v>0.75</v>
      </c>
      <c r="AC989">
        <v>0.105</v>
      </c>
      <c r="AD989" s="11">
        <f t="shared" si="256"/>
        <v>100</v>
      </c>
      <c r="AE989" s="11">
        <f>_xlfn.RANK.AVG(Tableau8[[#This Row],[EE ( MJ/m²)]],AD989:AD2144)</f>
        <v>24</v>
      </c>
      <c r="AF989" s="11">
        <f t="shared" si="257"/>
        <v>12.5</v>
      </c>
      <c r="AG989" s="11">
        <f>(AC989)*AA989/H989</f>
        <v>14</v>
      </c>
      <c r="AH989" s="11">
        <f t="shared" si="258"/>
        <v>14</v>
      </c>
      <c r="AI989" s="33">
        <f>(AC989)*AA989/H989/I989</f>
        <v>1.75</v>
      </c>
      <c r="AJ989" s="11">
        <f t="shared" si="259"/>
        <v>1.75</v>
      </c>
    </row>
    <row r="990" spans="1:36" x14ac:dyDescent="0.25">
      <c r="A990" s="4" t="s">
        <v>945</v>
      </c>
      <c r="B990" s="4" t="s">
        <v>1246</v>
      </c>
      <c r="C990" s="4" t="s">
        <v>15</v>
      </c>
      <c r="D990" s="4" t="s">
        <v>1004</v>
      </c>
      <c r="E990" t="s">
        <v>1078</v>
      </c>
      <c r="F990" t="s">
        <v>256</v>
      </c>
      <c r="G990" t="s">
        <v>1079</v>
      </c>
      <c r="H990">
        <v>18</v>
      </c>
      <c r="I990">
        <v>8</v>
      </c>
      <c r="J990" t="s">
        <v>57</v>
      </c>
      <c r="K990" t="s">
        <v>15</v>
      </c>
      <c r="L990" t="s">
        <v>252</v>
      </c>
      <c r="M990" s="20" t="s">
        <v>10</v>
      </c>
      <c r="N990" s="20" t="s">
        <v>15</v>
      </c>
      <c r="P990" s="20">
        <v>0.56699999999999995</v>
      </c>
      <c r="Q990" s="20" t="s">
        <v>180</v>
      </c>
      <c r="R990" s="20" t="s">
        <v>176</v>
      </c>
      <c r="S990" s="20"/>
      <c r="T990" s="20">
        <v>1</v>
      </c>
      <c r="U990" s="20" t="s">
        <v>1006</v>
      </c>
      <c r="V990" s="20"/>
      <c r="W990" s="20">
        <v>90</v>
      </c>
      <c r="X990" t="s">
        <v>184</v>
      </c>
      <c r="AA990" s="13">
        <f>W990*T990*P990</f>
        <v>51.029999999999994</v>
      </c>
      <c r="AB990">
        <f t="shared" ref="AB990:AB995" si="262">10-4.4</f>
        <v>5.6</v>
      </c>
      <c r="AC990">
        <f t="shared" ref="AC990:AC995" si="263">0.31+0.41</f>
        <v>0.72</v>
      </c>
      <c r="AD990" s="11">
        <f t="shared" si="256"/>
        <v>15.875999999999998</v>
      </c>
      <c r="AE990" s="11">
        <f>_xlfn.RANK.AVG(Tableau8[[#This Row],[EE ( MJ/m²)]],AD990:AD2145)</f>
        <v>85</v>
      </c>
      <c r="AF990" s="11">
        <f t="shared" si="257"/>
        <v>1.9844999999999997</v>
      </c>
      <c r="AG990" s="11">
        <f t="shared" ref="AG990:AG995" si="264">(AC990-0.41)*AA990/H990</f>
        <v>0.87884999999999991</v>
      </c>
      <c r="AH990" s="11">
        <f t="shared" si="258"/>
        <v>2.0411999999999995</v>
      </c>
      <c r="AI990" s="11">
        <f t="shared" ref="AI990:AI995" si="265">(AC990-0.41)*AA990/H990/I990</f>
        <v>0.10985624999999999</v>
      </c>
      <c r="AJ990" s="11">
        <f t="shared" si="259"/>
        <v>0.25514999999999993</v>
      </c>
    </row>
    <row r="991" spans="1:36" x14ac:dyDescent="0.25">
      <c r="A991" s="4" t="s">
        <v>944</v>
      </c>
      <c r="B991" s="4" t="s">
        <v>1175</v>
      </c>
      <c r="C991" s="4" t="s">
        <v>15</v>
      </c>
      <c r="D991" s="4" t="s">
        <v>1106</v>
      </c>
      <c r="E991" t="s">
        <v>1184</v>
      </c>
      <c r="F991" t="s">
        <v>256</v>
      </c>
      <c r="G991" t="s">
        <v>1079</v>
      </c>
      <c r="H991">
        <v>24</v>
      </c>
      <c r="I991">
        <v>8</v>
      </c>
      <c r="J991" t="s">
        <v>40</v>
      </c>
      <c r="K991" t="s">
        <v>15</v>
      </c>
      <c r="L991" t="s">
        <v>1177</v>
      </c>
      <c r="M991" t="s">
        <v>15</v>
      </c>
      <c r="N991" t="s">
        <v>15</v>
      </c>
      <c r="P991">
        <v>0.80800000000000005</v>
      </c>
      <c r="Q991" t="s">
        <v>180</v>
      </c>
      <c r="R991" t="s">
        <v>176</v>
      </c>
      <c r="T991">
        <v>1</v>
      </c>
      <c r="U991" t="s">
        <v>346</v>
      </c>
      <c r="W991">
        <v>480</v>
      </c>
      <c r="X991" t="s">
        <v>184</v>
      </c>
      <c r="AA991" s="13">
        <f>Tableau8[[#This Row],[nb of item used ]]*Tableau8[[#This Row],[density (kg/m2) or specific weight (kg/m2)]]*Tableau8[[#This Row],[volume or area]]</f>
        <v>387.84000000000003</v>
      </c>
      <c r="AB991">
        <f t="shared" si="262"/>
        <v>5.6</v>
      </c>
      <c r="AC991">
        <f t="shared" si="263"/>
        <v>0.72</v>
      </c>
      <c r="AD991" s="11">
        <f t="shared" si="256"/>
        <v>90.495999999999995</v>
      </c>
      <c r="AE991" s="11">
        <f>_xlfn.RANK.AVG(Tableau8[[#This Row],[EE ( MJ/m²)]],AD991:AD2146)</f>
        <v>25</v>
      </c>
      <c r="AF991" s="11">
        <f t="shared" si="257"/>
        <v>11.311999999999999</v>
      </c>
      <c r="AG991" s="11">
        <f t="shared" si="264"/>
        <v>5.0095999999999998</v>
      </c>
      <c r="AH991" s="11">
        <f t="shared" si="258"/>
        <v>11.635199999999999</v>
      </c>
      <c r="AI991" s="11">
        <f t="shared" si="265"/>
        <v>0.62619999999999998</v>
      </c>
      <c r="AJ991" s="11">
        <f t="shared" si="259"/>
        <v>1.4543999999999999</v>
      </c>
    </row>
    <row r="992" spans="1:36" x14ac:dyDescent="0.25">
      <c r="A992" s="4" t="s">
        <v>944</v>
      </c>
      <c r="B992" s="4" t="s">
        <v>1175</v>
      </c>
      <c r="C992" s="4" t="s">
        <v>15</v>
      </c>
      <c r="D992" s="4" t="s">
        <v>1106</v>
      </c>
      <c r="E992" t="s">
        <v>1184</v>
      </c>
      <c r="F992" t="s">
        <v>256</v>
      </c>
      <c r="G992" t="s">
        <v>1079</v>
      </c>
      <c r="H992">
        <v>24</v>
      </c>
      <c r="I992">
        <v>8</v>
      </c>
      <c r="J992" t="s">
        <v>42</v>
      </c>
      <c r="K992" t="s">
        <v>15</v>
      </c>
      <c r="L992" t="s">
        <v>1178</v>
      </c>
      <c r="M992" t="s">
        <v>15</v>
      </c>
      <c r="N992" t="s">
        <v>15</v>
      </c>
      <c r="P992">
        <v>0.47</v>
      </c>
      <c r="Q992" t="s">
        <v>180</v>
      </c>
      <c r="R992" t="s">
        <v>176</v>
      </c>
      <c r="T992">
        <v>1</v>
      </c>
      <c r="U992" t="s">
        <v>1006</v>
      </c>
      <c r="W992">
        <v>480</v>
      </c>
      <c r="X992" t="s">
        <v>184</v>
      </c>
      <c r="AA992" s="13">
        <f>Tableau8[[#This Row],[nb of item used ]]*Tableau8[[#This Row],[density (kg/m2) or specific weight (kg/m2)]]*Tableau8[[#This Row],[volume or area]]</f>
        <v>225.6</v>
      </c>
      <c r="AB992">
        <f t="shared" si="262"/>
        <v>5.6</v>
      </c>
      <c r="AC992">
        <f t="shared" si="263"/>
        <v>0.72</v>
      </c>
      <c r="AD992" s="11">
        <f t="shared" si="256"/>
        <v>52.639999999999993</v>
      </c>
      <c r="AE992" s="11">
        <f>_xlfn.RANK.AVG(Tableau8[[#This Row],[EE ( MJ/m²)]],AD992:AD2147)</f>
        <v>42</v>
      </c>
      <c r="AF992" s="11">
        <f t="shared" si="257"/>
        <v>6.5799999999999992</v>
      </c>
      <c r="AG992" s="11">
        <f t="shared" si="264"/>
        <v>2.9139999999999997</v>
      </c>
      <c r="AH992" s="11">
        <f t="shared" si="258"/>
        <v>6.7679999999999998</v>
      </c>
      <c r="AI992" s="11">
        <f t="shared" si="265"/>
        <v>0.36424999999999996</v>
      </c>
      <c r="AJ992" s="11">
        <f t="shared" si="259"/>
        <v>0.84599999999999997</v>
      </c>
    </row>
    <row r="993" spans="1:36" x14ac:dyDescent="0.25">
      <c r="A993" s="4" t="s">
        <v>944</v>
      </c>
      <c r="B993" s="4" t="s">
        <v>1175</v>
      </c>
      <c r="C993" s="4" t="s">
        <v>15</v>
      </c>
      <c r="D993" s="4" t="s">
        <v>1106</v>
      </c>
      <c r="E993" t="s">
        <v>1184</v>
      </c>
      <c r="F993" t="s">
        <v>256</v>
      </c>
      <c r="G993" t="s">
        <v>1079</v>
      </c>
      <c r="H993">
        <v>24</v>
      </c>
      <c r="I993">
        <v>8</v>
      </c>
      <c r="J993" t="s">
        <v>57</v>
      </c>
      <c r="K993" t="s">
        <v>15</v>
      </c>
      <c r="L993" t="s">
        <v>1179</v>
      </c>
      <c r="M993" t="s">
        <v>15</v>
      </c>
      <c r="N993" t="s">
        <v>15</v>
      </c>
      <c r="P993">
        <v>0.69689999999999996</v>
      </c>
      <c r="Q993" t="s">
        <v>180</v>
      </c>
      <c r="R993" t="s">
        <v>176</v>
      </c>
      <c r="T993">
        <v>1</v>
      </c>
      <c r="U993" t="s">
        <v>1006</v>
      </c>
      <c r="W993">
        <v>480</v>
      </c>
      <c r="X993" t="s">
        <v>184</v>
      </c>
      <c r="AA993" s="13">
        <f>Tableau8[[#This Row],[nb of item used ]]*Tableau8[[#This Row],[density (kg/m2) or specific weight (kg/m2)]]*Tableau8[[#This Row],[volume or area]]</f>
        <v>334.512</v>
      </c>
      <c r="AB993">
        <f t="shared" si="262"/>
        <v>5.6</v>
      </c>
      <c r="AC993">
        <f t="shared" si="263"/>
        <v>0.72</v>
      </c>
      <c r="AD993" s="11">
        <f t="shared" ref="AD993:AD1024" si="266">AB993*AA993/H993</f>
        <v>78.052799999999991</v>
      </c>
      <c r="AE993" s="11">
        <f>_xlfn.RANK.AVG(Tableau8[[#This Row],[EE ( MJ/m²)]],AD993:AD2148)</f>
        <v>30</v>
      </c>
      <c r="AF993" s="11">
        <f t="shared" ref="AF993:AF1024" si="267">AB993*AA993/H993/I993</f>
        <v>9.7565999999999988</v>
      </c>
      <c r="AG993" s="11">
        <f t="shared" si="264"/>
        <v>4.3207800000000001</v>
      </c>
      <c r="AH993" s="11">
        <f t="shared" ref="AH993:AH1024" si="268">AC993*AA993/H993</f>
        <v>10.035359999999999</v>
      </c>
      <c r="AI993" s="11">
        <f t="shared" si="265"/>
        <v>0.54009750000000001</v>
      </c>
      <c r="AJ993" s="11">
        <f t="shared" ref="AJ993:AJ1024" si="269">AC993*AA993/H993/I993</f>
        <v>1.2544199999999999</v>
      </c>
    </row>
    <row r="994" spans="1:36" x14ac:dyDescent="0.25">
      <c r="A994" s="4" t="s">
        <v>944</v>
      </c>
      <c r="B994" s="4" t="s">
        <v>1175</v>
      </c>
      <c r="C994" s="4" t="s">
        <v>15</v>
      </c>
      <c r="D994" s="4" t="s">
        <v>1106</v>
      </c>
      <c r="E994" t="s">
        <v>1184</v>
      </c>
      <c r="F994" t="s">
        <v>256</v>
      </c>
      <c r="G994" t="s">
        <v>1079</v>
      </c>
      <c r="H994">
        <v>24</v>
      </c>
      <c r="I994">
        <v>8</v>
      </c>
      <c r="J994" t="s">
        <v>40</v>
      </c>
      <c r="K994" t="s">
        <v>15</v>
      </c>
      <c r="L994" t="s">
        <v>1180</v>
      </c>
      <c r="M994" t="s">
        <v>15</v>
      </c>
      <c r="N994" t="s">
        <v>15</v>
      </c>
      <c r="P994">
        <v>0.8</v>
      </c>
      <c r="Q994" t="s">
        <v>180</v>
      </c>
      <c r="R994" t="s">
        <v>187</v>
      </c>
      <c r="T994">
        <v>1</v>
      </c>
      <c r="U994" t="s">
        <v>346</v>
      </c>
      <c r="W994">
        <v>480</v>
      </c>
      <c r="X994" t="s">
        <v>184</v>
      </c>
      <c r="AA994" s="13">
        <f>Tableau8[[#This Row],[nb of item used ]]*Tableau8[[#This Row],[density (kg/m2) or specific weight (kg/m2)]]*Tableau8[[#This Row],[volume or area]]</f>
        <v>384</v>
      </c>
      <c r="AB994">
        <f t="shared" si="262"/>
        <v>5.6</v>
      </c>
      <c r="AC994">
        <f t="shared" si="263"/>
        <v>0.72</v>
      </c>
      <c r="AD994" s="11">
        <f t="shared" si="266"/>
        <v>89.59999999999998</v>
      </c>
      <c r="AE994" s="11">
        <f>_xlfn.RANK.AVG(Tableau8[[#This Row],[EE ( MJ/m²)]],AD994:AD2149)</f>
        <v>26</v>
      </c>
      <c r="AF994" s="11">
        <f t="shared" si="267"/>
        <v>11.199999999999998</v>
      </c>
      <c r="AG994" s="11">
        <f t="shared" si="264"/>
        <v>4.96</v>
      </c>
      <c r="AH994" s="11">
        <f t="shared" si="268"/>
        <v>11.520000000000001</v>
      </c>
      <c r="AI994" s="11">
        <f t="shared" si="265"/>
        <v>0.62</v>
      </c>
      <c r="AJ994" s="11">
        <f t="shared" si="269"/>
        <v>1.4400000000000002</v>
      </c>
    </row>
    <row r="995" spans="1:36" x14ac:dyDescent="0.25">
      <c r="A995" s="4" t="s">
        <v>944</v>
      </c>
      <c r="B995" s="4" t="s">
        <v>1175</v>
      </c>
      <c r="C995" s="4" t="s">
        <v>15</v>
      </c>
      <c r="D995" s="4" t="s">
        <v>1106</v>
      </c>
      <c r="E995" t="s">
        <v>1184</v>
      </c>
      <c r="F995" t="s">
        <v>256</v>
      </c>
      <c r="G995" t="s">
        <v>1079</v>
      </c>
      <c r="H995">
        <v>24</v>
      </c>
      <c r="I995">
        <v>8</v>
      </c>
      <c r="J995" t="s">
        <v>40</v>
      </c>
      <c r="K995" t="s">
        <v>15</v>
      </c>
      <c r="L995" t="s">
        <v>1181</v>
      </c>
      <c r="M995" t="s">
        <v>15</v>
      </c>
      <c r="N995" t="s">
        <v>15</v>
      </c>
      <c r="P995">
        <v>0.08</v>
      </c>
      <c r="Q995" t="s">
        <v>180</v>
      </c>
      <c r="R995" t="s">
        <v>187</v>
      </c>
      <c r="T995">
        <v>1</v>
      </c>
      <c r="U995" t="s">
        <v>346</v>
      </c>
      <c r="W995">
        <v>480</v>
      </c>
      <c r="X995" t="s">
        <v>184</v>
      </c>
      <c r="AA995" s="13">
        <f>Tableau8[[#This Row],[nb of item used ]]*Tableau8[[#This Row],[density (kg/m2) or specific weight (kg/m2)]]*Tableau8[[#This Row],[volume or area]]</f>
        <v>38.4</v>
      </c>
      <c r="AB995">
        <f t="shared" si="262"/>
        <v>5.6</v>
      </c>
      <c r="AC995">
        <f t="shared" si="263"/>
        <v>0.72</v>
      </c>
      <c r="AD995" s="11">
        <f t="shared" si="266"/>
        <v>8.9599999999999991</v>
      </c>
      <c r="AE995" s="11">
        <f>_xlfn.RANK.AVG(Tableau8[[#This Row],[EE ( MJ/m²)]],AD995:AD2150)</f>
        <v>100</v>
      </c>
      <c r="AF995" s="11">
        <f t="shared" si="267"/>
        <v>1.1199999999999999</v>
      </c>
      <c r="AG995" s="11">
        <f t="shared" si="264"/>
        <v>0.496</v>
      </c>
      <c r="AH995" s="11">
        <f t="shared" si="268"/>
        <v>1.1519999999999999</v>
      </c>
      <c r="AI995" s="11">
        <f t="shared" si="265"/>
        <v>6.2E-2</v>
      </c>
      <c r="AJ995" s="11">
        <f t="shared" si="269"/>
        <v>0.14399999999999999</v>
      </c>
    </row>
    <row r="996" spans="1:36" x14ac:dyDescent="0.25">
      <c r="A996" s="4" t="s">
        <v>944</v>
      </c>
      <c r="B996" s="4" t="s">
        <v>1175</v>
      </c>
      <c r="C996" s="4" t="s">
        <v>12</v>
      </c>
      <c r="D996" s="4" t="s">
        <v>1106</v>
      </c>
      <c r="E996" t="s">
        <v>1184</v>
      </c>
      <c r="F996" t="s">
        <v>256</v>
      </c>
      <c r="G996" t="s">
        <v>1079</v>
      </c>
      <c r="H996">
        <v>24</v>
      </c>
      <c r="I996">
        <v>8</v>
      </c>
      <c r="J996" t="s">
        <v>56</v>
      </c>
      <c r="K996" t="s">
        <v>17</v>
      </c>
      <c r="L996" t="s">
        <v>274</v>
      </c>
      <c r="M996" t="s">
        <v>12</v>
      </c>
      <c r="N996" t="s">
        <v>12</v>
      </c>
      <c r="P996">
        <f>30*0.003</f>
        <v>0.09</v>
      </c>
      <c r="Q996" t="s">
        <v>180</v>
      </c>
      <c r="R996" t="s">
        <v>176</v>
      </c>
      <c r="T996">
        <v>1</v>
      </c>
      <c r="U996" t="s">
        <v>1006</v>
      </c>
      <c r="W996">
        <v>7800</v>
      </c>
      <c r="X996" t="s">
        <v>184</v>
      </c>
      <c r="AA996" s="13">
        <f>Tableau8[[#This Row],[density (kg/m2) or specific weight (kg/m2)]]*Tableau8[[#This Row],[volume or area]]</f>
        <v>702</v>
      </c>
      <c r="AB996">
        <v>25.3</v>
      </c>
      <c r="AC996">
        <v>1.95</v>
      </c>
      <c r="AD996" s="11">
        <f t="shared" si="266"/>
        <v>740.02500000000009</v>
      </c>
      <c r="AE996" s="11">
        <f>_xlfn.RANK.AVG(Tableau8[[#This Row],[EE ( MJ/m²)]],AD996:AD2151)</f>
        <v>2</v>
      </c>
      <c r="AF996" s="11">
        <f t="shared" si="267"/>
        <v>92.503125000000011</v>
      </c>
      <c r="AG996" s="11">
        <f>(AC996)*AA996/H996</f>
        <v>57.037499999999994</v>
      </c>
      <c r="AH996" s="11">
        <f t="shared" si="268"/>
        <v>57.037499999999994</v>
      </c>
      <c r="AI996" s="33">
        <f>(AC996)*AA996/H996/I996</f>
        <v>7.1296874999999993</v>
      </c>
      <c r="AJ996" s="11">
        <f t="shared" si="269"/>
        <v>7.1296874999999993</v>
      </c>
    </row>
    <row r="997" spans="1:36" x14ac:dyDescent="0.25">
      <c r="A997" s="4" t="s">
        <v>944</v>
      </c>
      <c r="B997" s="4" t="s">
        <v>1175</v>
      </c>
      <c r="C997" s="4" t="s">
        <v>1026</v>
      </c>
      <c r="D997" s="4" t="s">
        <v>1106</v>
      </c>
      <c r="E997" t="s">
        <v>1184</v>
      </c>
      <c r="F997" t="s">
        <v>256</v>
      </c>
      <c r="G997" t="s">
        <v>1079</v>
      </c>
      <c r="H997">
        <v>24</v>
      </c>
      <c r="I997">
        <v>8</v>
      </c>
      <c r="J997" t="s">
        <v>13</v>
      </c>
      <c r="K997" t="s">
        <v>18</v>
      </c>
      <c r="L997" t="s">
        <v>1176</v>
      </c>
      <c r="M997" t="s">
        <v>18</v>
      </c>
      <c r="N997" t="s">
        <v>39</v>
      </c>
      <c r="P997">
        <f>0.8*0.8*0.4*4</f>
        <v>1.0240000000000002</v>
      </c>
      <c r="Q997" t="s">
        <v>180</v>
      </c>
      <c r="R997" t="s">
        <v>176</v>
      </c>
      <c r="T997">
        <v>1</v>
      </c>
      <c r="U997" t="s">
        <v>1006</v>
      </c>
      <c r="W997">
        <v>2400</v>
      </c>
      <c r="X997" t="s">
        <v>184</v>
      </c>
      <c r="AA997" s="13">
        <f>Tableau8[[#This Row],[density (kg/m2) or specific weight (kg/m2)]]*Tableau8[[#This Row],[nb of item used ]]*Tableau8[[#This Row],[volume or area]]</f>
        <v>2457.6000000000004</v>
      </c>
      <c r="AB997">
        <v>0.75</v>
      </c>
      <c r="AC997">
        <v>0.105</v>
      </c>
      <c r="AD997" s="11">
        <f t="shared" si="266"/>
        <v>76.800000000000011</v>
      </c>
      <c r="AE997" s="11">
        <f>_xlfn.RANK.AVG(Tableau8[[#This Row],[EE ( MJ/m²)]],AD997:AD2152)</f>
        <v>29</v>
      </c>
      <c r="AF997" s="11">
        <f t="shared" si="267"/>
        <v>9.6000000000000014</v>
      </c>
      <c r="AG997" s="11">
        <f>(AC997)*AA997/H997</f>
        <v>10.752000000000001</v>
      </c>
      <c r="AH997" s="11">
        <f t="shared" si="268"/>
        <v>10.752000000000001</v>
      </c>
      <c r="AI997" s="33">
        <f>(AC997)*AA997/H997/I997</f>
        <v>1.3440000000000001</v>
      </c>
      <c r="AJ997" s="11">
        <f t="shared" si="269"/>
        <v>1.3440000000000001</v>
      </c>
    </row>
    <row r="998" spans="1:36" x14ac:dyDescent="0.25">
      <c r="A998" s="4" t="s">
        <v>944</v>
      </c>
      <c r="B998" s="4" t="s">
        <v>1175</v>
      </c>
      <c r="C998" s="4" t="s">
        <v>15</v>
      </c>
      <c r="D998" s="4" t="s">
        <v>1106</v>
      </c>
      <c r="E998" t="s">
        <v>1184</v>
      </c>
      <c r="F998" t="s">
        <v>256</v>
      </c>
      <c r="G998" t="s">
        <v>1079</v>
      </c>
      <c r="H998">
        <v>24</v>
      </c>
      <c r="I998">
        <v>8</v>
      </c>
      <c r="J998" t="s">
        <v>44</v>
      </c>
      <c r="K998" t="s">
        <v>17</v>
      </c>
      <c r="L998" s="3" t="s">
        <v>1187</v>
      </c>
      <c r="M998" t="s">
        <v>12</v>
      </c>
      <c r="N998" t="s">
        <v>12</v>
      </c>
      <c r="R998" t="s">
        <v>175</v>
      </c>
      <c r="T998">
        <v>1</v>
      </c>
      <c r="U998" t="s">
        <v>175</v>
      </c>
      <c r="W998">
        <v>7800</v>
      </c>
      <c r="X998" t="s">
        <v>184</v>
      </c>
      <c r="AA998" s="13">
        <v>8</v>
      </c>
      <c r="AB998">
        <v>25.3</v>
      </c>
      <c r="AC998">
        <v>1.95</v>
      </c>
      <c r="AD998" s="11">
        <f t="shared" si="266"/>
        <v>8.4333333333333336</v>
      </c>
      <c r="AE998" s="11">
        <f>_xlfn.RANK.AVG(Tableau8[[#This Row],[EE ( MJ/m²)]],AD998:AD2153)</f>
        <v>100</v>
      </c>
      <c r="AF998" s="11">
        <f t="shared" si="267"/>
        <v>1.0541666666666667</v>
      </c>
      <c r="AG998" s="11">
        <f>(AC998-0.41)*AA998/H998</f>
        <v>0.51333333333333331</v>
      </c>
      <c r="AH998" s="11">
        <f t="shared" si="268"/>
        <v>0.65</v>
      </c>
      <c r="AI998" s="11">
        <f>(AC998-0.41)*AA998/H998/I998</f>
        <v>6.4166666666666664E-2</v>
      </c>
      <c r="AJ998" s="11">
        <f t="shared" si="269"/>
        <v>8.1250000000000003E-2</v>
      </c>
    </row>
    <row r="999" spans="1:36" x14ac:dyDescent="0.25">
      <c r="A999" s="4" t="s">
        <v>944</v>
      </c>
      <c r="B999" s="4" t="s">
        <v>1175</v>
      </c>
      <c r="C999" s="4" t="s">
        <v>15</v>
      </c>
      <c r="D999" s="4" t="s">
        <v>1106</v>
      </c>
      <c r="E999" t="s">
        <v>1184</v>
      </c>
      <c r="F999" t="s">
        <v>256</v>
      </c>
      <c r="G999" t="s">
        <v>1079</v>
      </c>
      <c r="H999">
        <v>24</v>
      </c>
      <c r="I999">
        <v>8</v>
      </c>
      <c r="J999" t="s">
        <v>44</v>
      </c>
      <c r="K999" t="s">
        <v>17</v>
      </c>
      <c r="L999" t="s">
        <v>1185</v>
      </c>
      <c r="M999" t="s">
        <v>12</v>
      </c>
      <c r="N999" t="s">
        <v>12</v>
      </c>
      <c r="O999" t="s">
        <v>1186</v>
      </c>
      <c r="R999" t="s">
        <v>175</v>
      </c>
      <c r="T999">
        <v>1</v>
      </c>
      <c r="U999" t="s">
        <v>175</v>
      </c>
      <c r="W999">
        <v>7800</v>
      </c>
      <c r="X999" t="s">
        <v>184</v>
      </c>
      <c r="AA999" s="13">
        <v>0.3</v>
      </c>
      <c r="AB999">
        <v>25.3</v>
      </c>
      <c r="AC999">
        <v>1.95</v>
      </c>
      <c r="AD999" s="11">
        <f t="shared" si="266"/>
        <v>0.31624999999999998</v>
      </c>
      <c r="AE999" s="11">
        <f>_xlfn.RANK.AVG(Tableau8[[#This Row],[EE ( MJ/m²)]],AD999:AD2154)</f>
        <v>156</v>
      </c>
      <c r="AF999" s="11">
        <f t="shared" si="267"/>
        <v>3.9531249999999997E-2</v>
      </c>
      <c r="AG999" s="11">
        <f>(AC999-0.41)*AA999/H999</f>
        <v>1.925E-2</v>
      </c>
      <c r="AH999" s="11">
        <f t="shared" si="268"/>
        <v>2.4374999999999997E-2</v>
      </c>
      <c r="AI999" s="11">
        <f>(AC999-0.41)*AA999/H999/I999</f>
        <v>2.40625E-3</v>
      </c>
      <c r="AJ999" s="11">
        <f t="shared" si="269"/>
        <v>3.0468749999999997E-3</v>
      </c>
    </row>
    <row r="1000" spans="1:36" x14ac:dyDescent="0.25">
      <c r="A1000" s="4" t="s">
        <v>944</v>
      </c>
      <c r="B1000" s="4" t="s">
        <v>1175</v>
      </c>
      <c r="C1000" s="4" t="s">
        <v>15</v>
      </c>
      <c r="D1000" s="4" t="s">
        <v>1106</v>
      </c>
      <c r="E1000" t="s">
        <v>1184</v>
      </c>
      <c r="F1000" t="s">
        <v>256</v>
      </c>
      <c r="G1000" t="s">
        <v>1079</v>
      </c>
      <c r="H1000">
        <v>24</v>
      </c>
      <c r="I1000">
        <v>8</v>
      </c>
      <c r="J1000" t="s">
        <v>44</v>
      </c>
      <c r="K1000" t="s">
        <v>17</v>
      </c>
      <c r="L1000" t="s">
        <v>712</v>
      </c>
      <c r="M1000" t="s">
        <v>12</v>
      </c>
      <c r="N1000" t="s">
        <v>12</v>
      </c>
      <c r="R1000" t="s">
        <v>175</v>
      </c>
      <c r="T1000">
        <v>1</v>
      </c>
      <c r="U1000" t="s">
        <v>175</v>
      </c>
      <c r="W1000">
        <v>7800</v>
      </c>
      <c r="X1000" t="s">
        <v>184</v>
      </c>
      <c r="AA1000" s="13">
        <v>2</v>
      </c>
      <c r="AB1000">
        <v>25.3</v>
      </c>
      <c r="AC1000">
        <v>1.95</v>
      </c>
      <c r="AD1000" s="11">
        <f t="shared" si="266"/>
        <v>2.1083333333333334</v>
      </c>
      <c r="AE1000" s="11">
        <f>_xlfn.RANK.AVG(Tableau8[[#This Row],[EE ( MJ/m²)]],AD1000:AD2155)</f>
        <v>130.5</v>
      </c>
      <c r="AF1000" s="11">
        <f t="shared" si="267"/>
        <v>0.26354166666666667</v>
      </c>
      <c r="AG1000" s="11">
        <f>(AC1000-0.41)*AA1000/H1000</f>
        <v>0.12833333333333333</v>
      </c>
      <c r="AH1000" s="11">
        <f t="shared" si="268"/>
        <v>0.16250000000000001</v>
      </c>
      <c r="AI1000" s="11">
        <f>(AC1000-0.41)*AA1000/H1000/I1000</f>
        <v>1.6041666666666666E-2</v>
      </c>
      <c r="AJ1000" s="11">
        <f t="shared" si="269"/>
        <v>2.0312500000000001E-2</v>
      </c>
    </row>
    <row r="1001" spans="1:36" x14ac:dyDescent="0.25">
      <c r="A1001" s="4" t="s">
        <v>944</v>
      </c>
      <c r="B1001" s="4" t="s">
        <v>1175</v>
      </c>
      <c r="C1001" s="4" t="s">
        <v>15</v>
      </c>
      <c r="D1001" s="4" t="s">
        <v>1106</v>
      </c>
      <c r="E1001" t="s">
        <v>1184</v>
      </c>
      <c r="F1001" t="s">
        <v>256</v>
      </c>
      <c r="G1001" t="s">
        <v>1079</v>
      </c>
      <c r="H1001">
        <v>24</v>
      </c>
      <c r="I1001">
        <v>8</v>
      </c>
      <c r="J1001" t="s">
        <v>44</v>
      </c>
      <c r="K1001" t="s">
        <v>17</v>
      </c>
      <c r="L1001" t="s">
        <v>1160</v>
      </c>
      <c r="M1001" t="s">
        <v>12</v>
      </c>
      <c r="N1001" t="s">
        <v>12</v>
      </c>
      <c r="R1001" t="s">
        <v>175</v>
      </c>
      <c r="T1001">
        <v>1</v>
      </c>
      <c r="U1001" t="s">
        <v>175</v>
      </c>
      <c r="W1001">
        <v>7800</v>
      </c>
      <c r="X1001" t="s">
        <v>184</v>
      </c>
      <c r="AA1001" s="13">
        <v>14</v>
      </c>
      <c r="AB1001">
        <v>25.3</v>
      </c>
      <c r="AC1001">
        <v>1.95</v>
      </c>
      <c r="AD1001" s="11">
        <f t="shared" si="266"/>
        <v>14.758333333333333</v>
      </c>
      <c r="AE1001" s="11">
        <f>_xlfn.RANK.AVG(Tableau8[[#This Row],[EE ( MJ/m²)]],AD1001:AD2156)</f>
        <v>79</v>
      </c>
      <c r="AF1001" s="11">
        <f t="shared" si="267"/>
        <v>1.8447916666666666</v>
      </c>
      <c r="AG1001" s="11">
        <f>(AC1001-0.41)*AA1001/H1001</f>
        <v>0.89833333333333343</v>
      </c>
      <c r="AH1001" s="11">
        <f t="shared" si="268"/>
        <v>1.1375</v>
      </c>
      <c r="AI1001" s="11">
        <f>(AC1001-0.41)*AA1001/H1001/I1001</f>
        <v>0.11229166666666668</v>
      </c>
      <c r="AJ1001" s="11">
        <f t="shared" si="269"/>
        <v>0.14218749999999999</v>
      </c>
    </row>
    <row r="1002" spans="1:36" x14ac:dyDescent="0.25">
      <c r="A1002" s="4" t="s">
        <v>944</v>
      </c>
      <c r="B1002" s="4" t="s">
        <v>1182</v>
      </c>
      <c r="C1002" s="4" t="s">
        <v>15</v>
      </c>
      <c r="D1002" s="4" t="s">
        <v>1106</v>
      </c>
      <c r="E1002" t="s">
        <v>1188</v>
      </c>
      <c r="F1002" t="s">
        <v>256</v>
      </c>
      <c r="G1002" t="s">
        <v>1079</v>
      </c>
      <c r="H1002">
        <v>17.8</v>
      </c>
      <c r="I1002">
        <v>8</v>
      </c>
      <c r="J1002" t="s">
        <v>13</v>
      </c>
      <c r="K1002" t="s">
        <v>18</v>
      </c>
      <c r="L1002" t="s">
        <v>18</v>
      </c>
      <c r="M1002" t="s">
        <v>18</v>
      </c>
      <c r="N1002" t="s">
        <v>39</v>
      </c>
      <c r="P1002">
        <v>1.1499999999999999</v>
      </c>
      <c r="Q1002" t="s">
        <v>180</v>
      </c>
      <c r="R1002" t="s">
        <v>176</v>
      </c>
      <c r="T1002">
        <v>1</v>
      </c>
      <c r="U1002" t="s">
        <v>1006</v>
      </c>
      <c r="W1002">
        <v>2400</v>
      </c>
      <c r="X1002" t="s">
        <v>184</v>
      </c>
      <c r="AA1002" s="13">
        <f>Tableau8[[#This Row],[density (kg/m2) or specific weight (kg/m2)]]*Tableau8[[#This Row],[nb of item used ]]*Tableau8[[#This Row],[volume or area]]</f>
        <v>2760</v>
      </c>
      <c r="AB1002">
        <v>0.75</v>
      </c>
      <c r="AC1002">
        <v>0.105</v>
      </c>
      <c r="AD1002" s="11">
        <f t="shared" si="266"/>
        <v>116.29213483146067</v>
      </c>
      <c r="AE1002" s="11">
        <f>_xlfn.RANK.AVG(Tableau8[[#This Row],[EE ( MJ/m²)]],AD1002:AD2157)</f>
        <v>18</v>
      </c>
      <c r="AF1002" s="11">
        <f t="shared" si="267"/>
        <v>14.536516853932584</v>
      </c>
      <c r="AG1002" s="11">
        <f>(AC1002)*AA1002/H1002</f>
        <v>16.280898876404493</v>
      </c>
      <c r="AH1002" s="11">
        <f t="shared" si="268"/>
        <v>16.280898876404493</v>
      </c>
      <c r="AI1002" s="11">
        <f>(AC1002)*AA1002/H1002/I1002</f>
        <v>2.0351123595505616</v>
      </c>
      <c r="AJ1002" s="11">
        <f t="shared" si="269"/>
        <v>2.0351123595505616</v>
      </c>
    </row>
    <row r="1003" spans="1:36" x14ac:dyDescent="0.25">
      <c r="A1003" s="4" t="s">
        <v>944</v>
      </c>
      <c r="B1003" s="4" t="s">
        <v>1182</v>
      </c>
      <c r="C1003" s="4" t="s">
        <v>15</v>
      </c>
      <c r="D1003" s="4" t="s">
        <v>1106</v>
      </c>
      <c r="E1003" t="s">
        <v>1188</v>
      </c>
      <c r="F1003" t="s">
        <v>256</v>
      </c>
      <c r="G1003" t="s">
        <v>1079</v>
      </c>
      <c r="H1003">
        <v>17.8</v>
      </c>
      <c r="I1003">
        <v>8</v>
      </c>
      <c r="J1003" t="s">
        <v>30</v>
      </c>
      <c r="K1003" t="s">
        <v>15</v>
      </c>
      <c r="L1003" t="s">
        <v>1189</v>
      </c>
      <c r="M1003" t="s">
        <v>15</v>
      </c>
      <c r="N1003" t="s">
        <v>15</v>
      </c>
      <c r="P1003">
        <f>0.48+0.18+0.15</f>
        <v>0.80999999999999994</v>
      </c>
      <c r="Q1003" t="s">
        <v>180</v>
      </c>
      <c r="R1003" t="s">
        <v>176</v>
      </c>
      <c r="T1003">
        <v>1</v>
      </c>
      <c r="U1003" t="s">
        <v>1006</v>
      </c>
      <c r="W1003">
        <v>480</v>
      </c>
      <c r="X1003" t="s">
        <v>184</v>
      </c>
      <c r="AA1003" s="13">
        <f>Tableau8[[#This Row],[density (kg/m2) or specific weight (kg/m2)]]*Tableau8[[#This Row],[nb of item used ]]*Tableau8[[#This Row],[volume or area]]</f>
        <v>388.79999999999995</v>
      </c>
      <c r="AB1003">
        <f>10-4.4</f>
        <v>5.6</v>
      </c>
      <c r="AC1003">
        <f>0.31+0.41</f>
        <v>0.72</v>
      </c>
      <c r="AD1003" s="11">
        <f t="shared" si="266"/>
        <v>122.31910112359549</v>
      </c>
      <c r="AE1003" s="11">
        <f>_xlfn.RANK.AVG(Tableau8[[#This Row],[EE ( MJ/m²)]],AD1003:AD2158)</f>
        <v>16</v>
      </c>
      <c r="AF1003" s="11">
        <f t="shared" si="267"/>
        <v>15.289887640449436</v>
      </c>
      <c r="AG1003" s="11">
        <f>(AC1003-0.41)*AA1003/H1003</f>
        <v>6.7712359550561789</v>
      </c>
      <c r="AH1003" s="11">
        <f t="shared" si="268"/>
        <v>15.726741573033706</v>
      </c>
      <c r="AI1003" s="11">
        <f>(AC1003-0.41)*AA1003/H1003/I1003</f>
        <v>0.84640449438202237</v>
      </c>
      <c r="AJ1003" s="11">
        <f t="shared" si="269"/>
        <v>1.9658426966292133</v>
      </c>
    </row>
    <row r="1004" spans="1:36" x14ac:dyDescent="0.25">
      <c r="A1004" s="4" t="s">
        <v>944</v>
      </c>
      <c r="B1004" s="4" t="s">
        <v>1182</v>
      </c>
      <c r="C1004" s="4" t="s">
        <v>15</v>
      </c>
      <c r="D1004" s="4" t="s">
        <v>1106</v>
      </c>
      <c r="E1004" t="s">
        <v>1188</v>
      </c>
      <c r="F1004" t="s">
        <v>256</v>
      </c>
      <c r="G1004" t="s">
        <v>1079</v>
      </c>
      <c r="H1004">
        <v>17.8</v>
      </c>
      <c r="I1004">
        <v>8</v>
      </c>
      <c r="J1004" t="s">
        <v>56</v>
      </c>
      <c r="K1004" t="s">
        <v>17</v>
      </c>
      <c r="L1004" t="s">
        <v>274</v>
      </c>
      <c r="M1004" t="s">
        <v>12</v>
      </c>
      <c r="N1004" t="s">
        <v>12</v>
      </c>
      <c r="R1004" t="s">
        <v>175</v>
      </c>
      <c r="T1004">
        <v>1</v>
      </c>
      <c r="U1004" t="s">
        <v>1006</v>
      </c>
      <c r="W1004">
        <v>7800</v>
      </c>
      <c r="X1004" t="s">
        <v>184</v>
      </c>
      <c r="AA1004" s="13">
        <v>500</v>
      </c>
      <c r="AB1004">
        <v>25.3</v>
      </c>
      <c r="AC1004">
        <v>1.95</v>
      </c>
      <c r="AD1004" s="11">
        <f t="shared" si="266"/>
        <v>710.67415730337075</v>
      </c>
      <c r="AE1004" s="11">
        <f>_xlfn.RANK.AVG(Tableau8[[#This Row],[EE ( MJ/m²)]],AD1004:AD2159)</f>
        <v>2</v>
      </c>
      <c r="AF1004" s="11">
        <f t="shared" si="267"/>
        <v>88.834269662921344</v>
      </c>
      <c r="AG1004" s="11">
        <f>(AC1004-0.41)*AA1004/H1004</f>
        <v>43.258426966292134</v>
      </c>
      <c r="AH1004" s="11">
        <f t="shared" si="268"/>
        <v>54.775280898876403</v>
      </c>
      <c r="AI1004" s="11">
        <f>(AC1004-0.41)*AA1004/H1004/I1004</f>
        <v>5.4073033707865168</v>
      </c>
      <c r="AJ1004" s="11">
        <f t="shared" si="269"/>
        <v>6.8469101123595504</v>
      </c>
    </row>
    <row r="1005" spans="1:36" x14ac:dyDescent="0.25">
      <c r="A1005" s="23" t="s">
        <v>944</v>
      </c>
      <c r="B1005" s="23" t="s">
        <v>1182</v>
      </c>
      <c r="C1005" s="23" t="s">
        <v>15</v>
      </c>
      <c r="D1005" s="23" t="s">
        <v>1106</v>
      </c>
      <c r="E1005" s="20" t="s">
        <v>1188</v>
      </c>
      <c r="F1005" s="20" t="s">
        <v>256</v>
      </c>
      <c r="G1005" s="20" t="s">
        <v>1079</v>
      </c>
      <c r="H1005" s="20">
        <v>17.8</v>
      </c>
      <c r="I1005" s="20">
        <v>8</v>
      </c>
      <c r="J1005" s="20" t="s">
        <v>40</v>
      </c>
      <c r="K1005" t="s">
        <v>14</v>
      </c>
      <c r="L1005" s="20" t="s">
        <v>208</v>
      </c>
      <c r="M1005" s="20" t="s">
        <v>14</v>
      </c>
      <c r="N1005" s="20" t="s">
        <v>111</v>
      </c>
      <c r="P1005" s="20"/>
      <c r="Q1005" s="20"/>
      <c r="R1005" s="20" t="s">
        <v>176</v>
      </c>
      <c r="S1005" s="20"/>
      <c r="T1005" s="20">
        <v>1</v>
      </c>
      <c r="U1005" s="20" t="s">
        <v>1006</v>
      </c>
      <c r="V1005" s="20"/>
      <c r="W1005" s="25">
        <v>1380</v>
      </c>
      <c r="X1005" s="20" t="s">
        <v>184</v>
      </c>
      <c r="Y1005" s="20"/>
      <c r="Z1005" s="20"/>
      <c r="AA1005" s="20">
        <f>3*35</f>
        <v>105</v>
      </c>
      <c r="AB1005" s="20">
        <v>35.6</v>
      </c>
      <c r="AC1005">
        <v>3.31</v>
      </c>
      <c r="AD1005" s="11">
        <f t="shared" si="266"/>
        <v>210</v>
      </c>
      <c r="AE1005" s="11">
        <f>_xlfn.RANK.AVG(Tableau8[[#This Row],[EE ( MJ/m²)]],AD1005:AD2160)</f>
        <v>5</v>
      </c>
      <c r="AF1005" s="11">
        <f t="shared" si="267"/>
        <v>26.25</v>
      </c>
      <c r="AG1005" s="11">
        <f>(AC1005)*AA1005/H1005</f>
        <v>19.525280898876403</v>
      </c>
      <c r="AH1005" s="11">
        <f t="shared" si="268"/>
        <v>19.525280898876403</v>
      </c>
      <c r="AI1005" s="11">
        <f>(AC1005)*AA1005/H1005/I1005</f>
        <v>2.4406601123595504</v>
      </c>
      <c r="AJ1005" s="11">
        <f t="shared" si="269"/>
        <v>2.4406601123595504</v>
      </c>
    </row>
    <row r="1006" spans="1:36" x14ac:dyDescent="0.25">
      <c r="A1006" s="23" t="s">
        <v>944</v>
      </c>
      <c r="B1006" s="23" t="s">
        <v>1182</v>
      </c>
      <c r="C1006" s="23" t="s">
        <v>15</v>
      </c>
      <c r="D1006" s="23" t="s">
        <v>1106</v>
      </c>
      <c r="E1006" s="20" t="s">
        <v>1188</v>
      </c>
      <c r="F1006" s="20" t="s">
        <v>256</v>
      </c>
      <c r="G1006" s="20" t="s">
        <v>1079</v>
      </c>
      <c r="H1006" s="20">
        <v>17.8</v>
      </c>
      <c r="I1006" s="20">
        <v>8</v>
      </c>
      <c r="J1006" s="20" t="s">
        <v>56</v>
      </c>
      <c r="K1006" s="20" t="s">
        <v>307</v>
      </c>
      <c r="L1006" s="20" t="s">
        <v>1190</v>
      </c>
      <c r="M1006" s="20" t="s">
        <v>14</v>
      </c>
      <c r="N1006" s="20" t="s">
        <v>111</v>
      </c>
      <c r="O1006" t="s">
        <v>1191</v>
      </c>
      <c r="P1006" s="20"/>
      <c r="Q1006" s="20"/>
      <c r="R1006" s="20" t="s">
        <v>187</v>
      </c>
      <c r="S1006" s="20"/>
      <c r="T1006" s="20">
        <v>1</v>
      </c>
      <c r="U1006" s="20" t="s">
        <v>1006</v>
      </c>
      <c r="V1006" s="20"/>
      <c r="W1006" s="25">
        <v>1380</v>
      </c>
      <c r="X1006" s="20" t="s">
        <v>184</v>
      </c>
      <c r="Y1006" s="20"/>
      <c r="Z1006" s="20"/>
      <c r="AA1006" s="20">
        <v>6</v>
      </c>
      <c r="AB1006" s="20">
        <v>35.6</v>
      </c>
      <c r="AC1006">
        <v>3.31</v>
      </c>
      <c r="AD1006" s="11">
        <f t="shared" si="266"/>
        <v>12</v>
      </c>
      <c r="AE1006" s="11">
        <f>_xlfn.RANK.AVG(Tableau8[[#This Row],[EE ( MJ/m²)]],AD1006:AD2161)</f>
        <v>81</v>
      </c>
      <c r="AF1006" s="11">
        <f t="shared" si="267"/>
        <v>1.5</v>
      </c>
      <c r="AG1006" s="11">
        <f>(AC1006)*AA1006/H1006</f>
        <v>1.1157303370786515</v>
      </c>
      <c r="AH1006" s="11">
        <f t="shared" si="268"/>
        <v>1.1157303370786515</v>
      </c>
      <c r="AI1006" s="11">
        <f>(AC1006)*AA1006/H1006/I1006</f>
        <v>0.13946629213483144</v>
      </c>
      <c r="AJ1006" s="11">
        <f t="shared" si="269"/>
        <v>0.13946629213483144</v>
      </c>
    </row>
    <row r="1007" spans="1:36" x14ac:dyDescent="0.25">
      <c r="A1007" s="23" t="s">
        <v>944</v>
      </c>
      <c r="B1007" s="23" t="s">
        <v>1182</v>
      </c>
      <c r="C1007" s="23" t="s">
        <v>15</v>
      </c>
      <c r="D1007" s="23" t="s">
        <v>1106</v>
      </c>
      <c r="E1007" s="20" t="s">
        <v>1188</v>
      </c>
      <c r="F1007" s="20" t="s">
        <v>256</v>
      </c>
      <c r="G1007" s="20" t="s">
        <v>1079</v>
      </c>
      <c r="H1007" s="20">
        <v>17.8</v>
      </c>
      <c r="I1007" s="20">
        <v>8</v>
      </c>
      <c r="J1007" s="20" t="s">
        <v>44</v>
      </c>
      <c r="K1007" t="s">
        <v>17</v>
      </c>
      <c r="L1007" s="20" t="s">
        <v>786</v>
      </c>
      <c r="M1007" s="20" t="s">
        <v>14</v>
      </c>
      <c r="N1007" s="20" t="s">
        <v>111</v>
      </c>
      <c r="P1007" s="20"/>
      <c r="Q1007" s="20"/>
      <c r="R1007" s="20" t="s">
        <v>176</v>
      </c>
      <c r="S1007" s="20"/>
      <c r="T1007" s="20">
        <v>1</v>
      </c>
      <c r="U1007" s="20" t="s">
        <v>1006</v>
      </c>
      <c r="V1007" s="20"/>
      <c r="W1007" s="25">
        <v>1380</v>
      </c>
      <c r="X1007" s="20" t="s">
        <v>184</v>
      </c>
      <c r="Y1007" s="20"/>
      <c r="Z1007" s="20"/>
      <c r="AA1007" s="20">
        <v>10</v>
      </c>
      <c r="AB1007" s="20">
        <v>35.6</v>
      </c>
      <c r="AC1007">
        <v>3.31</v>
      </c>
      <c r="AD1007" s="11">
        <f t="shared" si="266"/>
        <v>20</v>
      </c>
      <c r="AE1007" s="11">
        <f>_xlfn.RANK.AVG(Tableau8[[#This Row],[EE ( MJ/m²)]],AD1007:AD2162)</f>
        <v>68</v>
      </c>
      <c r="AF1007" s="11">
        <f t="shared" si="267"/>
        <v>2.5</v>
      </c>
      <c r="AG1007" s="11">
        <f>(AC1007)*AA1007/H1007</f>
        <v>1.8595505617977528</v>
      </c>
      <c r="AH1007" s="11">
        <f t="shared" si="268"/>
        <v>1.8595505617977528</v>
      </c>
      <c r="AI1007" s="11">
        <f>(AC1007)*AA1007/H1007/I1007</f>
        <v>0.2324438202247191</v>
      </c>
      <c r="AJ1007" s="11">
        <f t="shared" si="269"/>
        <v>0.2324438202247191</v>
      </c>
    </row>
    <row r="1008" spans="1:36" x14ac:dyDescent="0.25">
      <c r="A1008" s="4" t="s">
        <v>944</v>
      </c>
      <c r="B1008" s="4" t="s">
        <v>1182</v>
      </c>
      <c r="C1008" s="4" t="s">
        <v>15</v>
      </c>
      <c r="D1008" s="4" t="s">
        <v>1106</v>
      </c>
      <c r="E1008" t="s">
        <v>1188</v>
      </c>
      <c r="F1008" t="s">
        <v>256</v>
      </c>
      <c r="G1008" t="s">
        <v>1079</v>
      </c>
      <c r="H1008">
        <v>17.8</v>
      </c>
      <c r="I1008">
        <v>8</v>
      </c>
      <c r="J1008" t="s">
        <v>44</v>
      </c>
      <c r="K1008" t="s">
        <v>17</v>
      </c>
      <c r="L1008" t="s">
        <v>712</v>
      </c>
      <c r="M1008" t="s">
        <v>12</v>
      </c>
      <c r="N1008" t="s">
        <v>12</v>
      </c>
      <c r="R1008" t="s">
        <v>187</v>
      </c>
      <c r="T1008">
        <v>1</v>
      </c>
      <c r="U1008" t="s">
        <v>187</v>
      </c>
      <c r="W1008">
        <v>7800</v>
      </c>
      <c r="X1008" t="s">
        <v>184</v>
      </c>
      <c r="AA1008">
        <v>10</v>
      </c>
      <c r="AB1008">
        <v>25.3</v>
      </c>
      <c r="AC1008">
        <v>1.95</v>
      </c>
      <c r="AD1008" s="11">
        <f t="shared" si="266"/>
        <v>14.213483146067416</v>
      </c>
      <c r="AE1008" s="11">
        <f>_xlfn.RANK.AVG(Tableau8[[#This Row],[EE ( MJ/m²)]],AD1008:AD2163)</f>
        <v>75</v>
      </c>
      <c r="AF1008" s="11">
        <f t="shared" si="267"/>
        <v>1.776685393258427</v>
      </c>
      <c r="AG1008" s="11">
        <f>(AC1008-0.41)*AA1008/H1008</f>
        <v>0.8651685393258427</v>
      </c>
      <c r="AH1008" s="11">
        <f t="shared" si="268"/>
        <v>1.095505617977528</v>
      </c>
      <c r="AI1008" s="11">
        <f>(AC1008-0.41)*AA1008/H1008/I1008</f>
        <v>0.10814606741573034</v>
      </c>
      <c r="AJ1008" s="11">
        <f t="shared" si="269"/>
        <v>0.136938202247191</v>
      </c>
    </row>
    <row r="1009" spans="1:36" x14ac:dyDescent="0.25">
      <c r="A1009" s="4" t="s">
        <v>944</v>
      </c>
      <c r="B1009" s="4" t="s">
        <v>1183</v>
      </c>
      <c r="C1009" s="4" t="s">
        <v>15</v>
      </c>
      <c r="D1009" s="4" t="s">
        <v>1106</v>
      </c>
      <c r="E1009" t="s">
        <v>1192</v>
      </c>
      <c r="F1009" t="s">
        <v>256</v>
      </c>
      <c r="G1009" t="s">
        <v>1193</v>
      </c>
      <c r="H1009">
        <v>15</v>
      </c>
      <c r="I1009">
        <v>8</v>
      </c>
      <c r="J1009" t="s">
        <v>56</v>
      </c>
      <c r="K1009" t="s">
        <v>15</v>
      </c>
      <c r="L1009" s="3" t="s">
        <v>1194</v>
      </c>
      <c r="M1009" t="s">
        <v>15</v>
      </c>
      <c r="N1009" t="s">
        <v>15</v>
      </c>
      <c r="P1009">
        <v>0.65</v>
      </c>
      <c r="Q1009" t="s">
        <v>180</v>
      </c>
      <c r="R1009" t="s">
        <v>175</v>
      </c>
      <c r="T1009">
        <v>1</v>
      </c>
      <c r="U1009" t="s">
        <v>175</v>
      </c>
      <c r="W1009">
        <v>510</v>
      </c>
      <c r="X1009" t="s">
        <v>184</v>
      </c>
      <c r="AA1009" s="13">
        <f>Tableau8[[#This Row],[density (kg/m2) or specific weight (kg/m2)]]*Tableau8[[#This Row],[nb of item used ]]*Tableau8[[#This Row],[volume or area]]</f>
        <v>331.5</v>
      </c>
      <c r="AB1009">
        <f>10-4.4</f>
        <v>5.6</v>
      </c>
      <c r="AC1009">
        <f>0.31+0.41</f>
        <v>0.72</v>
      </c>
      <c r="AD1009" s="11">
        <f t="shared" si="266"/>
        <v>123.75999999999999</v>
      </c>
      <c r="AE1009" s="11">
        <f>_xlfn.RANK.AVG(Tableau8[[#This Row],[EE ( MJ/m²)]],AD1009:AD2164)</f>
        <v>13</v>
      </c>
      <c r="AF1009" s="11">
        <f t="shared" si="267"/>
        <v>15.469999999999999</v>
      </c>
      <c r="AG1009" s="11">
        <f>(AC1009-0.41)*AA1009/H1009</f>
        <v>6.851</v>
      </c>
      <c r="AH1009" s="11">
        <f t="shared" si="268"/>
        <v>15.911999999999999</v>
      </c>
      <c r="AI1009" s="11">
        <f>(AC1009-0.41)*AA1009/H1009/I1009</f>
        <v>0.856375</v>
      </c>
      <c r="AJ1009" s="11">
        <f t="shared" si="269"/>
        <v>1.9889999999999999</v>
      </c>
    </row>
    <row r="1010" spans="1:36" x14ac:dyDescent="0.25">
      <c r="A1010" s="4" t="s">
        <v>944</v>
      </c>
      <c r="B1010" s="4" t="s">
        <v>1183</v>
      </c>
      <c r="C1010" s="4" t="s">
        <v>15</v>
      </c>
      <c r="D1010" s="4" t="s">
        <v>1106</v>
      </c>
      <c r="E1010" t="s">
        <v>1192</v>
      </c>
      <c r="F1010" t="s">
        <v>256</v>
      </c>
      <c r="G1010" t="s">
        <v>1193</v>
      </c>
      <c r="H1010">
        <v>15</v>
      </c>
      <c r="I1010">
        <v>8</v>
      </c>
      <c r="J1010" t="s">
        <v>40</v>
      </c>
      <c r="K1010" t="s">
        <v>15</v>
      </c>
      <c r="L1010" t="s">
        <v>1195</v>
      </c>
      <c r="M1010" t="s">
        <v>235</v>
      </c>
      <c r="N1010" t="s">
        <v>235</v>
      </c>
      <c r="P1010">
        <v>1</v>
      </c>
      <c r="Q1010" t="s">
        <v>180</v>
      </c>
      <c r="R1010" t="s">
        <v>187</v>
      </c>
      <c r="T1010">
        <v>1</v>
      </c>
      <c r="U1010" t="s">
        <v>187</v>
      </c>
      <c r="W1010">
        <v>100</v>
      </c>
      <c r="X1010" t="s">
        <v>184</v>
      </c>
      <c r="AA1010" s="13">
        <f>Tableau8[[#This Row],[density (kg/m2) or specific weight (kg/m2)]]*Tableau8[[#This Row],[nb of item used ]]*Tableau8[[#This Row],[volume or area]]</f>
        <v>100</v>
      </c>
      <c r="AB1010">
        <v>13.13</v>
      </c>
      <c r="AC1010">
        <f>0.31+0.41</f>
        <v>0.72</v>
      </c>
      <c r="AD1010" s="11">
        <f t="shared" si="266"/>
        <v>87.533333333333331</v>
      </c>
      <c r="AE1010" s="11">
        <f>_xlfn.RANK.AVG(Tableau8[[#This Row],[EE ( MJ/m²)]],AD1010:AD2165)</f>
        <v>20</v>
      </c>
      <c r="AF1010" s="11">
        <f t="shared" si="267"/>
        <v>10.941666666666666</v>
      </c>
      <c r="AG1010" s="11">
        <f>(AC1010-0.41)*AA1010/H1010</f>
        <v>2.0666666666666669</v>
      </c>
      <c r="AH1010" s="11">
        <f t="shared" si="268"/>
        <v>4.8</v>
      </c>
      <c r="AI1010" s="11">
        <f>(AC1010-0.41)*AA1010/H1010/I1010</f>
        <v>0.25833333333333336</v>
      </c>
      <c r="AJ1010" s="11">
        <f t="shared" si="269"/>
        <v>0.6</v>
      </c>
    </row>
    <row r="1011" spans="1:36" x14ac:dyDescent="0.25">
      <c r="A1011" s="23" t="s">
        <v>944</v>
      </c>
      <c r="B1011" s="23" t="s">
        <v>1183</v>
      </c>
      <c r="C1011" s="23" t="s">
        <v>14</v>
      </c>
      <c r="D1011" s="23" t="s">
        <v>1106</v>
      </c>
      <c r="E1011" s="20" t="s">
        <v>1192</v>
      </c>
      <c r="F1011" s="20" t="s">
        <v>256</v>
      </c>
      <c r="G1011" s="20" t="s">
        <v>1193</v>
      </c>
      <c r="H1011" s="20">
        <v>15</v>
      </c>
      <c r="I1011" s="20">
        <v>8</v>
      </c>
      <c r="J1011" s="20" t="s">
        <v>56</v>
      </c>
      <c r="K1011" t="s">
        <v>14</v>
      </c>
      <c r="L1011" s="20" t="s">
        <v>208</v>
      </c>
      <c r="M1011" s="20" t="s">
        <v>14</v>
      </c>
      <c r="N1011" s="20" t="s">
        <v>111</v>
      </c>
      <c r="O1011" t="s">
        <v>1171</v>
      </c>
      <c r="P1011" s="20"/>
      <c r="Q1011" s="20"/>
      <c r="R1011" s="20" t="s">
        <v>187</v>
      </c>
      <c r="S1011" s="20"/>
      <c r="T1011" s="20">
        <v>1</v>
      </c>
      <c r="U1011" s="20" t="s">
        <v>187</v>
      </c>
      <c r="V1011" s="20"/>
      <c r="W1011" s="25">
        <v>1380</v>
      </c>
      <c r="X1011" s="20" t="s">
        <v>184</v>
      </c>
      <c r="Y1011" s="20"/>
      <c r="Z1011" s="20"/>
      <c r="AA1011" s="20">
        <v>70</v>
      </c>
      <c r="AB1011" s="20">
        <v>35.6</v>
      </c>
      <c r="AC1011">
        <v>3.31</v>
      </c>
      <c r="AD1011" s="11">
        <f t="shared" si="266"/>
        <v>166.13333333333333</v>
      </c>
      <c r="AE1011" s="11">
        <f>_xlfn.RANK.AVG(Tableau8[[#This Row],[EE ( MJ/m²)]],AD1011:AD2166)</f>
        <v>8</v>
      </c>
      <c r="AF1011" s="11">
        <f t="shared" si="267"/>
        <v>20.766666666666666</v>
      </c>
      <c r="AG1011" s="11">
        <f>(AC1011)*AA1011/H1011</f>
        <v>15.446666666666667</v>
      </c>
      <c r="AH1011" s="11">
        <f t="shared" si="268"/>
        <v>15.446666666666667</v>
      </c>
      <c r="AI1011" s="33">
        <f>(AC1011)*AA1011/H1011/I1011</f>
        <v>1.9308333333333334</v>
      </c>
      <c r="AJ1011" s="11">
        <f t="shared" si="269"/>
        <v>1.9308333333333334</v>
      </c>
    </row>
    <row r="1012" spans="1:36" x14ac:dyDescent="0.25">
      <c r="A1012" s="4" t="s">
        <v>944</v>
      </c>
      <c r="B1012" s="4" t="s">
        <v>1183</v>
      </c>
      <c r="C1012" s="4" t="s">
        <v>12</v>
      </c>
      <c r="D1012" s="4" t="s">
        <v>1106</v>
      </c>
      <c r="E1012" t="s">
        <v>1192</v>
      </c>
      <c r="F1012" t="s">
        <v>256</v>
      </c>
      <c r="G1012" t="s">
        <v>1193</v>
      </c>
      <c r="H1012">
        <v>15</v>
      </c>
      <c r="I1012">
        <v>8</v>
      </c>
      <c r="J1012" t="s">
        <v>44</v>
      </c>
      <c r="K1012" t="s">
        <v>17</v>
      </c>
      <c r="L1012" t="s">
        <v>834</v>
      </c>
      <c r="M1012" t="s">
        <v>12</v>
      </c>
      <c r="N1012" t="s">
        <v>12</v>
      </c>
      <c r="R1012" t="s">
        <v>175</v>
      </c>
      <c r="T1012">
        <v>1</v>
      </c>
      <c r="U1012" t="s">
        <v>175</v>
      </c>
      <c r="W1012">
        <v>7800</v>
      </c>
      <c r="X1012" t="s">
        <v>184</v>
      </c>
      <c r="AA1012">
        <v>12</v>
      </c>
      <c r="AB1012">
        <v>25.3</v>
      </c>
      <c r="AC1012">
        <v>1.95</v>
      </c>
      <c r="AD1012" s="11">
        <f t="shared" si="266"/>
        <v>20.240000000000002</v>
      </c>
      <c r="AE1012" s="11">
        <f>_xlfn.RANK.AVG(Tableau8[[#This Row],[EE ( MJ/m²)]],AD1012:AD2167)</f>
        <v>62.5</v>
      </c>
      <c r="AF1012" s="11">
        <f t="shared" si="267"/>
        <v>2.5300000000000002</v>
      </c>
      <c r="AG1012" s="11">
        <f>(AC1012)*AA1012/H1012</f>
        <v>1.5599999999999998</v>
      </c>
      <c r="AH1012" s="11">
        <f t="shared" si="268"/>
        <v>1.5599999999999998</v>
      </c>
      <c r="AI1012" s="33">
        <f>(AC1012)*AA1012/H1012/I1012</f>
        <v>0.19499999999999998</v>
      </c>
      <c r="AJ1012" s="11">
        <f t="shared" si="269"/>
        <v>0.19499999999999998</v>
      </c>
    </row>
    <row r="1013" spans="1:36" x14ac:dyDescent="0.25">
      <c r="A1013" s="4" t="s">
        <v>944</v>
      </c>
      <c r="B1013" s="4" t="s">
        <v>1183</v>
      </c>
      <c r="C1013" s="4" t="s">
        <v>12</v>
      </c>
      <c r="D1013" s="4" t="s">
        <v>1106</v>
      </c>
      <c r="E1013" t="s">
        <v>1192</v>
      </c>
      <c r="F1013" t="s">
        <v>256</v>
      </c>
      <c r="G1013" t="s">
        <v>1193</v>
      </c>
      <c r="H1013">
        <v>15</v>
      </c>
      <c r="I1013">
        <v>8</v>
      </c>
      <c r="J1013" t="s">
        <v>44</v>
      </c>
      <c r="K1013" t="s">
        <v>17</v>
      </c>
      <c r="L1013" t="s">
        <v>712</v>
      </c>
      <c r="M1013" t="s">
        <v>12</v>
      </c>
      <c r="N1013" t="s">
        <v>12</v>
      </c>
      <c r="R1013" t="s">
        <v>175</v>
      </c>
      <c r="T1013">
        <v>1</v>
      </c>
      <c r="U1013" t="s">
        <v>175</v>
      </c>
      <c r="W1013">
        <v>7800</v>
      </c>
      <c r="X1013" t="s">
        <v>184</v>
      </c>
      <c r="AA1013">
        <v>12</v>
      </c>
      <c r="AB1013">
        <v>25.3</v>
      </c>
      <c r="AC1013">
        <v>1.95</v>
      </c>
      <c r="AD1013" s="11">
        <f t="shared" si="266"/>
        <v>20.240000000000002</v>
      </c>
      <c r="AE1013" s="11">
        <f>_xlfn.RANK.AVG(Tableau8[[#This Row],[EE ( MJ/m²)]],AD1013:AD2168)</f>
        <v>62</v>
      </c>
      <c r="AF1013" s="11">
        <f t="shared" si="267"/>
        <v>2.5300000000000002</v>
      </c>
      <c r="AG1013" s="11">
        <f>(AC1013)*AA1013/H1013</f>
        <v>1.5599999999999998</v>
      </c>
      <c r="AH1013" s="11">
        <f t="shared" si="268"/>
        <v>1.5599999999999998</v>
      </c>
      <c r="AI1013" s="33">
        <f>(AC1013)*AA1013/H1013/I1013</f>
        <v>0.19499999999999998</v>
      </c>
      <c r="AJ1013" s="11">
        <f t="shared" si="269"/>
        <v>0.19499999999999998</v>
      </c>
    </row>
    <row r="1014" spans="1:36" x14ac:dyDescent="0.25">
      <c r="A1014" s="4" t="s">
        <v>945</v>
      </c>
      <c r="B1014" s="4" t="s">
        <v>955</v>
      </c>
      <c r="C1014" s="4" t="s">
        <v>15</v>
      </c>
      <c r="D1014" s="4" t="s">
        <v>941</v>
      </c>
      <c r="E1014" t="s">
        <v>672</v>
      </c>
      <c r="F1014" t="s">
        <v>256</v>
      </c>
      <c r="G1014" t="s">
        <v>490</v>
      </c>
      <c r="H1014">
        <f t="shared" ref="H1014:H1035" si="270">4*5</f>
        <v>20</v>
      </c>
      <c r="I1014">
        <v>5</v>
      </c>
      <c r="J1014" t="s">
        <v>42</v>
      </c>
      <c r="K1014" t="s">
        <v>15</v>
      </c>
      <c r="L1014" t="s">
        <v>674</v>
      </c>
      <c r="M1014" t="s">
        <v>15</v>
      </c>
      <c r="N1014" t="s">
        <v>15</v>
      </c>
      <c r="P1014">
        <f>0.038*0.114*4.3</f>
        <v>1.8627599999999998E-2</v>
      </c>
      <c r="Q1014" t="s">
        <v>180</v>
      </c>
      <c r="T1014">
        <v>4</v>
      </c>
      <c r="W1014">
        <v>510</v>
      </c>
      <c r="X1014" t="s">
        <v>184</v>
      </c>
      <c r="AA1014" s="13">
        <f>Tableau8[[#This Row],[nb of item used ]]*Tableau8[[#This Row],[density (kg/m2) or specific weight (kg/m2)]]*Tableau8[[#This Row],[volume or area]]</f>
        <v>38.000303999999993</v>
      </c>
      <c r="AB1014">
        <f t="shared" ref="AB1014:AB1020" si="271">10-4.4</f>
        <v>5.6</v>
      </c>
      <c r="AC1014">
        <f t="shared" ref="AC1014:AC1020" si="272">0.31+0.41</f>
        <v>0.72</v>
      </c>
      <c r="AD1014" s="11">
        <f t="shared" si="266"/>
        <v>10.640085119999998</v>
      </c>
      <c r="AE1014" s="11">
        <f>_xlfn.RANK.AVG(Tableau8[[#This Row],[EE ( MJ/m²)]],AD1014:AD2169)</f>
        <v>80</v>
      </c>
      <c r="AF1014" s="11">
        <f t="shared" si="267"/>
        <v>2.1280170239999996</v>
      </c>
      <c r="AG1014" s="11">
        <f t="shared" ref="AG1014:AG1020" si="273">(AC1014-0.41)*AA1014/H1014</f>
        <v>0.58900471199999982</v>
      </c>
      <c r="AH1014" s="11">
        <f t="shared" si="268"/>
        <v>1.3680109439999997</v>
      </c>
      <c r="AI1014" s="11">
        <f t="shared" ref="AI1014:AI1020" si="274">(AC1014-0.41)*AA1014/H1014/I1014</f>
        <v>0.11780094239999997</v>
      </c>
      <c r="AJ1014" s="11">
        <f t="shared" si="269"/>
        <v>0.27360218879999992</v>
      </c>
    </row>
    <row r="1015" spans="1:36" x14ac:dyDescent="0.25">
      <c r="A1015" s="4" t="s">
        <v>945</v>
      </c>
      <c r="B1015" s="4" t="s">
        <v>955</v>
      </c>
      <c r="C1015" s="4" t="s">
        <v>15</v>
      </c>
      <c r="D1015" s="4" t="s">
        <v>941</v>
      </c>
      <c r="E1015" t="s">
        <v>672</v>
      </c>
      <c r="F1015" t="s">
        <v>256</v>
      </c>
      <c r="G1015" t="s">
        <v>490</v>
      </c>
      <c r="H1015">
        <f t="shared" si="270"/>
        <v>20</v>
      </c>
      <c r="I1015">
        <v>5</v>
      </c>
      <c r="J1015" t="s">
        <v>42</v>
      </c>
      <c r="K1015" t="s">
        <v>15</v>
      </c>
      <c r="L1015" t="s">
        <v>675</v>
      </c>
      <c r="M1015" t="s">
        <v>15</v>
      </c>
      <c r="N1015" t="s">
        <v>15</v>
      </c>
      <c r="P1015">
        <f>0.038*0.089*3.1</f>
        <v>1.0484199999999999E-2</v>
      </c>
      <c r="Q1015" t="s">
        <v>180</v>
      </c>
      <c r="T1015">
        <v>16</v>
      </c>
      <c r="W1015">
        <v>510</v>
      </c>
      <c r="X1015" t="s">
        <v>184</v>
      </c>
      <c r="AA1015" s="13">
        <f>Tableau8[[#This Row],[nb of item used ]]*Tableau8[[#This Row],[density (kg/m2) or specific weight (kg/m2)]]*Tableau8[[#This Row],[volume or area]]</f>
        <v>85.551071999999991</v>
      </c>
      <c r="AB1015">
        <f t="shared" si="271"/>
        <v>5.6</v>
      </c>
      <c r="AC1015">
        <f t="shared" si="272"/>
        <v>0.72</v>
      </c>
      <c r="AD1015" s="11">
        <f t="shared" si="266"/>
        <v>23.954300159999995</v>
      </c>
      <c r="AE1015" s="11">
        <f>_xlfn.RANK.AVG(Tableau8[[#This Row],[EE ( MJ/m²)]],AD1015:AD2170)</f>
        <v>56</v>
      </c>
      <c r="AF1015" s="11">
        <f t="shared" si="267"/>
        <v>4.7908600319999994</v>
      </c>
      <c r="AG1015" s="11">
        <f t="shared" si="273"/>
        <v>1.3260416159999999</v>
      </c>
      <c r="AH1015" s="11">
        <f t="shared" si="268"/>
        <v>3.0798385919999993</v>
      </c>
      <c r="AI1015" s="11">
        <f t="shared" si="274"/>
        <v>0.26520832319999998</v>
      </c>
      <c r="AJ1015" s="11">
        <f t="shared" si="269"/>
        <v>0.61596771839999986</v>
      </c>
    </row>
    <row r="1016" spans="1:36" s="20" customFormat="1" x14ac:dyDescent="0.25">
      <c r="A1016" s="4" t="s">
        <v>945</v>
      </c>
      <c r="B1016" s="4" t="s">
        <v>955</v>
      </c>
      <c r="C1016" s="4" t="s">
        <v>15</v>
      </c>
      <c r="D1016" s="4" t="s">
        <v>941</v>
      </c>
      <c r="E1016" t="s">
        <v>672</v>
      </c>
      <c r="F1016" t="s">
        <v>256</v>
      </c>
      <c r="G1016" t="s">
        <v>490</v>
      </c>
      <c r="H1016">
        <f t="shared" si="270"/>
        <v>20</v>
      </c>
      <c r="I1016">
        <v>5</v>
      </c>
      <c r="J1016" t="s">
        <v>42</v>
      </c>
      <c r="K1016" t="s">
        <v>15</v>
      </c>
      <c r="L1016" t="s">
        <v>668</v>
      </c>
      <c r="M1016" t="s">
        <v>15</v>
      </c>
      <c r="N1016" t="s">
        <v>15</v>
      </c>
      <c r="O1016"/>
      <c r="P1016">
        <f>0.038*0.064*3.7</f>
        <v>8.9984000000000001E-3</v>
      </c>
      <c r="Q1016" t="s">
        <v>180</v>
      </c>
      <c r="R1016"/>
      <c r="S1016"/>
      <c r="T1016">
        <v>53</v>
      </c>
      <c r="U1016"/>
      <c r="V1016"/>
      <c r="W1016">
        <v>510</v>
      </c>
      <c r="X1016" t="s">
        <v>184</v>
      </c>
      <c r="Y1016"/>
      <c r="Z1016"/>
      <c r="AA1016" s="13">
        <f>Tableau8[[#This Row],[nb of item used ]]*Tableau8[[#This Row],[density (kg/m2) or specific weight (kg/m2)]]*Tableau8[[#This Row],[volume or area]]</f>
        <v>243.226752</v>
      </c>
      <c r="AB1016">
        <f t="shared" si="271"/>
        <v>5.6</v>
      </c>
      <c r="AC1016">
        <f t="shared" si="272"/>
        <v>0.72</v>
      </c>
      <c r="AD1016" s="11">
        <f t="shared" si="266"/>
        <v>68.103490559999997</v>
      </c>
      <c r="AE1016" s="11">
        <f>_xlfn.RANK.AVG(Tableau8[[#This Row],[EE ( MJ/m²)]],AD1016:AD2171)</f>
        <v>25</v>
      </c>
      <c r="AF1016" s="11">
        <f t="shared" si="267"/>
        <v>13.620698111999999</v>
      </c>
      <c r="AG1016" s="11">
        <f t="shared" si="273"/>
        <v>3.7700146559999999</v>
      </c>
      <c r="AH1016" s="11">
        <f t="shared" si="268"/>
        <v>8.7561630719999997</v>
      </c>
      <c r="AI1016" s="11">
        <f t="shared" si="274"/>
        <v>0.75400293119999995</v>
      </c>
      <c r="AJ1016" s="11">
        <f t="shared" si="269"/>
        <v>1.7512326143999999</v>
      </c>
    </row>
    <row r="1017" spans="1:36" x14ac:dyDescent="0.25">
      <c r="A1017" s="4" t="s">
        <v>945</v>
      </c>
      <c r="B1017" s="4" t="s">
        <v>955</v>
      </c>
      <c r="C1017" s="4" t="s">
        <v>15</v>
      </c>
      <c r="D1017" s="4" t="s">
        <v>941</v>
      </c>
      <c r="E1017" t="s">
        <v>672</v>
      </c>
      <c r="F1017" t="s">
        <v>256</v>
      </c>
      <c r="G1017" t="s">
        <v>490</v>
      </c>
      <c r="H1017">
        <f t="shared" si="270"/>
        <v>20</v>
      </c>
      <c r="I1017">
        <v>5</v>
      </c>
      <c r="J1017" t="s">
        <v>42</v>
      </c>
      <c r="K1017" t="s">
        <v>15</v>
      </c>
      <c r="L1017" t="s">
        <v>676</v>
      </c>
      <c r="M1017" t="s">
        <v>15</v>
      </c>
      <c r="N1017" t="s">
        <v>15</v>
      </c>
      <c r="P1017">
        <f>0.038*0.038*3.1</f>
        <v>4.4764000000000002E-3</v>
      </c>
      <c r="Q1017" t="s">
        <v>180</v>
      </c>
      <c r="T1017">
        <v>50</v>
      </c>
      <c r="W1017">
        <v>510</v>
      </c>
      <c r="X1017" t="s">
        <v>184</v>
      </c>
      <c r="AA1017" s="13">
        <f>Tableau8[[#This Row],[nb of item used ]]*Tableau8[[#This Row],[density (kg/m2) or specific weight (kg/m2)]]*Tableau8[[#This Row],[volume or area]]</f>
        <v>114.1482</v>
      </c>
      <c r="AB1017">
        <f t="shared" si="271"/>
        <v>5.6</v>
      </c>
      <c r="AC1017">
        <f t="shared" si="272"/>
        <v>0.72</v>
      </c>
      <c r="AD1017" s="11">
        <f t="shared" si="266"/>
        <v>31.961496</v>
      </c>
      <c r="AE1017" s="11">
        <f>_xlfn.RANK.AVG(Tableau8[[#This Row],[EE ( MJ/m²)]],AD1017:AD2172)</f>
        <v>41</v>
      </c>
      <c r="AF1017" s="11">
        <f t="shared" si="267"/>
        <v>6.3922992000000001</v>
      </c>
      <c r="AG1017" s="11">
        <f t="shared" si="273"/>
        <v>1.7692971</v>
      </c>
      <c r="AH1017" s="11">
        <f t="shared" si="268"/>
        <v>4.1093352000000003</v>
      </c>
      <c r="AI1017" s="11">
        <f t="shared" si="274"/>
        <v>0.35385941999999998</v>
      </c>
      <c r="AJ1017" s="11">
        <f t="shared" si="269"/>
        <v>0.8218670400000001</v>
      </c>
    </row>
    <row r="1018" spans="1:36" x14ac:dyDescent="0.25">
      <c r="A1018" s="4" t="s">
        <v>945</v>
      </c>
      <c r="B1018" s="4" t="s">
        <v>955</v>
      </c>
      <c r="C1018" s="4" t="s">
        <v>15</v>
      </c>
      <c r="D1018" s="4" t="s">
        <v>941</v>
      </c>
      <c r="E1018" t="s">
        <v>672</v>
      </c>
      <c r="F1018" t="s">
        <v>256</v>
      </c>
      <c r="G1018" t="s">
        <v>490</v>
      </c>
      <c r="H1018">
        <f t="shared" si="270"/>
        <v>20</v>
      </c>
      <c r="I1018">
        <v>5</v>
      </c>
      <c r="J1018" t="s">
        <v>40</v>
      </c>
      <c r="K1018" t="s">
        <v>15</v>
      </c>
      <c r="L1018" t="s">
        <v>488</v>
      </c>
      <c r="M1018" t="s">
        <v>15</v>
      </c>
      <c r="N1018" t="s">
        <v>15</v>
      </c>
      <c r="P1018">
        <f>0.962*2.04*0.03</f>
        <v>5.88744E-2</v>
      </c>
      <c r="Q1018" t="s">
        <v>180</v>
      </c>
      <c r="T1018">
        <v>1</v>
      </c>
      <c r="W1018">
        <v>510</v>
      </c>
      <c r="X1018" t="s">
        <v>184</v>
      </c>
      <c r="AA1018" s="13">
        <f>Tableau8[[#This Row],[nb of item used ]]*Tableau8[[#This Row],[density (kg/m2) or specific weight (kg/m2)]]*Tableau8[[#This Row],[volume or area]]</f>
        <v>30.025943999999999</v>
      </c>
      <c r="AB1018">
        <f t="shared" si="271"/>
        <v>5.6</v>
      </c>
      <c r="AC1018">
        <f t="shared" si="272"/>
        <v>0.72</v>
      </c>
      <c r="AD1018" s="11">
        <f t="shared" si="266"/>
        <v>8.4072643199999995</v>
      </c>
      <c r="AE1018" s="11">
        <f>_xlfn.RANK.AVG(Tableau8[[#This Row],[EE ( MJ/m²)]],AD1018:AD2173)</f>
        <v>84</v>
      </c>
      <c r="AF1018" s="11">
        <f t="shared" si="267"/>
        <v>1.6814528639999999</v>
      </c>
      <c r="AG1018" s="11">
        <f t="shared" si="273"/>
        <v>0.46540213200000002</v>
      </c>
      <c r="AH1018" s="11">
        <f t="shared" si="268"/>
        <v>1.0809339840000001</v>
      </c>
      <c r="AI1018" s="11">
        <f t="shared" si="274"/>
        <v>9.3080426399999999E-2</v>
      </c>
      <c r="AJ1018" s="11">
        <f t="shared" si="269"/>
        <v>0.21618679680000003</v>
      </c>
    </row>
    <row r="1019" spans="1:36" x14ac:dyDescent="0.25">
      <c r="A1019" s="4" t="s">
        <v>945</v>
      </c>
      <c r="B1019" s="4" t="s">
        <v>955</v>
      </c>
      <c r="C1019" s="4" t="s">
        <v>15</v>
      </c>
      <c r="D1019" s="4" t="s">
        <v>941</v>
      </c>
      <c r="E1019" t="s">
        <v>672</v>
      </c>
      <c r="F1019" t="s">
        <v>256</v>
      </c>
      <c r="G1019" t="s">
        <v>490</v>
      </c>
      <c r="H1019">
        <f t="shared" si="270"/>
        <v>20</v>
      </c>
      <c r="I1019">
        <v>5</v>
      </c>
      <c r="J1019" t="s">
        <v>40</v>
      </c>
      <c r="K1019" t="s">
        <v>15</v>
      </c>
      <c r="L1019" t="s">
        <v>487</v>
      </c>
      <c r="M1019" t="s">
        <v>15</v>
      </c>
      <c r="N1019" t="s">
        <v>15</v>
      </c>
      <c r="P1019">
        <f>6*0.572*0.1*0.015</f>
        <v>5.1479999999999989E-3</v>
      </c>
      <c r="Q1019" t="s">
        <v>180</v>
      </c>
      <c r="T1019">
        <v>1</v>
      </c>
      <c r="W1019">
        <v>510</v>
      </c>
      <c r="X1019" t="s">
        <v>184</v>
      </c>
      <c r="AA1019" s="13">
        <f>Tableau8[[#This Row],[nb of item used ]]*Tableau8[[#This Row],[density (kg/m2) or specific weight (kg/m2)]]*Tableau8[[#This Row],[volume or area]]</f>
        <v>2.6254799999999996</v>
      </c>
      <c r="AB1019">
        <f t="shared" si="271"/>
        <v>5.6</v>
      </c>
      <c r="AC1019">
        <f t="shared" si="272"/>
        <v>0.72</v>
      </c>
      <c r="AD1019" s="11">
        <f t="shared" si="266"/>
        <v>0.73513439999999985</v>
      </c>
      <c r="AE1019" s="11">
        <f>_xlfn.RANK.AVG(Tableau8[[#This Row],[EE ( MJ/m²)]],AD1019:AD2174)</f>
        <v>133</v>
      </c>
      <c r="AF1019" s="11">
        <f t="shared" si="267"/>
        <v>0.14702687999999997</v>
      </c>
      <c r="AG1019" s="11">
        <f t="shared" si="273"/>
        <v>4.0694939999999999E-2</v>
      </c>
      <c r="AH1019" s="11">
        <f t="shared" si="268"/>
        <v>9.4517279999999981E-2</v>
      </c>
      <c r="AI1019" s="11">
        <f t="shared" si="274"/>
        <v>8.1389879999999998E-3</v>
      </c>
      <c r="AJ1019" s="11">
        <f t="shared" si="269"/>
        <v>1.8903455999999996E-2</v>
      </c>
    </row>
    <row r="1020" spans="1:36" x14ac:dyDescent="0.25">
      <c r="A1020" s="4" t="s">
        <v>945</v>
      </c>
      <c r="B1020" s="4" t="s">
        <v>955</v>
      </c>
      <c r="C1020" s="4" t="s">
        <v>15</v>
      </c>
      <c r="D1020" s="4" t="s">
        <v>941</v>
      </c>
      <c r="E1020" t="s">
        <v>672</v>
      </c>
      <c r="F1020" t="s">
        <v>256</v>
      </c>
      <c r="G1020" t="s">
        <v>490</v>
      </c>
      <c r="H1020">
        <f t="shared" si="270"/>
        <v>20</v>
      </c>
      <c r="I1020">
        <v>5</v>
      </c>
      <c r="J1020" t="s">
        <v>40</v>
      </c>
      <c r="K1020" t="s">
        <v>15</v>
      </c>
      <c r="L1020" t="s">
        <v>683</v>
      </c>
      <c r="M1020" t="s">
        <v>15</v>
      </c>
      <c r="N1020" t="s">
        <v>15</v>
      </c>
      <c r="P1020">
        <f>1*0.89*0.015</f>
        <v>1.3349999999999999E-2</v>
      </c>
      <c r="Q1020" t="s">
        <v>180</v>
      </c>
      <c r="T1020">
        <v>1</v>
      </c>
      <c r="W1020">
        <v>510</v>
      </c>
      <c r="X1020" t="s">
        <v>184</v>
      </c>
      <c r="AA1020" s="13">
        <f>Tableau8[[#This Row],[nb of item used ]]*Tableau8[[#This Row],[density (kg/m2) or specific weight (kg/m2)]]*Tableau8[[#This Row],[volume or area]]</f>
        <v>6.8084999999999996</v>
      </c>
      <c r="AB1020">
        <f t="shared" si="271"/>
        <v>5.6</v>
      </c>
      <c r="AC1020">
        <f t="shared" si="272"/>
        <v>0.72</v>
      </c>
      <c r="AD1020" s="11">
        <f t="shared" si="266"/>
        <v>1.9063799999999997</v>
      </c>
      <c r="AE1020" s="11">
        <f>_xlfn.RANK.AVG(Tableau8[[#This Row],[EE ( MJ/m²)]],AD1020:AD2175)</f>
        <v>116</v>
      </c>
      <c r="AF1020" s="11">
        <f t="shared" si="267"/>
        <v>0.38127599999999995</v>
      </c>
      <c r="AG1020" s="11">
        <f t="shared" si="273"/>
        <v>0.10553174999999999</v>
      </c>
      <c r="AH1020" s="11">
        <f t="shared" si="268"/>
        <v>0.24510599999999996</v>
      </c>
      <c r="AI1020" s="11">
        <f t="shared" si="274"/>
        <v>2.1106349999999999E-2</v>
      </c>
      <c r="AJ1020" s="11">
        <f t="shared" si="269"/>
        <v>4.9021199999999994E-2</v>
      </c>
    </row>
    <row r="1021" spans="1:36" x14ac:dyDescent="0.25">
      <c r="A1021" s="4" t="s">
        <v>945</v>
      </c>
      <c r="B1021" s="4" t="s">
        <v>955</v>
      </c>
      <c r="C1021" s="4" t="s">
        <v>15</v>
      </c>
      <c r="D1021" s="4" t="s">
        <v>941</v>
      </c>
      <c r="E1021" t="s">
        <v>672</v>
      </c>
      <c r="F1021" t="s">
        <v>256</v>
      </c>
      <c r="G1021" t="s">
        <v>490</v>
      </c>
      <c r="H1021">
        <f t="shared" si="270"/>
        <v>20</v>
      </c>
      <c r="I1021">
        <v>5</v>
      </c>
      <c r="J1021" t="s">
        <v>13</v>
      </c>
      <c r="K1021" t="s">
        <v>17</v>
      </c>
      <c r="L1021" t="s">
        <v>665</v>
      </c>
      <c r="M1021" t="s">
        <v>664</v>
      </c>
      <c r="N1021" t="s">
        <v>99</v>
      </c>
      <c r="P1021">
        <f>PI()*(0.005^2)*6</f>
        <v>4.7123889803846896E-4</v>
      </c>
      <c r="Q1021" t="s">
        <v>180</v>
      </c>
      <c r="T1021">
        <v>30</v>
      </c>
      <c r="W1021">
        <v>7800</v>
      </c>
      <c r="X1021" t="s">
        <v>184</v>
      </c>
      <c r="AA1021" s="13">
        <f>Tableau8[[#This Row],[density (kg/m2) or specific weight (kg/m2)]]*Tableau8[[#This Row],[nb of item used ]]*Tableau8[[#This Row],[volume or area]]</f>
        <v>110.26990214100174</v>
      </c>
      <c r="AB1021">
        <v>21.6</v>
      </c>
      <c r="AC1021">
        <v>1.86</v>
      </c>
      <c r="AD1021" s="11">
        <f t="shared" si="266"/>
        <v>119.09149431228188</v>
      </c>
      <c r="AE1021" s="11">
        <f>_xlfn.RANK.AVG(Tableau8[[#This Row],[EE ( MJ/m²)]],AD1021:AD2176)</f>
        <v>12</v>
      </c>
      <c r="AF1021" s="11">
        <f t="shared" si="267"/>
        <v>23.818298862456377</v>
      </c>
      <c r="AG1021" s="11">
        <f t="shared" ref="AG1021:AG1035" si="275">(AC1021)*AA1021/H1021</f>
        <v>10.255100899113163</v>
      </c>
      <c r="AH1021" s="11">
        <f t="shared" si="268"/>
        <v>10.255100899113163</v>
      </c>
      <c r="AI1021" s="11">
        <f t="shared" ref="AI1021:AI1035" si="276">(AC1021)*AA1021/H1021/I1021</f>
        <v>2.0510201798226326</v>
      </c>
      <c r="AJ1021" s="11">
        <f t="shared" si="269"/>
        <v>2.0510201798226326</v>
      </c>
    </row>
    <row r="1022" spans="1:36" x14ac:dyDescent="0.25">
      <c r="A1022" s="4" t="s">
        <v>945</v>
      </c>
      <c r="B1022" s="4" t="s">
        <v>955</v>
      </c>
      <c r="C1022" s="4" t="s">
        <v>15</v>
      </c>
      <c r="D1022" s="4" t="s">
        <v>941</v>
      </c>
      <c r="E1022" t="s">
        <v>672</v>
      </c>
      <c r="F1022" t="s">
        <v>256</v>
      </c>
      <c r="G1022" t="s">
        <v>490</v>
      </c>
      <c r="H1022">
        <f t="shared" si="270"/>
        <v>20</v>
      </c>
      <c r="I1022">
        <v>5</v>
      </c>
      <c r="J1022" t="s">
        <v>44</v>
      </c>
      <c r="K1022" t="s">
        <v>17</v>
      </c>
      <c r="L1022" t="s">
        <v>612</v>
      </c>
      <c r="M1022" t="s">
        <v>664</v>
      </c>
      <c r="N1022" t="s">
        <v>612</v>
      </c>
      <c r="T1022">
        <v>1</v>
      </c>
      <c r="W1022">
        <v>7800</v>
      </c>
      <c r="X1022" t="s">
        <v>184</v>
      </c>
      <c r="AA1022" s="13">
        <v>1</v>
      </c>
      <c r="AB1022">
        <v>36</v>
      </c>
      <c r="AC1022">
        <v>3.02</v>
      </c>
      <c r="AD1022" s="11">
        <f t="shared" si="266"/>
        <v>1.8</v>
      </c>
      <c r="AE1022" s="11">
        <f>_xlfn.RANK.AVG(Tableau8[[#This Row],[EE ( MJ/m²)]],AD1022:AD2177)</f>
        <v>115</v>
      </c>
      <c r="AF1022" s="11">
        <f t="shared" si="267"/>
        <v>0.36</v>
      </c>
      <c r="AG1022" s="11">
        <f t="shared" si="275"/>
        <v>0.151</v>
      </c>
      <c r="AH1022" s="11">
        <f t="shared" si="268"/>
        <v>0.151</v>
      </c>
      <c r="AI1022" s="11">
        <f t="shared" si="276"/>
        <v>3.0199999999999998E-2</v>
      </c>
      <c r="AJ1022" s="11">
        <f t="shared" si="269"/>
        <v>3.0199999999999998E-2</v>
      </c>
    </row>
    <row r="1023" spans="1:36" x14ac:dyDescent="0.25">
      <c r="A1023" s="4" t="s">
        <v>945</v>
      </c>
      <c r="B1023" s="4" t="s">
        <v>955</v>
      </c>
      <c r="C1023" s="4" t="s">
        <v>15</v>
      </c>
      <c r="D1023" s="4" t="s">
        <v>941</v>
      </c>
      <c r="E1023" t="s">
        <v>672</v>
      </c>
      <c r="F1023" t="s">
        <v>256</v>
      </c>
      <c r="G1023" t="s">
        <v>490</v>
      </c>
      <c r="H1023">
        <f t="shared" si="270"/>
        <v>20</v>
      </c>
      <c r="I1023">
        <v>5</v>
      </c>
      <c r="J1023" t="s">
        <v>44</v>
      </c>
      <c r="K1023" t="s">
        <v>17</v>
      </c>
      <c r="L1023" t="s">
        <v>9</v>
      </c>
      <c r="M1023" t="s">
        <v>12</v>
      </c>
      <c r="N1023" t="s">
        <v>12</v>
      </c>
      <c r="T1023">
        <v>1</v>
      </c>
      <c r="W1023">
        <v>7800</v>
      </c>
      <c r="X1023" t="s">
        <v>184</v>
      </c>
      <c r="AA1023" s="13">
        <f>3.5+4.5+7+2+5.5</f>
        <v>22.5</v>
      </c>
      <c r="AB1023">
        <v>25.3</v>
      </c>
      <c r="AC1023">
        <v>1.95</v>
      </c>
      <c r="AD1023" s="11">
        <f t="shared" si="266"/>
        <v>28.462499999999999</v>
      </c>
      <c r="AE1023" s="11">
        <f>_xlfn.RANK.AVG(Tableau8[[#This Row],[EE ( MJ/m²)]],AD1023:AD2178)</f>
        <v>46</v>
      </c>
      <c r="AF1023" s="11">
        <f t="shared" si="267"/>
        <v>5.6924999999999999</v>
      </c>
      <c r="AG1023" s="11">
        <f t="shared" si="275"/>
        <v>2.1937500000000001</v>
      </c>
      <c r="AH1023" s="11">
        <f t="shared" si="268"/>
        <v>2.1937500000000001</v>
      </c>
      <c r="AI1023" s="11">
        <f t="shared" si="276"/>
        <v>0.43875000000000003</v>
      </c>
      <c r="AJ1023" s="11">
        <f t="shared" si="269"/>
        <v>0.43875000000000003</v>
      </c>
    </row>
    <row r="1024" spans="1:36" x14ac:dyDescent="0.25">
      <c r="A1024" s="4" t="s">
        <v>945</v>
      </c>
      <c r="B1024" s="4" t="s">
        <v>955</v>
      </c>
      <c r="C1024" s="4" t="s">
        <v>15</v>
      </c>
      <c r="D1024" s="4" t="s">
        <v>941</v>
      </c>
      <c r="E1024" t="s">
        <v>672</v>
      </c>
      <c r="F1024" t="s">
        <v>256</v>
      </c>
      <c r="G1024" t="s">
        <v>490</v>
      </c>
      <c r="H1024">
        <f t="shared" si="270"/>
        <v>20</v>
      </c>
      <c r="I1024">
        <v>5</v>
      </c>
      <c r="J1024" t="s">
        <v>44</v>
      </c>
      <c r="K1024" t="s">
        <v>17</v>
      </c>
      <c r="L1024" t="s">
        <v>278</v>
      </c>
      <c r="M1024" t="s">
        <v>12</v>
      </c>
      <c r="N1024" t="s">
        <v>12</v>
      </c>
      <c r="T1024">
        <v>1</v>
      </c>
      <c r="W1024">
        <v>7800</v>
      </c>
      <c r="X1024" t="s">
        <v>184</v>
      </c>
      <c r="AA1024" s="13">
        <f>2*0.538</f>
        <v>1.0760000000000001</v>
      </c>
      <c r="AB1024">
        <v>25.3</v>
      </c>
      <c r="AC1024">
        <v>1.95</v>
      </c>
      <c r="AD1024" s="11">
        <f t="shared" si="266"/>
        <v>1.3611400000000002</v>
      </c>
      <c r="AE1024" s="11">
        <f>_xlfn.RANK.AVG(Tableau8[[#This Row],[EE ( MJ/m²)]],AD1024:AD2179)</f>
        <v>116.5</v>
      </c>
      <c r="AF1024" s="11">
        <f t="shared" si="267"/>
        <v>0.27222800000000003</v>
      </c>
      <c r="AG1024" s="11">
        <f t="shared" si="275"/>
        <v>0.10491000000000002</v>
      </c>
      <c r="AH1024" s="11">
        <f t="shared" si="268"/>
        <v>0.10491000000000002</v>
      </c>
      <c r="AI1024" s="11">
        <f t="shared" si="276"/>
        <v>2.0982000000000004E-2</v>
      </c>
      <c r="AJ1024" s="11">
        <f t="shared" si="269"/>
        <v>2.0982000000000004E-2</v>
      </c>
    </row>
    <row r="1025" spans="1:36" x14ac:dyDescent="0.25">
      <c r="A1025" s="4" t="s">
        <v>945</v>
      </c>
      <c r="B1025" s="4" t="s">
        <v>955</v>
      </c>
      <c r="C1025" s="4" t="s">
        <v>15</v>
      </c>
      <c r="D1025" s="4" t="s">
        <v>941</v>
      </c>
      <c r="E1025" t="s">
        <v>672</v>
      </c>
      <c r="F1025" t="s">
        <v>256</v>
      </c>
      <c r="G1025" t="s">
        <v>490</v>
      </c>
      <c r="H1025">
        <f t="shared" si="270"/>
        <v>20</v>
      </c>
      <c r="I1025">
        <v>5</v>
      </c>
      <c r="J1025" t="s">
        <v>44</v>
      </c>
      <c r="K1025" t="s">
        <v>17</v>
      </c>
      <c r="L1025" t="s">
        <v>278</v>
      </c>
      <c r="M1025" t="s">
        <v>12</v>
      </c>
      <c r="N1025" t="s">
        <v>12</v>
      </c>
      <c r="T1025">
        <v>1</v>
      </c>
      <c r="W1025">
        <v>7800</v>
      </c>
      <c r="X1025" t="s">
        <v>184</v>
      </c>
      <c r="AA1025" s="13">
        <f>2*0.538</f>
        <v>1.0760000000000001</v>
      </c>
      <c r="AB1025">
        <v>25.3</v>
      </c>
      <c r="AC1025">
        <v>1.95</v>
      </c>
      <c r="AD1025" s="11">
        <f t="shared" ref="AD1025:AD1056" si="277">AB1025*AA1025/H1025</f>
        <v>1.3611400000000002</v>
      </c>
      <c r="AE1025" s="11">
        <f>_xlfn.RANK.AVG(Tableau8[[#This Row],[EE ( MJ/m²)]],AD1025:AD2180)</f>
        <v>116</v>
      </c>
      <c r="AF1025" s="11">
        <f t="shared" ref="AF1025:AF1056" si="278">AB1025*AA1025/H1025/I1025</f>
        <v>0.27222800000000003</v>
      </c>
      <c r="AG1025" s="11">
        <f t="shared" si="275"/>
        <v>0.10491000000000002</v>
      </c>
      <c r="AH1025" s="11">
        <f t="shared" ref="AH1025:AH1056" si="279">AC1025*AA1025/H1025</f>
        <v>0.10491000000000002</v>
      </c>
      <c r="AI1025" s="11">
        <f t="shared" si="276"/>
        <v>2.0982000000000004E-2</v>
      </c>
      <c r="AJ1025" s="11">
        <f t="shared" ref="AJ1025:AJ1056" si="280">AC1025*AA1025/H1025/I1025</f>
        <v>2.0982000000000004E-2</v>
      </c>
    </row>
    <row r="1026" spans="1:36" x14ac:dyDescent="0.25">
      <c r="A1026" s="4" t="s">
        <v>945</v>
      </c>
      <c r="B1026" s="4" t="s">
        <v>955</v>
      </c>
      <c r="C1026" s="4" t="s">
        <v>15</v>
      </c>
      <c r="D1026" s="4" t="s">
        <v>941</v>
      </c>
      <c r="E1026" t="s">
        <v>672</v>
      </c>
      <c r="F1026" t="s">
        <v>256</v>
      </c>
      <c r="G1026" t="s">
        <v>490</v>
      </c>
      <c r="H1026">
        <f t="shared" si="270"/>
        <v>20</v>
      </c>
      <c r="I1026">
        <v>5</v>
      </c>
      <c r="J1026" t="s">
        <v>13</v>
      </c>
      <c r="K1026" t="s">
        <v>29</v>
      </c>
      <c r="L1026" t="s">
        <v>364</v>
      </c>
      <c r="M1026" t="s">
        <v>364</v>
      </c>
      <c r="N1026" t="s">
        <v>432</v>
      </c>
      <c r="P1026">
        <v>3.5</v>
      </c>
      <c r="Q1026" t="s">
        <v>180</v>
      </c>
      <c r="T1026">
        <v>1</v>
      </c>
      <c r="W1026">
        <v>2240</v>
      </c>
      <c r="X1026" t="s">
        <v>184</v>
      </c>
      <c r="AA1026" s="13">
        <f>Tableau8[[#This Row],[density (kg/m2) or specific weight (kg/m2)]]*Tableau8[[#This Row],[nb of item used ]]*Tableau8[[#This Row],[volume or area]]</f>
        <v>7840</v>
      </c>
      <c r="AB1026">
        <v>8.0999999999999996E-3</v>
      </c>
      <c r="AC1026">
        <v>5.1000000000000004E-3</v>
      </c>
      <c r="AD1026" s="11">
        <f t="shared" si="277"/>
        <v>3.1751999999999998</v>
      </c>
      <c r="AE1026" s="11">
        <f>_xlfn.RANK.AVG(Tableau8[[#This Row],[EE ( MJ/m²)]],AD1026:AD2181)</f>
        <v>96</v>
      </c>
      <c r="AF1026" s="11">
        <f t="shared" si="278"/>
        <v>0.63503999999999994</v>
      </c>
      <c r="AG1026" s="11">
        <f t="shared" si="275"/>
        <v>1.9992000000000001</v>
      </c>
      <c r="AH1026" s="11">
        <f t="shared" si="279"/>
        <v>1.9992000000000001</v>
      </c>
      <c r="AI1026" s="11">
        <f t="shared" si="276"/>
        <v>0.39984000000000003</v>
      </c>
      <c r="AJ1026" s="11">
        <f t="shared" si="280"/>
        <v>0.39984000000000003</v>
      </c>
    </row>
    <row r="1027" spans="1:36" x14ac:dyDescent="0.25">
      <c r="A1027" s="4" t="s">
        <v>945</v>
      </c>
      <c r="B1027" s="4" t="s">
        <v>955</v>
      </c>
      <c r="C1027" s="4" t="s">
        <v>15</v>
      </c>
      <c r="D1027" s="4" t="s">
        <v>941</v>
      </c>
      <c r="E1027" t="s">
        <v>672</v>
      </c>
      <c r="F1027" t="s">
        <v>256</v>
      </c>
      <c r="G1027" t="s">
        <v>490</v>
      </c>
      <c r="H1027">
        <f t="shared" si="270"/>
        <v>20</v>
      </c>
      <c r="I1027">
        <v>5</v>
      </c>
      <c r="J1027" t="s">
        <v>40</v>
      </c>
      <c r="K1027" t="s">
        <v>15</v>
      </c>
      <c r="L1027" t="s">
        <v>678</v>
      </c>
      <c r="M1027" t="s">
        <v>252</v>
      </c>
      <c r="N1027" t="s">
        <v>252</v>
      </c>
      <c r="P1027">
        <f>1.2*2.4*0.0047</f>
        <v>1.3535999999999999E-2</v>
      </c>
      <c r="Q1027" t="s">
        <v>180</v>
      </c>
      <c r="T1027">
        <v>17</v>
      </c>
      <c r="W1027">
        <v>540</v>
      </c>
      <c r="X1027" t="s">
        <v>184</v>
      </c>
      <c r="AA1027" s="13">
        <f>Tableau8[[#This Row],[nb of item used ]]*Tableau8[[#This Row],[density (kg/m2) or specific weight (kg/m2)]]*Tableau8[[#This Row],[volume or area]]</f>
        <v>124.26048</v>
      </c>
      <c r="AB1027">
        <f>15-7.1</f>
        <v>7.9</v>
      </c>
      <c r="AC1027">
        <f>0.45+0.65</f>
        <v>1.1000000000000001</v>
      </c>
      <c r="AD1027" s="11">
        <f t="shared" si="277"/>
        <v>49.082889600000001</v>
      </c>
      <c r="AE1027" s="11">
        <f>_xlfn.RANK.AVG(Tableau8[[#This Row],[EE ( MJ/m²)]],AD1027:AD2182)</f>
        <v>30</v>
      </c>
      <c r="AF1027" s="11">
        <f t="shared" si="278"/>
        <v>9.8165779200000003</v>
      </c>
      <c r="AG1027" s="11">
        <f t="shared" si="275"/>
        <v>6.8343264000000001</v>
      </c>
      <c r="AH1027" s="11">
        <f t="shared" si="279"/>
        <v>6.8343264000000001</v>
      </c>
      <c r="AI1027" s="11">
        <f t="shared" si="276"/>
        <v>1.3668652800000001</v>
      </c>
      <c r="AJ1027" s="11">
        <f t="shared" si="280"/>
        <v>1.3668652800000001</v>
      </c>
    </row>
    <row r="1028" spans="1:36" x14ac:dyDescent="0.25">
      <c r="A1028" s="4" t="s">
        <v>945</v>
      </c>
      <c r="B1028" s="4" t="s">
        <v>955</v>
      </c>
      <c r="C1028" s="4" t="s">
        <v>15</v>
      </c>
      <c r="D1028" s="4" t="s">
        <v>941</v>
      </c>
      <c r="E1028" t="s">
        <v>672</v>
      </c>
      <c r="F1028" t="s">
        <v>256</v>
      </c>
      <c r="G1028" t="s">
        <v>490</v>
      </c>
      <c r="H1028">
        <f t="shared" si="270"/>
        <v>20</v>
      </c>
      <c r="I1028">
        <v>5</v>
      </c>
      <c r="J1028" t="s">
        <v>40</v>
      </c>
      <c r="K1028" t="s">
        <v>15</v>
      </c>
      <c r="L1028" t="s">
        <v>679</v>
      </c>
      <c r="M1028" t="s">
        <v>252</v>
      </c>
      <c r="N1028" t="s">
        <v>252</v>
      </c>
      <c r="P1028">
        <f>1.2*2.4*0.0064</f>
        <v>1.8432E-2</v>
      </c>
      <c r="Q1028" t="s">
        <v>180</v>
      </c>
      <c r="T1028">
        <v>0.5</v>
      </c>
      <c r="W1028">
        <v>540</v>
      </c>
      <c r="X1028" t="s">
        <v>184</v>
      </c>
      <c r="AA1028" s="13">
        <f>Tableau8[[#This Row],[nb of item used ]]*Tableau8[[#This Row],[density (kg/m2) or specific weight (kg/m2)]]*Tableau8[[#This Row],[volume or area]]</f>
        <v>4.9766399999999997</v>
      </c>
      <c r="AB1028">
        <f>15-7.1</f>
        <v>7.9</v>
      </c>
      <c r="AC1028">
        <f>0.45+0.65</f>
        <v>1.1000000000000001</v>
      </c>
      <c r="AD1028" s="11">
        <f t="shared" si="277"/>
        <v>1.9657727999999999</v>
      </c>
      <c r="AE1028" s="11">
        <f>_xlfn.RANK.AVG(Tableau8[[#This Row],[EE ( MJ/m²)]],AD1028:AD2183)</f>
        <v>110</v>
      </c>
      <c r="AF1028" s="11">
        <f t="shared" si="278"/>
        <v>0.39315455999999999</v>
      </c>
      <c r="AG1028" s="11">
        <f t="shared" si="275"/>
        <v>0.27371519999999999</v>
      </c>
      <c r="AH1028" s="11">
        <f t="shared" si="279"/>
        <v>0.27371519999999999</v>
      </c>
      <c r="AI1028" s="11">
        <f t="shared" si="276"/>
        <v>5.474304E-2</v>
      </c>
      <c r="AJ1028" s="11">
        <f t="shared" si="280"/>
        <v>5.474304E-2</v>
      </c>
    </row>
    <row r="1029" spans="1:36" x14ac:dyDescent="0.25">
      <c r="A1029" s="4" t="s">
        <v>945</v>
      </c>
      <c r="B1029" s="4" t="s">
        <v>955</v>
      </c>
      <c r="C1029" s="4" t="s">
        <v>15</v>
      </c>
      <c r="D1029" s="4" t="s">
        <v>941</v>
      </c>
      <c r="E1029" t="s">
        <v>672</v>
      </c>
      <c r="F1029" t="s">
        <v>256</v>
      </c>
      <c r="G1029" t="s">
        <v>490</v>
      </c>
      <c r="H1029">
        <f t="shared" si="270"/>
        <v>20</v>
      </c>
      <c r="I1029">
        <v>5</v>
      </c>
      <c r="J1029" t="s">
        <v>56</v>
      </c>
      <c r="K1029" t="s">
        <v>17</v>
      </c>
      <c r="L1029" t="s">
        <v>680</v>
      </c>
      <c r="M1029" t="s">
        <v>236</v>
      </c>
      <c r="N1029" t="s">
        <v>59</v>
      </c>
      <c r="P1029">
        <f>3.1*0.004*0.8</f>
        <v>9.9200000000000017E-3</v>
      </c>
      <c r="Q1029" t="s">
        <v>180</v>
      </c>
      <c r="T1029">
        <v>18</v>
      </c>
      <c r="W1029">
        <v>7870</v>
      </c>
      <c r="X1029" t="s">
        <v>184</v>
      </c>
      <c r="AA1029" s="13">
        <f>Tableau8[[#This Row],[density (kg/m2) or specific weight (kg/m2)]]*Tableau8[[#This Row],[nb of item used ]]*Tableau8[[#This Row],[volume or area]]</f>
        <v>1405.2672000000002</v>
      </c>
      <c r="AB1029">
        <v>25</v>
      </c>
      <c r="AC1029">
        <v>2.0299999999999998</v>
      </c>
      <c r="AD1029" s="11">
        <f t="shared" si="277"/>
        <v>1756.5840000000003</v>
      </c>
      <c r="AE1029" s="11">
        <f>_xlfn.RANK.AVG(Tableau8[[#This Row],[EE ( MJ/m²)]],AD1029:AD2184)</f>
        <v>1</v>
      </c>
      <c r="AF1029" s="11">
        <f t="shared" si="278"/>
        <v>351.31680000000006</v>
      </c>
      <c r="AG1029" s="11">
        <f t="shared" si="275"/>
        <v>142.63462080000002</v>
      </c>
      <c r="AH1029" s="11">
        <f t="shared" si="279"/>
        <v>142.63462080000002</v>
      </c>
      <c r="AI1029" s="11">
        <f t="shared" si="276"/>
        <v>28.526924160000004</v>
      </c>
      <c r="AJ1029" s="11">
        <f t="shared" si="280"/>
        <v>28.526924160000004</v>
      </c>
    </row>
    <row r="1030" spans="1:36" x14ac:dyDescent="0.25">
      <c r="A1030" s="4" t="s">
        <v>945</v>
      </c>
      <c r="B1030" s="4" t="s">
        <v>955</v>
      </c>
      <c r="C1030" s="4" t="s">
        <v>15</v>
      </c>
      <c r="D1030" s="4" t="s">
        <v>941</v>
      </c>
      <c r="E1030" t="s">
        <v>672</v>
      </c>
      <c r="F1030" t="s">
        <v>256</v>
      </c>
      <c r="G1030" t="s">
        <v>490</v>
      </c>
      <c r="H1030">
        <f t="shared" si="270"/>
        <v>20</v>
      </c>
      <c r="I1030">
        <v>5</v>
      </c>
      <c r="J1030" t="s">
        <v>56</v>
      </c>
      <c r="K1030" t="s">
        <v>17</v>
      </c>
      <c r="L1030" t="s">
        <v>681</v>
      </c>
      <c r="M1030" t="s">
        <v>236</v>
      </c>
      <c r="N1030" t="s">
        <v>59</v>
      </c>
      <c r="P1030">
        <f>0.9*2.4*0.004</f>
        <v>8.6400000000000001E-3</v>
      </c>
      <c r="Q1030" t="s">
        <v>180</v>
      </c>
      <c r="T1030">
        <v>2</v>
      </c>
      <c r="W1030">
        <v>7870</v>
      </c>
      <c r="X1030" t="s">
        <v>184</v>
      </c>
      <c r="AA1030" s="13">
        <f>Tableau8[[#This Row],[density (kg/m2) or specific weight (kg/m2)]]*Tableau8[[#This Row],[nb of item used ]]*Tableau8[[#This Row],[volume or area]]</f>
        <v>135.99360000000001</v>
      </c>
      <c r="AB1030">
        <v>25</v>
      </c>
      <c r="AC1030">
        <v>2.0299999999999998</v>
      </c>
      <c r="AD1030" s="11">
        <f t="shared" si="277"/>
        <v>169.99200000000002</v>
      </c>
      <c r="AE1030" s="11">
        <f>_xlfn.RANK.AVG(Tableau8[[#This Row],[EE ( MJ/m²)]],AD1030:AD2185)</f>
        <v>6</v>
      </c>
      <c r="AF1030" s="11">
        <f t="shared" si="278"/>
        <v>33.998400000000004</v>
      </c>
      <c r="AG1030" s="11">
        <f t="shared" si="275"/>
        <v>13.803350399999999</v>
      </c>
      <c r="AH1030" s="11">
        <f t="shared" si="279"/>
        <v>13.803350399999999</v>
      </c>
      <c r="AI1030" s="11">
        <f t="shared" si="276"/>
        <v>2.7606700799999997</v>
      </c>
      <c r="AJ1030" s="11">
        <f t="shared" si="280"/>
        <v>2.7606700799999997</v>
      </c>
    </row>
    <row r="1031" spans="1:36" x14ac:dyDescent="0.25">
      <c r="A1031" s="4" t="s">
        <v>945</v>
      </c>
      <c r="B1031" s="4" t="s">
        <v>955</v>
      </c>
      <c r="C1031" s="4" t="s">
        <v>15</v>
      </c>
      <c r="D1031" s="4" t="s">
        <v>941</v>
      </c>
      <c r="E1031" t="s">
        <v>672</v>
      </c>
      <c r="F1031" t="s">
        <v>256</v>
      </c>
      <c r="G1031" t="s">
        <v>490</v>
      </c>
      <c r="H1031">
        <f t="shared" si="270"/>
        <v>20</v>
      </c>
      <c r="I1031">
        <v>5</v>
      </c>
      <c r="J1031" t="s">
        <v>13</v>
      </c>
      <c r="K1031" t="s">
        <v>29</v>
      </c>
      <c r="L1031" t="s">
        <v>607</v>
      </c>
      <c r="M1031" t="s">
        <v>607</v>
      </c>
      <c r="N1031" t="s">
        <v>433</v>
      </c>
      <c r="P1031">
        <v>4</v>
      </c>
      <c r="Q1031" t="s">
        <v>180</v>
      </c>
      <c r="T1031">
        <v>1</v>
      </c>
      <c r="W1031">
        <v>2240</v>
      </c>
      <c r="X1031" t="s">
        <v>184</v>
      </c>
      <c r="AA1031" s="13">
        <f>Tableau8[[#This Row],[density (kg/m2) or specific weight (kg/m2)]]*Tableau8[[#This Row],[nb of item used ]]*Tableau8[[#This Row],[volume or area]]</f>
        <v>8960</v>
      </c>
      <c r="AB1031">
        <v>8.3000000000000004E-2</v>
      </c>
      <c r="AC1031">
        <v>5.1999999999999998E-3</v>
      </c>
      <c r="AD1031" s="11">
        <f t="shared" si="277"/>
        <v>37.184000000000005</v>
      </c>
      <c r="AE1031" s="11">
        <f>_xlfn.RANK.AVG(Tableau8[[#This Row],[EE ( MJ/m²)]],AD1031:AD2186)</f>
        <v>33</v>
      </c>
      <c r="AF1031" s="11">
        <f t="shared" si="278"/>
        <v>7.4368000000000007</v>
      </c>
      <c r="AG1031" s="11">
        <f t="shared" si="275"/>
        <v>2.3296000000000001</v>
      </c>
      <c r="AH1031" s="11">
        <f t="shared" si="279"/>
        <v>2.3296000000000001</v>
      </c>
      <c r="AI1031" s="11">
        <f t="shared" si="276"/>
        <v>0.46592</v>
      </c>
      <c r="AJ1031" s="11">
        <f t="shared" si="280"/>
        <v>0.46592</v>
      </c>
    </row>
    <row r="1032" spans="1:36" x14ac:dyDescent="0.25">
      <c r="A1032" s="4" t="s">
        <v>945</v>
      </c>
      <c r="B1032" s="4" t="s">
        <v>955</v>
      </c>
      <c r="C1032" s="4" t="s">
        <v>15</v>
      </c>
      <c r="D1032" s="4" t="s">
        <v>941</v>
      </c>
      <c r="E1032" t="s">
        <v>672</v>
      </c>
      <c r="F1032" t="s">
        <v>256</v>
      </c>
      <c r="G1032" t="s">
        <v>490</v>
      </c>
      <c r="H1032">
        <f t="shared" si="270"/>
        <v>20</v>
      </c>
      <c r="I1032">
        <v>5</v>
      </c>
      <c r="J1032" t="s">
        <v>40</v>
      </c>
      <c r="K1032" t="s">
        <v>18</v>
      </c>
      <c r="L1032" t="s">
        <v>673</v>
      </c>
      <c r="M1032" t="s">
        <v>18</v>
      </c>
      <c r="N1032" t="s">
        <v>39</v>
      </c>
      <c r="P1032">
        <f>0.102*0.102*3.1</f>
        <v>3.2252399999999994E-2</v>
      </c>
      <c r="Q1032" t="s">
        <v>180</v>
      </c>
      <c r="T1032">
        <v>8</v>
      </c>
      <c r="W1032">
        <v>2400</v>
      </c>
      <c r="X1032" t="s">
        <v>184</v>
      </c>
      <c r="AA1032" s="13">
        <f>Tableau8[[#This Row],[density (kg/m2) or specific weight (kg/m2)]]*Tableau8[[#This Row],[nb of item used ]]*Tableau8[[#This Row],[volume or area]]</f>
        <v>619.24607999999989</v>
      </c>
      <c r="AB1032">
        <v>0.75</v>
      </c>
      <c r="AC1032">
        <v>0.105</v>
      </c>
      <c r="AD1032" s="11">
        <f t="shared" si="277"/>
        <v>23.221727999999995</v>
      </c>
      <c r="AE1032" s="11">
        <f>_xlfn.RANK.AVG(Tableau8[[#This Row],[EE ( MJ/m²)]],AD1032:AD2187)</f>
        <v>51</v>
      </c>
      <c r="AF1032" s="11">
        <f t="shared" si="278"/>
        <v>4.6443455999999994</v>
      </c>
      <c r="AG1032" s="11">
        <f t="shared" si="275"/>
        <v>3.2510419199999996</v>
      </c>
      <c r="AH1032" s="11">
        <f t="shared" si="279"/>
        <v>3.2510419199999996</v>
      </c>
      <c r="AI1032" s="11">
        <f t="shared" si="276"/>
        <v>0.65020838399999992</v>
      </c>
      <c r="AJ1032" s="11">
        <f t="shared" si="280"/>
        <v>0.65020838399999992</v>
      </c>
    </row>
    <row r="1033" spans="1:36" x14ac:dyDescent="0.25">
      <c r="A1033" s="4" t="s">
        <v>945</v>
      </c>
      <c r="B1033" s="4" t="s">
        <v>955</v>
      </c>
      <c r="C1033" s="4" t="s">
        <v>15</v>
      </c>
      <c r="D1033" s="4" t="s">
        <v>941</v>
      </c>
      <c r="E1033" t="s">
        <v>672</v>
      </c>
      <c r="F1033" t="s">
        <v>256</v>
      </c>
      <c r="G1033" t="s">
        <v>490</v>
      </c>
      <c r="H1033">
        <f t="shared" si="270"/>
        <v>20</v>
      </c>
      <c r="I1033">
        <v>5</v>
      </c>
      <c r="J1033" t="s">
        <v>40</v>
      </c>
      <c r="K1033" t="s">
        <v>18</v>
      </c>
      <c r="L1033" t="s">
        <v>677</v>
      </c>
      <c r="M1033" t="s">
        <v>18</v>
      </c>
      <c r="N1033" t="s">
        <v>414</v>
      </c>
      <c r="P1033">
        <f>0.425*0.215*0.1</f>
        <v>9.1374999999999998E-3</v>
      </c>
      <c r="Q1033" t="s">
        <v>180</v>
      </c>
      <c r="T1033">
        <v>400</v>
      </c>
      <c r="W1033">
        <v>2400</v>
      </c>
      <c r="X1033" t="s">
        <v>184</v>
      </c>
      <c r="AA1033" s="13">
        <f>Tableau8[[#This Row],[density (kg/m2) or specific weight (kg/m2)]]*Tableau8[[#This Row],[nb of item used ]]*Tableau8[[#This Row],[volume or area]]</f>
        <v>8772</v>
      </c>
      <c r="AB1033">
        <v>0.72</v>
      </c>
      <c r="AC1033">
        <v>0.88</v>
      </c>
      <c r="AD1033" s="11">
        <f t="shared" si="277"/>
        <v>315.79200000000003</v>
      </c>
      <c r="AE1033" s="11">
        <f>_xlfn.RANK.AVG(Tableau8[[#This Row],[EE ( MJ/m²)]],AD1033:AD2188)</f>
        <v>2</v>
      </c>
      <c r="AF1033" s="11">
        <f t="shared" si="278"/>
        <v>63.158400000000007</v>
      </c>
      <c r="AG1033" s="11">
        <f t="shared" si="275"/>
        <v>385.96799999999996</v>
      </c>
      <c r="AH1033" s="11">
        <f t="shared" si="279"/>
        <v>385.96799999999996</v>
      </c>
      <c r="AI1033" s="11">
        <f t="shared" si="276"/>
        <v>77.193599999999989</v>
      </c>
      <c r="AJ1033" s="11">
        <f t="shared" si="280"/>
        <v>77.193599999999989</v>
      </c>
    </row>
    <row r="1034" spans="1:36" x14ac:dyDescent="0.25">
      <c r="A1034" s="4" t="s">
        <v>945</v>
      </c>
      <c r="B1034" s="4" t="s">
        <v>955</v>
      </c>
      <c r="C1034" s="4" t="s">
        <v>15</v>
      </c>
      <c r="D1034" s="4" t="s">
        <v>941</v>
      </c>
      <c r="E1034" t="s">
        <v>672</v>
      </c>
      <c r="F1034" t="s">
        <v>256</v>
      </c>
      <c r="G1034" t="s">
        <v>490</v>
      </c>
      <c r="H1034">
        <f t="shared" si="270"/>
        <v>20</v>
      </c>
      <c r="I1034">
        <v>5</v>
      </c>
      <c r="J1034" t="s">
        <v>13</v>
      </c>
      <c r="K1034" t="s">
        <v>18</v>
      </c>
      <c r="L1034" t="s">
        <v>606</v>
      </c>
      <c r="M1034" t="s">
        <v>363</v>
      </c>
      <c r="N1034" t="s">
        <v>431</v>
      </c>
      <c r="T1034">
        <v>1</v>
      </c>
      <c r="W1034">
        <v>1860</v>
      </c>
      <c r="X1034" t="s">
        <v>184</v>
      </c>
      <c r="AA1034" s="13">
        <f>42.5*41</f>
        <v>1742.5</v>
      </c>
      <c r="AB1034">
        <v>4.51</v>
      </c>
      <c r="AC1034">
        <v>0.74</v>
      </c>
      <c r="AD1034" s="11">
        <f t="shared" si="277"/>
        <v>392.93374999999997</v>
      </c>
      <c r="AE1034" s="11">
        <f>_xlfn.RANK.AVG(Tableau8[[#This Row],[EE ( MJ/m²)]],AD1034:AD2189)</f>
        <v>1</v>
      </c>
      <c r="AF1034" s="11">
        <f t="shared" si="278"/>
        <v>78.586749999999995</v>
      </c>
      <c r="AG1034" s="11">
        <f t="shared" si="275"/>
        <v>64.472499999999997</v>
      </c>
      <c r="AH1034" s="11">
        <f t="shared" si="279"/>
        <v>64.472499999999997</v>
      </c>
      <c r="AI1034" s="11">
        <f t="shared" si="276"/>
        <v>12.894499999999999</v>
      </c>
      <c r="AJ1034" s="11">
        <f t="shared" si="280"/>
        <v>12.894499999999999</v>
      </c>
    </row>
    <row r="1035" spans="1:36" x14ac:dyDescent="0.25">
      <c r="A1035" s="4" t="s">
        <v>945</v>
      </c>
      <c r="B1035" s="4" t="s">
        <v>955</v>
      </c>
      <c r="C1035" s="4" t="s">
        <v>15</v>
      </c>
      <c r="D1035" s="4" t="s">
        <v>941</v>
      </c>
      <c r="E1035" t="s">
        <v>672</v>
      </c>
      <c r="F1035" t="s">
        <v>256</v>
      </c>
      <c r="G1035" t="s">
        <v>490</v>
      </c>
      <c r="H1035">
        <f t="shared" si="270"/>
        <v>20</v>
      </c>
      <c r="I1035">
        <v>5</v>
      </c>
      <c r="J1035" t="s">
        <v>44</v>
      </c>
      <c r="K1035" t="s">
        <v>17</v>
      </c>
      <c r="L1035" t="s">
        <v>682</v>
      </c>
      <c r="M1035" t="s">
        <v>684</v>
      </c>
      <c r="N1035" t="s">
        <v>684</v>
      </c>
      <c r="P1035">
        <f>0.051*0.102*0.002</f>
        <v>1.0403999999999999E-5</v>
      </c>
      <c r="Q1035" t="s">
        <v>180</v>
      </c>
      <c r="T1035">
        <v>12</v>
      </c>
      <c r="W1035">
        <v>8500</v>
      </c>
      <c r="X1035" t="s">
        <v>184</v>
      </c>
      <c r="AA1035" s="13">
        <f>Tableau8[[#This Row],[density (kg/m2) or specific weight (kg/m2)]]*Tableau8[[#This Row],[nb of item used ]]*Tableau8[[#This Row],[volume or area]]</f>
        <v>1.0612079999999999</v>
      </c>
      <c r="AB1035">
        <v>44</v>
      </c>
      <c r="AC1035">
        <v>2.64</v>
      </c>
      <c r="AD1035" s="11">
        <f t="shared" si="277"/>
        <v>2.3346575999999999</v>
      </c>
      <c r="AE1035" s="11">
        <f>_xlfn.RANK.AVG(Tableau8[[#This Row],[EE ( MJ/m²)]],AD1035:AD2190)</f>
        <v>96</v>
      </c>
      <c r="AF1035" s="11">
        <f t="shared" si="278"/>
        <v>0.46693151999999999</v>
      </c>
      <c r="AG1035" s="11">
        <f t="shared" si="275"/>
        <v>0.14007945599999999</v>
      </c>
      <c r="AH1035" s="11">
        <f t="shared" si="279"/>
        <v>0.14007945599999999</v>
      </c>
      <c r="AI1035" s="11">
        <f t="shared" si="276"/>
        <v>2.8015891199999997E-2</v>
      </c>
      <c r="AJ1035" s="11">
        <f t="shared" si="280"/>
        <v>2.8015891199999997E-2</v>
      </c>
    </row>
    <row r="1036" spans="1:36" x14ac:dyDescent="0.25">
      <c r="A1036" s="4" t="s">
        <v>945</v>
      </c>
      <c r="B1036" s="4" t="s">
        <v>956</v>
      </c>
      <c r="C1036" s="4" t="s">
        <v>998</v>
      </c>
      <c r="D1036" s="4" t="s">
        <v>942</v>
      </c>
      <c r="E1036" t="s">
        <v>769</v>
      </c>
      <c r="F1036" t="s">
        <v>256</v>
      </c>
      <c r="G1036" t="s">
        <v>361</v>
      </c>
      <c r="H1036">
        <f t="shared" ref="H1036:H1052" si="281">4.3*5.7</f>
        <v>24.509999999999998</v>
      </c>
      <c r="I1036">
        <v>1</v>
      </c>
      <c r="J1036" t="s">
        <v>13</v>
      </c>
      <c r="K1036" t="s">
        <v>15</v>
      </c>
      <c r="L1036" t="s">
        <v>771</v>
      </c>
      <c r="M1036" t="s">
        <v>15</v>
      </c>
      <c r="N1036" t="s">
        <v>15</v>
      </c>
      <c r="P1036">
        <f>PI()*(0.0375^2)*1</f>
        <v>4.4178646691106467E-3</v>
      </c>
      <c r="Q1036" t="s">
        <v>180</v>
      </c>
      <c r="T1036">
        <v>10</v>
      </c>
      <c r="W1036" s="1">
        <v>510</v>
      </c>
      <c r="X1036" t="s">
        <v>184</v>
      </c>
      <c r="AA1036" s="13">
        <f>Tableau8[[#This Row],[nb of item used ]]*Tableau8[[#This Row],[density (kg/m2) or specific weight (kg/m2)]]*Tableau8[[#This Row],[volume or area]]</f>
        <v>22.531109812464297</v>
      </c>
      <c r="AB1036">
        <f t="shared" ref="AB1036:AB1041" si="282">10-4.4</f>
        <v>5.6</v>
      </c>
      <c r="AC1036">
        <f t="shared" ref="AC1036:AC1041" si="283">0.31+0.41</f>
        <v>0.72</v>
      </c>
      <c r="AD1036" s="11">
        <f t="shared" si="277"/>
        <v>5.1478667870175467</v>
      </c>
      <c r="AE1036" s="11">
        <f>_xlfn.RANK.AVG(Tableau8[[#This Row],[EE ( MJ/m²)]],AD1036:AD2191)</f>
        <v>81</v>
      </c>
      <c r="AF1036" s="11">
        <f t="shared" si="278"/>
        <v>5.1478667870175467</v>
      </c>
      <c r="AG1036" s="11">
        <f t="shared" ref="AG1036:AG1041" si="284">(AC1036-0.41)*AA1036/H1036</f>
        <v>0.28497119713847135</v>
      </c>
      <c r="AH1036" s="11">
        <f t="shared" si="279"/>
        <v>0.66186858690225603</v>
      </c>
      <c r="AI1036" s="11">
        <f t="shared" ref="AI1036:AI1041" si="285">(AC1036-0.41)*AA1036/H1036/I1036</f>
        <v>0.28497119713847135</v>
      </c>
      <c r="AJ1036" s="11">
        <f t="shared" si="280"/>
        <v>0.66186858690225603</v>
      </c>
    </row>
    <row r="1037" spans="1:36" x14ac:dyDescent="0.25">
      <c r="A1037" s="4" t="s">
        <v>945</v>
      </c>
      <c r="B1037" s="4" t="s">
        <v>956</v>
      </c>
      <c r="C1037" s="4" t="s">
        <v>998</v>
      </c>
      <c r="D1037" s="4" t="s">
        <v>942</v>
      </c>
      <c r="E1037" t="s">
        <v>769</v>
      </c>
      <c r="F1037" t="s">
        <v>256</v>
      </c>
      <c r="G1037" t="s">
        <v>361</v>
      </c>
      <c r="H1037">
        <f t="shared" si="281"/>
        <v>24.509999999999998</v>
      </c>
      <c r="I1037">
        <v>1</v>
      </c>
      <c r="J1037" t="s">
        <v>40</v>
      </c>
      <c r="K1037" t="s">
        <v>15</v>
      </c>
      <c r="L1037" t="s">
        <v>772</v>
      </c>
      <c r="M1037" t="s">
        <v>15</v>
      </c>
      <c r="N1037" t="s">
        <v>15</v>
      </c>
      <c r="P1037">
        <f>PI()*(0.0375^2)*3.05</f>
        <v>1.3474487240787472E-2</v>
      </c>
      <c r="Q1037" t="s">
        <v>180</v>
      </c>
      <c r="T1037">
        <v>2</v>
      </c>
      <c r="W1037">
        <v>510</v>
      </c>
      <c r="X1037" t="s">
        <v>184</v>
      </c>
      <c r="AA1037" s="13">
        <f>Tableau8[[#This Row],[nb of item used ]]*Tableau8[[#This Row],[density (kg/m2) or specific weight (kg/m2)]]*Tableau8[[#This Row],[volume or area]]</f>
        <v>13.743976985603222</v>
      </c>
      <c r="AB1037">
        <f t="shared" si="282"/>
        <v>5.6</v>
      </c>
      <c r="AC1037">
        <f t="shared" si="283"/>
        <v>0.72</v>
      </c>
      <c r="AD1037" s="11">
        <f t="shared" si="277"/>
        <v>3.1401987400807037</v>
      </c>
      <c r="AE1037" s="11">
        <f>_xlfn.RANK.AVG(Tableau8[[#This Row],[EE ( MJ/m²)]],AD1037:AD2192)</f>
        <v>88</v>
      </c>
      <c r="AF1037" s="11">
        <f t="shared" si="278"/>
        <v>3.1401987400807037</v>
      </c>
      <c r="AG1037" s="11">
        <f t="shared" si="284"/>
        <v>0.17383243025446751</v>
      </c>
      <c r="AH1037" s="11">
        <f t="shared" si="279"/>
        <v>0.40373983801037622</v>
      </c>
      <c r="AI1037" s="11">
        <f t="shared" si="285"/>
        <v>0.17383243025446751</v>
      </c>
      <c r="AJ1037" s="11">
        <f t="shared" si="280"/>
        <v>0.40373983801037622</v>
      </c>
    </row>
    <row r="1038" spans="1:36" x14ac:dyDescent="0.25">
      <c r="A1038" s="4" t="s">
        <v>945</v>
      </c>
      <c r="B1038" s="4" t="s">
        <v>956</v>
      </c>
      <c r="C1038" s="4" t="s">
        <v>998</v>
      </c>
      <c r="D1038" s="4" t="s">
        <v>942</v>
      </c>
      <c r="E1038" t="s">
        <v>769</v>
      </c>
      <c r="F1038" t="s">
        <v>256</v>
      </c>
      <c r="G1038" t="s">
        <v>361</v>
      </c>
      <c r="H1038">
        <f t="shared" si="281"/>
        <v>24.509999999999998</v>
      </c>
      <c r="I1038">
        <v>1</v>
      </c>
      <c r="J1038" t="s">
        <v>56</v>
      </c>
      <c r="K1038" t="s">
        <v>15</v>
      </c>
      <c r="L1038" t="s">
        <v>773</v>
      </c>
      <c r="M1038" t="s">
        <v>15</v>
      </c>
      <c r="N1038" t="s">
        <v>15</v>
      </c>
      <c r="P1038">
        <f>PI()*(0.0375^2)*4.27</f>
        <v>1.8864282137102461E-2</v>
      </c>
      <c r="Q1038" t="s">
        <v>180</v>
      </c>
      <c r="T1038">
        <v>14</v>
      </c>
      <c r="W1038">
        <v>510</v>
      </c>
      <c r="X1038" t="s">
        <v>184</v>
      </c>
      <c r="AA1038" s="13">
        <f>Tableau8[[#This Row],[nb of item used ]]*Tableau8[[#This Row],[density (kg/m2) or specific weight (kg/m2)]]*Tableau8[[#This Row],[volume or area]]</f>
        <v>134.69097445891157</v>
      </c>
      <c r="AB1038">
        <f t="shared" si="282"/>
        <v>5.6</v>
      </c>
      <c r="AC1038">
        <f t="shared" si="283"/>
        <v>0.72</v>
      </c>
      <c r="AD1038" s="11">
        <f t="shared" si="277"/>
        <v>30.773947652790891</v>
      </c>
      <c r="AE1038" s="11">
        <f>_xlfn.RANK.AVG(Tableau8[[#This Row],[EE ( MJ/m²)]],AD1038:AD2193)</f>
        <v>36</v>
      </c>
      <c r="AF1038" s="11">
        <f t="shared" si="278"/>
        <v>30.773947652790891</v>
      </c>
      <c r="AG1038" s="11">
        <f t="shared" si="284"/>
        <v>1.7035578164937817</v>
      </c>
      <c r="AH1038" s="11">
        <f t="shared" si="279"/>
        <v>3.9566504125016864</v>
      </c>
      <c r="AI1038" s="11">
        <f t="shared" si="285"/>
        <v>1.7035578164937817</v>
      </c>
      <c r="AJ1038" s="11">
        <f t="shared" si="280"/>
        <v>3.9566504125016864</v>
      </c>
    </row>
    <row r="1039" spans="1:36" x14ac:dyDescent="0.25">
      <c r="A1039" s="4" t="s">
        <v>945</v>
      </c>
      <c r="B1039" s="4" t="s">
        <v>956</v>
      </c>
      <c r="C1039" s="4" t="s">
        <v>998</v>
      </c>
      <c r="D1039" s="4" t="s">
        <v>942</v>
      </c>
      <c r="E1039" t="s">
        <v>769</v>
      </c>
      <c r="F1039" t="s">
        <v>256</v>
      </c>
      <c r="G1039" t="s">
        <v>361</v>
      </c>
      <c r="H1039">
        <f t="shared" si="281"/>
        <v>24.509999999999998</v>
      </c>
      <c r="I1039">
        <v>1</v>
      </c>
      <c r="J1039" t="s">
        <v>56</v>
      </c>
      <c r="K1039" t="s">
        <v>15</v>
      </c>
      <c r="L1039" t="s">
        <v>774</v>
      </c>
      <c r="M1039" t="s">
        <v>15</v>
      </c>
      <c r="N1039" t="s">
        <v>15</v>
      </c>
      <c r="P1039">
        <f>PI()*(0.0375^2)*4.27</f>
        <v>1.8864282137102461E-2</v>
      </c>
      <c r="Q1039" t="s">
        <v>180</v>
      </c>
      <c r="T1039">
        <v>1</v>
      </c>
      <c r="W1039">
        <v>510</v>
      </c>
      <c r="X1039" t="s">
        <v>184</v>
      </c>
      <c r="AA1039" s="13">
        <f>Tableau8[[#This Row],[nb of item used ]]*Tableau8[[#This Row],[density (kg/m2) or specific weight (kg/m2)]]*Tableau8[[#This Row],[volume or area]]</f>
        <v>9.6207838899222544</v>
      </c>
      <c r="AB1039">
        <f t="shared" si="282"/>
        <v>5.6</v>
      </c>
      <c r="AC1039">
        <f t="shared" si="283"/>
        <v>0.72</v>
      </c>
      <c r="AD1039" s="11">
        <f t="shared" si="277"/>
        <v>2.198139118056492</v>
      </c>
      <c r="AE1039" s="11">
        <f>_xlfn.RANK.AVG(Tableau8[[#This Row],[EE ( MJ/m²)]],AD1039:AD2194)</f>
        <v>96</v>
      </c>
      <c r="AF1039" s="11">
        <f t="shared" si="278"/>
        <v>2.198139118056492</v>
      </c>
      <c r="AG1039" s="11">
        <f t="shared" si="284"/>
        <v>0.12168270117812725</v>
      </c>
      <c r="AH1039" s="11">
        <f t="shared" si="279"/>
        <v>0.28261788660726328</v>
      </c>
      <c r="AI1039" s="11">
        <f t="shared" si="285"/>
        <v>0.12168270117812725</v>
      </c>
      <c r="AJ1039" s="11">
        <f t="shared" si="280"/>
        <v>0.28261788660726328</v>
      </c>
    </row>
    <row r="1040" spans="1:36" x14ac:dyDescent="0.25">
      <c r="A1040" s="4" t="s">
        <v>945</v>
      </c>
      <c r="B1040" s="4" t="s">
        <v>956</v>
      </c>
      <c r="C1040" s="4" t="s">
        <v>998</v>
      </c>
      <c r="D1040" s="4" t="s">
        <v>942</v>
      </c>
      <c r="E1040" t="s">
        <v>769</v>
      </c>
      <c r="F1040" t="s">
        <v>256</v>
      </c>
      <c r="G1040" t="s">
        <v>361</v>
      </c>
      <c r="H1040">
        <f t="shared" si="281"/>
        <v>24.509999999999998</v>
      </c>
      <c r="I1040">
        <v>1</v>
      </c>
      <c r="J1040" t="s">
        <v>57</v>
      </c>
      <c r="K1040" t="s">
        <v>15</v>
      </c>
      <c r="L1040" t="s">
        <v>775</v>
      </c>
      <c r="M1040" t="s">
        <v>15</v>
      </c>
      <c r="N1040" t="s">
        <v>15</v>
      </c>
      <c r="P1040">
        <f>PI()*(0.0375^2)*4.88</f>
        <v>2.1559179585259956E-2</v>
      </c>
      <c r="Q1040" t="s">
        <v>180</v>
      </c>
      <c r="T1040">
        <v>2</v>
      </c>
      <c r="W1040">
        <v>510</v>
      </c>
      <c r="X1040" t="s">
        <v>184</v>
      </c>
      <c r="AA1040" s="13">
        <f>Tableau8[[#This Row],[nb of item used ]]*Tableau8[[#This Row],[density (kg/m2) or specific weight (kg/m2)]]*Tableau8[[#This Row],[volume or area]]</f>
        <v>21.990363176965154</v>
      </c>
      <c r="AB1040">
        <f t="shared" si="282"/>
        <v>5.6</v>
      </c>
      <c r="AC1040">
        <f t="shared" si="283"/>
        <v>0.72</v>
      </c>
      <c r="AD1040" s="11">
        <f t="shared" si="277"/>
        <v>5.0243179841291257</v>
      </c>
      <c r="AE1040" s="11">
        <f>_xlfn.RANK.AVG(Tableau8[[#This Row],[EE ( MJ/m²)]],AD1040:AD2195)</f>
        <v>80</v>
      </c>
      <c r="AF1040" s="11">
        <f t="shared" si="278"/>
        <v>5.0243179841291257</v>
      </c>
      <c r="AG1040" s="11">
        <f t="shared" si="284"/>
        <v>0.27813188840714803</v>
      </c>
      <c r="AH1040" s="11">
        <f t="shared" si="279"/>
        <v>0.64598374081660193</v>
      </c>
      <c r="AI1040" s="11">
        <f t="shared" si="285"/>
        <v>0.27813188840714803</v>
      </c>
      <c r="AJ1040" s="11">
        <f t="shared" si="280"/>
        <v>0.64598374081660193</v>
      </c>
    </row>
    <row r="1041" spans="1:36" x14ac:dyDescent="0.25">
      <c r="A1041" s="4" t="s">
        <v>945</v>
      </c>
      <c r="B1041" s="4" t="s">
        <v>956</v>
      </c>
      <c r="C1041" s="4" t="s">
        <v>998</v>
      </c>
      <c r="D1041" s="4" t="s">
        <v>942</v>
      </c>
      <c r="E1041" t="s">
        <v>769</v>
      </c>
      <c r="F1041" t="s">
        <v>256</v>
      </c>
      <c r="G1041" t="s">
        <v>361</v>
      </c>
      <c r="H1041">
        <f t="shared" si="281"/>
        <v>24.509999999999998</v>
      </c>
      <c r="I1041">
        <v>1</v>
      </c>
      <c r="J1041" t="s">
        <v>56</v>
      </c>
      <c r="K1041" t="s">
        <v>15</v>
      </c>
      <c r="L1041" t="s">
        <v>776</v>
      </c>
      <c r="M1041" t="s">
        <v>15</v>
      </c>
      <c r="N1041" t="s">
        <v>15</v>
      </c>
      <c r="P1041">
        <f>PI()*(0.0375^2)*4.27</f>
        <v>1.8864282137102461E-2</v>
      </c>
      <c r="Q1041" t="s">
        <v>180</v>
      </c>
      <c r="T1041">
        <v>6</v>
      </c>
      <c r="W1041">
        <v>510</v>
      </c>
      <c r="X1041" t="s">
        <v>184</v>
      </c>
      <c r="AA1041" s="13">
        <f>Tableau8[[#This Row],[nb of item used ]]*Tableau8[[#This Row],[density (kg/m2) or specific weight (kg/m2)]]*Tableau8[[#This Row],[volume or area]]</f>
        <v>57.724703339533534</v>
      </c>
      <c r="AB1041">
        <f t="shared" si="282"/>
        <v>5.6</v>
      </c>
      <c r="AC1041">
        <f t="shared" si="283"/>
        <v>0.72</v>
      </c>
      <c r="AD1041" s="11">
        <f t="shared" si="277"/>
        <v>13.188834708338954</v>
      </c>
      <c r="AE1041" s="11">
        <f>_xlfn.RANK.AVG(Tableau8[[#This Row],[EE ( MJ/m²)]],AD1041:AD2196)</f>
        <v>59</v>
      </c>
      <c r="AF1041" s="11">
        <f t="shared" si="278"/>
        <v>13.188834708338954</v>
      </c>
      <c r="AG1041" s="11">
        <f t="shared" si="284"/>
        <v>0.73009620706876366</v>
      </c>
      <c r="AH1041" s="11">
        <f t="shared" si="279"/>
        <v>1.6957073196435801</v>
      </c>
      <c r="AI1041" s="11">
        <f t="shared" si="285"/>
        <v>0.73009620706876366</v>
      </c>
      <c r="AJ1041" s="11">
        <f t="shared" si="280"/>
        <v>1.6957073196435801</v>
      </c>
    </row>
    <row r="1042" spans="1:36" x14ac:dyDescent="0.25">
      <c r="A1042" s="4" t="s">
        <v>945</v>
      </c>
      <c r="B1042" s="4" t="s">
        <v>956</v>
      </c>
      <c r="C1042" s="4" t="s">
        <v>998</v>
      </c>
      <c r="D1042" s="4" t="s">
        <v>942</v>
      </c>
      <c r="E1042" t="s">
        <v>769</v>
      </c>
      <c r="F1042" t="s">
        <v>256</v>
      </c>
      <c r="G1042" t="s">
        <v>361</v>
      </c>
      <c r="H1042">
        <f t="shared" si="281"/>
        <v>24.509999999999998</v>
      </c>
      <c r="I1042">
        <v>1</v>
      </c>
      <c r="J1042" t="s">
        <v>13</v>
      </c>
      <c r="K1042" t="s">
        <v>362</v>
      </c>
      <c r="L1042" t="s">
        <v>770</v>
      </c>
      <c r="M1042" t="s">
        <v>362</v>
      </c>
      <c r="N1042" t="s">
        <v>430</v>
      </c>
      <c r="P1042">
        <f>0.2*0.2*0.1</f>
        <v>4.000000000000001E-3</v>
      </c>
      <c r="Q1042" t="s">
        <v>180</v>
      </c>
      <c r="T1042">
        <v>16</v>
      </c>
      <c r="W1042">
        <v>2880</v>
      </c>
      <c r="X1042" t="s">
        <v>184</v>
      </c>
      <c r="AA1042" s="13">
        <f>Tableau8[[#This Row],[density (kg/m2) or specific weight (kg/m2)]]*Tableau8[[#This Row],[nb of item used ]]*Tableau8[[#This Row],[volume or area]]</f>
        <v>184.32000000000005</v>
      </c>
      <c r="AB1042">
        <v>1.26</v>
      </c>
      <c r="AC1042">
        <v>7.9000000000000001E-2</v>
      </c>
      <c r="AD1042" s="11">
        <f t="shared" si="277"/>
        <v>9.475446756425951</v>
      </c>
      <c r="AE1042" s="11">
        <f>_xlfn.RANK.AVG(Tableau8[[#This Row],[EE ( MJ/m²)]],AD1042:AD2197)</f>
        <v>68</v>
      </c>
      <c r="AF1042" s="11">
        <f t="shared" si="278"/>
        <v>9.475446756425951</v>
      </c>
      <c r="AG1042" s="11">
        <f t="shared" ref="AG1042:AG1052" si="286">(AC1042)*AA1042/H1042</f>
        <v>0.5940954712362303</v>
      </c>
      <c r="AH1042" s="11">
        <f t="shared" si="279"/>
        <v>0.5940954712362303</v>
      </c>
      <c r="AI1042" s="11">
        <f t="shared" ref="AI1042:AI1052" si="287">(AC1042)*AA1042/H1042/I1042</f>
        <v>0.5940954712362303</v>
      </c>
      <c r="AJ1042" s="11">
        <f t="shared" si="280"/>
        <v>0.5940954712362303</v>
      </c>
    </row>
    <row r="1043" spans="1:36" x14ac:dyDescent="0.25">
      <c r="A1043" s="4" t="s">
        <v>945</v>
      </c>
      <c r="B1043" s="4" t="s">
        <v>956</v>
      </c>
      <c r="C1043" s="4" t="s">
        <v>998</v>
      </c>
      <c r="D1043" s="4" t="s">
        <v>942</v>
      </c>
      <c r="E1043" t="s">
        <v>769</v>
      </c>
      <c r="F1043" t="s">
        <v>256</v>
      </c>
      <c r="G1043" t="s">
        <v>361</v>
      </c>
      <c r="H1043">
        <f t="shared" si="281"/>
        <v>24.509999999999998</v>
      </c>
      <c r="I1043">
        <v>1</v>
      </c>
      <c r="J1043" t="s">
        <v>44</v>
      </c>
      <c r="K1043" t="s">
        <v>17</v>
      </c>
      <c r="L1043" t="s">
        <v>781</v>
      </c>
      <c r="M1043" t="s">
        <v>12</v>
      </c>
      <c r="N1043" t="s">
        <v>12</v>
      </c>
      <c r="T1043">
        <v>1</v>
      </c>
      <c r="W1043">
        <v>7800</v>
      </c>
      <c r="X1043" t="s">
        <v>184</v>
      </c>
      <c r="AA1043" s="13">
        <v>1</v>
      </c>
      <c r="AB1043">
        <v>25.3</v>
      </c>
      <c r="AC1043">
        <v>1.95</v>
      </c>
      <c r="AD1043" s="11">
        <f t="shared" si="277"/>
        <v>1.0322317421460629</v>
      </c>
      <c r="AE1043" s="11">
        <f>_xlfn.RANK.AVG(Tableau8[[#This Row],[EE ( MJ/m²)]],AD1043:AD2198)</f>
        <v>103</v>
      </c>
      <c r="AF1043" s="11">
        <f t="shared" si="278"/>
        <v>1.0322317421460629</v>
      </c>
      <c r="AG1043" s="11">
        <f t="shared" si="286"/>
        <v>7.9559363525091797E-2</v>
      </c>
      <c r="AH1043" s="11">
        <f t="shared" si="279"/>
        <v>7.9559363525091797E-2</v>
      </c>
      <c r="AI1043" s="11">
        <f t="shared" si="287"/>
        <v>7.9559363525091797E-2</v>
      </c>
      <c r="AJ1043" s="11">
        <f t="shared" si="280"/>
        <v>7.9559363525091797E-2</v>
      </c>
    </row>
    <row r="1044" spans="1:36" x14ac:dyDescent="0.25">
      <c r="A1044" s="4" t="s">
        <v>945</v>
      </c>
      <c r="B1044" s="4" t="s">
        <v>956</v>
      </c>
      <c r="C1044" s="4" t="s">
        <v>998</v>
      </c>
      <c r="D1044" s="4" t="s">
        <v>942</v>
      </c>
      <c r="E1044" t="s">
        <v>769</v>
      </c>
      <c r="F1044" t="s">
        <v>256</v>
      </c>
      <c r="G1044" t="s">
        <v>361</v>
      </c>
      <c r="H1044">
        <f t="shared" si="281"/>
        <v>24.509999999999998</v>
      </c>
      <c r="I1044">
        <v>1</v>
      </c>
      <c r="J1044" t="s">
        <v>44</v>
      </c>
      <c r="K1044" t="s">
        <v>17</v>
      </c>
      <c r="L1044" t="s">
        <v>782</v>
      </c>
      <c r="M1044" t="s">
        <v>12</v>
      </c>
      <c r="N1044" t="s">
        <v>12</v>
      </c>
      <c r="T1044">
        <v>1</v>
      </c>
      <c r="W1044">
        <v>7800</v>
      </c>
      <c r="X1044" t="s">
        <v>184</v>
      </c>
      <c r="AA1044" s="13">
        <v>1</v>
      </c>
      <c r="AB1044">
        <v>25.3</v>
      </c>
      <c r="AC1044">
        <v>1.95</v>
      </c>
      <c r="AD1044" s="11">
        <f t="shared" si="277"/>
        <v>1.0322317421460629</v>
      </c>
      <c r="AE1044" s="11">
        <f>_xlfn.RANK.AVG(Tableau8[[#This Row],[EE ( MJ/m²)]],AD1044:AD2199)</f>
        <v>102.5</v>
      </c>
      <c r="AF1044" s="11">
        <f t="shared" si="278"/>
        <v>1.0322317421460629</v>
      </c>
      <c r="AG1044" s="11">
        <f t="shared" si="286"/>
        <v>7.9559363525091797E-2</v>
      </c>
      <c r="AH1044" s="11">
        <f t="shared" si="279"/>
        <v>7.9559363525091797E-2</v>
      </c>
      <c r="AI1044" s="11">
        <f t="shared" si="287"/>
        <v>7.9559363525091797E-2</v>
      </c>
      <c r="AJ1044" s="11">
        <f t="shared" si="280"/>
        <v>7.9559363525091797E-2</v>
      </c>
    </row>
    <row r="1045" spans="1:36" x14ac:dyDescent="0.25">
      <c r="A1045" s="4" t="s">
        <v>945</v>
      </c>
      <c r="B1045" s="4" t="s">
        <v>956</v>
      </c>
      <c r="C1045" s="4" t="s">
        <v>998</v>
      </c>
      <c r="D1045" s="4" t="s">
        <v>942</v>
      </c>
      <c r="E1045" t="s">
        <v>769</v>
      </c>
      <c r="F1045" t="s">
        <v>256</v>
      </c>
      <c r="G1045" t="s">
        <v>361</v>
      </c>
      <c r="H1045">
        <f t="shared" si="281"/>
        <v>24.509999999999998</v>
      </c>
      <c r="I1045">
        <v>1</v>
      </c>
      <c r="J1045" t="s">
        <v>44</v>
      </c>
      <c r="K1045" t="s">
        <v>17</v>
      </c>
      <c r="L1045" t="s">
        <v>783</v>
      </c>
      <c r="M1045" t="s">
        <v>12</v>
      </c>
      <c r="N1045" t="s">
        <v>12</v>
      </c>
      <c r="T1045">
        <v>1</v>
      </c>
      <c r="W1045">
        <v>7800</v>
      </c>
      <c r="X1045" t="s">
        <v>184</v>
      </c>
      <c r="AA1045" s="13">
        <v>1</v>
      </c>
      <c r="AB1045">
        <v>25.3</v>
      </c>
      <c r="AC1045">
        <v>1.95</v>
      </c>
      <c r="AD1045" s="11">
        <f t="shared" si="277"/>
        <v>1.0322317421460629</v>
      </c>
      <c r="AE1045" s="11">
        <f>_xlfn.RANK.AVG(Tableau8[[#This Row],[EE ( MJ/m²)]],AD1045:AD2200)</f>
        <v>102</v>
      </c>
      <c r="AF1045" s="11">
        <f t="shared" si="278"/>
        <v>1.0322317421460629</v>
      </c>
      <c r="AG1045" s="11">
        <f t="shared" si="286"/>
        <v>7.9559363525091797E-2</v>
      </c>
      <c r="AH1045" s="11">
        <f t="shared" si="279"/>
        <v>7.9559363525091797E-2</v>
      </c>
      <c r="AI1045" s="11">
        <f t="shared" si="287"/>
        <v>7.9559363525091797E-2</v>
      </c>
      <c r="AJ1045" s="11">
        <f t="shared" si="280"/>
        <v>7.9559363525091797E-2</v>
      </c>
    </row>
    <row r="1046" spans="1:36" x14ac:dyDescent="0.25">
      <c r="A1046" s="4" t="s">
        <v>945</v>
      </c>
      <c r="B1046" s="4" t="s">
        <v>956</v>
      </c>
      <c r="C1046" s="4" t="s">
        <v>998</v>
      </c>
      <c r="D1046" s="4" t="s">
        <v>942</v>
      </c>
      <c r="E1046" t="s">
        <v>769</v>
      </c>
      <c r="F1046" t="s">
        <v>256</v>
      </c>
      <c r="G1046" t="s">
        <v>361</v>
      </c>
      <c r="H1046">
        <f t="shared" si="281"/>
        <v>24.509999999999998</v>
      </c>
      <c r="I1046">
        <v>1</v>
      </c>
      <c r="J1046" t="s">
        <v>44</v>
      </c>
      <c r="K1046" t="s">
        <v>41</v>
      </c>
      <c r="L1046" t="s">
        <v>784</v>
      </c>
      <c r="M1046" t="s">
        <v>16</v>
      </c>
      <c r="N1046" t="s">
        <v>16</v>
      </c>
      <c r="T1046">
        <v>1</v>
      </c>
      <c r="AA1046" s="13">
        <v>0.3</v>
      </c>
      <c r="AB1046">
        <v>40</v>
      </c>
      <c r="AC1046">
        <v>2.85</v>
      </c>
      <c r="AD1046" s="11">
        <f t="shared" si="277"/>
        <v>0.48959608323133419</v>
      </c>
      <c r="AE1046" s="11">
        <f>_xlfn.RANK.AVG(Tableau8[[#This Row],[EE ( MJ/m²)]],AD1046:AD2201)</f>
        <v>108</v>
      </c>
      <c r="AF1046" s="11">
        <f t="shared" si="278"/>
        <v>0.48959608323133419</v>
      </c>
      <c r="AG1046" s="11">
        <f t="shared" si="286"/>
        <v>3.4883720930232558E-2</v>
      </c>
      <c r="AH1046" s="11">
        <f t="shared" si="279"/>
        <v>3.4883720930232558E-2</v>
      </c>
      <c r="AI1046" s="11">
        <f t="shared" si="287"/>
        <v>3.4883720930232558E-2</v>
      </c>
      <c r="AJ1046" s="11">
        <f t="shared" si="280"/>
        <v>3.4883720930232558E-2</v>
      </c>
    </row>
    <row r="1047" spans="1:36" x14ac:dyDescent="0.25">
      <c r="A1047" s="4" t="s">
        <v>945</v>
      </c>
      <c r="B1047" s="4" t="s">
        <v>956</v>
      </c>
      <c r="C1047" s="4" t="s">
        <v>998</v>
      </c>
      <c r="D1047" s="4" t="s">
        <v>942</v>
      </c>
      <c r="E1047" t="s">
        <v>769</v>
      </c>
      <c r="F1047" t="s">
        <v>256</v>
      </c>
      <c r="G1047" t="s">
        <v>361</v>
      </c>
      <c r="H1047">
        <f t="shared" si="281"/>
        <v>24.509999999999998</v>
      </c>
      <c r="I1047">
        <v>1</v>
      </c>
      <c r="J1047" t="s">
        <v>44</v>
      </c>
      <c r="K1047" t="s">
        <v>14</v>
      </c>
      <c r="L1047" t="s">
        <v>785</v>
      </c>
      <c r="M1047" t="s">
        <v>79</v>
      </c>
      <c r="N1047" t="s">
        <v>79</v>
      </c>
      <c r="P1047">
        <f>PI()*(0.006^2)*50</f>
        <v>5.6548667764616273E-3</v>
      </c>
      <c r="T1047">
        <v>1</v>
      </c>
      <c r="W1047">
        <v>1380</v>
      </c>
      <c r="X1047" t="s">
        <v>184</v>
      </c>
      <c r="AA1047" s="13">
        <f>Tableau8[[#This Row],[nb of item used ]]*Tableau8[[#This Row],[density (kg/m2) or specific weight (kg/m2)]]*Tableau8[[#This Row],[volume or area]]</f>
        <v>7.8037161515170457</v>
      </c>
      <c r="AB1047">
        <v>55</v>
      </c>
      <c r="AC1047">
        <f>9.52</f>
        <v>9.52</v>
      </c>
      <c r="AD1047" s="11">
        <f t="shared" si="277"/>
        <v>17.51139895281263</v>
      </c>
      <c r="AE1047" s="11">
        <f>_xlfn.RANK.AVG(Tableau8[[#This Row],[EE ( MJ/m²)]],AD1047:AD2202)</f>
        <v>53</v>
      </c>
      <c r="AF1047" s="11">
        <f t="shared" si="278"/>
        <v>17.51139895281263</v>
      </c>
      <c r="AG1047" s="11">
        <f t="shared" si="286"/>
        <v>3.0310639641959312</v>
      </c>
      <c r="AH1047" s="11">
        <f t="shared" si="279"/>
        <v>3.0310639641959312</v>
      </c>
      <c r="AI1047" s="11">
        <f t="shared" si="287"/>
        <v>3.0310639641959312</v>
      </c>
      <c r="AJ1047" s="11">
        <f t="shared" si="280"/>
        <v>3.0310639641959312</v>
      </c>
    </row>
    <row r="1048" spans="1:36" x14ac:dyDescent="0.25">
      <c r="A1048" s="4" t="s">
        <v>945</v>
      </c>
      <c r="B1048" s="4" t="s">
        <v>956</v>
      </c>
      <c r="C1048" s="4" t="s">
        <v>998</v>
      </c>
      <c r="D1048" s="4" t="s">
        <v>942</v>
      </c>
      <c r="E1048" t="s">
        <v>769</v>
      </c>
      <c r="F1048" t="s">
        <v>256</v>
      </c>
      <c r="G1048" t="s">
        <v>361</v>
      </c>
      <c r="H1048">
        <f t="shared" si="281"/>
        <v>24.509999999999998</v>
      </c>
      <c r="I1048">
        <v>1</v>
      </c>
      <c r="J1048" t="s">
        <v>56</v>
      </c>
      <c r="K1048" t="s">
        <v>307</v>
      </c>
      <c r="L1048" t="s">
        <v>778</v>
      </c>
      <c r="M1048" t="s">
        <v>307</v>
      </c>
      <c r="N1048" t="s">
        <v>307</v>
      </c>
      <c r="P1048">
        <f>27*0.015</f>
        <v>0.40499999999999997</v>
      </c>
      <c r="T1048">
        <v>1</v>
      </c>
      <c r="W1048">
        <v>50</v>
      </c>
      <c r="X1048" t="s">
        <v>184</v>
      </c>
      <c r="AA1048" s="13">
        <f>Tableau8[[#This Row],[density (kg/m2) or specific weight (kg/m2)]]*Tableau8[[#This Row],[nb of item used ]]*Tableau8[[#This Row],[volume or area]]</f>
        <v>20.25</v>
      </c>
      <c r="AB1048">
        <v>45</v>
      </c>
      <c r="AC1048">
        <v>16.5</v>
      </c>
      <c r="AD1048" s="11">
        <f t="shared" si="277"/>
        <v>37.178702570379443</v>
      </c>
      <c r="AE1048" s="11">
        <f>_xlfn.RANK.AVG(Tableau8[[#This Row],[EE ( MJ/m²)]],AD1048:AD2203)</f>
        <v>31</v>
      </c>
      <c r="AF1048" s="11">
        <f t="shared" si="278"/>
        <v>37.178702570379443</v>
      </c>
      <c r="AG1048" s="11">
        <f t="shared" si="286"/>
        <v>13.632190942472461</v>
      </c>
      <c r="AH1048" s="11">
        <f t="shared" si="279"/>
        <v>13.632190942472461</v>
      </c>
      <c r="AI1048" s="11">
        <f t="shared" si="287"/>
        <v>13.632190942472461</v>
      </c>
      <c r="AJ1048" s="11">
        <f t="shared" si="280"/>
        <v>13.632190942472461</v>
      </c>
    </row>
    <row r="1049" spans="1:36" x14ac:dyDescent="0.25">
      <c r="A1049" s="4" t="s">
        <v>945</v>
      </c>
      <c r="B1049" s="4" t="s">
        <v>956</v>
      </c>
      <c r="C1049" s="4" t="s">
        <v>998</v>
      </c>
      <c r="D1049" s="4" t="s">
        <v>942</v>
      </c>
      <c r="E1049" t="s">
        <v>769</v>
      </c>
      <c r="F1049" t="s">
        <v>256</v>
      </c>
      <c r="G1049" t="s">
        <v>361</v>
      </c>
      <c r="H1049">
        <f t="shared" si="281"/>
        <v>24.509999999999998</v>
      </c>
      <c r="I1049">
        <v>1</v>
      </c>
      <c r="J1049" t="s">
        <v>56</v>
      </c>
      <c r="K1049" t="s">
        <v>14</v>
      </c>
      <c r="L1049" s="15" t="s">
        <v>779</v>
      </c>
      <c r="M1049" t="s">
        <v>35</v>
      </c>
      <c r="N1049" t="s">
        <v>35</v>
      </c>
      <c r="P1049">
        <f>4*6</f>
        <v>24</v>
      </c>
      <c r="T1049">
        <v>3</v>
      </c>
      <c r="W1049">
        <v>0.18</v>
      </c>
      <c r="X1049" t="s">
        <v>183</v>
      </c>
      <c r="AA1049" s="13">
        <f>Tableau8[[#This Row],[nb of item used ]]*Tableau8[[#This Row],[density (kg/m2) or specific weight (kg/m2)]]*Tableau8[[#This Row],[volume or area]]</f>
        <v>12.96</v>
      </c>
      <c r="AB1049">
        <v>54.3</v>
      </c>
      <c r="AC1049">
        <v>1.93</v>
      </c>
      <c r="AD1049" s="11">
        <f t="shared" si="277"/>
        <v>28.711872705018365</v>
      </c>
      <c r="AE1049" s="11">
        <f>_xlfn.RANK.AVG(Tableau8[[#This Row],[EE ( MJ/m²)]],AD1049:AD2204)</f>
        <v>37</v>
      </c>
      <c r="AF1049" s="11">
        <f t="shared" si="278"/>
        <v>28.711872705018365</v>
      </c>
      <c r="AG1049" s="11">
        <f t="shared" si="286"/>
        <v>1.0205140758873932</v>
      </c>
      <c r="AH1049" s="11">
        <f t="shared" si="279"/>
        <v>1.0205140758873932</v>
      </c>
      <c r="AI1049" s="11">
        <f t="shared" si="287"/>
        <v>1.0205140758873932</v>
      </c>
      <c r="AJ1049" s="11">
        <f t="shared" si="280"/>
        <v>1.0205140758873932</v>
      </c>
    </row>
    <row r="1050" spans="1:36" x14ac:dyDescent="0.25">
      <c r="A1050" s="4" t="s">
        <v>945</v>
      </c>
      <c r="B1050" s="4" t="s">
        <v>956</v>
      </c>
      <c r="C1050" s="4" t="s">
        <v>998</v>
      </c>
      <c r="D1050" s="4" t="s">
        <v>942</v>
      </c>
      <c r="E1050" t="s">
        <v>769</v>
      </c>
      <c r="F1050" t="s">
        <v>256</v>
      </c>
      <c r="G1050" t="s">
        <v>361</v>
      </c>
      <c r="H1050">
        <f t="shared" si="281"/>
        <v>24.509999999999998</v>
      </c>
      <c r="I1050">
        <v>1</v>
      </c>
      <c r="J1050" t="s">
        <v>44</v>
      </c>
      <c r="K1050" t="s">
        <v>217</v>
      </c>
      <c r="L1050" t="s">
        <v>786</v>
      </c>
      <c r="M1050" t="s">
        <v>233</v>
      </c>
      <c r="N1050" t="s">
        <v>234</v>
      </c>
      <c r="P1050">
        <f>PI()*(0.0047^2)*100</f>
        <v>6.9397781717798522E-3</v>
      </c>
      <c r="Q1050" t="s">
        <v>180</v>
      </c>
      <c r="R1050" t="s">
        <v>176</v>
      </c>
      <c r="T1050">
        <v>1</v>
      </c>
      <c r="W1050">
        <v>0.2</v>
      </c>
      <c r="X1050" t="s">
        <v>183</v>
      </c>
      <c r="AA1050" s="13">
        <f>Tableau8[[#This Row],[density (kg/m2) or specific weight (kg/m2)]]*Tableau8[[#This Row],[volume or area]]</f>
        <v>1.3879556343559705E-3</v>
      </c>
      <c r="AB1050">
        <v>143</v>
      </c>
      <c r="AC1050">
        <v>6.78</v>
      </c>
      <c r="AD1050" s="11">
        <f t="shared" si="277"/>
        <v>8.0978235704979099E-3</v>
      </c>
      <c r="AE1050" s="11">
        <f>_xlfn.RANK.AVG(Tableau8[[#This Row],[EE ( MJ/m²)]],AD1050:AD2205)</f>
        <v>108</v>
      </c>
      <c r="AF1050" s="11">
        <f t="shared" si="278"/>
        <v>8.0978235704979099E-3</v>
      </c>
      <c r="AG1050" s="11">
        <f t="shared" si="286"/>
        <v>3.8393876788794291E-4</v>
      </c>
      <c r="AH1050" s="11">
        <f t="shared" si="279"/>
        <v>3.8393876788794291E-4</v>
      </c>
      <c r="AI1050" s="11">
        <f t="shared" si="287"/>
        <v>3.8393876788794291E-4</v>
      </c>
      <c r="AJ1050" s="11">
        <f t="shared" si="280"/>
        <v>3.8393876788794291E-4</v>
      </c>
    </row>
    <row r="1051" spans="1:36" x14ac:dyDescent="0.25">
      <c r="A1051" s="4" t="s">
        <v>945</v>
      </c>
      <c r="B1051" s="4" t="s">
        <v>956</v>
      </c>
      <c r="C1051" s="4" t="s">
        <v>998</v>
      </c>
      <c r="D1051" s="4" t="s">
        <v>942</v>
      </c>
      <c r="E1051" t="s">
        <v>769</v>
      </c>
      <c r="F1051" t="s">
        <v>256</v>
      </c>
      <c r="G1051" t="s">
        <v>361</v>
      </c>
      <c r="H1051">
        <f t="shared" si="281"/>
        <v>24.509999999999998</v>
      </c>
      <c r="I1051">
        <v>1</v>
      </c>
      <c r="J1051" t="s">
        <v>40</v>
      </c>
      <c r="K1051" t="s">
        <v>386</v>
      </c>
      <c r="L1051" t="s">
        <v>780</v>
      </c>
      <c r="M1051" t="s">
        <v>435</v>
      </c>
      <c r="N1051" t="s">
        <v>435</v>
      </c>
      <c r="P1051">
        <f>0.215*0.102*0.065</f>
        <v>1.42545E-3</v>
      </c>
      <c r="Q1051" t="s">
        <v>180</v>
      </c>
      <c r="T1051">
        <v>210</v>
      </c>
      <c r="W1051">
        <v>1920</v>
      </c>
      <c r="X1051" t="s">
        <v>184</v>
      </c>
      <c r="AA1051" s="13">
        <f>Tableau8[[#This Row],[density (kg/m2) or specific weight (kg/m2)]]*Tableau8[[#This Row],[nb of item used ]]*Tableau8[[#This Row],[volume or area]]</f>
        <v>574.74144000000001</v>
      </c>
      <c r="AB1051">
        <v>3</v>
      </c>
      <c r="AC1051">
        <v>0.24</v>
      </c>
      <c r="AD1051" s="11">
        <f t="shared" si="277"/>
        <v>70.347789473684216</v>
      </c>
      <c r="AE1051" s="11">
        <f>_xlfn.RANK.AVG(Tableau8[[#This Row],[EE ( MJ/m²)]],AD1051:AD2206)</f>
        <v>18</v>
      </c>
      <c r="AF1051" s="11">
        <f t="shared" si="278"/>
        <v>70.347789473684216</v>
      </c>
      <c r="AG1051" s="11">
        <f t="shared" si="286"/>
        <v>5.6278231578947375</v>
      </c>
      <c r="AH1051" s="11">
        <f t="shared" si="279"/>
        <v>5.6278231578947375</v>
      </c>
      <c r="AI1051" s="11">
        <f t="shared" si="287"/>
        <v>5.6278231578947375</v>
      </c>
      <c r="AJ1051" s="11">
        <f t="shared" si="280"/>
        <v>5.6278231578947375</v>
      </c>
    </row>
    <row r="1052" spans="1:36" x14ac:dyDescent="0.25">
      <c r="A1052" s="4" t="s">
        <v>945</v>
      </c>
      <c r="B1052" s="4" t="s">
        <v>956</v>
      </c>
      <c r="C1052" s="4" t="s">
        <v>998</v>
      </c>
      <c r="D1052" s="4" t="s">
        <v>942</v>
      </c>
      <c r="E1052" t="s">
        <v>769</v>
      </c>
      <c r="F1052" t="s">
        <v>256</v>
      </c>
      <c r="G1052" t="s">
        <v>361</v>
      </c>
      <c r="H1052">
        <f t="shared" si="281"/>
        <v>24.509999999999998</v>
      </c>
      <c r="I1052">
        <v>1</v>
      </c>
      <c r="J1052" t="s">
        <v>56</v>
      </c>
      <c r="K1052" t="s">
        <v>17</v>
      </c>
      <c r="L1052" t="s">
        <v>777</v>
      </c>
      <c r="M1052" t="s">
        <v>469</v>
      </c>
      <c r="N1052" t="s">
        <v>469</v>
      </c>
      <c r="P1052">
        <f>1.85*0.75*0.00035</f>
        <v>4.8562500000000005E-4</v>
      </c>
      <c r="T1052">
        <v>24</v>
      </c>
      <c r="W1052">
        <v>2700</v>
      </c>
      <c r="X1052" t="s">
        <v>184</v>
      </c>
      <c r="AA1052" s="13">
        <f>Tableau8[[#This Row],[density (kg/m2) or specific weight (kg/m2)]]*Tableau8[[#This Row],[nb of item used ]]*Tableau8[[#This Row],[volume or area]]</f>
        <v>31.468500000000002</v>
      </c>
      <c r="AB1052">
        <v>155</v>
      </c>
      <c r="AC1052">
        <v>9.16</v>
      </c>
      <c r="AD1052" s="11">
        <f t="shared" si="277"/>
        <v>199.00520195838436</v>
      </c>
      <c r="AE1052" s="11">
        <f>_xlfn.RANK.AVG(Tableau8[[#This Row],[EE ( MJ/m²)]],AD1052:AD2207)</f>
        <v>2</v>
      </c>
      <c r="AF1052" s="11">
        <f t="shared" si="278"/>
        <v>199.00520195838436</v>
      </c>
      <c r="AG1052" s="11">
        <f t="shared" si="286"/>
        <v>11.760565483476134</v>
      </c>
      <c r="AH1052" s="11">
        <f t="shared" si="279"/>
        <v>11.760565483476134</v>
      </c>
      <c r="AI1052" s="11">
        <f t="shared" si="287"/>
        <v>11.760565483476134</v>
      </c>
      <c r="AJ1052" s="11">
        <f t="shared" si="280"/>
        <v>11.760565483476134</v>
      </c>
    </row>
    <row r="1053" spans="1:36" x14ac:dyDescent="0.25">
      <c r="A1053" s="4" t="s">
        <v>945</v>
      </c>
      <c r="B1053" s="4" t="s">
        <v>957</v>
      </c>
      <c r="C1053" s="4" t="s">
        <v>15</v>
      </c>
      <c r="D1053" s="4" t="s">
        <v>942</v>
      </c>
      <c r="E1053" t="s">
        <v>833</v>
      </c>
      <c r="F1053" t="s">
        <v>256</v>
      </c>
      <c r="G1053" t="s">
        <v>788</v>
      </c>
      <c r="H1053">
        <f t="shared" ref="H1053:H1084" si="288">3*6</f>
        <v>18</v>
      </c>
      <c r="I1053">
        <v>1</v>
      </c>
      <c r="J1053" t="s">
        <v>40</v>
      </c>
      <c r="K1053" t="s">
        <v>15</v>
      </c>
      <c r="L1053" t="s">
        <v>824</v>
      </c>
      <c r="M1053" t="s">
        <v>15</v>
      </c>
      <c r="N1053" t="s">
        <v>15</v>
      </c>
      <c r="P1053">
        <f>PI()*(0.0375^2)*2</f>
        <v>8.8357293382212935E-3</v>
      </c>
      <c r="T1053">
        <v>8</v>
      </c>
      <c r="W1053">
        <v>510</v>
      </c>
      <c r="X1053" t="s">
        <v>184</v>
      </c>
      <c r="AA1053" s="13">
        <f>Tableau8[[#This Row],[nb of item used ]]*Tableau8[[#This Row],[density (kg/m2) or specific weight (kg/m2)]]*Tableau8[[#This Row],[volume or area]]</f>
        <v>36.049775699942877</v>
      </c>
      <c r="AB1053">
        <f t="shared" ref="AB1053:AB1059" si="289">10-4.4</f>
        <v>5.6</v>
      </c>
      <c r="AC1053">
        <f t="shared" ref="AC1053:AC1059" si="290">0.31+0.41</f>
        <v>0.72</v>
      </c>
      <c r="AD1053" s="11">
        <f t="shared" si="277"/>
        <v>11.21548577331556</v>
      </c>
      <c r="AE1053" s="11">
        <f>_xlfn.RANK.AVG(Tableau8[[#This Row],[EE ( MJ/m²)]],AD1053:AD2208)</f>
        <v>56.5</v>
      </c>
      <c r="AF1053" s="11">
        <f t="shared" si="278"/>
        <v>11.21548577331556</v>
      </c>
      <c r="AG1053" s="11">
        <f t="shared" ref="AG1053:AG1059" si="291">(AC1053-0.41)*AA1053/H1053</f>
        <v>0.62085724816568288</v>
      </c>
      <c r="AH1053" s="11">
        <f t="shared" si="279"/>
        <v>1.4419910279977151</v>
      </c>
      <c r="AI1053" s="11">
        <f t="shared" ref="AI1053:AI1059" si="292">(AC1053-0.41)*AA1053/H1053/I1053</f>
        <v>0.62085724816568288</v>
      </c>
      <c r="AJ1053" s="11">
        <f t="shared" si="280"/>
        <v>1.4419910279977151</v>
      </c>
    </row>
    <row r="1054" spans="1:36" x14ac:dyDescent="0.25">
      <c r="A1054" s="4" t="s">
        <v>945</v>
      </c>
      <c r="B1054" s="4" t="s">
        <v>957</v>
      </c>
      <c r="C1054" s="4" t="s">
        <v>15</v>
      </c>
      <c r="D1054" s="4" t="s">
        <v>942</v>
      </c>
      <c r="E1054" t="s">
        <v>833</v>
      </c>
      <c r="F1054" t="s">
        <v>256</v>
      </c>
      <c r="G1054" t="s">
        <v>788</v>
      </c>
      <c r="H1054">
        <f t="shared" si="288"/>
        <v>18</v>
      </c>
      <c r="I1054">
        <v>1</v>
      </c>
      <c r="J1054" t="s">
        <v>40</v>
      </c>
      <c r="K1054" t="s">
        <v>15</v>
      </c>
      <c r="L1054" t="s">
        <v>825</v>
      </c>
      <c r="M1054" t="s">
        <v>15</v>
      </c>
      <c r="N1054" t="s">
        <v>15</v>
      </c>
      <c r="P1054">
        <f>PI()*(0.0375^2)*1.6</f>
        <v>7.0685834705770355E-3</v>
      </c>
      <c r="T1054">
        <v>1</v>
      </c>
      <c r="W1054">
        <v>510</v>
      </c>
      <c r="X1054" t="s">
        <v>184</v>
      </c>
      <c r="AA1054" s="13">
        <f>Tableau8[[#This Row],[nb of item used ]]*Tableau8[[#This Row],[density (kg/m2) or specific weight (kg/m2)]]*Tableau8[[#This Row],[volume or area]]</f>
        <v>3.6049775699942881</v>
      </c>
      <c r="AB1054">
        <f t="shared" si="289"/>
        <v>5.6</v>
      </c>
      <c r="AC1054">
        <f t="shared" si="290"/>
        <v>0.72</v>
      </c>
      <c r="AD1054" s="11">
        <f t="shared" si="277"/>
        <v>1.1215485773315563</v>
      </c>
      <c r="AE1054" s="11">
        <f>_xlfn.RANK.AVG(Tableau8[[#This Row],[EE ( MJ/m²)]],AD1054:AD2209)</f>
        <v>95</v>
      </c>
      <c r="AF1054" s="11">
        <f t="shared" si="278"/>
        <v>1.1215485773315563</v>
      </c>
      <c r="AG1054" s="11">
        <f t="shared" si="291"/>
        <v>6.2085724816568294E-2</v>
      </c>
      <c r="AH1054" s="11">
        <f t="shared" si="279"/>
        <v>0.14419910279977152</v>
      </c>
      <c r="AI1054" s="11">
        <f t="shared" si="292"/>
        <v>6.2085724816568294E-2</v>
      </c>
      <c r="AJ1054" s="11">
        <f t="shared" si="280"/>
        <v>0.14419910279977152</v>
      </c>
    </row>
    <row r="1055" spans="1:36" x14ac:dyDescent="0.25">
      <c r="A1055" s="4" t="s">
        <v>945</v>
      </c>
      <c r="B1055" s="4" t="s">
        <v>957</v>
      </c>
      <c r="C1055" s="4" t="s">
        <v>15</v>
      </c>
      <c r="D1055" s="4" t="s">
        <v>942</v>
      </c>
      <c r="E1055" t="s">
        <v>833</v>
      </c>
      <c r="F1055" t="s">
        <v>256</v>
      </c>
      <c r="G1055" t="s">
        <v>788</v>
      </c>
      <c r="H1055">
        <f t="shared" si="288"/>
        <v>18</v>
      </c>
      <c r="I1055">
        <v>1</v>
      </c>
      <c r="J1055" t="s">
        <v>56</v>
      </c>
      <c r="K1055" t="s">
        <v>15</v>
      </c>
      <c r="L1055" t="s">
        <v>826</v>
      </c>
      <c r="M1055" t="s">
        <v>15</v>
      </c>
      <c r="N1055" t="s">
        <v>15</v>
      </c>
      <c r="P1055">
        <f>PI()*(0.025^2)*6</f>
        <v>1.1780972450961725E-2</v>
      </c>
      <c r="T1055">
        <v>6</v>
      </c>
      <c r="W1055">
        <v>510</v>
      </c>
      <c r="X1055" t="s">
        <v>184</v>
      </c>
      <c r="AA1055" s="13">
        <f>Tableau8[[#This Row],[nb of item used ]]*Tableau8[[#This Row],[density (kg/m2) or specific weight (kg/m2)]]*Tableau8[[#This Row],[volume or area]]</f>
        <v>36.049775699942877</v>
      </c>
      <c r="AB1055">
        <f t="shared" si="289"/>
        <v>5.6</v>
      </c>
      <c r="AC1055">
        <f t="shared" si="290"/>
        <v>0.72</v>
      </c>
      <c r="AD1055" s="11">
        <f t="shared" si="277"/>
        <v>11.21548577331556</v>
      </c>
      <c r="AE1055" s="11">
        <f>_xlfn.RANK.AVG(Tableau8[[#This Row],[EE ( MJ/m²)]],AD1055:AD2210)</f>
        <v>56</v>
      </c>
      <c r="AF1055" s="11">
        <f t="shared" si="278"/>
        <v>11.21548577331556</v>
      </c>
      <c r="AG1055" s="11">
        <f t="shared" si="291"/>
        <v>0.62085724816568288</v>
      </c>
      <c r="AH1055" s="11">
        <f t="shared" si="279"/>
        <v>1.4419910279977151</v>
      </c>
      <c r="AI1055" s="11">
        <f t="shared" si="292"/>
        <v>0.62085724816568288</v>
      </c>
      <c r="AJ1055" s="11">
        <f t="shared" si="280"/>
        <v>1.4419910279977151</v>
      </c>
    </row>
    <row r="1056" spans="1:36" x14ac:dyDescent="0.25">
      <c r="A1056" s="4" t="s">
        <v>945</v>
      </c>
      <c r="B1056" s="4" t="s">
        <v>957</v>
      </c>
      <c r="C1056" s="4" t="s">
        <v>15</v>
      </c>
      <c r="D1056" s="4" t="s">
        <v>942</v>
      </c>
      <c r="E1056" t="s">
        <v>833</v>
      </c>
      <c r="F1056" t="s">
        <v>256</v>
      </c>
      <c r="G1056" t="s">
        <v>788</v>
      </c>
      <c r="H1056">
        <f t="shared" si="288"/>
        <v>18</v>
      </c>
      <c r="I1056">
        <v>1</v>
      </c>
      <c r="J1056" t="s">
        <v>56</v>
      </c>
      <c r="K1056" t="s">
        <v>15</v>
      </c>
      <c r="L1056" t="s">
        <v>827</v>
      </c>
      <c r="M1056" t="s">
        <v>15</v>
      </c>
      <c r="N1056" t="s">
        <v>15</v>
      </c>
      <c r="P1056">
        <f>PI()*(0.025^2)*5.1</f>
        <v>1.0013826583317465E-2</v>
      </c>
      <c r="T1056">
        <v>2</v>
      </c>
      <c r="W1056">
        <v>510</v>
      </c>
      <c r="X1056" t="s">
        <v>184</v>
      </c>
      <c r="AA1056" s="13">
        <f>Tableau8[[#This Row],[nb of item used ]]*Tableau8[[#This Row],[density (kg/m2) or specific weight (kg/m2)]]*Tableau8[[#This Row],[volume or area]]</f>
        <v>10.214103114983814</v>
      </c>
      <c r="AB1056">
        <f t="shared" si="289"/>
        <v>5.6</v>
      </c>
      <c r="AC1056">
        <f t="shared" si="290"/>
        <v>0.72</v>
      </c>
      <c r="AD1056" s="11">
        <f t="shared" si="277"/>
        <v>3.1777209691060753</v>
      </c>
      <c r="AE1056" s="11">
        <f>_xlfn.RANK.AVG(Tableau8[[#This Row],[EE ( MJ/m²)]],AD1056:AD2211)</f>
        <v>76</v>
      </c>
      <c r="AF1056" s="11">
        <f t="shared" si="278"/>
        <v>3.1777209691060753</v>
      </c>
      <c r="AG1056" s="11">
        <f t="shared" si="291"/>
        <v>0.17590955364694347</v>
      </c>
      <c r="AH1056" s="11">
        <f t="shared" si="279"/>
        <v>0.40856412459935254</v>
      </c>
      <c r="AI1056" s="11">
        <f t="shared" si="292"/>
        <v>0.17590955364694347</v>
      </c>
      <c r="AJ1056" s="11">
        <f t="shared" si="280"/>
        <v>0.40856412459935254</v>
      </c>
    </row>
    <row r="1057" spans="1:36" x14ac:dyDescent="0.25">
      <c r="A1057" s="4" t="s">
        <v>945</v>
      </c>
      <c r="B1057" s="4" t="s">
        <v>957</v>
      </c>
      <c r="C1057" s="4" t="s">
        <v>15</v>
      </c>
      <c r="D1057" s="4" t="s">
        <v>942</v>
      </c>
      <c r="E1057" t="s">
        <v>833</v>
      </c>
      <c r="F1057" t="s">
        <v>256</v>
      </c>
      <c r="G1057" t="s">
        <v>788</v>
      </c>
      <c r="H1057">
        <f t="shared" si="288"/>
        <v>18</v>
      </c>
      <c r="I1057">
        <v>1</v>
      </c>
      <c r="J1057" t="s">
        <v>56</v>
      </c>
      <c r="K1057" t="s">
        <v>15</v>
      </c>
      <c r="L1057" t="s">
        <v>828</v>
      </c>
      <c r="M1057" t="s">
        <v>15</v>
      </c>
      <c r="N1057" t="s">
        <v>15</v>
      </c>
      <c r="P1057">
        <f>PI()*(0.025^2)*3</f>
        <v>5.8904862254808626E-3</v>
      </c>
      <c r="T1057">
        <v>8</v>
      </c>
      <c r="W1057">
        <v>510</v>
      </c>
      <c r="X1057" t="s">
        <v>184</v>
      </c>
      <c r="AA1057" s="13">
        <f>Tableau8[[#This Row],[nb of item used ]]*Tableau8[[#This Row],[density (kg/m2) or specific weight (kg/m2)]]*Tableau8[[#This Row],[volume or area]]</f>
        <v>24.033183799961918</v>
      </c>
      <c r="AB1057">
        <f t="shared" si="289"/>
        <v>5.6</v>
      </c>
      <c r="AC1057">
        <f t="shared" si="290"/>
        <v>0.72</v>
      </c>
      <c r="AD1057" s="11">
        <f t="shared" ref="AD1057:AD1071" si="293">AB1057*AA1057/H1057</f>
        <v>7.476990515543708</v>
      </c>
      <c r="AE1057" s="11">
        <f>_xlfn.RANK.AVG(Tableau8[[#This Row],[EE ( MJ/m²)]],AD1057:AD2212)</f>
        <v>68</v>
      </c>
      <c r="AF1057" s="11">
        <f t="shared" ref="AF1057:AF1071" si="294">AB1057*AA1057/H1057/I1057</f>
        <v>7.476990515543708</v>
      </c>
      <c r="AG1057" s="11">
        <f t="shared" si="291"/>
        <v>0.41390483211045526</v>
      </c>
      <c r="AH1057" s="11">
        <f t="shared" ref="AH1057:AH1071" si="295">AC1057*AA1057/H1057</f>
        <v>0.96132735199847674</v>
      </c>
      <c r="AI1057" s="11">
        <f t="shared" si="292"/>
        <v>0.41390483211045526</v>
      </c>
      <c r="AJ1057" s="11">
        <f t="shared" ref="AJ1057:AJ1071" si="296">AC1057*AA1057/H1057/I1057</f>
        <v>0.96132735199847674</v>
      </c>
    </row>
    <row r="1058" spans="1:36" x14ac:dyDescent="0.25">
      <c r="A1058" s="4" t="s">
        <v>945</v>
      </c>
      <c r="B1058" s="4" t="s">
        <v>957</v>
      </c>
      <c r="C1058" s="4" t="s">
        <v>15</v>
      </c>
      <c r="D1058" s="4" t="s">
        <v>942</v>
      </c>
      <c r="E1058" t="s">
        <v>833</v>
      </c>
      <c r="F1058" t="s">
        <v>256</v>
      </c>
      <c r="G1058" t="s">
        <v>788</v>
      </c>
      <c r="H1058">
        <f t="shared" si="288"/>
        <v>18</v>
      </c>
      <c r="I1058">
        <v>1</v>
      </c>
      <c r="J1058" t="s">
        <v>40</v>
      </c>
      <c r="K1058" t="s">
        <v>15</v>
      </c>
      <c r="L1058" t="s">
        <v>829</v>
      </c>
      <c r="M1058" t="s">
        <v>15</v>
      </c>
      <c r="N1058" t="s">
        <v>15</v>
      </c>
      <c r="P1058">
        <f>PI()*(0.025^2)*2</f>
        <v>3.9269908169872417E-3</v>
      </c>
      <c r="T1058">
        <v>2</v>
      </c>
      <c r="W1058">
        <v>510</v>
      </c>
      <c r="X1058" t="s">
        <v>184</v>
      </c>
      <c r="AA1058" s="13">
        <f>Tableau8[[#This Row],[nb of item used ]]*Tableau8[[#This Row],[density (kg/m2) or specific weight (kg/m2)]]*Tableau8[[#This Row],[volume or area]]</f>
        <v>4.0055306333269867</v>
      </c>
      <c r="AB1058">
        <f t="shared" si="289"/>
        <v>5.6</v>
      </c>
      <c r="AC1058">
        <f t="shared" si="290"/>
        <v>0.72</v>
      </c>
      <c r="AD1058" s="11">
        <f t="shared" si="293"/>
        <v>1.2461650859239513</v>
      </c>
      <c r="AE1058" s="11">
        <f>_xlfn.RANK.AVG(Tableau8[[#This Row],[EE ( MJ/m²)]],AD1058:AD2213)</f>
        <v>90</v>
      </c>
      <c r="AF1058" s="11">
        <f t="shared" si="294"/>
        <v>1.2461650859239513</v>
      </c>
      <c r="AG1058" s="11">
        <f t="shared" si="291"/>
        <v>6.8984138685075871E-2</v>
      </c>
      <c r="AH1058" s="11">
        <f t="shared" si="295"/>
        <v>0.16022122533307945</v>
      </c>
      <c r="AI1058" s="11">
        <f t="shared" si="292"/>
        <v>6.8984138685075871E-2</v>
      </c>
      <c r="AJ1058" s="11">
        <f t="shared" si="296"/>
        <v>0.16022122533307945</v>
      </c>
    </row>
    <row r="1059" spans="1:36" x14ac:dyDescent="0.25">
      <c r="A1059" s="4" t="s">
        <v>945</v>
      </c>
      <c r="B1059" s="4" t="s">
        <v>957</v>
      </c>
      <c r="C1059" s="4" t="s">
        <v>15</v>
      </c>
      <c r="D1059" s="4" t="s">
        <v>942</v>
      </c>
      <c r="E1059" t="s">
        <v>833</v>
      </c>
      <c r="F1059" t="s">
        <v>256</v>
      </c>
      <c r="G1059" t="s">
        <v>788</v>
      </c>
      <c r="H1059">
        <f t="shared" si="288"/>
        <v>18</v>
      </c>
      <c r="I1059">
        <v>1</v>
      </c>
      <c r="J1059" t="s">
        <v>56</v>
      </c>
      <c r="K1059" t="s">
        <v>15</v>
      </c>
      <c r="L1059" t="s">
        <v>830</v>
      </c>
      <c r="M1059" t="s">
        <v>15</v>
      </c>
      <c r="N1059" t="s">
        <v>15</v>
      </c>
      <c r="P1059">
        <f>PI()*(0.025^2)*0.9</f>
        <v>1.7671458676442589E-3</v>
      </c>
      <c r="T1059">
        <v>3</v>
      </c>
      <c r="W1059">
        <v>510</v>
      </c>
      <c r="X1059" t="s">
        <v>184</v>
      </c>
      <c r="AA1059" s="13">
        <f>Tableau8[[#This Row],[nb of item used ]]*Tableau8[[#This Row],[density (kg/m2) or specific weight (kg/m2)]]*Tableau8[[#This Row],[volume or area]]</f>
        <v>2.7037331774957161</v>
      </c>
      <c r="AB1059">
        <f t="shared" si="289"/>
        <v>5.6</v>
      </c>
      <c r="AC1059">
        <f t="shared" si="290"/>
        <v>0.72</v>
      </c>
      <c r="AD1059" s="11">
        <f t="shared" si="293"/>
        <v>0.84116143299866719</v>
      </c>
      <c r="AE1059" s="11">
        <f>_xlfn.RANK.AVG(Tableau8[[#This Row],[EE ( MJ/m²)]],AD1059:AD2214)</f>
        <v>93</v>
      </c>
      <c r="AF1059" s="11">
        <f t="shared" si="294"/>
        <v>0.84116143299866719</v>
      </c>
      <c r="AG1059" s="11">
        <f t="shared" si="291"/>
        <v>4.6564293612426221E-2</v>
      </c>
      <c r="AH1059" s="11">
        <f t="shared" si="295"/>
        <v>0.10814932709982865</v>
      </c>
      <c r="AI1059" s="11">
        <f t="shared" si="292"/>
        <v>4.6564293612426221E-2</v>
      </c>
      <c r="AJ1059" s="11">
        <f t="shared" si="296"/>
        <v>0.10814932709982865</v>
      </c>
    </row>
    <row r="1060" spans="1:36" x14ac:dyDescent="0.25">
      <c r="A1060" s="4" t="s">
        <v>945</v>
      </c>
      <c r="B1060" s="4" t="s">
        <v>957</v>
      </c>
      <c r="C1060" s="4" t="s">
        <v>15</v>
      </c>
      <c r="D1060" s="4" t="s">
        <v>942</v>
      </c>
      <c r="E1060" t="s">
        <v>833</v>
      </c>
      <c r="F1060" t="s">
        <v>256</v>
      </c>
      <c r="G1060" t="s">
        <v>788</v>
      </c>
      <c r="H1060">
        <f t="shared" si="288"/>
        <v>18</v>
      </c>
      <c r="I1060">
        <v>1</v>
      </c>
      <c r="J1060" t="s">
        <v>13</v>
      </c>
      <c r="K1060" t="s">
        <v>17</v>
      </c>
      <c r="L1060" t="s">
        <v>823</v>
      </c>
      <c r="M1060" t="s">
        <v>12</v>
      </c>
      <c r="N1060" t="s">
        <v>612</v>
      </c>
      <c r="P1060">
        <f>21.2*2*4.2*PI()*(0.003^2)</f>
        <v>5.0350933777614341E-3</v>
      </c>
      <c r="T1060">
        <v>1</v>
      </c>
      <c r="W1060">
        <v>7800</v>
      </c>
      <c r="X1060" t="s">
        <v>184</v>
      </c>
      <c r="AA1060" s="13">
        <f>Tableau8[[#This Row],[density (kg/m2) or specific weight (kg/m2)]]*Tableau8[[#This Row],[nb of item used ]]*Tableau8[[#This Row],[volume or area]]</f>
        <v>39.273728346539187</v>
      </c>
      <c r="AB1060">
        <v>36</v>
      </c>
      <c r="AC1060">
        <v>3.02</v>
      </c>
      <c r="AD1060" s="11">
        <f t="shared" si="293"/>
        <v>78.547456693078374</v>
      </c>
      <c r="AE1060" s="11">
        <f>_xlfn.RANK.AVG(Tableau8[[#This Row],[EE ( MJ/m²)]],AD1060:AD2215)</f>
        <v>14</v>
      </c>
      <c r="AF1060" s="11">
        <f t="shared" si="294"/>
        <v>78.547456693078374</v>
      </c>
      <c r="AG1060" s="11">
        <f t="shared" ref="AG1060:AG1071" si="297">(AC1060)*AA1060/H1060</f>
        <v>6.5892588670304635</v>
      </c>
      <c r="AH1060" s="11">
        <f t="shared" si="295"/>
        <v>6.5892588670304635</v>
      </c>
      <c r="AI1060" s="11">
        <f t="shared" ref="AI1060:AI1071" si="298">(AC1060)*AA1060/H1060/I1060</f>
        <v>6.5892588670304635</v>
      </c>
      <c r="AJ1060" s="11">
        <f t="shared" si="296"/>
        <v>6.5892588670304635</v>
      </c>
    </row>
    <row r="1061" spans="1:36" x14ac:dyDescent="0.25">
      <c r="A1061" s="4" t="s">
        <v>945</v>
      </c>
      <c r="B1061" s="4" t="s">
        <v>957</v>
      </c>
      <c r="C1061" s="4" t="s">
        <v>15</v>
      </c>
      <c r="D1061" s="4" t="s">
        <v>942</v>
      </c>
      <c r="E1061" t="s">
        <v>833</v>
      </c>
      <c r="F1061" t="s">
        <v>256</v>
      </c>
      <c r="G1061" t="s">
        <v>788</v>
      </c>
      <c r="H1061">
        <f t="shared" si="288"/>
        <v>18</v>
      </c>
      <c r="I1061">
        <v>1</v>
      </c>
      <c r="J1061" t="s">
        <v>44</v>
      </c>
      <c r="K1061" t="s">
        <v>17</v>
      </c>
      <c r="L1061" t="s">
        <v>834</v>
      </c>
      <c r="M1061" t="s">
        <v>12</v>
      </c>
      <c r="N1061" t="s">
        <v>612</v>
      </c>
      <c r="P1061">
        <f>130*PI()*(0.00065^2)</f>
        <v>1.7255197649841938E-4</v>
      </c>
      <c r="T1061">
        <v>1</v>
      </c>
      <c r="W1061">
        <v>7800</v>
      </c>
      <c r="X1061" t="s">
        <v>184</v>
      </c>
      <c r="AA1061" s="13">
        <f>Tableau8[[#This Row],[density (kg/m2) or specific weight (kg/m2)]]*Tableau8[[#This Row],[nb of item used ]]*Tableau8[[#This Row],[volume or area]]</f>
        <v>1.3459054166876712</v>
      </c>
      <c r="AB1061">
        <v>36</v>
      </c>
      <c r="AC1061">
        <v>3.02</v>
      </c>
      <c r="AD1061" s="11">
        <f t="shared" si="293"/>
        <v>2.6918108333753423</v>
      </c>
      <c r="AE1061" s="11">
        <f>_xlfn.RANK.AVG(Tableau8[[#This Row],[EE ( MJ/m²)]],AD1061:AD2216)</f>
        <v>78</v>
      </c>
      <c r="AF1061" s="11">
        <f t="shared" si="294"/>
        <v>2.6918108333753423</v>
      </c>
      <c r="AG1061" s="11">
        <f t="shared" si="297"/>
        <v>0.2258130199109315</v>
      </c>
      <c r="AH1061" s="11">
        <f t="shared" si="295"/>
        <v>0.2258130199109315</v>
      </c>
      <c r="AI1061" s="11">
        <f t="shared" si="298"/>
        <v>0.2258130199109315</v>
      </c>
      <c r="AJ1061" s="11">
        <f t="shared" si="296"/>
        <v>0.2258130199109315</v>
      </c>
    </row>
    <row r="1062" spans="1:36" x14ac:dyDescent="0.25">
      <c r="A1062" s="4" t="s">
        <v>945</v>
      </c>
      <c r="B1062" s="4" t="s">
        <v>957</v>
      </c>
      <c r="C1062" s="4" t="s">
        <v>15</v>
      </c>
      <c r="D1062" s="4" t="s">
        <v>942</v>
      </c>
      <c r="E1062" t="s">
        <v>833</v>
      </c>
      <c r="F1062" t="s">
        <v>256</v>
      </c>
      <c r="G1062" t="s">
        <v>788</v>
      </c>
      <c r="H1062">
        <f t="shared" si="288"/>
        <v>18</v>
      </c>
      <c r="I1062">
        <v>1</v>
      </c>
      <c r="J1062" t="s">
        <v>44</v>
      </c>
      <c r="K1062" t="s">
        <v>17</v>
      </c>
      <c r="L1062" t="s">
        <v>835</v>
      </c>
      <c r="M1062" t="s">
        <v>12</v>
      </c>
      <c r="N1062" t="s">
        <v>12</v>
      </c>
      <c r="T1062">
        <v>1</v>
      </c>
      <c r="W1062">
        <v>7800</v>
      </c>
      <c r="X1062" t="s">
        <v>184</v>
      </c>
      <c r="AA1062" s="13">
        <v>3</v>
      </c>
      <c r="AB1062">
        <v>25.3</v>
      </c>
      <c r="AC1062">
        <v>1.95</v>
      </c>
      <c r="AD1062" s="11">
        <f t="shared" si="293"/>
        <v>4.2166666666666668</v>
      </c>
      <c r="AE1062" s="11">
        <f>_xlfn.RANK.AVG(Tableau8[[#This Row],[EE ( MJ/m²)]],AD1062:AD2217)</f>
        <v>70</v>
      </c>
      <c r="AF1062" s="11">
        <f t="shared" si="294"/>
        <v>4.2166666666666668</v>
      </c>
      <c r="AG1062" s="11">
        <f t="shared" si="297"/>
        <v>0.32499999999999996</v>
      </c>
      <c r="AH1062" s="11">
        <f t="shared" si="295"/>
        <v>0.32499999999999996</v>
      </c>
      <c r="AI1062" s="11">
        <f t="shared" si="298"/>
        <v>0.32499999999999996</v>
      </c>
      <c r="AJ1062" s="11">
        <f t="shared" si="296"/>
        <v>0.32499999999999996</v>
      </c>
    </row>
    <row r="1063" spans="1:36" x14ac:dyDescent="0.25">
      <c r="A1063" s="4" t="s">
        <v>945</v>
      </c>
      <c r="B1063" s="4" t="s">
        <v>957</v>
      </c>
      <c r="C1063" s="4" t="s">
        <v>15</v>
      </c>
      <c r="D1063" s="4" t="s">
        <v>942</v>
      </c>
      <c r="E1063" t="s">
        <v>833</v>
      </c>
      <c r="F1063" t="s">
        <v>256</v>
      </c>
      <c r="G1063" t="s">
        <v>788</v>
      </c>
      <c r="H1063">
        <f t="shared" si="288"/>
        <v>18</v>
      </c>
      <c r="I1063">
        <v>1</v>
      </c>
      <c r="J1063" t="s">
        <v>44</v>
      </c>
      <c r="K1063" t="s">
        <v>17</v>
      </c>
      <c r="L1063" t="s">
        <v>767</v>
      </c>
      <c r="M1063" t="s">
        <v>12</v>
      </c>
      <c r="N1063" t="s">
        <v>12</v>
      </c>
      <c r="T1063">
        <v>1</v>
      </c>
      <c r="W1063">
        <v>7800</v>
      </c>
      <c r="X1063" t="s">
        <v>184</v>
      </c>
      <c r="AA1063" s="13">
        <v>2</v>
      </c>
      <c r="AB1063">
        <v>25.3</v>
      </c>
      <c r="AC1063">
        <v>1.95</v>
      </c>
      <c r="AD1063" s="11">
        <f t="shared" si="293"/>
        <v>2.8111111111111113</v>
      </c>
      <c r="AE1063" s="11">
        <f>_xlfn.RANK.AVG(Tableau8[[#This Row],[EE ( MJ/m²)]],AD1063:AD2218)</f>
        <v>75.5</v>
      </c>
      <c r="AF1063" s="11">
        <f t="shared" si="294"/>
        <v>2.8111111111111113</v>
      </c>
      <c r="AG1063" s="11">
        <f t="shared" si="297"/>
        <v>0.21666666666666667</v>
      </c>
      <c r="AH1063" s="11">
        <f t="shared" si="295"/>
        <v>0.21666666666666667</v>
      </c>
      <c r="AI1063" s="11">
        <f t="shared" si="298"/>
        <v>0.21666666666666667</v>
      </c>
      <c r="AJ1063" s="11">
        <f t="shared" si="296"/>
        <v>0.21666666666666667</v>
      </c>
    </row>
    <row r="1064" spans="1:36" x14ac:dyDescent="0.25">
      <c r="A1064" s="4" t="s">
        <v>945</v>
      </c>
      <c r="B1064" s="4" t="s">
        <v>957</v>
      </c>
      <c r="C1064" s="4" t="s">
        <v>15</v>
      </c>
      <c r="D1064" s="4" t="s">
        <v>942</v>
      </c>
      <c r="E1064" t="s">
        <v>833</v>
      </c>
      <c r="F1064" t="s">
        <v>256</v>
      </c>
      <c r="G1064" t="s">
        <v>788</v>
      </c>
      <c r="H1064">
        <f t="shared" si="288"/>
        <v>18</v>
      </c>
      <c r="I1064">
        <v>1</v>
      </c>
      <c r="J1064" t="s">
        <v>44</v>
      </c>
      <c r="K1064" t="s">
        <v>17</v>
      </c>
      <c r="L1064" t="s">
        <v>836</v>
      </c>
      <c r="M1064" t="s">
        <v>12</v>
      </c>
      <c r="N1064" t="s">
        <v>12</v>
      </c>
      <c r="T1064">
        <v>1</v>
      </c>
      <c r="W1064">
        <v>7800</v>
      </c>
      <c r="X1064" t="s">
        <v>184</v>
      </c>
      <c r="AA1064" s="13">
        <v>1</v>
      </c>
      <c r="AB1064">
        <v>25.3</v>
      </c>
      <c r="AC1064">
        <v>1.95</v>
      </c>
      <c r="AD1064" s="11">
        <f t="shared" si="293"/>
        <v>1.4055555555555557</v>
      </c>
      <c r="AE1064" s="11">
        <f>_xlfn.RANK.AVG(Tableau8[[#This Row],[EE ( MJ/m²)]],AD1064:AD2219)</f>
        <v>85</v>
      </c>
      <c r="AF1064" s="11">
        <f t="shared" si="294"/>
        <v>1.4055555555555557</v>
      </c>
      <c r="AG1064" s="11">
        <f t="shared" si="297"/>
        <v>0.10833333333333334</v>
      </c>
      <c r="AH1064" s="11">
        <f t="shared" si="295"/>
        <v>0.10833333333333334</v>
      </c>
      <c r="AI1064" s="11">
        <f t="shared" si="298"/>
        <v>0.10833333333333334</v>
      </c>
      <c r="AJ1064" s="11">
        <f t="shared" si="296"/>
        <v>0.10833333333333334</v>
      </c>
    </row>
    <row r="1065" spans="1:36" x14ac:dyDescent="0.25">
      <c r="A1065" s="4" t="s">
        <v>945</v>
      </c>
      <c r="B1065" s="4" t="s">
        <v>957</v>
      </c>
      <c r="C1065" s="4" t="s">
        <v>15</v>
      </c>
      <c r="D1065" s="4" t="s">
        <v>942</v>
      </c>
      <c r="E1065" t="s">
        <v>833</v>
      </c>
      <c r="F1065" t="s">
        <v>256</v>
      </c>
      <c r="G1065" t="s">
        <v>788</v>
      </c>
      <c r="H1065">
        <f t="shared" si="288"/>
        <v>18</v>
      </c>
      <c r="I1065">
        <v>1</v>
      </c>
      <c r="J1065" t="s">
        <v>44</v>
      </c>
      <c r="K1065" t="s">
        <v>17</v>
      </c>
      <c r="L1065" t="s">
        <v>837</v>
      </c>
      <c r="M1065" t="s">
        <v>12</v>
      </c>
      <c r="N1065" t="s">
        <v>12</v>
      </c>
      <c r="T1065">
        <v>1</v>
      </c>
      <c r="W1065">
        <v>7800</v>
      </c>
      <c r="X1065" t="s">
        <v>184</v>
      </c>
      <c r="AA1065" s="13">
        <v>2</v>
      </c>
      <c r="AB1065">
        <v>25.3</v>
      </c>
      <c r="AC1065">
        <v>1.95</v>
      </c>
      <c r="AD1065" s="11">
        <f t="shared" si="293"/>
        <v>2.8111111111111113</v>
      </c>
      <c r="AE1065" s="11">
        <f>_xlfn.RANK.AVG(Tableau8[[#This Row],[EE ( MJ/m²)]],AD1065:AD2220)</f>
        <v>75</v>
      </c>
      <c r="AF1065" s="11">
        <f t="shared" si="294"/>
        <v>2.8111111111111113</v>
      </c>
      <c r="AG1065" s="11">
        <f t="shared" si="297"/>
        <v>0.21666666666666667</v>
      </c>
      <c r="AH1065" s="11">
        <f t="shared" si="295"/>
        <v>0.21666666666666667</v>
      </c>
      <c r="AI1065" s="11">
        <f t="shared" si="298"/>
        <v>0.21666666666666667</v>
      </c>
      <c r="AJ1065" s="11">
        <f t="shared" si="296"/>
        <v>0.21666666666666667</v>
      </c>
    </row>
    <row r="1066" spans="1:36" x14ac:dyDescent="0.25">
      <c r="A1066" s="4" t="s">
        <v>945</v>
      </c>
      <c r="B1066" s="4" t="s">
        <v>957</v>
      </c>
      <c r="C1066" s="4" t="s">
        <v>15</v>
      </c>
      <c r="D1066" s="4" t="s">
        <v>942</v>
      </c>
      <c r="E1066" t="s">
        <v>833</v>
      </c>
      <c r="F1066" t="s">
        <v>256</v>
      </c>
      <c r="G1066" t="s">
        <v>788</v>
      </c>
      <c r="H1066">
        <f t="shared" si="288"/>
        <v>18</v>
      </c>
      <c r="I1066">
        <v>1</v>
      </c>
      <c r="J1066" t="s">
        <v>40</v>
      </c>
      <c r="K1066" t="s">
        <v>17</v>
      </c>
      <c r="L1066" t="s">
        <v>815</v>
      </c>
      <c r="M1066" t="s">
        <v>12</v>
      </c>
      <c r="N1066" t="s">
        <v>12</v>
      </c>
      <c r="P1066">
        <f>0.014*0.1*0.05</f>
        <v>7.0000000000000007E-5</v>
      </c>
      <c r="Q1066" t="s">
        <v>180</v>
      </c>
      <c r="R1066" t="s">
        <v>187</v>
      </c>
      <c r="T1066">
        <v>3</v>
      </c>
      <c r="W1066">
        <v>7800</v>
      </c>
      <c r="X1066" t="s">
        <v>184</v>
      </c>
      <c r="AA1066" s="13">
        <f>Tableau8[[#This Row],[density (kg/m2) or specific weight (kg/m2)]]*Tableau8[[#This Row],[nb of item used ]]*Tableau8[[#This Row],[volume or area]]</f>
        <v>1.6380000000000001</v>
      </c>
      <c r="AB1066">
        <v>25.3</v>
      </c>
      <c r="AC1066">
        <v>1.95</v>
      </c>
      <c r="AD1066" s="11">
        <f t="shared" si="293"/>
        <v>2.3023000000000002</v>
      </c>
      <c r="AE1066" s="11">
        <f>_xlfn.RANK.AVG(Tableau8[[#This Row],[EE ( MJ/m²)]],AD1066:AD2221)</f>
        <v>76.5</v>
      </c>
      <c r="AF1066" s="11">
        <f t="shared" si="294"/>
        <v>2.3023000000000002</v>
      </c>
      <c r="AG1066" s="11">
        <f t="shared" si="297"/>
        <v>0.17745</v>
      </c>
      <c r="AH1066" s="11">
        <f t="shared" si="295"/>
        <v>0.17745</v>
      </c>
      <c r="AI1066" s="11">
        <f t="shared" si="298"/>
        <v>0.17745</v>
      </c>
      <c r="AJ1066" s="11">
        <f t="shared" si="296"/>
        <v>0.17745</v>
      </c>
    </row>
    <row r="1067" spans="1:36" x14ac:dyDescent="0.25">
      <c r="A1067" s="4" t="s">
        <v>945</v>
      </c>
      <c r="B1067" s="4" t="s">
        <v>957</v>
      </c>
      <c r="C1067" s="4" t="s">
        <v>15</v>
      </c>
      <c r="D1067" s="4" t="s">
        <v>942</v>
      </c>
      <c r="E1067" t="s">
        <v>833</v>
      </c>
      <c r="F1067" t="s">
        <v>256</v>
      </c>
      <c r="G1067" t="s">
        <v>788</v>
      </c>
      <c r="H1067">
        <f t="shared" si="288"/>
        <v>18</v>
      </c>
      <c r="I1067">
        <v>1</v>
      </c>
      <c r="J1067" t="s">
        <v>40</v>
      </c>
      <c r="K1067" t="s">
        <v>17</v>
      </c>
      <c r="L1067" t="s">
        <v>838</v>
      </c>
      <c r="M1067" t="s">
        <v>12</v>
      </c>
      <c r="N1067" t="s">
        <v>12</v>
      </c>
      <c r="T1067">
        <v>1</v>
      </c>
      <c r="W1067">
        <v>7800</v>
      </c>
      <c r="X1067" t="s">
        <v>184</v>
      </c>
      <c r="AA1067" s="13">
        <v>0.53800000000000003</v>
      </c>
      <c r="AB1067">
        <v>25.3</v>
      </c>
      <c r="AC1067">
        <v>1.95</v>
      </c>
      <c r="AD1067" s="11">
        <f t="shared" si="293"/>
        <v>0.75618888888888902</v>
      </c>
      <c r="AE1067" s="11">
        <f>_xlfn.RANK.AVG(Tableau8[[#This Row],[EE ( MJ/m²)]],AD1067:AD2222)</f>
        <v>86.5</v>
      </c>
      <c r="AF1067" s="11">
        <f t="shared" si="294"/>
        <v>0.75618888888888902</v>
      </c>
      <c r="AG1067" s="11">
        <f t="shared" si="297"/>
        <v>5.828333333333334E-2</v>
      </c>
      <c r="AH1067" s="11">
        <f t="shared" si="295"/>
        <v>5.828333333333334E-2</v>
      </c>
      <c r="AI1067" s="11">
        <f t="shared" si="298"/>
        <v>5.828333333333334E-2</v>
      </c>
      <c r="AJ1067" s="11">
        <f t="shared" si="296"/>
        <v>5.828333333333334E-2</v>
      </c>
    </row>
    <row r="1068" spans="1:36" x14ac:dyDescent="0.25">
      <c r="A1068" s="4" t="s">
        <v>945</v>
      </c>
      <c r="B1068" s="4" t="s">
        <v>957</v>
      </c>
      <c r="C1068" s="4" t="s">
        <v>15</v>
      </c>
      <c r="D1068" s="4" t="s">
        <v>942</v>
      </c>
      <c r="E1068" t="s">
        <v>833</v>
      </c>
      <c r="F1068" t="s">
        <v>256</v>
      </c>
      <c r="G1068" t="s">
        <v>788</v>
      </c>
      <c r="H1068">
        <f t="shared" si="288"/>
        <v>18</v>
      </c>
      <c r="I1068">
        <v>1</v>
      </c>
      <c r="J1068" t="s">
        <v>40</v>
      </c>
      <c r="K1068" t="s">
        <v>17</v>
      </c>
      <c r="L1068" t="s">
        <v>839</v>
      </c>
      <c r="M1068" t="s">
        <v>12</v>
      </c>
      <c r="N1068" t="s">
        <v>12</v>
      </c>
      <c r="T1068">
        <v>1</v>
      </c>
      <c r="W1068">
        <v>7800</v>
      </c>
      <c r="X1068" t="s">
        <v>184</v>
      </c>
      <c r="AA1068" s="13">
        <v>0.53800000000000003</v>
      </c>
      <c r="AB1068">
        <v>25.3</v>
      </c>
      <c r="AC1068">
        <v>1.95</v>
      </c>
      <c r="AD1068" s="11">
        <f t="shared" si="293"/>
        <v>0.75618888888888902</v>
      </c>
      <c r="AE1068" s="11">
        <f>_xlfn.RANK.AVG(Tableau8[[#This Row],[EE ( MJ/m²)]],AD1068:AD2223)</f>
        <v>86</v>
      </c>
      <c r="AF1068" s="11">
        <f t="shared" si="294"/>
        <v>0.75618888888888902</v>
      </c>
      <c r="AG1068" s="11">
        <f t="shared" si="297"/>
        <v>5.828333333333334E-2</v>
      </c>
      <c r="AH1068" s="11">
        <f t="shared" si="295"/>
        <v>5.828333333333334E-2</v>
      </c>
      <c r="AI1068" s="11">
        <f t="shared" si="298"/>
        <v>5.828333333333334E-2</v>
      </c>
      <c r="AJ1068" s="11">
        <f t="shared" si="296"/>
        <v>5.828333333333334E-2</v>
      </c>
    </row>
    <row r="1069" spans="1:36" x14ac:dyDescent="0.25">
      <c r="A1069" s="4" t="s">
        <v>945</v>
      </c>
      <c r="B1069" s="4" t="s">
        <v>957</v>
      </c>
      <c r="C1069" s="4" t="s">
        <v>15</v>
      </c>
      <c r="D1069" s="4" t="s">
        <v>942</v>
      </c>
      <c r="E1069" t="s">
        <v>833</v>
      </c>
      <c r="F1069" t="s">
        <v>256</v>
      </c>
      <c r="G1069" t="s">
        <v>788</v>
      </c>
      <c r="H1069">
        <f t="shared" si="288"/>
        <v>18</v>
      </c>
      <c r="I1069">
        <v>1</v>
      </c>
      <c r="J1069" t="s">
        <v>13</v>
      </c>
      <c r="K1069" t="s">
        <v>29</v>
      </c>
      <c r="L1069" t="s">
        <v>822</v>
      </c>
      <c r="M1069" t="s">
        <v>364</v>
      </c>
      <c r="N1069" t="s">
        <v>432</v>
      </c>
      <c r="P1069">
        <v>1</v>
      </c>
      <c r="Q1069" t="s">
        <v>180</v>
      </c>
      <c r="T1069">
        <v>1</v>
      </c>
      <c r="W1069">
        <v>2240</v>
      </c>
      <c r="X1069" t="s">
        <v>184</v>
      </c>
      <c r="AA1069" s="13">
        <f>Tableau8[[#This Row],[density (kg/m2) or specific weight (kg/m2)]]*Tableau8[[#This Row],[nb of item used ]]*Tableau8[[#This Row],[volume or area]]</f>
        <v>2240</v>
      </c>
      <c r="AB1069">
        <v>8.0999999999999996E-3</v>
      </c>
      <c r="AC1069">
        <v>5.1000000000000004E-3</v>
      </c>
      <c r="AD1069" s="11">
        <f t="shared" si="293"/>
        <v>1.008</v>
      </c>
      <c r="AE1069" s="11">
        <f>_xlfn.RANK.AVG(Tableau8[[#This Row],[EE ( MJ/m²)]],AD1069:AD2224)</f>
        <v>84</v>
      </c>
      <c r="AF1069" s="11">
        <f t="shared" si="294"/>
        <v>1.008</v>
      </c>
      <c r="AG1069" s="11">
        <f t="shared" si="297"/>
        <v>0.63466666666666671</v>
      </c>
      <c r="AH1069" s="11">
        <f t="shared" si="295"/>
        <v>0.63466666666666671</v>
      </c>
      <c r="AI1069" s="11">
        <f t="shared" si="298"/>
        <v>0.63466666666666671</v>
      </c>
      <c r="AJ1069" s="11">
        <f t="shared" si="296"/>
        <v>0.63466666666666671</v>
      </c>
    </row>
    <row r="1070" spans="1:36" x14ac:dyDescent="0.25">
      <c r="A1070" s="4" t="s">
        <v>945</v>
      </c>
      <c r="B1070" s="4" t="s">
        <v>957</v>
      </c>
      <c r="C1070" s="4" t="s">
        <v>15</v>
      </c>
      <c r="D1070" s="4" t="s">
        <v>942</v>
      </c>
      <c r="E1070" t="s">
        <v>833</v>
      </c>
      <c r="F1070" t="s">
        <v>256</v>
      </c>
      <c r="G1070" t="s">
        <v>788</v>
      </c>
      <c r="H1070">
        <f t="shared" si="288"/>
        <v>18</v>
      </c>
      <c r="I1070">
        <v>1</v>
      </c>
      <c r="J1070" t="s">
        <v>56</v>
      </c>
      <c r="K1070" t="s">
        <v>14</v>
      </c>
      <c r="L1070" t="s">
        <v>831</v>
      </c>
      <c r="M1070" t="s">
        <v>35</v>
      </c>
      <c r="N1070" t="s">
        <v>35</v>
      </c>
      <c r="P1070">
        <f>4*6</f>
        <v>24</v>
      </c>
      <c r="T1070">
        <v>2.25</v>
      </c>
      <c r="W1070">
        <v>0.18</v>
      </c>
      <c r="X1070" t="s">
        <v>183</v>
      </c>
      <c r="AA1070" s="13">
        <f>Tableau8[[#This Row],[nb of item used ]]*Tableau8[[#This Row],[density (kg/m2) or specific weight (kg/m2)]]*Tableau8[[#This Row],[volume or area]]</f>
        <v>9.7199999999999989</v>
      </c>
      <c r="AB1070">
        <v>54.3</v>
      </c>
      <c r="AC1070">
        <v>1.93</v>
      </c>
      <c r="AD1070" s="11">
        <f t="shared" si="293"/>
        <v>29.321999999999996</v>
      </c>
      <c r="AE1070" s="11">
        <f>_xlfn.RANK.AVG(Tableau8[[#This Row],[EE ( MJ/m²)]],AD1070:AD2225)</f>
        <v>33</v>
      </c>
      <c r="AF1070" s="11">
        <f t="shared" si="294"/>
        <v>29.321999999999996</v>
      </c>
      <c r="AG1070" s="11">
        <f t="shared" si="297"/>
        <v>1.0422</v>
      </c>
      <c r="AH1070" s="11">
        <f t="shared" si="295"/>
        <v>1.0422</v>
      </c>
      <c r="AI1070" s="11">
        <f t="shared" si="298"/>
        <v>1.0422</v>
      </c>
      <c r="AJ1070" s="11">
        <f t="shared" si="296"/>
        <v>1.0422</v>
      </c>
    </row>
    <row r="1071" spans="1:36" x14ac:dyDescent="0.25">
      <c r="A1071" s="4" t="s">
        <v>945</v>
      </c>
      <c r="B1071" s="4" t="s">
        <v>957</v>
      </c>
      <c r="C1071" s="4" t="s">
        <v>15</v>
      </c>
      <c r="D1071" s="4" t="s">
        <v>942</v>
      </c>
      <c r="E1071" t="s">
        <v>833</v>
      </c>
      <c r="F1071" t="s">
        <v>256</v>
      </c>
      <c r="G1071" t="s">
        <v>788</v>
      </c>
      <c r="H1071">
        <f t="shared" si="288"/>
        <v>18</v>
      </c>
      <c r="I1071">
        <v>1</v>
      </c>
      <c r="J1071" t="s">
        <v>13</v>
      </c>
      <c r="K1071" t="s">
        <v>18</v>
      </c>
      <c r="L1071" t="s">
        <v>821</v>
      </c>
      <c r="M1071" t="s">
        <v>363</v>
      </c>
      <c r="N1071" t="s">
        <v>431</v>
      </c>
      <c r="T1071">
        <v>1</v>
      </c>
      <c r="W1071">
        <v>1860</v>
      </c>
      <c r="X1071" t="s">
        <v>184</v>
      </c>
      <c r="AA1071" s="13">
        <f>2*42.5</f>
        <v>85</v>
      </c>
      <c r="AB1071">
        <v>4.51</v>
      </c>
      <c r="AC1071">
        <v>0.74</v>
      </c>
      <c r="AD1071" s="11">
        <f t="shared" si="293"/>
        <v>21.297222222222221</v>
      </c>
      <c r="AE1071" s="11">
        <f>_xlfn.RANK.AVG(Tableau8[[#This Row],[EE ( MJ/m²)]],AD1071:AD2226)</f>
        <v>42</v>
      </c>
      <c r="AF1071" s="11">
        <f t="shared" si="294"/>
        <v>21.297222222222221</v>
      </c>
      <c r="AG1071" s="11">
        <f t="shared" si="297"/>
        <v>3.4944444444444445</v>
      </c>
      <c r="AH1071" s="11">
        <f t="shared" si="295"/>
        <v>3.4944444444444445</v>
      </c>
      <c r="AI1071" s="11">
        <f t="shared" si="298"/>
        <v>3.4944444444444445</v>
      </c>
      <c r="AJ1071" s="11">
        <f t="shared" si="296"/>
        <v>3.4944444444444445</v>
      </c>
    </row>
    <row r="1072" spans="1:36" x14ac:dyDescent="0.25">
      <c r="A1072" s="4" t="s">
        <v>945</v>
      </c>
      <c r="B1072" s="4" t="s">
        <v>957</v>
      </c>
      <c r="C1072" s="4" t="s">
        <v>15</v>
      </c>
      <c r="D1072" s="4" t="s">
        <v>942</v>
      </c>
      <c r="E1072" t="s">
        <v>833</v>
      </c>
      <c r="F1072" t="s">
        <v>256</v>
      </c>
      <c r="G1072" t="s">
        <v>788</v>
      </c>
      <c r="H1072">
        <f t="shared" si="288"/>
        <v>18</v>
      </c>
      <c r="I1072">
        <v>1</v>
      </c>
      <c r="J1072" t="s">
        <v>40</v>
      </c>
      <c r="K1072" t="s">
        <v>15</v>
      </c>
      <c r="L1072" t="s">
        <v>832</v>
      </c>
      <c r="M1072" t="s">
        <v>507</v>
      </c>
      <c r="N1072" t="s">
        <v>335</v>
      </c>
      <c r="P1072">
        <f>2*3*0.004</f>
        <v>2.4E-2</v>
      </c>
      <c r="Q1072" t="s">
        <v>180</v>
      </c>
      <c r="T1072">
        <v>1</v>
      </c>
      <c r="W1072">
        <v>178.2</v>
      </c>
      <c r="X1072" t="s">
        <v>184</v>
      </c>
      <c r="AA1072" s="13">
        <f>Tableau8[[#This Row],[density (kg/m2) or specific weight (kg/m2)]]*Tableau8[[#This Row],[nb of item used ]]*Tableau8[[#This Row],[volume or area]]</f>
        <v>4.2767999999999997</v>
      </c>
      <c r="AB1072">
        <v>28.58</v>
      </c>
      <c r="AC1072">
        <v>26.91</v>
      </c>
      <c r="AD1072" s="11">
        <f>AB1072*(AA1072/Tableau8[[#This Row],[density (kg/m2) or specific weight (kg/m2)]])/H1072</f>
        <v>3.8106666666666664E-2</v>
      </c>
      <c r="AE1072" s="11">
        <f>_xlfn.RANK.AVG(Tableau8[[#This Row],[EE ( MJ/m²)]],AD1072:AD2227)</f>
        <v>86</v>
      </c>
      <c r="AF1072" s="11">
        <f>AB1072*(AA1072/Tableau8[[#This Row],[density (kg/m2) or specific weight (kg/m2)]])/H1072/I1072</f>
        <v>3.8106666666666664E-2</v>
      </c>
      <c r="AG1072" s="11">
        <f>(AC1072)*(AA1072/Tableau8[[#This Row],[density (kg/m2) or specific weight (kg/m2)]])/H1072</f>
        <v>3.5879999999999995E-2</v>
      </c>
      <c r="AH1072" s="11">
        <f>AC1072*(AA1072/Tableau8[[#This Row],[density (kg/m2) or specific weight (kg/m2)]])/H1072</f>
        <v>3.5879999999999995E-2</v>
      </c>
      <c r="AI1072" s="11">
        <f>(AC1072)*(AA1072/Tableau8[[#This Row],[density (kg/m2) or specific weight (kg/m2)]])/H1072/I1072</f>
        <v>3.5879999999999995E-2</v>
      </c>
      <c r="AJ1072" s="11">
        <f>AC1072*(AA1072/Tableau8[[#This Row],[density (kg/m2) or specific weight (kg/m2)]])/H1072/I1072</f>
        <v>3.5879999999999995E-2</v>
      </c>
    </row>
    <row r="1073" spans="1:36" x14ac:dyDescent="0.25">
      <c r="A1073" s="4" t="s">
        <v>945</v>
      </c>
      <c r="B1073" s="4" t="s">
        <v>958</v>
      </c>
      <c r="C1073" s="4" t="s">
        <v>17</v>
      </c>
      <c r="D1073" s="4" t="s">
        <v>942</v>
      </c>
      <c r="E1073" t="s">
        <v>840</v>
      </c>
      <c r="F1073" t="s">
        <v>256</v>
      </c>
      <c r="G1073" t="s">
        <v>616</v>
      </c>
      <c r="H1073">
        <f t="shared" si="288"/>
        <v>18</v>
      </c>
      <c r="I1073">
        <v>1</v>
      </c>
      <c r="J1073" t="s">
        <v>40</v>
      </c>
      <c r="K1073" t="s">
        <v>15</v>
      </c>
      <c r="L1073" t="s">
        <v>854</v>
      </c>
      <c r="M1073" t="s">
        <v>15</v>
      </c>
      <c r="N1073" t="s">
        <v>15</v>
      </c>
      <c r="P1073">
        <f>0.0325*0.1*0.75</f>
        <v>2.4375000000000004E-3</v>
      </c>
      <c r="T1073">
        <v>8</v>
      </c>
      <c r="W1073">
        <v>510</v>
      </c>
      <c r="X1073" t="s">
        <v>184</v>
      </c>
      <c r="AA1073" s="13">
        <f>Tableau8[[#This Row],[nb of item used ]]*Tableau8[[#This Row],[density (kg/m2) or specific weight (kg/m2)]]*Tableau8[[#This Row],[volume or area]]</f>
        <v>9.9450000000000021</v>
      </c>
      <c r="AB1073">
        <f>10-4.4</f>
        <v>5.6</v>
      </c>
      <c r="AC1073">
        <f>0.31+0.41</f>
        <v>0.72</v>
      </c>
      <c r="AD1073" s="11">
        <f t="shared" ref="AD1073:AD1104" si="299">AB1073*AA1073/H1073</f>
        <v>3.0940000000000003</v>
      </c>
      <c r="AE1073" s="11">
        <f>_xlfn.RANK.AVG(Tableau8[[#This Row],[EE ( MJ/m²)]],AD1073:AD2228)</f>
        <v>71</v>
      </c>
      <c r="AF1073" s="11">
        <f t="shared" ref="AF1073:AF1104" si="300">AB1073*AA1073/H1073/I1073</f>
        <v>3.0940000000000003</v>
      </c>
      <c r="AG1073" s="11">
        <f>(AC1073-0.41)*AA1073/H1073</f>
        <v>0.17127500000000004</v>
      </c>
      <c r="AH1073" s="11">
        <f t="shared" ref="AH1073:AH1104" si="301">AC1073*AA1073/H1073</f>
        <v>0.39780000000000004</v>
      </c>
      <c r="AI1073" s="11">
        <f>(AC1073-0.41)*AA1073/H1073/I1073</f>
        <v>0.17127500000000004</v>
      </c>
      <c r="AJ1073" s="11">
        <f t="shared" ref="AJ1073:AJ1104" si="302">AC1073*AA1073/H1073/I1073</f>
        <v>0.39780000000000004</v>
      </c>
    </row>
    <row r="1074" spans="1:36" x14ac:dyDescent="0.25">
      <c r="A1074" s="4" t="s">
        <v>945</v>
      </c>
      <c r="B1074" s="4" t="s">
        <v>958</v>
      </c>
      <c r="C1074" s="4" t="s">
        <v>17</v>
      </c>
      <c r="D1074" s="4" t="s">
        <v>942</v>
      </c>
      <c r="E1074" t="s">
        <v>840</v>
      </c>
      <c r="F1074" t="s">
        <v>256</v>
      </c>
      <c r="G1074" t="s">
        <v>616</v>
      </c>
      <c r="H1074">
        <f t="shared" si="288"/>
        <v>18</v>
      </c>
      <c r="I1074">
        <v>1</v>
      </c>
      <c r="J1074" t="s">
        <v>40</v>
      </c>
      <c r="K1074" t="s">
        <v>15</v>
      </c>
      <c r="L1074" t="s">
        <v>855</v>
      </c>
      <c r="M1074" t="s">
        <v>15</v>
      </c>
      <c r="N1074" t="s">
        <v>15</v>
      </c>
      <c r="P1074">
        <f>0.0325*0.1*1.95</f>
        <v>6.3375000000000003E-3</v>
      </c>
      <c r="T1074">
        <v>2</v>
      </c>
      <c r="W1074">
        <v>510</v>
      </c>
      <c r="X1074" t="s">
        <v>184</v>
      </c>
      <c r="AA1074" s="13">
        <f>Tableau8[[#This Row],[nb of item used ]]*Tableau8[[#This Row],[density (kg/m2) or specific weight (kg/m2)]]*Tableau8[[#This Row],[volume or area]]</f>
        <v>6.4642499999999998</v>
      </c>
      <c r="AB1074">
        <f>10-4.4</f>
        <v>5.6</v>
      </c>
      <c r="AC1074">
        <f>0.31+0.41</f>
        <v>0.72</v>
      </c>
      <c r="AD1074" s="11">
        <f t="shared" si="299"/>
        <v>2.0110999999999999</v>
      </c>
      <c r="AE1074" s="11">
        <f>_xlfn.RANK.AVG(Tableau8[[#This Row],[EE ( MJ/m²)]],AD1074:AD2229)</f>
        <v>77</v>
      </c>
      <c r="AF1074" s="11">
        <f t="shared" si="300"/>
        <v>2.0110999999999999</v>
      </c>
      <c r="AG1074" s="11">
        <f>(AC1074-0.41)*AA1074/H1074</f>
        <v>0.11132875</v>
      </c>
      <c r="AH1074" s="11">
        <f t="shared" si="301"/>
        <v>0.25856999999999997</v>
      </c>
      <c r="AI1074" s="11">
        <f>(AC1074-0.41)*AA1074/H1074/I1074</f>
        <v>0.11132875</v>
      </c>
      <c r="AJ1074" s="11">
        <f t="shared" si="302"/>
        <v>0.25856999999999997</v>
      </c>
    </row>
    <row r="1075" spans="1:36" s="20" customFormat="1" x14ac:dyDescent="0.25">
      <c r="A1075" s="4" t="s">
        <v>945</v>
      </c>
      <c r="B1075" s="4" t="s">
        <v>958</v>
      </c>
      <c r="C1075" s="4" t="s">
        <v>17</v>
      </c>
      <c r="D1075" s="4" t="s">
        <v>942</v>
      </c>
      <c r="E1075" t="s">
        <v>840</v>
      </c>
      <c r="F1075" t="s">
        <v>256</v>
      </c>
      <c r="G1075" t="s">
        <v>616</v>
      </c>
      <c r="H1075">
        <f t="shared" si="288"/>
        <v>18</v>
      </c>
      <c r="I1075">
        <v>1</v>
      </c>
      <c r="J1075" t="s">
        <v>40</v>
      </c>
      <c r="K1075" t="s">
        <v>15</v>
      </c>
      <c r="L1075" t="s">
        <v>856</v>
      </c>
      <c r="M1075" t="s">
        <v>15</v>
      </c>
      <c r="N1075" t="s">
        <v>15</v>
      </c>
      <c r="O1075"/>
      <c r="P1075">
        <f>0.0325*0.1*3.35</f>
        <v>1.0887500000000001E-2</v>
      </c>
      <c r="Q1075"/>
      <c r="R1075"/>
      <c r="S1075"/>
      <c r="T1075">
        <v>45</v>
      </c>
      <c r="U1075"/>
      <c r="V1075"/>
      <c r="W1075">
        <v>510</v>
      </c>
      <c r="X1075" t="s">
        <v>184</v>
      </c>
      <c r="Y1075"/>
      <c r="Z1075"/>
      <c r="AA1075" s="13">
        <f>Tableau8[[#This Row],[nb of item used ]]*Tableau8[[#This Row],[density (kg/m2) or specific weight (kg/m2)]]*Tableau8[[#This Row],[volume or area]]</f>
        <v>249.86812500000002</v>
      </c>
      <c r="AB1075">
        <f>10-4.4</f>
        <v>5.6</v>
      </c>
      <c r="AC1075">
        <f>0.31+0.41</f>
        <v>0.72</v>
      </c>
      <c r="AD1075" s="11">
        <f t="shared" si="299"/>
        <v>77.736750000000001</v>
      </c>
      <c r="AE1075" s="11">
        <f>_xlfn.RANK.AVG(Tableau8[[#This Row],[EE ( MJ/m²)]],AD1075:AD2230)</f>
        <v>14</v>
      </c>
      <c r="AF1075" s="11">
        <f t="shared" si="300"/>
        <v>77.736750000000001</v>
      </c>
      <c r="AG1075" s="11">
        <f>(AC1075-0.41)*AA1075/H1075</f>
        <v>4.3032843750000005</v>
      </c>
      <c r="AH1075" s="11">
        <f t="shared" si="301"/>
        <v>9.9947250000000007</v>
      </c>
      <c r="AI1075" s="11">
        <f>(AC1075-0.41)*AA1075/H1075/I1075</f>
        <v>4.3032843750000005</v>
      </c>
      <c r="AJ1075" s="11">
        <f t="shared" si="302"/>
        <v>9.9947250000000007</v>
      </c>
    </row>
    <row r="1076" spans="1:36" x14ac:dyDescent="0.25">
      <c r="A1076" s="4" t="s">
        <v>945</v>
      </c>
      <c r="B1076" s="4" t="s">
        <v>958</v>
      </c>
      <c r="C1076" s="4" t="s">
        <v>17</v>
      </c>
      <c r="D1076" s="4" t="s">
        <v>942</v>
      </c>
      <c r="E1076" t="s">
        <v>840</v>
      </c>
      <c r="F1076" t="s">
        <v>256</v>
      </c>
      <c r="G1076" t="s">
        <v>616</v>
      </c>
      <c r="H1076">
        <f t="shared" si="288"/>
        <v>18</v>
      </c>
      <c r="I1076">
        <v>1</v>
      </c>
      <c r="J1076" t="s">
        <v>40</v>
      </c>
      <c r="K1076" t="s">
        <v>15</v>
      </c>
      <c r="L1076" t="s">
        <v>857</v>
      </c>
      <c r="M1076" t="s">
        <v>15</v>
      </c>
      <c r="N1076" t="s">
        <v>252</v>
      </c>
      <c r="P1076">
        <f>1.94*0.7*0.01</f>
        <v>1.3579999999999998E-2</v>
      </c>
      <c r="Q1076" t="s">
        <v>180</v>
      </c>
      <c r="T1076">
        <v>1</v>
      </c>
      <c r="W1076">
        <v>540</v>
      </c>
      <c r="AA1076" s="13">
        <f>Tableau8[[#This Row],[nb of item used ]]*Tableau8[[#This Row],[density (kg/m2) or specific weight (kg/m2)]]*Tableau8[[#This Row],[volume or area]]</f>
        <v>7.3331999999999988</v>
      </c>
      <c r="AB1076">
        <f>15-7.1</f>
        <v>7.9</v>
      </c>
      <c r="AC1076">
        <f>0.45+0.65</f>
        <v>1.1000000000000001</v>
      </c>
      <c r="AD1076" s="11">
        <f t="shared" si="299"/>
        <v>3.2184599999999994</v>
      </c>
      <c r="AE1076" s="11">
        <f>_xlfn.RANK.AVG(Tableau8[[#This Row],[EE ( MJ/m²)]],AD1076:AD2231)</f>
        <v>69</v>
      </c>
      <c r="AF1076" s="11">
        <f t="shared" si="300"/>
        <v>3.2184599999999994</v>
      </c>
      <c r="AG1076" s="11">
        <f>(AC1076-0.65)*AA1076/H1076</f>
        <v>0.18332999999999999</v>
      </c>
      <c r="AH1076" s="11">
        <f t="shared" si="301"/>
        <v>0.44813999999999993</v>
      </c>
      <c r="AI1076" s="11">
        <f>(AC1076-0.65)*AA1076/H1076/I1076</f>
        <v>0.18332999999999999</v>
      </c>
      <c r="AJ1076" s="11">
        <f t="shared" si="302"/>
        <v>0.44813999999999993</v>
      </c>
    </row>
    <row r="1077" spans="1:36" x14ac:dyDescent="0.25">
      <c r="A1077" s="4" t="s">
        <v>945</v>
      </c>
      <c r="B1077" s="4" t="s">
        <v>958</v>
      </c>
      <c r="C1077" s="4" t="s">
        <v>17</v>
      </c>
      <c r="D1077" s="4" t="s">
        <v>942</v>
      </c>
      <c r="E1077" t="s">
        <v>840</v>
      </c>
      <c r="F1077" t="s">
        <v>256</v>
      </c>
      <c r="G1077" t="s">
        <v>616</v>
      </c>
      <c r="H1077">
        <f t="shared" si="288"/>
        <v>18</v>
      </c>
      <c r="I1077">
        <v>1</v>
      </c>
      <c r="J1077" t="s">
        <v>57</v>
      </c>
      <c r="K1077" t="s">
        <v>15</v>
      </c>
      <c r="L1077" t="s">
        <v>858</v>
      </c>
      <c r="M1077" t="s">
        <v>15</v>
      </c>
      <c r="N1077" t="s">
        <v>252</v>
      </c>
      <c r="P1077">
        <f>16*0.0218</f>
        <v>0.3488</v>
      </c>
      <c r="Q1077" t="s">
        <v>180</v>
      </c>
      <c r="T1077">
        <v>1</v>
      </c>
      <c r="W1077">
        <v>540</v>
      </c>
      <c r="AA1077" s="13">
        <f>Tableau8[[#This Row],[nb of item used ]]*Tableau8[[#This Row],[density (kg/m2) or specific weight (kg/m2)]]*Tableau8[[#This Row],[volume or area]]</f>
        <v>188.352</v>
      </c>
      <c r="AB1077">
        <f>15-7.1</f>
        <v>7.9</v>
      </c>
      <c r="AC1077">
        <f>0.45+0.65</f>
        <v>1.1000000000000001</v>
      </c>
      <c r="AD1077" s="11">
        <f t="shared" si="299"/>
        <v>82.665599999999998</v>
      </c>
      <c r="AE1077" s="11">
        <f>_xlfn.RANK.AVG(Tableau8[[#This Row],[EE ( MJ/m²)]],AD1077:AD2232)</f>
        <v>13</v>
      </c>
      <c r="AF1077" s="11">
        <f t="shared" si="300"/>
        <v>82.665599999999998</v>
      </c>
      <c r="AG1077" s="11">
        <f>(AC1077-0.65)*AA1077/H1077</f>
        <v>4.7088000000000001</v>
      </c>
      <c r="AH1077" s="11">
        <f t="shared" si="301"/>
        <v>11.510400000000001</v>
      </c>
      <c r="AI1077" s="11">
        <f>(AC1077-0.65)*AA1077/H1077/I1077</f>
        <v>4.7088000000000001</v>
      </c>
      <c r="AJ1077" s="11">
        <f t="shared" si="302"/>
        <v>11.510400000000001</v>
      </c>
    </row>
    <row r="1078" spans="1:36" x14ac:dyDescent="0.25">
      <c r="A1078" s="4" t="s">
        <v>945</v>
      </c>
      <c r="B1078" s="4" t="s">
        <v>958</v>
      </c>
      <c r="C1078" s="4" t="s">
        <v>17</v>
      </c>
      <c r="D1078" s="4" t="s">
        <v>942</v>
      </c>
      <c r="E1078" t="s">
        <v>840</v>
      </c>
      <c r="F1078" t="s">
        <v>256</v>
      </c>
      <c r="G1078" t="s">
        <v>616</v>
      </c>
      <c r="H1078">
        <f t="shared" si="288"/>
        <v>18</v>
      </c>
      <c r="I1078">
        <v>1</v>
      </c>
      <c r="J1078" t="s">
        <v>13</v>
      </c>
      <c r="K1078" t="s">
        <v>17</v>
      </c>
      <c r="L1078" t="s">
        <v>843</v>
      </c>
      <c r="M1078" t="s">
        <v>12</v>
      </c>
      <c r="N1078" t="s">
        <v>99</v>
      </c>
      <c r="P1078">
        <f>PI()*(0.005^2)*9</f>
        <v>7.0685834705770342E-4</v>
      </c>
      <c r="T1078">
        <v>4</v>
      </c>
      <c r="W1078">
        <v>7800</v>
      </c>
      <c r="X1078" t="s">
        <v>184</v>
      </c>
      <c r="AA1078" s="13">
        <f>Tableau8[[#This Row],[density (kg/m2) or specific weight (kg/m2)]]*Tableau8[[#This Row],[nb of item used ]]*Tableau8[[#This Row],[volume or area]]</f>
        <v>22.053980428200347</v>
      </c>
      <c r="AB1078">
        <v>21.6</v>
      </c>
      <c r="AC1078">
        <v>1.86</v>
      </c>
      <c r="AD1078" s="11">
        <f t="shared" si="299"/>
        <v>26.46477651384042</v>
      </c>
      <c r="AE1078" s="11">
        <f>_xlfn.RANK.AVG(Tableau8[[#This Row],[EE ( MJ/m²)]],AD1078:AD2233)</f>
        <v>34</v>
      </c>
      <c r="AF1078" s="11">
        <f t="shared" si="300"/>
        <v>26.46477651384042</v>
      </c>
      <c r="AG1078" s="11">
        <f t="shared" ref="AG1078:AG1105" si="303">(AC1078)*AA1078/H1078</f>
        <v>2.2789113109140358</v>
      </c>
      <c r="AH1078" s="11">
        <f t="shared" si="301"/>
        <v>2.2789113109140358</v>
      </c>
      <c r="AI1078" s="11">
        <f t="shared" ref="AI1078:AI1105" si="304">(AC1078)*AA1078/H1078/I1078</f>
        <v>2.2789113109140358</v>
      </c>
      <c r="AJ1078" s="11">
        <f t="shared" si="302"/>
        <v>2.2789113109140358</v>
      </c>
    </row>
    <row r="1079" spans="1:36" x14ac:dyDescent="0.25">
      <c r="A1079" s="4" t="s">
        <v>945</v>
      </c>
      <c r="B1079" s="4" t="s">
        <v>958</v>
      </c>
      <c r="C1079" s="4" t="s">
        <v>17</v>
      </c>
      <c r="D1079" s="4" t="s">
        <v>942</v>
      </c>
      <c r="E1079" t="s">
        <v>840</v>
      </c>
      <c r="F1079" t="s">
        <v>256</v>
      </c>
      <c r="G1079" t="s">
        <v>616</v>
      </c>
      <c r="H1079">
        <f t="shared" si="288"/>
        <v>18</v>
      </c>
      <c r="I1079">
        <v>1</v>
      </c>
      <c r="J1079" t="s">
        <v>44</v>
      </c>
      <c r="K1079" t="s">
        <v>17</v>
      </c>
      <c r="L1079" t="s">
        <v>844</v>
      </c>
      <c r="M1079" t="s">
        <v>12</v>
      </c>
      <c r="N1079" t="s">
        <v>12</v>
      </c>
      <c r="P1079">
        <f>(0.3*0.3*0.006)+(4*(0.08*0.002)*0.3)</f>
        <v>7.3200000000000001E-4</v>
      </c>
      <c r="T1079">
        <v>6</v>
      </c>
      <c r="W1079">
        <v>7800</v>
      </c>
      <c r="X1079" t="s">
        <v>184</v>
      </c>
      <c r="AA1079" s="13">
        <f>Tableau8[[#This Row],[density (kg/m2) or specific weight (kg/m2)]]*Tableau8[[#This Row],[nb of item used ]]*Tableau8[[#This Row],[volume or area]]</f>
        <v>34.257600000000004</v>
      </c>
      <c r="AB1079">
        <v>25.3</v>
      </c>
      <c r="AC1079">
        <v>1.95</v>
      </c>
      <c r="AD1079" s="11">
        <f t="shared" si="299"/>
        <v>48.150960000000005</v>
      </c>
      <c r="AE1079" s="11">
        <f>_xlfn.RANK.AVG(Tableau8[[#This Row],[EE ( MJ/m²)]],AD1079:AD2234)</f>
        <v>21</v>
      </c>
      <c r="AF1079" s="11">
        <f t="shared" si="300"/>
        <v>48.150960000000005</v>
      </c>
      <c r="AG1079" s="11">
        <f t="shared" si="303"/>
        <v>3.7112400000000005</v>
      </c>
      <c r="AH1079" s="11">
        <f t="shared" si="301"/>
        <v>3.7112400000000005</v>
      </c>
      <c r="AI1079" s="11">
        <f t="shared" si="304"/>
        <v>3.7112400000000005</v>
      </c>
      <c r="AJ1079" s="11">
        <f t="shared" si="302"/>
        <v>3.7112400000000005</v>
      </c>
    </row>
    <row r="1080" spans="1:36" x14ac:dyDescent="0.25">
      <c r="A1080" s="4" t="s">
        <v>945</v>
      </c>
      <c r="B1080" s="4" t="s">
        <v>958</v>
      </c>
      <c r="C1080" s="4" t="s">
        <v>17</v>
      </c>
      <c r="D1080" s="4" t="s">
        <v>942</v>
      </c>
      <c r="E1080" t="s">
        <v>840</v>
      </c>
      <c r="F1080" t="s">
        <v>256</v>
      </c>
      <c r="G1080" t="s">
        <v>616</v>
      </c>
      <c r="H1080">
        <f t="shared" si="288"/>
        <v>18</v>
      </c>
      <c r="I1080">
        <v>1</v>
      </c>
      <c r="J1080" t="s">
        <v>44</v>
      </c>
      <c r="K1080" t="s">
        <v>17</v>
      </c>
      <c r="L1080" t="s">
        <v>845</v>
      </c>
      <c r="M1080" t="s">
        <v>12</v>
      </c>
      <c r="N1080" t="s">
        <v>12</v>
      </c>
      <c r="P1080">
        <f>(0.1*0.1*0.006)+(4*0.435*(0.04*0.002))</f>
        <v>1.9920000000000004E-4</v>
      </c>
      <c r="T1080">
        <v>13</v>
      </c>
      <c r="W1080">
        <v>7800</v>
      </c>
      <c r="X1080" t="s">
        <v>184</v>
      </c>
      <c r="AA1080" s="13">
        <f>Tableau8[[#This Row],[density (kg/m2) or specific weight (kg/m2)]]*Tableau8[[#This Row],[nb of item used ]]*Tableau8[[#This Row],[volume or area]]</f>
        <v>20.198880000000006</v>
      </c>
      <c r="AB1080">
        <v>25.3</v>
      </c>
      <c r="AC1080">
        <v>1.95</v>
      </c>
      <c r="AD1080" s="11">
        <f t="shared" si="299"/>
        <v>28.390648000000009</v>
      </c>
      <c r="AE1080" s="11">
        <f>_xlfn.RANK.AVG(Tableau8[[#This Row],[EE ( MJ/m²)]],AD1080:AD2235)</f>
        <v>30</v>
      </c>
      <c r="AF1080" s="11">
        <f t="shared" si="300"/>
        <v>28.390648000000009</v>
      </c>
      <c r="AG1080" s="11">
        <f t="shared" si="303"/>
        <v>2.1882120000000005</v>
      </c>
      <c r="AH1080" s="11">
        <f t="shared" si="301"/>
        <v>2.1882120000000005</v>
      </c>
      <c r="AI1080" s="11">
        <f t="shared" si="304"/>
        <v>2.1882120000000005</v>
      </c>
      <c r="AJ1080" s="11">
        <f t="shared" si="302"/>
        <v>2.1882120000000005</v>
      </c>
    </row>
    <row r="1081" spans="1:36" x14ac:dyDescent="0.25">
      <c r="A1081" s="4" t="s">
        <v>945</v>
      </c>
      <c r="B1081" s="4" t="s">
        <v>958</v>
      </c>
      <c r="C1081" s="4" t="s">
        <v>17</v>
      </c>
      <c r="D1081" s="4" t="s">
        <v>942</v>
      </c>
      <c r="E1081" t="s">
        <v>840</v>
      </c>
      <c r="F1081" t="s">
        <v>256</v>
      </c>
      <c r="G1081" t="s">
        <v>616</v>
      </c>
      <c r="H1081">
        <f t="shared" si="288"/>
        <v>18</v>
      </c>
      <c r="I1081">
        <v>1</v>
      </c>
      <c r="J1081" t="s">
        <v>44</v>
      </c>
      <c r="K1081" t="s">
        <v>17</v>
      </c>
      <c r="L1081" t="s">
        <v>846</v>
      </c>
      <c r="M1081" t="s">
        <v>12</v>
      </c>
      <c r="N1081" t="s">
        <v>12</v>
      </c>
      <c r="P1081">
        <f>PI()*(0.01^2)*0.32</f>
        <v>1.0053096491487339E-4</v>
      </c>
      <c r="T1081">
        <v>24</v>
      </c>
      <c r="W1081">
        <v>7800</v>
      </c>
      <c r="X1081" t="s">
        <v>184</v>
      </c>
      <c r="AA1081" s="13">
        <f>Tableau8[[#This Row],[density (kg/m2) or specific weight (kg/m2)]]*Tableau8[[#This Row],[nb of item used ]]*Tableau8[[#This Row],[volume or area]]</f>
        <v>18.819396632064297</v>
      </c>
      <c r="AB1081">
        <v>25.3</v>
      </c>
      <c r="AC1081">
        <v>1.95</v>
      </c>
      <c r="AD1081" s="11">
        <f t="shared" si="299"/>
        <v>26.451707488401485</v>
      </c>
      <c r="AE1081" s="11">
        <f>_xlfn.RANK.AVG(Tableau8[[#This Row],[EE ( MJ/m²)]],AD1081:AD2236)</f>
        <v>32</v>
      </c>
      <c r="AF1081" s="11">
        <f t="shared" si="300"/>
        <v>26.451707488401485</v>
      </c>
      <c r="AG1081" s="11">
        <f t="shared" si="303"/>
        <v>2.038767968473632</v>
      </c>
      <c r="AH1081" s="11">
        <f t="shared" si="301"/>
        <v>2.038767968473632</v>
      </c>
      <c r="AI1081" s="11">
        <f t="shared" si="304"/>
        <v>2.038767968473632</v>
      </c>
      <c r="AJ1081" s="11">
        <f t="shared" si="302"/>
        <v>2.038767968473632</v>
      </c>
    </row>
    <row r="1082" spans="1:36" x14ac:dyDescent="0.25">
      <c r="A1082" s="4" t="s">
        <v>945</v>
      </c>
      <c r="B1082" s="4" t="s">
        <v>958</v>
      </c>
      <c r="C1082" s="4" t="s">
        <v>17</v>
      </c>
      <c r="D1082" s="4" t="s">
        <v>942</v>
      </c>
      <c r="E1082" t="s">
        <v>840</v>
      </c>
      <c r="F1082" t="s">
        <v>256</v>
      </c>
      <c r="G1082" t="s">
        <v>616</v>
      </c>
      <c r="H1082">
        <f t="shared" si="288"/>
        <v>18</v>
      </c>
      <c r="I1082">
        <v>1</v>
      </c>
      <c r="J1082" t="s">
        <v>40</v>
      </c>
      <c r="K1082" t="s">
        <v>17</v>
      </c>
      <c r="L1082" t="s">
        <v>847</v>
      </c>
      <c r="M1082" t="s">
        <v>12</v>
      </c>
      <c r="N1082" t="s">
        <v>91</v>
      </c>
      <c r="P1082">
        <f>(4*0.08*0.002)*3</f>
        <v>1.9200000000000003E-3</v>
      </c>
      <c r="T1082">
        <v>3</v>
      </c>
      <c r="W1082">
        <v>7800</v>
      </c>
      <c r="X1082" t="s">
        <v>184</v>
      </c>
      <c r="AA1082" s="13">
        <f>Tableau8[[#This Row],[density (kg/m2) or specific weight (kg/m2)]]*Tableau8[[#This Row],[nb of item used ]]*Tableau8[[#This Row],[volume or area]]</f>
        <v>44.928000000000004</v>
      </c>
      <c r="AB1082">
        <v>24.9</v>
      </c>
      <c r="AC1082">
        <v>1.94</v>
      </c>
      <c r="AD1082" s="11">
        <f t="shared" si="299"/>
        <v>62.150400000000005</v>
      </c>
      <c r="AE1082" s="11">
        <f>_xlfn.RANK.AVG(Tableau8[[#This Row],[EE ( MJ/m²)]],AD1082:AD2237)</f>
        <v>15.5</v>
      </c>
      <c r="AF1082" s="11">
        <f t="shared" si="300"/>
        <v>62.150400000000005</v>
      </c>
      <c r="AG1082" s="11">
        <f t="shared" si="303"/>
        <v>4.8422400000000003</v>
      </c>
      <c r="AH1082" s="11">
        <f t="shared" si="301"/>
        <v>4.8422400000000003</v>
      </c>
      <c r="AI1082" s="11">
        <f t="shared" si="304"/>
        <v>4.8422400000000003</v>
      </c>
      <c r="AJ1082" s="11">
        <f t="shared" si="302"/>
        <v>4.8422400000000003</v>
      </c>
    </row>
    <row r="1083" spans="1:36" x14ac:dyDescent="0.25">
      <c r="A1083" s="4" t="s">
        <v>945</v>
      </c>
      <c r="B1083" s="4" t="s">
        <v>958</v>
      </c>
      <c r="C1083" s="4" t="s">
        <v>17</v>
      </c>
      <c r="D1083" s="4" t="s">
        <v>942</v>
      </c>
      <c r="E1083" t="s">
        <v>840</v>
      </c>
      <c r="F1083" t="s">
        <v>256</v>
      </c>
      <c r="G1083" t="s">
        <v>616</v>
      </c>
      <c r="H1083">
        <f t="shared" si="288"/>
        <v>18</v>
      </c>
      <c r="I1083">
        <v>1</v>
      </c>
      <c r="J1083" t="s">
        <v>40</v>
      </c>
      <c r="K1083" t="s">
        <v>17</v>
      </c>
      <c r="L1083" t="s">
        <v>848</v>
      </c>
      <c r="M1083" t="s">
        <v>12</v>
      </c>
      <c r="N1083" t="s">
        <v>91</v>
      </c>
      <c r="P1083">
        <f>(4*0.08*0.002)*2.55</f>
        <v>1.632E-3</v>
      </c>
      <c r="T1083">
        <v>3</v>
      </c>
      <c r="W1083">
        <v>7800</v>
      </c>
      <c r="X1083" t="s">
        <v>184</v>
      </c>
      <c r="AA1083" s="13">
        <f>Tableau8[[#This Row],[density (kg/m2) or specific weight (kg/m2)]]*Tableau8[[#This Row],[nb of item used ]]*Tableau8[[#This Row],[volume or area]]</f>
        <v>38.188800000000001</v>
      </c>
      <c r="AB1083">
        <v>24.9</v>
      </c>
      <c r="AC1083">
        <v>1.94</v>
      </c>
      <c r="AD1083" s="11">
        <f t="shared" si="299"/>
        <v>52.827840000000002</v>
      </c>
      <c r="AE1083" s="11">
        <f>_xlfn.RANK.AVG(Tableau8[[#This Row],[EE ( MJ/m²)]],AD1083:AD2238)</f>
        <v>18</v>
      </c>
      <c r="AF1083" s="11">
        <f t="shared" si="300"/>
        <v>52.827840000000002</v>
      </c>
      <c r="AG1083" s="11">
        <f t="shared" si="303"/>
        <v>4.1159039999999996</v>
      </c>
      <c r="AH1083" s="11">
        <f t="shared" si="301"/>
        <v>4.1159039999999996</v>
      </c>
      <c r="AI1083" s="11">
        <f t="shared" si="304"/>
        <v>4.1159039999999996</v>
      </c>
      <c r="AJ1083" s="11">
        <f t="shared" si="302"/>
        <v>4.1159039999999996</v>
      </c>
    </row>
    <row r="1084" spans="1:36" x14ac:dyDescent="0.25">
      <c r="A1084" s="4" t="s">
        <v>945</v>
      </c>
      <c r="B1084" s="4" t="s">
        <v>958</v>
      </c>
      <c r="C1084" s="4" t="s">
        <v>17</v>
      </c>
      <c r="D1084" s="4" t="s">
        <v>942</v>
      </c>
      <c r="E1084" t="s">
        <v>840</v>
      </c>
      <c r="F1084" t="s">
        <v>256</v>
      </c>
      <c r="G1084" t="s">
        <v>616</v>
      </c>
      <c r="H1084">
        <f t="shared" si="288"/>
        <v>18</v>
      </c>
      <c r="I1084">
        <v>1</v>
      </c>
      <c r="J1084" t="s">
        <v>57</v>
      </c>
      <c r="K1084" t="s">
        <v>17</v>
      </c>
      <c r="L1084" t="s">
        <v>849</v>
      </c>
      <c r="M1084" t="s">
        <v>12</v>
      </c>
      <c r="N1084" t="s">
        <v>91</v>
      </c>
      <c r="P1084">
        <f>(4*0.04*0.002)*2.9</f>
        <v>9.2800000000000001E-4</v>
      </c>
      <c r="T1084">
        <v>4</v>
      </c>
      <c r="W1084">
        <v>7800</v>
      </c>
      <c r="X1084" t="s">
        <v>184</v>
      </c>
      <c r="AA1084" s="13">
        <f>Tableau8[[#This Row],[density (kg/m2) or specific weight (kg/m2)]]*Tableau8[[#This Row],[nb of item used ]]*Tableau8[[#This Row],[volume or area]]</f>
        <v>28.953600000000002</v>
      </c>
      <c r="AB1084">
        <v>24.9</v>
      </c>
      <c r="AC1084">
        <v>1.94</v>
      </c>
      <c r="AD1084" s="11">
        <f t="shared" si="299"/>
        <v>40.052480000000003</v>
      </c>
      <c r="AE1084" s="11">
        <f>_xlfn.RANK.AVG(Tableau8[[#This Row],[EE ( MJ/m²)]],AD1084:AD2239)</f>
        <v>21</v>
      </c>
      <c r="AF1084" s="11">
        <f t="shared" si="300"/>
        <v>40.052480000000003</v>
      </c>
      <c r="AG1084" s="11">
        <f t="shared" si="303"/>
        <v>3.1205546666666666</v>
      </c>
      <c r="AH1084" s="11">
        <f t="shared" si="301"/>
        <v>3.1205546666666666</v>
      </c>
      <c r="AI1084" s="11">
        <f t="shared" si="304"/>
        <v>3.1205546666666666</v>
      </c>
      <c r="AJ1084" s="11">
        <f t="shared" si="302"/>
        <v>3.1205546666666666</v>
      </c>
    </row>
    <row r="1085" spans="1:36" x14ac:dyDescent="0.25">
      <c r="A1085" s="4" t="s">
        <v>945</v>
      </c>
      <c r="B1085" s="4" t="s">
        <v>958</v>
      </c>
      <c r="C1085" s="4" t="s">
        <v>17</v>
      </c>
      <c r="D1085" s="4" t="s">
        <v>942</v>
      </c>
      <c r="E1085" t="s">
        <v>840</v>
      </c>
      <c r="F1085" t="s">
        <v>256</v>
      </c>
      <c r="G1085" t="s">
        <v>616</v>
      </c>
      <c r="H1085">
        <f t="shared" ref="H1085:H1105" si="305">3*6</f>
        <v>18</v>
      </c>
      <c r="I1085">
        <v>1</v>
      </c>
      <c r="J1085" t="s">
        <v>56</v>
      </c>
      <c r="K1085" t="s">
        <v>17</v>
      </c>
      <c r="L1085" t="s">
        <v>850</v>
      </c>
      <c r="M1085" t="s">
        <v>12</v>
      </c>
      <c r="N1085" t="s">
        <v>91</v>
      </c>
      <c r="P1085">
        <f>(4*0.08*0.002)*3</f>
        <v>1.9200000000000003E-3</v>
      </c>
      <c r="T1085">
        <v>3</v>
      </c>
      <c r="W1085">
        <v>7800</v>
      </c>
      <c r="X1085" t="s">
        <v>184</v>
      </c>
      <c r="AA1085" s="13">
        <f>Tableau8[[#This Row],[density (kg/m2) or specific weight (kg/m2)]]*Tableau8[[#This Row],[nb of item used ]]*Tableau8[[#This Row],[volume or area]]</f>
        <v>44.928000000000004</v>
      </c>
      <c r="AB1085">
        <v>24.9</v>
      </c>
      <c r="AC1085">
        <v>1.94</v>
      </c>
      <c r="AD1085" s="11">
        <f t="shared" si="299"/>
        <v>62.150400000000005</v>
      </c>
      <c r="AE1085" s="11">
        <f>_xlfn.RANK.AVG(Tableau8[[#This Row],[EE ( MJ/m²)]],AD1085:AD2240)</f>
        <v>15</v>
      </c>
      <c r="AF1085" s="11">
        <f t="shared" si="300"/>
        <v>62.150400000000005</v>
      </c>
      <c r="AG1085" s="11">
        <f t="shared" si="303"/>
        <v>4.8422400000000003</v>
      </c>
      <c r="AH1085" s="11">
        <f t="shared" si="301"/>
        <v>4.8422400000000003</v>
      </c>
      <c r="AI1085" s="11">
        <f t="shared" si="304"/>
        <v>4.8422400000000003</v>
      </c>
      <c r="AJ1085" s="11">
        <f t="shared" si="302"/>
        <v>4.8422400000000003</v>
      </c>
    </row>
    <row r="1086" spans="1:36" x14ac:dyDescent="0.25">
      <c r="A1086" s="4" t="s">
        <v>945</v>
      </c>
      <c r="B1086" s="4" t="s">
        <v>958</v>
      </c>
      <c r="C1086" s="4" t="s">
        <v>17</v>
      </c>
      <c r="D1086" s="4" t="s">
        <v>942</v>
      </c>
      <c r="E1086" t="s">
        <v>840</v>
      </c>
      <c r="F1086" t="s">
        <v>256</v>
      </c>
      <c r="G1086" t="s">
        <v>616</v>
      </c>
      <c r="H1086">
        <f t="shared" si="305"/>
        <v>18</v>
      </c>
      <c r="I1086">
        <v>1</v>
      </c>
      <c r="J1086" t="s">
        <v>57</v>
      </c>
      <c r="K1086" t="s">
        <v>17</v>
      </c>
      <c r="L1086" t="s">
        <v>851</v>
      </c>
      <c r="M1086" t="s">
        <v>12</v>
      </c>
      <c r="N1086" t="s">
        <v>91</v>
      </c>
      <c r="P1086">
        <f>(4*0.04*0.002)*2.9</f>
        <v>9.2800000000000001E-4</v>
      </c>
      <c r="T1086">
        <v>9</v>
      </c>
      <c r="W1086">
        <v>7800</v>
      </c>
      <c r="X1086" t="s">
        <v>184</v>
      </c>
      <c r="AA1086" s="13">
        <f>Tableau8[[#This Row],[density (kg/m2) or specific weight (kg/m2)]]*Tableau8[[#This Row],[nb of item used ]]*Tableau8[[#This Row],[volume or area]]</f>
        <v>65.145600000000002</v>
      </c>
      <c r="AB1086">
        <v>24.9</v>
      </c>
      <c r="AC1086">
        <v>1.94</v>
      </c>
      <c r="AD1086" s="11">
        <f t="shared" si="299"/>
        <v>90.118080000000006</v>
      </c>
      <c r="AE1086" s="11">
        <f>_xlfn.RANK.AVG(Tableau8[[#This Row],[EE ( MJ/m²)]],AD1086:AD2241)</f>
        <v>12</v>
      </c>
      <c r="AF1086" s="11">
        <f t="shared" si="300"/>
        <v>90.118080000000006</v>
      </c>
      <c r="AG1086" s="11">
        <f t="shared" si="303"/>
        <v>7.0212479999999999</v>
      </c>
      <c r="AH1086" s="11">
        <f t="shared" si="301"/>
        <v>7.0212479999999999</v>
      </c>
      <c r="AI1086" s="11">
        <f t="shared" si="304"/>
        <v>7.0212479999999999</v>
      </c>
      <c r="AJ1086" s="11">
        <f t="shared" si="302"/>
        <v>7.0212479999999999</v>
      </c>
    </row>
    <row r="1087" spans="1:36" x14ac:dyDescent="0.25">
      <c r="A1087" s="4" t="s">
        <v>945</v>
      </c>
      <c r="B1087" s="4" t="s">
        <v>958</v>
      </c>
      <c r="C1087" s="4" t="s">
        <v>17</v>
      </c>
      <c r="D1087" s="4" t="s">
        <v>942</v>
      </c>
      <c r="E1087" t="s">
        <v>840</v>
      </c>
      <c r="F1087" t="s">
        <v>256</v>
      </c>
      <c r="G1087" t="s">
        <v>616</v>
      </c>
      <c r="H1087">
        <f t="shared" si="305"/>
        <v>18</v>
      </c>
      <c r="I1087">
        <v>1</v>
      </c>
      <c r="J1087" t="s">
        <v>56</v>
      </c>
      <c r="K1087" t="s">
        <v>17</v>
      </c>
      <c r="L1087" t="s">
        <v>852</v>
      </c>
      <c r="M1087" t="s">
        <v>12</v>
      </c>
      <c r="N1087" t="s">
        <v>91</v>
      </c>
      <c r="P1087">
        <f>(4*0.04*0.002)*2.88</f>
        <v>9.2160000000000007E-4</v>
      </c>
      <c r="T1087">
        <v>10</v>
      </c>
      <c r="W1087">
        <v>7800</v>
      </c>
      <c r="X1087" t="s">
        <v>184</v>
      </c>
      <c r="AA1087" s="13">
        <f>Tableau8[[#This Row],[density (kg/m2) or specific weight (kg/m2)]]*Tableau8[[#This Row],[nb of item used ]]*Tableau8[[#This Row],[volume or area]]</f>
        <v>71.884799999999998</v>
      </c>
      <c r="AB1087">
        <v>24.9</v>
      </c>
      <c r="AC1087">
        <v>1.94</v>
      </c>
      <c r="AD1087" s="11">
        <f t="shared" si="299"/>
        <v>99.440639999999988</v>
      </c>
      <c r="AE1087" s="11">
        <f>_xlfn.RANK.AVG(Tableau8[[#This Row],[EE ( MJ/m²)]],AD1087:AD2242)</f>
        <v>11</v>
      </c>
      <c r="AF1087" s="11">
        <f t="shared" si="300"/>
        <v>99.440639999999988</v>
      </c>
      <c r="AG1087" s="11">
        <f t="shared" si="303"/>
        <v>7.7475839999999998</v>
      </c>
      <c r="AH1087" s="11">
        <f t="shared" si="301"/>
        <v>7.7475839999999998</v>
      </c>
      <c r="AI1087" s="11">
        <f t="shared" si="304"/>
        <v>7.7475839999999998</v>
      </c>
      <c r="AJ1087" s="11">
        <f t="shared" si="302"/>
        <v>7.7475839999999998</v>
      </c>
    </row>
    <row r="1088" spans="1:36" x14ac:dyDescent="0.25">
      <c r="A1088" s="4" t="s">
        <v>945</v>
      </c>
      <c r="B1088" s="4" t="s">
        <v>958</v>
      </c>
      <c r="C1088" s="4" t="s">
        <v>17</v>
      </c>
      <c r="D1088" s="4" t="s">
        <v>942</v>
      </c>
      <c r="E1088" t="s">
        <v>840</v>
      </c>
      <c r="F1088" t="s">
        <v>256</v>
      </c>
      <c r="G1088" t="s">
        <v>616</v>
      </c>
      <c r="H1088">
        <f t="shared" si="305"/>
        <v>18</v>
      </c>
      <c r="I1088">
        <v>1</v>
      </c>
      <c r="J1088" t="s">
        <v>40</v>
      </c>
      <c r="K1088" t="s">
        <v>17</v>
      </c>
      <c r="L1088" t="s">
        <v>853</v>
      </c>
      <c r="M1088" t="s">
        <v>12</v>
      </c>
      <c r="N1088" t="s">
        <v>91</v>
      </c>
      <c r="P1088">
        <f>(4*0.04*0.002)*3</f>
        <v>9.6000000000000013E-4</v>
      </c>
      <c r="T1088">
        <v>14</v>
      </c>
      <c r="W1088">
        <v>7800</v>
      </c>
      <c r="X1088" t="s">
        <v>184</v>
      </c>
      <c r="AA1088" s="13">
        <f>Tableau8[[#This Row],[density (kg/m2) or specific weight (kg/m2)]]*Tableau8[[#This Row],[nb of item used ]]*Tableau8[[#This Row],[volume or area]]</f>
        <v>104.83200000000001</v>
      </c>
      <c r="AB1088">
        <v>24.9</v>
      </c>
      <c r="AC1088">
        <v>1.94</v>
      </c>
      <c r="AD1088" s="11">
        <f t="shared" si="299"/>
        <v>145.01760000000002</v>
      </c>
      <c r="AE1088" s="11">
        <f>_xlfn.RANK.AVG(Tableau8[[#This Row],[EE ( MJ/m²)]],AD1088:AD2243)</f>
        <v>3</v>
      </c>
      <c r="AF1088" s="11">
        <f t="shared" si="300"/>
        <v>145.01760000000002</v>
      </c>
      <c r="AG1088" s="11">
        <f t="shared" si="303"/>
        <v>11.298560000000002</v>
      </c>
      <c r="AH1088" s="11">
        <f t="shared" si="301"/>
        <v>11.298560000000002</v>
      </c>
      <c r="AI1088" s="11">
        <f t="shared" si="304"/>
        <v>11.298560000000002</v>
      </c>
      <c r="AJ1088" s="11">
        <f t="shared" si="302"/>
        <v>11.298560000000002</v>
      </c>
    </row>
    <row r="1089" spans="1:36" x14ac:dyDescent="0.25">
      <c r="A1089" s="4" t="s">
        <v>945</v>
      </c>
      <c r="B1089" s="4" t="s">
        <v>958</v>
      </c>
      <c r="C1089" s="4" t="s">
        <v>17</v>
      </c>
      <c r="D1089" s="4" t="s">
        <v>942</v>
      </c>
      <c r="E1089" t="s">
        <v>840</v>
      </c>
      <c r="F1089" t="s">
        <v>256</v>
      </c>
      <c r="G1089" t="s">
        <v>616</v>
      </c>
      <c r="H1089">
        <f t="shared" si="305"/>
        <v>18</v>
      </c>
      <c r="I1089">
        <v>1</v>
      </c>
      <c r="J1089" t="s">
        <v>56</v>
      </c>
      <c r="K1089" t="s">
        <v>17</v>
      </c>
      <c r="L1089" t="s">
        <v>859</v>
      </c>
      <c r="M1089" t="s">
        <v>12</v>
      </c>
      <c r="N1089" t="s">
        <v>12</v>
      </c>
      <c r="P1089">
        <f>0.75*1.83*0.00035</f>
        <v>4.8037500000000001E-4</v>
      </c>
      <c r="T1089">
        <v>40</v>
      </c>
      <c r="W1089">
        <v>7800</v>
      </c>
      <c r="X1089" t="s">
        <v>184</v>
      </c>
      <c r="AA1089" s="13">
        <f>Tableau8[[#This Row],[density (kg/m2) or specific weight (kg/m2)]]*Tableau8[[#This Row],[nb of item used ]]*Tableau8[[#This Row],[volume or area]]</f>
        <v>149.87700000000001</v>
      </c>
      <c r="AB1089">
        <v>25.3</v>
      </c>
      <c r="AC1089">
        <v>1.95</v>
      </c>
      <c r="AD1089" s="11">
        <f t="shared" si="299"/>
        <v>210.66045</v>
      </c>
      <c r="AE1089" s="11">
        <f>_xlfn.RANK.AVG(Tableau8[[#This Row],[EE ( MJ/m²)]],AD1089:AD2244)</f>
        <v>1</v>
      </c>
      <c r="AF1089" s="11">
        <f t="shared" si="300"/>
        <v>210.66045</v>
      </c>
      <c r="AG1089" s="11">
        <f t="shared" si="303"/>
        <v>16.236675000000002</v>
      </c>
      <c r="AH1089" s="11">
        <f t="shared" si="301"/>
        <v>16.236675000000002</v>
      </c>
      <c r="AI1089" s="11">
        <f t="shared" si="304"/>
        <v>16.236675000000002</v>
      </c>
      <c r="AJ1089" s="11">
        <f t="shared" si="302"/>
        <v>16.236675000000002</v>
      </c>
    </row>
    <row r="1090" spans="1:36" x14ac:dyDescent="0.25">
      <c r="A1090" s="4" t="s">
        <v>945</v>
      </c>
      <c r="B1090" s="4" t="s">
        <v>958</v>
      </c>
      <c r="C1090" s="4" t="s">
        <v>17</v>
      </c>
      <c r="D1090" s="4" t="s">
        <v>942</v>
      </c>
      <c r="E1090" t="s">
        <v>840</v>
      </c>
      <c r="F1090" t="s">
        <v>256</v>
      </c>
      <c r="G1090" t="s">
        <v>616</v>
      </c>
      <c r="H1090">
        <f t="shared" si="305"/>
        <v>18</v>
      </c>
      <c r="I1090">
        <v>1</v>
      </c>
      <c r="J1090" t="s">
        <v>44</v>
      </c>
      <c r="K1090" t="s">
        <v>17</v>
      </c>
      <c r="L1090" t="s">
        <v>862</v>
      </c>
      <c r="M1090" t="s">
        <v>12</v>
      </c>
      <c r="N1090" t="s">
        <v>12</v>
      </c>
      <c r="P1090">
        <f>PI()*(0.01^2)*0.32</f>
        <v>1.0053096491487339E-4</v>
      </c>
      <c r="T1090">
        <v>12</v>
      </c>
      <c r="W1090">
        <v>7800</v>
      </c>
      <c r="X1090" t="s">
        <v>184</v>
      </c>
      <c r="AA1090" s="13">
        <f>Tableau8[[#This Row],[density (kg/m2) or specific weight (kg/m2)]]*Tableau8[[#This Row],[nb of item used ]]*Tableau8[[#This Row],[volume or area]]</f>
        <v>9.4096983160321486</v>
      </c>
      <c r="AB1090">
        <v>25.3</v>
      </c>
      <c r="AC1090">
        <v>1.95</v>
      </c>
      <c r="AD1090" s="11">
        <f t="shared" si="299"/>
        <v>13.225853744200743</v>
      </c>
      <c r="AE1090" s="11">
        <f>_xlfn.RANK.AVG(Tableau8[[#This Row],[EE ( MJ/m²)]],AD1090:AD2245)</f>
        <v>36</v>
      </c>
      <c r="AF1090" s="11">
        <f t="shared" si="300"/>
        <v>13.225853744200743</v>
      </c>
      <c r="AG1090" s="11">
        <f t="shared" si="303"/>
        <v>1.019383984236816</v>
      </c>
      <c r="AH1090" s="11">
        <f t="shared" si="301"/>
        <v>1.019383984236816</v>
      </c>
      <c r="AI1090" s="11">
        <f t="shared" si="304"/>
        <v>1.019383984236816</v>
      </c>
      <c r="AJ1090" s="11">
        <f t="shared" si="302"/>
        <v>1.019383984236816</v>
      </c>
    </row>
    <row r="1091" spans="1:36" x14ac:dyDescent="0.25">
      <c r="A1091" s="4" t="s">
        <v>945</v>
      </c>
      <c r="B1091" s="4" t="s">
        <v>958</v>
      </c>
      <c r="C1091" s="4" t="s">
        <v>17</v>
      </c>
      <c r="D1091" s="4" t="s">
        <v>942</v>
      </c>
      <c r="E1091" t="s">
        <v>840</v>
      </c>
      <c r="F1091" t="s">
        <v>256</v>
      </c>
      <c r="G1091" t="s">
        <v>616</v>
      </c>
      <c r="H1091">
        <f t="shared" si="305"/>
        <v>18</v>
      </c>
      <c r="I1091">
        <v>1</v>
      </c>
      <c r="J1091" t="s">
        <v>44</v>
      </c>
      <c r="K1091" t="s">
        <v>17</v>
      </c>
      <c r="L1091" t="s">
        <v>863</v>
      </c>
      <c r="M1091" t="s">
        <v>12</v>
      </c>
      <c r="N1091" t="s">
        <v>12</v>
      </c>
      <c r="P1091">
        <f>PI()*(0.005^2)*0.1</f>
        <v>7.8539816339744837E-6</v>
      </c>
      <c r="T1091">
        <v>99</v>
      </c>
      <c r="W1091">
        <v>7800</v>
      </c>
      <c r="X1091" t="s">
        <v>184</v>
      </c>
      <c r="AA1091" s="13">
        <f>Tableau8[[#This Row],[density (kg/m2) or specific weight (kg/m2)]]*Tableau8[[#This Row],[nb of item used ]]*Tableau8[[#This Row],[volume or area]]</f>
        <v>6.0648446177550968</v>
      </c>
      <c r="AB1091">
        <v>25.3</v>
      </c>
      <c r="AC1091">
        <v>1.95</v>
      </c>
      <c r="AD1091" s="11">
        <f t="shared" si="299"/>
        <v>8.5244760460668871</v>
      </c>
      <c r="AE1091" s="11">
        <f>_xlfn.RANK.AVG(Tableau8[[#This Row],[EE ( MJ/m²)]],AD1091:AD2246)</f>
        <v>45</v>
      </c>
      <c r="AF1091" s="11">
        <f t="shared" si="300"/>
        <v>8.5244760460668871</v>
      </c>
      <c r="AG1091" s="11">
        <f t="shared" si="303"/>
        <v>0.65702483359013553</v>
      </c>
      <c r="AH1091" s="11">
        <f t="shared" si="301"/>
        <v>0.65702483359013553</v>
      </c>
      <c r="AI1091" s="11">
        <f t="shared" si="304"/>
        <v>0.65702483359013553</v>
      </c>
      <c r="AJ1091" s="11">
        <f t="shared" si="302"/>
        <v>0.65702483359013553</v>
      </c>
    </row>
    <row r="1092" spans="1:36" x14ac:dyDescent="0.25">
      <c r="A1092" s="4" t="s">
        <v>945</v>
      </c>
      <c r="B1092" s="4" t="s">
        <v>958</v>
      </c>
      <c r="C1092" s="4" t="s">
        <v>17</v>
      </c>
      <c r="D1092" s="4" t="s">
        <v>942</v>
      </c>
      <c r="E1092" t="s">
        <v>840</v>
      </c>
      <c r="F1092" t="s">
        <v>256</v>
      </c>
      <c r="G1092" t="s">
        <v>616</v>
      </c>
      <c r="H1092">
        <f t="shared" si="305"/>
        <v>18</v>
      </c>
      <c r="I1092">
        <v>1</v>
      </c>
      <c r="J1092" t="s">
        <v>44</v>
      </c>
      <c r="K1092" t="s">
        <v>17</v>
      </c>
      <c r="L1092" t="s">
        <v>864</v>
      </c>
      <c r="M1092" t="s">
        <v>12</v>
      </c>
      <c r="N1092" t="s">
        <v>12</v>
      </c>
      <c r="T1092">
        <v>70</v>
      </c>
      <c r="W1092">
        <v>7800</v>
      </c>
      <c r="X1092" t="s">
        <v>184</v>
      </c>
      <c r="AA1092" s="13">
        <v>1.5</v>
      </c>
      <c r="AB1092">
        <v>25.3</v>
      </c>
      <c r="AC1092">
        <v>1.95</v>
      </c>
      <c r="AD1092" s="11">
        <f t="shared" si="299"/>
        <v>2.1083333333333334</v>
      </c>
      <c r="AE1092" s="11">
        <f>_xlfn.RANK.AVG(Tableau8[[#This Row],[EE ( MJ/m²)]],AD1092:AD2247)</f>
        <v>59</v>
      </c>
      <c r="AF1092" s="11">
        <f t="shared" si="300"/>
        <v>2.1083333333333334</v>
      </c>
      <c r="AG1092" s="11">
        <f t="shared" si="303"/>
        <v>0.16249999999999998</v>
      </c>
      <c r="AH1092" s="11">
        <f t="shared" si="301"/>
        <v>0.16249999999999998</v>
      </c>
      <c r="AI1092" s="11">
        <f t="shared" si="304"/>
        <v>0.16249999999999998</v>
      </c>
      <c r="AJ1092" s="11">
        <f t="shared" si="302"/>
        <v>0.16249999999999998</v>
      </c>
    </row>
    <row r="1093" spans="1:36" x14ac:dyDescent="0.25">
      <c r="A1093" s="4" t="s">
        <v>945</v>
      </c>
      <c r="B1093" s="4" t="s">
        <v>958</v>
      </c>
      <c r="C1093" s="4" t="s">
        <v>17</v>
      </c>
      <c r="D1093" s="4" t="s">
        <v>942</v>
      </c>
      <c r="E1093" t="s">
        <v>840</v>
      </c>
      <c r="F1093" t="s">
        <v>256</v>
      </c>
      <c r="G1093" t="s">
        <v>616</v>
      </c>
      <c r="H1093">
        <f t="shared" si="305"/>
        <v>18</v>
      </c>
      <c r="I1093">
        <v>1</v>
      </c>
      <c r="J1093" t="s">
        <v>44</v>
      </c>
      <c r="K1093" t="s">
        <v>17</v>
      </c>
      <c r="L1093" t="s">
        <v>865</v>
      </c>
      <c r="M1093" t="s">
        <v>12</v>
      </c>
      <c r="N1093" t="s">
        <v>12</v>
      </c>
      <c r="P1093">
        <f>PI()*(0.003125^2)*0.1</f>
        <v>3.0679615757712829E-6</v>
      </c>
      <c r="T1093">
        <v>65</v>
      </c>
      <c r="W1093">
        <v>7800</v>
      </c>
      <c r="X1093" t="s">
        <v>184</v>
      </c>
      <c r="AA1093" s="13">
        <f>Tableau8[[#This Row],[density (kg/m2) or specific weight (kg/m2)]]*Tableau8[[#This Row],[nb of item used ]]*Tableau8[[#This Row],[volume or area]]</f>
        <v>1.5554565189160405</v>
      </c>
      <c r="AB1093">
        <v>25.3</v>
      </c>
      <c r="AC1093">
        <v>1.95</v>
      </c>
      <c r="AD1093" s="11">
        <f t="shared" si="299"/>
        <v>2.1862805515875459</v>
      </c>
      <c r="AE1093" s="11">
        <f>_xlfn.RANK.AVG(Tableau8[[#This Row],[EE ( MJ/m²)]],AD1093:AD2248)</f>
        <v>58</v>
      </c>
      <c r="AF1093" s="11">
        <f t="shared" si="300"/>
        <v>2.1862805515875459</v>
      </c>
      <c r="AG1093" s="11">
        <f t="shared" si="303"/>
        <v>0.16850778954923773</v>
      </c>
      <c r="AH1093" s="11">
        <f t="shared" si="301"/>
        <v>0.16850778954923773</v>
      </c>
      <c r="AI1093" s="11">
        <f t="shared" si="304"/>
        <v>0.16850778954923773</v>
      </c>
      <c r="AJ1093" s="11">
        <f t="shared" si="302"/>
        <v>0.16850778954923773</v>
      </c>
    </row>
    <row r="1094" spans="1:36" x14ac:dyDescent="0.25">
      <c r="A1094" s="4" t="s">
        <v>945</v>
      </c>
      <c r="B1094" s="4" t="s">
        <v>958</v>
      </c>
      <c r="C1094" s="4" t="s">
        <v>17</v>
      </c>
      <c r="D1094" s="4" t="s">
        <v>942</v>
      </c>
      <c r="E1094" t="s">
        <v>840</v>
      </c>
      <c r="F1094" t="s">
        <v>256</v>
      </c>
      <c r="G1094" t="s">
        <v>616</v>
      </c>
      <c r="H1094">
        <f t="shared" si="305"/>
        <v>18</v>
      </c>
      <c r="I1094">
        <v>1</v>
      </c>
      <c r="J1094" t="s">
        <v>44</v>
      </c>
      <c r="K1094" t="s">
        <v>17</v>
      </c>
      <c r="L1094" t="s">
        <v>866</v>
      </c>
      <c r="M1094" t="s">
        <v>12</v>
      </c>
      <c r="N1094" t="s">
        <v>12</v>
      </c>
      <c r="P1094">
        <f>(0.075+0.075)*0.01875*0.0015</f>
        <v>4.2187500000000001E-6</v>
      </c>
      <c r="T1094">
        <v>150</v>
      </c>
      <c r="W1094">
        <v>7800</v>
      </c>
      <c r="X1094" t="s">
        <v>184</v>
      </c>
      <c r="AA1094" s="13">
        <f>Tableau8[[#This Row],[density (kg/m2) or specific weight (kg/m2)]]*Tableau8[[#This Row],[nb of item used ]]*Tableau8[[#This Row],[volume or area]]</f>
        <v>4.9359374999999996</v>
      </c>
      <c r="AB1094">
        <v>25.3</v>
      </c>
      <c r="AC1094">
        <v>1.95</v>
      </c>
      <c r="AD1094" s="11">
        <f t="shared" si="299"/>
        <v>6.9377343749999998</v>
      </c>
      <c r="AE1094" s="11">
        <f>_xlfn.RANK.AVG(Tableau8[[#This Row],[EE ( MJ/m²)]],AD1094:AD2249)</f>
        <v>49</v>
      </c>
      <c r="AF1094" s="11">
        <f t="shared" si="300"/>
        <v>6.9377343749999998</v>
      </c>
      <c r="AG1094" s="11">
        <f t="shared" si="303"/>
        <v>0.53472656249999995</v>
      </c>
      <c r="AH1094" s="11">
        <f t="shared" si="301"/>
        <v>0.53472656249999995</v>
      </c>
      <c r="AI1094" s="11">
        <f t="shared" si="304"/>
        <v>0.53472656249999995</v>
      </c>
      <c r="AJ1094" s="11">
        <f t="shared" si="302"/>
        <v>0.53472656249999995</v>
      </c>
    </row>
    <row r="1095" spans="1:36" s="20" customFormat="1" x14ac:dyDescent="0.25">
      <c r="A1095" s="4" t="s">
        <v>945</v>
      </c>
      <c r="B1095" s="4" t="s">
        <v>958</v>
      </c>
      <c r="C1095" s="4" t="s">
        <v>17</v>
      </c>
      <c r="D1095" s="4" t="s">
        <v>942</v>
      </c>
      <c r="E1095" t="s">
        <v>840</v>
      </c>
      <c r="F1095" t="s">
        <v>256</v>
      </c>
      <c r="G1095" t="s">
        <v>616</v>
      </c>
      <c r="H1095">
        <f t="shared" si="305"/>
        <v>18</v>
      </c>
      <c r="I1095">
        <v>1</v>
      </c>
      <c r="J1095" t="s">
        <v>44</v>
      </c>
      <c r="K1095" t="s">
        <v>17</v>
      </c>
      <c r="L1095" t="s">
        <v>867</v>
      </c>
      <c r="M1095" t="s">
        <v>12</v>
      </c>
      <c r="N1095" t="s">
        <v>12</v>
      </c>
      <c r="O1095"/>
      <c r="P1095"/>
      <c r="Q1095"/>
      <c r="R1095"/>
      <c r="S1095"/>
      <c r="T1095">
        <v>1</v>
      </c>
      <c r="U1095"/>
      <c r="V1095"/>
      <c r="W1095">
        <v>7800</v>
      </c>
      <c r="X1095" t="s">
        <v>184</v>
      </c>
      <c r="Y1095"/>
      <c r="Z1095"/>
      <c r="AA1095" s="13">
        <v>9.1</v>
      </c>
      <c r="AB1095">
        <v>25.3</v>
      </c>
      <c r="AC1095">
        <v>1.95</v>
      </c>
      <c r="AD1095" s="11">
        <f t="shared" si="299"/>
        <v>12.790555555555555</v>
      </c>
      <c r="AE1095" s="11">
        <f>_xlfn.RANK.AVG(Tableau8[[#This Row],[EE ( MJ/m²)]],AD1095:AD2250)</f>
        <v>36</v>
      </c>
      <c r="AF1095" s="11">
        <f t="shared" si="300"/>
        <v>12.790555555555555</v>
      </c>
      <c r="AG1095" s="11">
        <f t="shared" si="303"/>
        <v>0.98583333333333323</v>
      </c>
      <c r="AH1095" s="11">
        <f t="shared" si="301"/>
        <v>0.98583333333333323</v>
      </c>
      <c r="AI1095" s="11">
        <f t="shared" si="304"/>
        <v>0.98583333333333323</v>
      </c>
      <c r="AJ1095" s="11">
        <f t="shared" si="302"/>
        <v>0.98583333333333323</v>
      </c>
    </row>
    <row r="1096" spans="1:36" s="20" customFormat="1" x14ac:dyDescent="0.25">
      <c r="A1096" s="4" t="s">
        <v>945</v>
      </c>
      <c r="B1096" s="4" t="s">
        <v>958</v>
      </c>
      <c r="C1096" s="4" t="s">
        <v>17</v>
      </c>
      <c r="D1096" s="4" t="s">
        <v>942</v>
      </c>
      <c r="E1096" t="s">
        <v>840</v>
      </c>
      <c r="F1096" t="s">
        <v>256</v>
      </c>
      <c r="G1096" t="s">
        <v>616</v>
      </c>
      <c r="H1096">
        <f t="shared" si="305"/>
        <v>18</v>
      </c>
      <c r="I1096">
        <v>1</v>
      </c>
      <c r="J1096" t="s">
        <v>44</v>
      </c>
      <c r="K1096" t="s">
        <v>17</v>
      </c>
      <c r="L1096" t="s">
        <v>868</v>
      </c>
      <c r="M1096" t="s">
        <v>12</v>
      </c>
      <c r="N1096" t="s">
        <v>12</v>
      </c>
      <c r="O1096"/>
      <c r="P1096"/>
      <c r="Q1096"/>
      <c r="R1096"/>
      <c r="S1096"/>
      <c r="T1096">
        <v>1</v>
      </c>
      <c r="U1096"/>
      <c r="V1096"/>
      <c r="W1096">
        <v>7800</v>
      </c>
      <c r="X1096" t="s">
        <v>184</v>
      </c>
      <c r="Y1096"/>
      <c r="Z1096"/>
      <c r="AA1096" s="13">
        <v>8.1999999999999993</v>
      </c>
      <c r="AB1096">
        <v>25.3</v>
      </c>
      <c r="AC1096">
        <v>1.95</v>
      </c>
      <c r="AD1096" s="11">
        <f t="shared" si="299"/>
        <v>11.525555555555554</v>
      </c>
      <c r="AE1096" s="11">
        <f>_xlfn.RANK.AVG(Tableau8[[#This Row],[EE ( MJ/m²)]],AD1096:AD2251)</f>
        <v>36</v>
      </c>
      <c r="AF1096" s="11">
        <f t="shared" si="300"/>
        <v>11.525555555555554</v>
      </c>
      <c r="AG1096" s="11">
        <f t="shared" si="303"/>
        <v>0.8883333333333332</v>
      </c>
      <c r="AH1096" s="11">
        <f t="shared" si="301"/>
        <v>0.8883333333333332</v>
      </c>
      <c r="AI1096" s="11">
        <f t="shared" si="304"/>
        <v>0.8883333333333332</v>
      </c>
      <c r="AJ1096" s="11">
        <f t="shared" si="302"/>
        <v>0.8883333333333332</v>
      </c>
    </row>
    <row r="1097" spans="1:36" s="20" customFormat="1" x14ac:dyDescent="0.25">
      <c r="A1097" s="4" t="s">
        <v>945</v>
      </c>
      <c r="B1097" s="4" t="s">
        <v>958</v>
      </c>
      <c r="C1097" s="4" t="s">
        <v>17</v>
      </c>
      <c r="D1097" s="4" t="s">
        <v>942</v>
      </c>
      <c r="E1097" t="s">
        <v>840</v>
      </c>
      <c r="F1097" t="s">
        <v>256</v>
      </c>
      <c r="G1097" t="s">
        <v>616</v>
      </c>
      <c r="H1097">
        <f t="shared" si="305"/>
        <v>18</v>
      </c>
      <c r="I1097">
        <v>1</v>
      </c>
      <c r="J1097" t="s">
        <v>44</v>
      </c>
      <c r="K1097" t="s">
        <v>17</v>
      </c>
      <c r="L1097" t="s">
        <v>869</v>
      </c>
      <c r="M1097" t="s">
        <v>12</v>
      </c>
      <c r="N1097" t="s">
        <v>12</v>
      </c>
      <c r="O1097"/>
      <c r="P1097"/>
      <c r="Q1097"/>
      <c r="R1097"/>
      <c r="S1097"/>
      <c r="T1097">
        <v>1</v>
      </c>
      <c r="U1097"/>
      <c r="V1097"/>
      <c r="W1097">
        <v>7800</v>
      </c>
      <c r="X1097" t="s">
        <v>184</v>
      </c>
      <c r="Y1097"/>
      <c r="Z1097"/>
      <c r="AA1097" s="13">
        <v>5.4</v>
      </c>
      <c r="AB1097">
        <v>25.3</v>
      </c>
      <c r="AC1097">
        <v>1.95</v>
      </c>
      <c r="AD1097" s="11">
        <f t="shared" si="299"/>
        <v>7.59</v>
      </c>
      <c r="AE1097" s="11">
        <f>_xlfn.RANK.AVG(Tableau8[[#This Row],[EE ( MJ/m²)]],AD1097:AD2252)</f>
        <v>44</v>
      </c>
      <c r="AF1097" s="11">
        <f t="shared" si="300"/>
        <v>7.59</v>
      </c>
      <c r="AG1097" s="11">
        <f t="shared" si="303"/>
        <v>0.58500000000000008</v>
      </c>
      <c r="AH1097" s="11">
        <f t="shared" si="301"/>
        <v>0.58500000000000008</v>
      </c>
      <c r="AI1097" s="11">
        <f t="shared" si="304"/>
        <v>0.58500000000000008</v>
      </c>
      <c r="AJ1097" s="11">
        <f t="shared" si="302"/>
        <v>0.58500000000000008</v>
      </c>
    </row>
    <row r="1098" spans="1:36" s="20" customFormat="1" x14ac:dyDescent="0.25">
      <c r="A1098" s="4" t="s">
        <v>945</v>
      </c>
      <c r="B1098" s="4" t="s">
        <v>958</v>
      </c>
      <c r="C1098" s="4" t="s">
        <v>17</v>
      </c>
      <c r="D1098" s="4" t="s">
        <v>942</v>
      </c>
      <c r="E1098" t="s">
        <v>840</v>
      </c>
      <c r="F1098" t="s">
        <v>256</v>
      </c>
      <c r="G1098" t="s">
        <v>616</v>
      </c>
      <c r="H1098">
        <f t="shared" si="305"/>
        <v>18</v>
      </c>
      <c r="I1098">
        <v>1</v>
      </c>
      <c r="J1098" t="s">
        <v>40</v>
      </c>
      <c r="K1098" t="s">
        <v>17</v>
      </c>
      <c r="L1098" t="s">
        <v>815</v>
      </c>
      <c r="M1098" t="s">
        <v>12</v>
      </c>
      <c r="N1098" t="s">
        <v>12</v>
      </c>
      <c r="O1098"/>
      <c r="P1098">
        <f>0.014*0.1*0.05</f>
        <v>7.0000000000000007E-5</v>
      </c>
      <c r="Q1098" t="s">
        <v>180</v>
      </c>
      <c r="R1098" t="s">
        <v>187</v>
      </c>
      <c r="S1098"/>
      <c r="T1098">
        <v>3</v>
      </c>
      <c r="U1098"/>
      <c r="V1098"/>
      <c r="W1098">
        <v>7800</v>
      </c>
      <c r="X1098" t="s">
        <v>184</v>
      </c>
      <c r="Y1098"/>
      <c r="Z1098"/>
      <c r="AA1098" s="13">
        <f>Tableau8[[#This Row],[density (kg/m2) or specific weight (kg/m2)]]*Tableau8[[#This Row],[nb of item used ]]*Tableau8[[#This Row],[volume or area]]</f>
        <v>1.6380000000000001</v>
      </c>
      <c r="AB1098">
        <v>25.3</v>
      </c>
      <c r="AC1098">
        <v>1.95</v>
      </c>
      <c r="AD1098" s="11">
        <f t="shared" si="299"/>
        <v>2.3023000000000002</v>
      </c>
      <c r="AE1098" s="11">
        <f>_xlfn.RANK.AVG(Tableau8[[#This Row],[EE ( MJ/m²)]],AD1098:AD2253)</f>
        <v>52</v>
      </c>
      <c r="AF1098" s="11">
        <f t="shared" si="300"/>
        <v>2.3023000000000002</v>
      </c>
      <c r="AG1098" s="11">
        <f t="shared" si="303"/>
        <v>0.17745</v>
      </c>
      <c r="AH1098" s="11">
        <f t="shared" si="301"/>
        <v>0.17745</v>
      </c>
      <c r="AI1098" s="11">
        <f t="shared" si="304"/>
        <v>0.17745</v>
      </c>
      <c r="AJ1098" s="11">
        <f t="shared" si="302"/>
        <v>0.17745</v>
      </c>
    </row>
    <row r="1099" spans="1:36" s="20" customFormat="1" x14ac:dyDescent="0.25">
      <c r="A1099" s="4" t="s">
        <v>945</v>
      </c>
      <c r="B1099" s="4" t="s">
        <v>958</v>
      </c>
      <c r="C1099" s="4" t="s">
        <v>17</v>
      </c>
      <c r="D1099" s="4" t="s">
        <v>942</v>
      </c>
      <c r="E1099" t="s">
        <v>840</v>
      </c>
      <c r="F1099" t="s">
        <v>256</v>
      </c>
      <c r="G1099" t="s">
        <v>616</v>
      </c>
      <c r="H1099">
        <f t="shared" si="305"/>
        <v>18</v>
      </c>
      <c r="I1099">
        <v>1</v>
      </c>
      <c r="J1099" t="s">
        <v>40</v>
      </c>
      <c r="K1099" t="s">
        <v>17</v>
      </c>
      <c r="L1099" t="s">
        <v>870</v>
      </c>
      <c r="M1099" t="s">
        <v>12</v>
      </c>
      <c r="N1099" t="s">
        <v>12</v>
      </c>
      <c r="O1099"/>
      <c r="P1099"/>
      <c r="Q1099"/>
      <c r="R1099"/>
      <c r="S1099"/>
      <c r="T1099">
        <v>1</v>
      </c>
      <c r="U1099"/>
      <c r="V1099"/>
      <c r="W1099">
        <v>7800</v>
      </c>
      <c r="X1099" t="s">
        <v>184</v>
      </c>
      <c r="Y1099"/>
      <c r="Z1099"/>
      <c r="AA1099" s="13">
        <v>1.0760000000000001</v>
      </c>
      <c r="AB1099">
        <v>25.3</v>
      </c>
      <c r="AC1099">
        <v>1.95</v>
      </c>
      <c r="AD1099" s="11">
        <f t="shared" si="299"/>
        <v>1.512377777777778</v>
      </c>
      <c r="AE1099" s="11">
        <f>_xlfn.RANK.AVG(Tableau8[[#This Row],[EE ( MJ/m²)]],AD1099:AD2254)</f>
        <v>54</v>
      </c>
      <c r="AF1099" s="11">
        <f t="shared" si="300"/>
        <v>1.512377777777778</v>
      </c>
      <c r="AG1099" s="11">
        <f t="shared" si="303"/>
        <v>0.11656666666666668</v>
      </c>
      <c r="AH1099" s="11">
        <f t="shared" si="301"/>
        <v>0.11656666666666668</v>
      </c>
      <c r="AI1099" s="11">
        <f t="shared" si="304"/>
        <v>0.11656666666666668</v>
      </c>
      <c r="AJ1099" s="11">
        <f t="shared" si="302"/>
        <v>0.11656666666666668</v>
      </c>
    </row>
    <row r="1100" spans="1:36" s="20" customFormat="1" x14ac:dyDescent="0.25">
      <c r="A1100" s="4" t="s">
        <v>945</v>
      </c>
      <c r="B1100" s="4" t="s">
        <v>958</v>
      </c>
      <c r="C1100" s="4" t="s">
        <v>17</v>
      </c>
      <c r="D1100" s="4" t="s">
        <v>942</v>
      </c>
      <c r="E1100" t="s">
        <v>840</v>
      </c>
      <c r="F1100" t="s">
        <v>256</v>
      </c>
      <c r="G1100" t="s">
        <v>616</v>
      </c>
      <c r="H1100">
        <f t="shared" si="305"/>
        <v>18</v>
      </c>
      <c r="I1100">
        <v>1</v>
      </c>
      <c r="J1100" t="s">
        <v>44</v>
      </c>
      <c r="K1100" t="s">
        <v>17</v>
      </c>
      <c r="L1100" t="s">
        <v>871</v>
      </c>
      <c r="M1100" t="s">
        <v>12</v>
      </c>
      <c r="N1100" t="s">
        <v>12</v>
      </c>
      <c r="O1100"/>
      <c r="P1100"/>
      <c r="Q1100"/>
      <c r="R1100"/>
      <c r="S1100"/>
      <c r="T1100">
        <v>1</v>
      </c>
      <c r="U1100"/>
      <c r="V1100"/>
      <c r="W1100">
        <v>7800</v>
      </c>
      <c r="X1100" t="s">
        <v>184</v>
      </c>
      <c r="Y1100"/>
      <c r="Z1100"/>
      <c r="AA1100" s="13">
        <v>0.8</v>
      </c>
      <c r="AB1100">
        <v>25.3</v>
      </c>
      <c r="AC1100">
        <v>1.95</v>
      </c>
      <c r="AD1100" s="11">
        <f t="shared" si="299"/>
        <v>1.1244444444444446</v>
      </c>
      <c r="AE1100" s="11">
        <f>_xlfn.RANK.AVG(Tableau8[[#This Row],[EE ( MJ/m²)]],AD1100:AD2255)</f>
        <v>54</v>
      </c>
      <c r="AF1100" s="11">
        <f t="shared" si="300"/>
        <v>1.1244444444444446</v>
      </c>
      <c r="AG1100" s="11">
        <f t="shared" si="303"/>
        <v>8.666666666666667E-2</v>
      </c>
      <c r="AH1100" s="11">
        <f t="shared" si="301"/>
        <v>8.666666666666667E-2</v>
      </c>
      <c r="AI1100" s="11">
        <f t="shared" si="304"/>
        <v>8.666666666666667E-2</v>
      </c>
      <c r="AJ1100" s="11">
        <f t="shared" si="302"/>
        <v>8.666666666666667E-2</v>
      </c>
    </row>
    <row r="1101" spans="1:36" s="20" customFormat="1" x14ac:dyDescent="0.25">
      <c r="A1101" s="4" t="s">
        <v>945</v>
      </c>
      <c r="B1101" s="4" t="s">
        <v>958</v>
      </c>
      <c r="C1101" s="4" t="s">
        <v>17</v>
      </c>
      <c r="D1101" s="4" t="s">
        <v>942</v>
      </c>
      <c r="E1101" t="s">
        <v>840</v>
      </c>
      <c r="F1101" t="s">
        <v>256</v>
      </c>
      <c r="G1101" t="s">
        <v>616</v>
      </c>
      <c r="H1101">
        <f t="shared" si="305"/>
        <v>18</v>
      </c>
      <c r="I1101">
        <v>1</v>
      </c>
      <c r="J1101" t="s">
        <v>13</v>
      </c>
      <c r="K1101" t="s">
        <v>29</v>
      </c>
      <c r="L1101" t="s">
        <v>790</v>
      </c>
      <c r="M1101" t="s">
        <v>364</v>
      </c>
      <c r="N1101" t="s">
        <v>432</v>
      </c>
      <c r="O1101"/>
      <c r="P1101">
        <v>0.38</v>
      </c>
      <c r="Q1101" t="s">
        <v>180</v>
      </c>
      <c r="R1101"/>
      <c r="S1101"/>
      <c r="T1101">
        <v>1</v>
      </c>
      <c r="U1101"/>
      <c r="V1101"/>
      <c r="W1101">
        <v>2240</v>
      </c>
      <c r="X1101" t="s">
        <v>184</v>
      </c>
      <c r="Y1101"/>
      <c r="Z1101"/>
      <c r="AA1101" s="13">
        <f>Tableau8[[#This Row],[density (kg/m2) or specific weight (kg/m2)]]*Tableau8[[#This Row],[nb of item used ]]*Tableau8[[#This Row],[volume or area]]</f>
        <v>851.2</v>
      </c>
      <c r="AB1101">
        <v>8.0999999999999996E-3</v>
      </c>
      <c r="AC1101">
        <v>5.1000000000000004E-3</v>
      </c>
      <c r="AD1101" s="11">
        <f t="shared" si="299"/>
        <v>0.38304000000000005</v>
      </c>
      <c r="AE1101" s="11">
        <f>_xlfn.RANK.AVG(Tableau8[[#This Row],[EE ( MJ/m²)]],AD1101:AD2256)</f>
        <v>56</v>
      </c>
      <c r="AF1101" s="11">
        <f t="shared" si="300"/>
        <v>0.38304000000000005</v>
      </c>
      <c r="AG1101" s="11">
        <f t="shared" si="303"/>
        <v>0.24117333333333338</v>
      </c>
      <c r="AH1101" s="11">
        <f t="shared" si="301"/>
        <v>0.24117333333333338</v>
      </c>
      <c r="AI1101" s="11">
        <f t="shared" si="304"/>
        <v>0.24117333333333338</v>
      </c>
      <c r="AJ1101" s="11">
        <f t="shared" si="302"/>
        <v>0.24117333333333338</v>
      </c>
    </row>
    <row r="1102" spans="1:36" s="20" customFormat="1" x14ac:dyDescent="0.25">
      <c r="A1102" s="4" t="s">
        <v>945</v>
      </c>
      <c r="B1102" s="4" t="s">
        <v>958</v>
      </c>
      <c r="C1102" s="4" t="s">
        <v>17</v>
      </c>
      <c r="D1102" s="4" t="s">
        <v>942</v>
      </c>
      <c r="E1102" t="s">
        <v>840</v>
      </c>
      <c r="F1102" t="s">
        <v>256</v>
      </c>
      <c r="G1102" t="s">
        <v>616</v>
      </c>
      <c r="H1102">
        <f t="shared" si="305"/>
        <v>18</v>
      </c>
      <c r="I1102">
        <v>1</v>
      </c>
      <c r="J1102" t="s">
        <v>40</v>
      </c>
      <c r="K1102" t="s">
        <v>14</v>
      </c>
      <c r="L1102" t="s">
        <v>861</v>
      </c>
      <c r="M1102" t="s">
        <v>79</v>
      </c>
      <c r="N1102" t="s">
        <v>79</v>
      </c>
      <c r="O1102"/>
      <c r="P1102">
        <f>0.75*1.5</f>
        <v>1.125</v>
      </c>
      <c r="Q1102" t="s">
        <v>179</v>
      </c>
      <c r="R1102"/>
      <c r="S1102"/>
      <c r="T1102">
        <v>1</v>
      </c>
      <c r="U1102"/>
      <c r="V1102"/>
      <c r="W1102" s="15">
        <v>3.7999999999999999E-2</v>
      </c>
      <c r="X1102" t="s">
        <v>183</v>
      </c>
      <c r="Y1102"/>
      <c r="Z1102"/>
      <c r="AA1102" s="13">
        <f>Tableau8[[#This Row],[nb of item used ]]*Tableau8[[#This Row],[density (kg/m2) or specific weight (kg/m2)]]*Tableau8[[#This Row],[volume or area]]</f>
        <v>4.2749999999999996E-2</v>
      </c>
      <c r="AB1102">
        <v>54.4</v>
      </c>
      <c r="AC1102">
        <v>2.54</v>
      </c>
      <c r="AD1102" s="11">
        <f t="shared" si="299"/>
        <v>0.12919999999999998</v>
      </c>
      <c r="AE1102" s="11">
        <f>_xlfn.RANK.AVG(Tableau8[[#This Row],[EE ( MJ/m²)]],AD1102:AD2257)</f>
        <v>56</v>
      </c>
      <c r="AF1102" s="11">
        <f t="shared" si="300"/>
        <v>0.12919999999999998</v>
      </c>
      <c r="AG1102" s="11">
        <f t="shared" si="303"/>
        <v>6.0324999999999997E-3</v>
      </c>
      <c r="AH1102" s="11">
        <f t="shared" si="301"/>
        <v>6.0324999999999997E-3</v>
      </c>
      <c r="AI1102" s="11">
        <f t="shared" si="304"/>
        <v>6.0324999999999997E-3</v>
      </c>
      <c r="AJ1102" s="11">
        <f t="shared" si="302"/>
        <v>6.0324999999999997E-3</v>
      </c>
    </row>
    <row r="1103" spans="1:36" s="20" customFormat="1" x14ac:dyDescent="0.25">
      <c r="A1103" s="4" t="s">
        <v>945</v>
      </c>
      <c r="B1103" s="4" t="s">
        <v>958</v>
      </c>
      <c r="C1103" s="4" t="s">
        <v>17</v>
      </c>
      <c r="D1103" s="4" t="s">
        <v>942</v>
      </c>
      <c r="E1103" t="s">
        <v>840</v>
      </c>
      <c r="F1103" t="s">
        <v>256</v>
      </c>
      <c r="G1103" t="s">
        <v>616</v>
      </c>
      <c r="H1103">
        <f t="shared" si="305"/>
        <v>18</v>
      </c>
      <c r="I1103">
        <v>1</v>
      </c>
      <c r="J1103" t="s">
        <v>56</v>
      </c>
      <c r="K1103" t="s">
        <v>14</v>
      </c>
      <c r="L1103" t="s">
        <v>860</v>
      </c>
      <c r="M1103" t="s">
        <v>35</v>
      </c>
      <c r="N1103" t="s">
        <v>35</v>
      </c>
      <c r="O1103"/>
      <c r="P1103">
        <f>6*4</f>
        <v>24</v>
      </c>
      <c r="Q1103"/>
      <c r="R1103"/>
      <c r="S1103"/>
      <c r="T1103">
        <v>3</v>
      </c>
      <c r="U1103"/>
      <c r="V1103"/>
      <c r="W1103">
        <v>0.18</v>
      </c>
      <c r="X1103" t="s">
        <v>183</v>
      </c>
      <c r="Y1103"/>
      <c r="Z1103"/>
      <c r="AA1103" s="13">
        <f>Tableau8[[#This Row],[nb of item used ]]*Tableau8[[#This Row],[density (kg/m2) or specific weight (kg/m2)]]*Tableau8[[#This Row],[volume or area]]</f>
        <v>12.96</v>
      </c>
      <c r="AB1103">
        <v>54.3</v>
      </c>
      <c r="AC1103">
        <v>1.93</v>
      </c>
      <c r="AD1103" s="11">
        <f t="shared" si="299"/>
        <v>39.096000000000004</v>
      </c>
      <c r="AE1103" s="11">
        <f>_xlfn.RANK.AVG(Tableau8[[#This Row],[EE ( MJ/m²)]],AD1103:AD2258)</f>
        <v>16</v>
      </c>
      <c r="AF1103" s="11">
        <f t="shared" si="300"/>
        <v>39.096000000000004</v>
      </c>
      <c r="AG1103" s="11">
        <f t="shared" si="303"/>
        <v>1.3896000000000002</v>
      </c>
      <c r="AH1103" s="11">
        <f t="shared" si="301"/>
        <v>1.3896000000000002</v>
      </c>
      <c r="AI1103" s="11">
        <f t="shared" si="304"/>
        <v>1.3896000000000002</v>
      </c>
      <c r="AJ1103" s="11">
        <f t="shared" si="302"/>
        <v>1.3896000000000002</v>
      </c>
    </row>
    <row r="1104" spans="1:36" s="20" customFormat="1" x14ac:dyDescent="0.25">
      <c r="A1104" s="4" t="s">
        <v>945</v>
      </c>
      <c r="B1104" s="4" t="s">
        <v>958</v>
      </c>
      <c r="C1104" s="4" t="s">
        <v>17</v>
      </c>
      <c r="D1104" s="4" t="s">
        <v>942</v>
      </c>
      <c r="E1104" t="s">
        <v>840</v>
      </c>
      <c r="F1104" t="s">
        <v>256</v>
      </c>
      <c r="G1104" t="s">
        <v>616</v>
      </c>
      <c r="H1104">
        <f t="shared" si="305"/>
        <v>18</v>
      </c>
      <c r="I1104">
        <v>1</v>
      </c>
      <c r="J1104" t="s">
        <v>13</v>
      </c>
      <c r="K1104" t="s">
        <v>18</v>
      </c>
      <c r="L1104" t="s">
        <v>841</v>
      </c>
      <c r="M1104" t="s">
        <v>363</v>
      </c>
      <c r="N1104" t="s">
        <v>431</v>
      </c>
      <c r="O1104"/>
      <c r="P1104"/>
      <c r="Q1104"/>
      <c r="R1104"/>
      <c r="S1104"/>
      <c r="T1104">
        <v>1</v>
      </c>
      <c r="U1104"/>
      <c r="V1104"/>
      <c r="W1104">
        <v>1860</v>
      </c>
      <c r="X1104" t="s">
        <v>184</v>
      </c>
      <c r="Y1104"/>
      <c r="Z1104"/>
      <c r="AA1104" s="13">
        <f>3*42.5</f>
        <v>127.5</v>
      </c>
      <c r="AB1104">
        <v>4.51</v>
      </c>
      <c r="AC1104">
        <v>0.74</v>
      </c>
      <c r="AD1104" s="11">
        <f t="shared" si="299"/>
        <v>31.945833333333333</v>
      </c>
      <c r="AE1104" s="11">
        <f>_xlfn.RANK.AVG(Tableau8[[#This Row],[EE ( MJ/m²)]],AD1104:AD2259)</f>
        <v>18</v>
      </c>
      <c r="AF1104" s="11">
        <f t="shared" si="300"/>
        <v>31.945833333333333</v>
      </c>
      <c r="AG1104" s="11">
        <f t="shared" si="303"/>
        <v>5.2416666666666663</v>
      </c>
      <c r="AH1104" s="11">
        <f t="shared" si="301"/>
        <v>5.2416666666666663</v>
      </c>
      <c r="AI1104" s="11">
        <f t="shared" si="304"/>
        <v>5.2416666666666663</v>
      </c>
      <c r="AJ1104" s="11">
        <f t="shared" si="302"/>
        <v>5.2416666666666663</v>
      </c>
    </row>
    <row r="1105" spans="1:36" s="20" customFormat="1" x14ac:dyDescent="0.25">
      <c r="A1105" s="4" t="s">
        <v>945</v>
      </c>
      <c r="B1105" s="4" t="s">
        <v>958</v>
      </c>
      <c r="C1105" s="4" t="s">
        <v>17</v>
      </c>
      <c r="D1105" s="4" t="s">
        <v>942</v>
      </c>
      <c r="E1105" t="s">
        <v>840</v>
      </c>
      <c r="F1105" t="s">
        <v>256</v>
      </c>
      <c r="G1105" t="s">
        <v>616</v>
      </c>
      <c r="H1105">
        <f t="shared" si="305"/>
        <v>18</v>
      </c>
      <c r="I1105">
        <v>1</v>
      </c>
      <c r="J1105" t="s">
        <v>13</v>
      </c>
      <c r="K1105" t="s">
        <v>29</v>
      </c>
      <c r="L1105" t="s">
        <v>842</v>
      </c>
      <c r="M1105" t="s">
        <v>366</v>
      </c>
      <c r="N1105" t="s">
        <v>433</v>
      </c>
      <c r="O1105"/>
      <c r="P1105">
        <v>0.38</v>
      </c>
      <c r="Q1105" t="s">
        <v>180</v>
      </c>
      <c r="R1105"/>
      <c r="S1105"/>
      <c r="T1105">
        <v>1</v>
      </c>
      <c r="U1105" t="s">
        <v>175</v>
      </c>
      <c r="V1105"/>
      <c r="W1105">
        <v>2240</v>
      </c>
      <c r="X1105" t="s">
        <v>184</v>
      </c>
      <c r="Y1105"/>
      <c r="Z1105"/>
      <c r="AA1105" s="13">
        <f>Tableau8[[#This Row],[density (kg/m2) or specific weight (kg/m2)]]*Tableau8[[#This Row],[nb of item used ]]*Tableau8[[#This Row],[volume or area]]</f>
        <v>851.2</v>
      </c>
      <c r="AB1105">
        <v>8.3000000000000004E-2</v>
      </c>
      <c r="AC1105">
        <v>5.1999999999999998E-3</v>
      </c>
      <c r="AD1105" s="11">
        <f t="shared" ref="AD1105:AD1136" si="306">AB1105*AA1105/H1105</f>
        <v>3.9249777777777783</v>
      </c>
      <c r="AE1105" s="11">
        <f>_xlfn.RANK.AVG(Tableau8[[#This Row],[EE ( MJ/m²)]],AD1105:AD2260)</f>
        <v>46</v>
      </c>
      <c r="AF1105" s="11">
        <f t="shared" ref="AF1105:AF1136" si="307">AB1105*AA1105/H1105/I1105</f>
        <v>3.9249777777777783</v>
      </c>
      <c r="AG1105" s="11">
        <f t="shared" si="303"/>
        <v>0.24590222222222222</v>
      </c>
      <c r="AH1105" s="11">
        <f t="shared" ref="AH1105:AH1136" si="308">AC1105*AA1105/H1105</f>
        <v>0.24590222222222222</v>
      </c>
      <c r="AI1105" s="11">
        <f t="shared" si="304"/>
        <v>0.24590222222222222</v>
      </c>
      <c r="AJ1105" s="11">
        <f t="shared" ref="AJ1105:AJ1136" si="309">AC1105*AA1105/H1105/I1105</f>
        <v>0.24590222222222222</v>
      </c>
    </row>
    <row r="1106" spans="1:36" s="20" customFormat="1" x14ac:dyDescent="0.25">
      <c r="A1106" s="4" t="s">
        <v>945</v>
      </c>
      <c r="B1106" s="4" t="s">
        <v>959</v>
      </c>
      <c r="C1106" s="4" t="s">
        <v>17</v>
      </c>
      <c r="D1106" s="4" t="s">
        <v>942</v>
      </c>
      <c r="E1106" t="s">
        <v>872</v>
      </c>
      <c r="F1106" t="s">
        <v>256</v>
      </c>
      <c r="G1106" t="s">
        <v>714</v>
      </c>
      <c r="H1106">
        <v>25</v>
      </c>
      <c r="I1106">
        <v>5</v>
      </c>
      <c r="J1106" t="s">
        <v>40</v>
      </c>
      <c r="K1106" t="s">
        <v>15</v>
      </c>
      <c r="L1106" t="s">
        <v>886</v>
      </c>
      <c r="M1106" t="s">
        <v>15</v>
      </c>
      <c r="N1106" t="s">
        <v>15</v>
      </c>
      <c r="O1106"/>
      <c r="P1106">
        <f>44.6*0.02</f>
        <v>0.89200000000000002</v>
      </c>
      <c r="Q1106"/>
      <c r="R1106"/>
      <c r="S1106"/>
      <c r="T1106">
        <v>1</v>
      </c>
      <c r="U1106"/>
      <c r="V1106"/>
      <c r="W1106">
        <v>510</v>
      </c>
      <c r="X1106" t="s">
        <v>184</v>
      </c>
      <c r="Y1106"/>
      <c r="Z1106"/>
      <c r="AA1106" s="13">
        <f>Tableau8[[#This Row],[nb of item used ]]*Tableau8[[#This Row],[density (kg/m2) or specific weight (kg/m2)]]*Tableau8[[#This Row],[volume or area]]</f>
        <v>454.92</v>
      </c>
      <c r="AB1106">
        <f>10-4.4</f>
        <v>5.6</v>
      </c>
      <c r="AC1106">
        <f>0.31+0.41</f>
        <v>0.72</v>
      </c>
      <c r="AD1106" s="11">
        <f t="shared" si="306"/>
        <v>101.90208000000001</v>
      </c>
      <c r="AE1106" s="11">
        <f>_xlfn.RANK.AVG(Tableau8[[#This Row],[EE ( MJ/m²)]],AD1106:AD2261)</f>
        <v>8</v>
      </c>
      <c r="AF1106" s="11">
        <f t="shared" si="307"/>
        <v>20.380416000000004</v>
      </c>
      <c r="AG1106" s="11">
        <f>(AC1106-0.41)*AA1106/H1106</f>
        <v>5.6410080000000002</v>
      </c>
      <c r="AH1106" s="11">
        <f t="shared" si="308"/>
        <v>13.101695999999999</v>
      </c>
      <c r="AI1106" s="11">
        <f>(AC1106-0.41)*AA1106/H1106/I1106</f>
        <v>1.1282016000000001</v>
      </c>
      <c r="AJ1106" s="11">
        <f t="shared" si="309"/>
        <v>2.6203391999999996</v>
      </c>
    </row>
    <row r="1107" spans="1:36" s="20" customFormat="1" x14ac:dyDescent="0.25">
      <c r="A1107" s="4" t="s">
        <v>945</v>
      </c>
      <c r="B1107" s="4" t="s">
        <v>959</v>
      </c>
      <c r="C1107" s="4" t="s">
        <v>17</v>
      </c>
      <c r="D1107" s="4" t="s">
        <v>942</v>
      </c>
      <c r="E1107" t="s">
        <v>872</v>
      </c>
      <c r="F1107" t="s">
        <v>256</v>
      </c>
      <c r="G1107" t="s">
        <v>714</v>
      </c>
      <c r="H1107">
        <v>25</v>
      </c>
      <c r="I1107">
        <v>5</v>
      </c>
      <c r="J1107" t="s">
        <v>40</v>
      </c>
      <c r="K1107" t="s">
        <v>15</v>
      </c>
      <c r="L1107" t="s">
        <v>887</v>
      </c>
      <c r="M1107" t="s">
        <v>15</v>
      </c>
      <c r="N1107" t="s">
        <v>15</v>
      </c>
      <c r="O1107"/>
      <c r="P1107">
        <f>0.03*0.03*17.28</f>
        <v>1.5552E-2</v>
      </c>
      <c r="Q1107"/>
      <c r="R1107"/>
      <c r="S1107"/>
      <c r="T1107">
        <v>6</v>
      </c>
      <c r="U1107"/>
      <c r="V1107"/>
      <c r="W1107">
        <v>510</v>
      </c>
      <c r="X1107" t="s">
        <v>184</v>
      </c>
      <c r="Y1107"/>
      <c r="Z1107"/>
      <c r="AA1107" s="13">
        <f>Tableau8[[#This Row],[nb of item used ]]*Tableau8[[#This Row],[density (kg/m2) or specific weight (kg/m2)]]*Tableau8[[#This Row],[volume or area]]</f>
        <v>47.589120000000001</v>
      </c>
      <c r="AB1107">
        <f>10-4.4</f>
        <v>5.6</v>
      </c>
      <c r="AC1107">
        <f>0.31+0.41</f>
        <v>0.72</v>
      </c>
      <c r="AD1107" s="11">
        <f t="shared" si="306"/>
        <v>10.65996288</v>
      </c>
      <c r="AE1107" s="11">
        <f>_xlfn.RANK.AVG(Tableau8[[#This Row],[EE ( MJ/m²)]],AD1107:AD2262)</f>
        <v>35</v>
      </c>
      <c r="AF1107" s="11">
        <f t="shared" si="307"/>
        <v>2.131992576</v>
      </c>
      <c r="AG1107" s="11">
        <f>(AC1107-0.41)*AA1107/H1107</f>
        <v>0.59010508800000006</v>
      </c>
      <c r="AH1107" s="11">
        <f t="shared" si="308"/>
        <v>1.370566656</v>
      </c>
      <c r="AI1107" s="11">
        <f>(AC1107-0.41)*AA1107/H1107/I1107</f>
        <v>0.11802101760000001</v>
      </c>
      <c r="AJ1107" s="11">
        <f t="shared" si="309"/>
        <v>0.27411333120000003</v>
      </c>
    </row>
    <row r="1108" spans="1:36" s="20" customFormat="1" x14ac:dyDescent="0.25">
      <c r="A1108" s="4" t="s">
        <v>945</v>
      </c>
      <c r="B1108" s="4" t="s">
        <v>959</v>
      </c>
      <c r="C1108" s="4" t="s">
        <v>17</v>
      </c>
      <c r="D1108" s="4" t="s">
        <v>942</v>
      </c>
      <c r="E1108" t="s">
        <v>872</v>
      </c>
      <c r="F1108" t="s">
        <v>256</v>
      </c>
      <c r="G1108" t="s">
        <v>714</v>
      </c>
      <c r="H1108">
        <v>25</v>
      </c>
      <c r="I1108">
        <v>5</v>
      </c>
      <c r="J1108" t="s">
        <v>57</v>
      </c>
      <c r="K1108" t="s">
        <v>15</v>
      </c>
      <c r="L1108" t="s">
        <v>888</v>
      </c>
      <c r="M1108" t="s">
        <v>15</v>
      </c>
      <c r="N1108" t="s">
        <v>15</v>
      </c>
      <c r="O1108"/>
      <c r="P1108">
        <f>26.1*0.02</f>
        <v>0.52200000000000002</v>
      </c>
      <c r="Q1108"/>
      <c r="R1108"/>
      <c r="S1108"/>
      <c r="T1108">
        <v>1</v>
      </c>
      <c r="U1108"/>
      <c r="V1108"/>
      <c r="W1108">
        <v>510</v>
      </c>
      <c r="X1108" t="s">
        <v>184</v>
      </c>
      <c r="Y1108"/>
      <c r="Z1108"/>
      <c r="AA1108" s="13">
        <f>Tableau8[[#This Row],[nb of item used ]]*Tableau8[[#This Row],[density (kg/m2) or specific weight (kg/m2)]]*Tableau8[[#This Row],[volume or area]]</f>
        <v>266.22000000000003</v>
      </c>
      <c r="AB1108">
        <f>10-4.4</f>
        <v>5.6</v>
      </c>
      <c r="AC1108">
        <f>0.31+0.41</f>
        <v>0.72</v>
      </c>
      <c r="AD1108" s="11">
        <f t="shared" si="306"/>
        <v>59.633280000000006</v>
      </c>
      <c r="AE1108" s="11">
        <f>_xlfn.RANK.AVG(Tableau8[[#This Row],[EE ( MJ/m²)]],AD1108:AD2263)</f>
        <v>10</v>
      </c>
      <c r="AF1108" s="11">
        <f t="shared" si="307"/>
        <v>11.926656000000001</v>
      </c>
      <c r="AG1108" s="11">
        <f>(AC1108-0.41)*AA1108/H1108</f>
        <v>3.3011280000000003</v>
      </c>
      <c r="AH1108" s="11">
        <f t="shared" si="308"/>
        <v>7.6671360000000002</v>
      </c>
      <c r="AI1108" s="11">
        <f>(AC1108-0.41)*AA1108/H1108/I1108</f>
        <v>0.66022560000000008</v>
      </c>
      <c r="AJ1108" s="11">
        <f t="shared" si="309"/>
        <v>1.5334272</v>
      </c>
    </row>
    <row r="1109" spans="1:36" s="20" customFormat="1" x14ac:dyDescent="0.25">
      <c r="A1109" s="4" t="s">
        <v>945</v>
      </c>
      <c r="B1109" s="4" t="s">
        <v>959</v>
      </c>
      <c r="C1109" s="4" t="s">
        <v>17</v>
      </c>
      <c r="D1109" s="4" t="s">
        <v>942</v>
      </c>
      <c r="E1109" t="s">
        <v>872</v>
      </c>
      <c r="F1109" t="s">
        <v>256</v>
      </c>
      <c r="G1109" t="s">
        <v>714</v>
      </c>
      <c r="H1109">
        <v>25</v>
      </c>
      <c r="I1109">
        <v>5</v>
      </c>
      <c r="J1109" t="s">
        <v>13</v>
      </c>
      <c r="K1109" t="s">
        <v>17</v>
      </c>
      <c r="L1109" t="s">
        <v>873</v>
      </c>
      <c r="M1109" t="s">
        <v>12</v>
      </c>
      <c r="N1109" t="s">
        <v>12</v>
      </c>
      <c r="O1109"/>
      <c r="P1109">
        <f>0.4*0.4*0.008</f>
        <v>1.2800000000000003E-3</v>
      </c>
      <c r="Q1109"/>
      <c r="R1109"/>
      <c r="S1109"/>
      <c r="T1109">
        <v>2</v>
      </c>
      <c r="U1109"/>
      <c r="V1109"/>
      <c r="W1109">
        <v>7800</v>
      </c>
      <c r="X1109" t="s">
        <v>184</v>
      </c>
      <c r="Y1109"/>
      <c r="Z1109"/>
      <c r="AA1109" s="13">
        <f>Tableau8[[#This Row],[density (kg/m2) or specific weight (kg/m2)]]*Tableau8[[#This Row],[nb of item used ]]*Tableau8[[#This Row],[volume or area]]</f>
        <v>19.968000000000004</v>
      </c>
      <c r="AB1109">
        <v>25.3</v>
      </c>
      <c r="AC1109">
        <v>1.95</v>
      </c>
      <c r="AD1109" s="11">
        <f t="shared" si="306"/>
        <v>20.207616000000005</v>
      </c>
      <c r="AE1109" s="11">
        <f>_xlfn.RANK.AVG(Tableau8[[#This Row],[EE ( MJ/m²)]],AD1109:AD2264)</f>
        <v>24</v>
      </c>
      <c r="AF1109" s="11">
        <f t="shared" si="307"/>
        <v>4.0415232000000012</v>
      </c>
      <c r="AG1109" s="11">
        <f t="shared" ref="AG1109:AG1127" si="310">(AC1109)*AA1109/H1109</f>
        <v>1.5575040000000002</v>
      </c>
      <c r="AH1109" s="11">
        <f t="shared" si="308"/>
        <v>1.5575040000000002</v>
      </c>
      <c r="AI1109" s="11">
        <f t="shared" ref="AI1109:AI1127" si="311">(AC1109)*AA1109/H1109/I1109</f>
        <v>0.31150080000000002</v>
      </c>
      <c r="AJ1109" s="11">
        <f t="shared" si="309"/>
        <v>0.31150080000000002</v>
      </c>
    </row>
    <row r="1110" spans="1:36" s="20" customFormat="1" x14ac:dyDescent="0.25">
      <c r="A1110" s="4" t="s">
        <v>945</v>
      </c>
      <c r="B1110" s="4" t="s">
        <v>959</v>
      </c>
      <c r="C1110" s="4" t="s">
        <v>17</v>
      </c>
      <c r="D1110" s="4" t="s">
        <v>942</v>
      </c>
      <c r="E1110" t="s">
        <v>872</v>
      </c>
      <c r="F1110" t="s">
        <v>256</v>
      </c>
      <c r="G1110" t="s">
        <v>714</v>
      </c>
      <c r="H1110">
        <v>25</v>
      </c>
      <c r="I1110">
        <v>5</v>
      </c>
      <c r="J1110" t="s">
        <v>13</v>
      </c>
      <c r="K1110" t="s">
        <v>17</v>
      </c>
      <c r="L1110" t="s">
        <v>874</v>
      </c>
      <c r="M1110" t="s">
        <v>12</v>
      </c>
      <c r="N1110" t="s">
        <v>12</v>
      </c>
      <c r="O1110"/>
      <c r="P1110">
        <f>0.4*0.4*0.008</f>
        <v>1.2800000000000003E-3</v>
      </c>
      <c r="Q1110"/>
      <c r="R1110"/>
      <c r="S1110"/>
      <c r="T1110">
        <v>4</v>
      </c>
      <c r="U1110"/>
      <c r="V1110"/>
      <c r="W1110">
        <v>7800</v>
      </c>
      <c r="X1110" t="s">
        <v>184</v>
      </c>
      <c r="Y1110"/>
      <c r="Z1110"/>
      <c r="AA1110" s="13">
        <f>Tableau8[[#This Row],[density (kg/m2) or specific weight (kg/m2)]]*Tableau8[[#This Row],[nb of item used ]]*Tableau8[[#This Row],[volume or area]]</f>
        <v>39.936000000000007</v>
      </c>
      <c r="AB1110">
        <v>25.3</v>
      </c>
      <c r="AC1110">
        <v>1.95</v>
      </c>
      <c r="AD1110" s="11">
        <f t="shared" si="306"/>
        <v>40.41523200000001</v>
      </c>
      <c r="AE1110" s="11">
        <f>_xlfn.RANK.AVG(Tableau8[[#This Row],[EE ( MJ/m²)]],AD1110:AD2265)</f>
        <v>13</v>
      </c>
      <c r="AF1110" s="11">
        <f t="shared" si="307"/>
        <v>8.0830464000000024</v>
      </c>
      <c r="AG1110" s="11">
        <f t="shared" si="310"/>
        <v>3.1150080000000004</v>
      </c>
      <c r="AH1110" s="11">
        <f t="shared" si="308"/>
        <v>3.1150080000000004</v>
      </c>
      <c r="AI1110" s="11">
        <f t="shared" si="311"/>
        <v>0.62300160000000004</v>
      </c>
      <c r="AJ1110" s="11">
        <f t="shared" si="309"/>
        <v>0.62300160000000004</v>
      </c>
    </row>
    <row r="1111" spans="1:36" s="20" customFormat="1" x14ac:dyDescent="0.25">
      <c r="A1111" s="4" t="s">
        <v>945</v>
      </c>
      <c r="B1111" s="4" t="s">
        <v>959</v>
      </c>
      <c r="C1111" s="4" t="s">
        <v>17</v>
      </c>
      <c r="D1111" s="4" t="s">
        <v>942</v>
      </c>
      <c r="E1111" t="s">
        <v>872</v>
      </c>
      <c r="F1111" t="s">
        <v>256</v>
      </c>
      <c r="G1111" t="s">
        <v>714</v>
      </c>
      <c r="H1111">
        <v>25</v>
      </c>
      <c r="I1111">
        <v>5</v>
      </c>
      <c r="J1111" t="s">
        <v>44</v>
      </c>
      <c r="K1111" t="s">
        <v>17</v>
      </c>
      <c r="L1111" t="s">
        <v>875</v>
      </c>
      <c r="M1111" t="s">
        <v>12</v>
      </c>
      <c r="N1111" t="s">
        <v>12</v>
      </c>
      <c r="O1111"/>
      <c r="P1111">
        <f>PI()*(0.0095^2)*0.6</f>
        <v>1.7011724219188727E-4</v>
      </c>
      <c r="Q1111"/>
      <c r="R1111"/>
      <c r="S1111"/>
      <c r="T1111">
        <v>24</v>
      </c>
      <c r="U1111"/>
      <c r="V1111"/>
      <c r="W1111">
        <v>7800</v>
      </c>
      <c r="X1111" t="s">
        <v>184</v>
      </c>
      <c r="Y1111"/>
      <c r="Z1111"/>
      <c r="AA1111" s="13">
        <f>Tableau8[[#This Row],[density (kg/m2) or specific weight (kg/m2)]]*Tableau8[[#This Row],[nb of item used ]]*Tableau8[[#This Row],[volume or area]]</f>
        <v>31.845947738321296</v>
      </c>
      <c r="AB1111">
        <v>25.3</v>
      </c>
      <c r="AC1111">
        <v>1.95</v>
      </c>
      <c r="AD1111" s="11">
        <f t="shared" si="306"/>
        <v>32.228099111181152</v>
      </c>
      <c r="AE1111" s="11">
        <f>_xlfn.RANK.AVG(Tableau8[[#This Row],[EE ( MJ/m²)]],AD1111:AD2266)</f>
        <v>14</v>
      </c>
      <c r="AF1111" s="11">
        <f t="shared" si="307"/>
        <v>6.44561982223623</v>
      </c>
      <c r="AG1111" s="11">
        <f t="shared" si="310"/>
        <v>2.4839839235890611</v>
      </c>
      <c r="AH1111" s="11">
        <f t="shared" si="308"/>
        <v>2.4839839235890611</v>
      </c>
      <c r="AI1111" s="11">
        <f t="shared" si="311"/>
        <v>0.49679678471781219</v>
      </c>
      <c r="AJ1111" s="11">
        <f t="shared" si="309"/>
        <v>0.49679678471781219</v>
      </c>
    </row>
    <row r="1112" spans="1:36" s="20" customFormat="1" x14ac:dyDescent="0.25">
      <c r="A1112" s="4" t="s">
        <v>945</v>
      </c>
      <c r="B1112" s="4" t="s">
        <v>959</v>
      </c>
      <c r="C1112" s="4" t="s">
        <v>17</v>
      </c>
      <c r="D1112" s="4" t="s">
        <v>942</v>
      </c>
      <c r="E1112" t="s">
        <v>872</v>
      </c>
      <c r="F1112" t="s">
        <v>256</v>
      </c>
      <c r="G1112" t="s">
        <v>714</v>
      </c>
      <c r="H1112">
        <v>25</v>
      </c>
      <c r="I1112">
        <v>5</v>
      </c>
      <c r="J1112" t="s">
        <v>40</v>
      </c>
      <c r="K1112" t="s">
        <v>17</v>
      </c>
      <c r="L1112" t="s">
        <v>876</v>
      </c>
      <c r="M1112" t="s">
        <v>12</v>
      </c>
      <c r="N1112" t="s">
        <v>91</v>
      </c>
      <c r="O1112"/>
      <c r="P1112">
        <f>(((0.15)+(2*0.05))*0.0016)*3.79</f>
        <v>1.516E-3</v>
      </c>
      <c r="Q1112"/>
      <c r="R1112"/>
      <c r="S1112"/>
      <c r="T1112">
        <v>2</v>
      </c>
      <c r="U1112"/>
      <c r="V1112"/>
      <c r="W1112">
        <v>7800</v>
      </c>
      <c r="X1112" t="s">
        <v>184</v>
      </c>
      <c r="Y1112"/>
      <c r="Z1112"/>
      <c r="AA1112" s="13">
        <f>Tableau8[[#This Row],[density (kg/m2) or specific weight (kg/m2)]]*Tableau8[[#This Row],[nb of item used ]]*Tableau8[[#This Row],[volume or area]]</f>
        <v>23.6496</v>
      </c>
      <c r="AB1112">
        <v>24.9</v>
      </c>
      <c r="AC1112">
        <v>1.94</v>
      </c>
      <c r="AD1112" s="11">
        <f t="shared" si="306"/>
        <v>23.555001599999997</v>
      </c>
      <c r="AE1112" s="11">
        <f>_xlfn.RANK.AVG(Tableau8[[#This Row],[EE ( MJ/m²)]],AD1112:AD2267)</f>
        <v>19</v>
      </c>
      <c r="AF1112" s="11">
        <f t="shared" si="307"/>
        <v>4.7110003199999992</v>
      </c>
      <c r="AG1112" s="11">
        <f t="shared" si="310"/>
        <v>1.8352089599999999</v>
      </c>
      <c r="AH1112" s="11">
        <f t="shared" si="308"/>
        <v>1.8352089599999999</v>
      </c>
      <c r="AI1112" s="11">
        <f t="shared" si="311"/>
        <v>0.36704179199999998</v>
      </c>
      <c r="AJ1112" s="11">
        <f t="shared" si="309"/>
        <v>0.36704179199999998</v>
      </c>
    </row>
    <row r="1113" spans="1:36" s="20" customFormat="1" x14ac:dyDescent="0.25">
      <c r="A1113" s="4" t="s">
        <v>945</v>
      </c>
      <c r="B1113" s="4" t="s">
        <v>959</v>
      </c>
      <c r="C1113" s="4" t="s">
        <v>17</v>
      </c>
      <c r="D1113" s="4" t="s">
        <v>942</v>
      </c>
      <c r="E1113" t="s">
        <v>872</v>
      </c>
      <c r="F1113" t="s">
        <v>256</v>
      </c>
      <c r="G1113" t="s">
        <v>714</v>
      </c>
      <c r="H1113">
        <v>25</v>
      </c>
      <c r="I1113">
        <v>5</v>
      </c>
      <c r="J1113" t="s">
        <v>40</v>
      </c>
      <c r="K1113" t="s">
        <v>17</v>
      </c>
      <c r="L1113" t="s">
        <v>877</v>
      </c>
      <c r="M1113" t="s">
        <v>12</v>
      </c>
      <c r="N1113" t="s">
        <v>91</v>
      </c>
      <c r="O1113"/>
      <c r="P1113">
        <f>(((0.1)+(2*0.1))*0.0016)*2.425</f>
        <v>1.1640000000000001E-3</v>
      </c>
      <c r="Q1113"/>
      <c r="R1113"/>
      <c r="S1113"/>
      <c r="T1113">
        <v>4</v>
      </c>
      <c r="U1113"/>
      <c r="V1113"/>
      <c r="W1113">
        <v>7800</v>
      </c>
      <c r="X1113" t="s">
        <v>184</v>
      </c>
      <c r="Y1113"/>
      <c r="Z1113"/>
      <c r="AA1113" s="13">
        <f>Tableau8[[#This Row],[density (kg/m2) or specific weight (kg/m2)]]*Tableau8[[#This Row],[nb of item used ]]*Tableau8[[#This Row],[volume or area]]</f>
        <v>36.316800000000001</v>
      </c>
      <c r="AB1113">
        <v>24.9</v>
      </c>
      <c r="AC1113">
        <v>1.94</v>
      </c>
      <c r="AD1113" s="11">
        <f t="shared" si="306"/>
        <v>36.171532800000001</v>
      </c>
      <c r="AE1113" s="11">
        <f>_xlfn.RANK.AVG(Tableau8[[#This Row],[EE ( MJ/m²)]],AD1113:AD2268)</f>
        <v>13</v>
      </c>
      <c r="AF1113" s="11">
        <f t="shared" si="307"/>
        <v>7.2343065600000003</v>
      </c>
      <c r="AG1113" s="11">
        <f t="shared" si="310"/>
        <v>2.8181836800000002</v>
      </c>
      <c r="AH1113" s="11">
        <f t="shared" si="308"/>
        <v>2.8181836800000002</v>
      </c>
      <c r="AI1113" s="11">
        <f t="shared" si="311"/>
        <v>0.56363673600000008</v>
      </c>
      <c r="AJ1113" s="11">
        <f t="shared" si="309"/>
        <v>0.56363673600000008</v>
      </c>
    </row>
    <row r="1114" spans="1:36" s="20" customFormat="1" x14ac:dyDescent="0.25">
      <c r="A1114" s="4" t="s">
        <v>945</v>
      </c>
      <c r="B1114" s="4" t="s">
        <v>959</v>
      </c>
      <c r="C1114" s="4" t="s">
        <v>17</v>
      </c>
      <c r="D1114" s="4" t="s">
        <v>942</v>
      </c>
      <c r="E1114" t="s">
        <v>872</v>
      </c>
      <c r="F1114" t="s">
        <v>256</v>
      </c>
      <c r="G1114" t="s">
        <v>714</v>
      </c>
      <c r="H1114">
        <v>25</v>
      </c>
      <c r="I1114">
        <v>5</v>
      </c>
      <c r="J1114" t="s">
        <v>57</v>
      </c>
      <c r="K1114" t="s">
        <v>17</v>
      </c>
      <c r="L1114" t="s">
        <v>878</v>
      </c>
      <c r="M1114" t="s">
        <v>12</v>
      </c>
      <c r="N1114" t="s">
        <v>91</v>
      </c>
      <c r="O1114"/>
      <c r="P1114">
        <f>(((0.15)+(2*0.05))*0.0016)*4.613</f>
        <v>1.8452000000000002E-3</v>
      </c>
      <c r="Q1114"/>
      <c r="R1114"/>
      <c r="S1114"/>
      <c r="T1114">
        <v>4</v>
      </c>
      <c r="U1114"/>
      <c r="V1114"/>
      <c r="W1114">
        <v>7800</v>
      </c>
      <c r="X1114" t="s">
        <v>184</v>
      </c>
      <c r="Y1114"/>
      <c r="Z1114"/>
      <c r="AA1114" s="13">
        <f>Tableau8[[#This Row],[density (kg/m2) or specific weight (kg/m2)]]*Tableau8[[#This Row],[nb of item used ]]*Tableau8[[#This Row],[volume or area]]</f>
        <v>57.570240000000005</v>
      </c>
      <c r="AB1114">
        <v>24.9</v>
      </c>
      <c r="AC1114">
        <v>1.94</v>
      </c>
      <c r="AD1114" s="11">
        <f t="shared" si="306"/>
        <v>57.339959040000004</v>
      </c>
      <c r="AE1114" s="11">
        <f>_xlfn.RANK.AVG(Tableau8[[#This Row],[EE ( MJ/m²)]],AD1114:AD2269)</f>
        <v>10</v>
      </c>
      <c r="AF1114" s="11">
        <f t="shared" si="307"/>
        <v>11.467991808000001</v>
      </c>
      <c r="AG1114" s="11">
        <f t="shared" si="310"/>
        <v>4.4674506240000005</v>
      </c>
      <c r="AH1114" s="11">
        <f t="shared" si="308"/>
        <v>4.4674506240000005</v>
      </c>
      <c r="AI1114" s="11">
        <f t="shared" si="311"/>
        <v>0.89349012480000012</v>
      </c>
      <c r="AJ1114" s="11">
        <f t="shared" si="309"/>
        <v>0.89349012480000012</v>
      </c>
    </row>
    <row r="1115" spans="1:36" s="20" customFormat="1" x14ac:dyDescent="0.25">
      <c r="A1115" s="4" t="s">
        <v>945</v>
      </c>
      <c r="B1115" s="4" t="s">
        <v>959</v>
      </c>
      <c r="C1115" s="4" t="s">
        <v>17</v>
      </c>
      <c r="D1115" s="4" t="s">
        <v>942</v>
      </c>
      <c r="E1115" t="s">
        <v>872</v>
      </c>
      <c r="F1115" t="s">
        <v>256</v>
      </c>
      <c r="G1115" t="s">
        <v>714</v>
      </c>
      <c r="H1115">
        <v>25</v>
      </c>
      <c r="I1115">
        <v>5</v>
      </c>
      <c r="J1115" t="s">
        <v>56</v>
      </c>
      <c r="K1115" t="s">
        <v>17</v>
      </c>
      <c r="L1115" t="s">
        <v>879</v>
      </c>
      <c r="M1115" t="s">
        <v>12</v>
      </c>
      <c r="N1115" t="s">
        <v>91</v>
      </c>
      <c r="O1115"/>
      <c r="P1115">
        <f>(((0.1)+(2*0.05))*0.0016)*3.205</f>
        <v>1.0256000000000002E-3</v>
      </c>
      <c r="Q1115"/>
      <c r="R1115"/>
      <c r="S1115"/>
      <c r="T1115">
        <v>4</v>
      </c>
      <c r="U1115"/>
      <c r="V1115"/>
      <c r="W1115">
        <v>7800</v>
      </c>
      <c r="X1115" t="s">
        <v>184</v>
      </c>
      <c r="Y1115"/>
      <c r="Z1115"/>
      <c r="AA1115" s="13">
        <f>Tableau8[[#This Row],[density (kg/m2) or specific weight (kg/m2)]]*Tableau8[[#This Row],[nb of item used ]]*Tableau8[[#This Row],[volume or area]]</f>
        <v>31.998720000000006</v>
      </c>
      <c r="AB1115">
        <v>24.9</v>
      </c>
      <c r="AC1115">
        <v>1.94</v>
      </c>
      <c r="AD1115" s="11">
        <f t="shared" si="306"/>
        <v>31.870725120000003</v>
      </c>
      <c r="AE1115" s="11">
        <f>_xlfn.RANK.AVG(Tableau8[[#This Row],[EE ( MJ/m²)]],AD1115:AD2270)</f>
        <v>12</v>
      </c>
      <c r="AF1115" s="11">
        <f t="shared" si="307"/>
        <v>6.3741450240000006</v>
      </c>
      <c r="AG1115" s="11">
        <f t="shared" si="310"/>
        <v>2.4831006720000004</v>
      </c>
      <c r="AH1115" s="11">
        <f t="shared" si="308"/>
        <v>2.4831006720000004</v>
      </c>
      <c r="AI1115" s="11">
        <f t="shared" si="311"/>
        <v>0.49662013440000008</v>
      </c>
      <c r="AJ1115" s="11">
        <f t="shared" si="309"/>
        <v>0.49662013440000008</v>
      </c>
    </row>
    <row r="1116" spans="1:36" s="20" customFormat="1" x14ac:dyDescent="0.25">
      <c r="A1116" s="4" t="s">
        <v>945</v>
      </c>
      <c r="B1116" s="4" t="s">
        <v>959</v>
      </c>
      <c r="C1116" s="4" t="s">
        <v>17</v>
      </c>
      <c r="D1116" s="4" t="s">
        <v>942</v>
      </c>
      <c r="E1116" t="s">
        <v>872</v>
      </c>
      <c r="F1116" t="s">
        <v>256</v>
      </c>
      <c r="G1116" t="s">
        <v>714</v>
      </c>
      <c r="H1116">
        <v>25</v>
      </c>
      <c r="I1116">
        <v>5</v>
      </c>
      <c r="J1116" t="s">
        <v>56</v>
      </c>
      <c r="K1116" t="s">
        <v>17</v>
      </c>
      <c r="L1116" t="s">
        <v>880</v>
      </c>
      <c r="M1116" t="s">
        <v>12</v>
      </c>
      <c r="N1116" t="s">
        <v>91</v>
      </c>
      <c r="O1116"/>
      <c r="P1116">
        <f>(((0.1)+(2*0.05))*0.0016)*2.79</f>
        <v>8.9280000000000013E-4</v>
      </c>
      <c r="Q1116"/>
      <c r="R1116"/>
      <c r="S1116"/>
      <c r="T1116">
        <v>4</v>
      </c>
      <c r="U1116"/>
      <c r="V1116"/>
      <c r="W1116">
        <v>7800</v>
      </c>
      <c r="X1116" t="s">
        <v>184</v>
      </c>
      <c r="Y1116"/>
      <c r="Z1116"/>
      <c r="AA1116" s="13">
        <f>Tableau8[[#This Row],[density (kg/m2) or specific weight (kg/m2)]]*Tableau8[[#This Row],[nb of item used ]]*Tableau8[[#This Row],[volume or area]]</f>
        <v>27.855360000000005</v>
      </c>
      <c r="AB1116">
        <v>24.9</v>
      </c>
      <c r="AC1116">
        <v>1.94</v>
      </c>
      <c r="AD1116" s="11">
        <f t="shared" si="306"/>
        <v>27.74393856</v>
      </c>
      <c r="AE1116" s="11">
        <f>_xlfn.RANK.AVG(Tableau8[[#This Row],[EE ( MJ/m²)]],AD1116:AD2271)</f>
        <v>13</v>
      </c>
      <c r="AF1116" s="11">
        <f t="shared" si="307"/>
        <v>5.5487877120000002</v>
      </c>
      <c r="AG1116" s="11">
        <f t="shared" si="310"/>
        <v>2.1615759360000002</v>
      </c>
      <c r="AH1116" s="11">
        <f t="shared" si="308"/>
        <v>2.1615759360000002</v>
      </c>
      <c r="AI1116" s="11">
        <f t="shared" si="311"/>
        <v>0.43231518720000006</v>
      </c>
      <c r="AJ1116" s="11">
        <f t="shared" si="309"/>
        <v>0.43231518720000006</v>
      </c>
    </row>
    <row r="1117" spans="1:36" s="20" customFormat="1" x14ac:dyDescent="0.25">
      <c r="A1117" s="4" t="s">
        <v>945</v>
      </c>
      <c r="B1117" s="4" t="s">
        <v>959</v>
      </c>
      <c r="C1117" s="4" t="s">
        <v>17</v>
      </c>
      <c r="D1117" s="4" t="s">
        <v>942</v>
      </c>
      <c r="E1117" t="s">
        <v>872</v>
      </c>
      <c r="F1117" t="s">
        <v>256</v>
      </c>
      <c r="G1117" t="s">
        <v>714</v>
      </c>
      <c r="H1117">
        <v>25</v>
      </c>
      <c r="I1117">
        <v>5</v>
      </c>
      <c r="J1117" t="s">
        <v>40</v>
      </c>
      <c r="K1117" t="s">
        <v>17</v>
      </c>
      <c r="L1117" t="s">
        <v>881</v>
      </c>
      <c r="M1117" t="s">
        <v>12</v>
      </c>
      <c r="N1117" t="s">
        <v>612</v>
      </c>
      <c r="O1117"/>
      <c r="P1117">
        <f>PI()*(0.00125^2)*1.2</f>
        <v>5.8904862254808615E-6</v>
      </c>
      <c r="Q1117"/>
      <c r="R1117"/>
      <c r="S1117"/>
      <c r="T1117">
        <v>16</v>
      </c>
      <c r="U1117"/>
      <c r="V1117"/>
      <c r="W1117">
        <v>7800</v>
      </c>
      <c r="X1117" t="s">
        <v>184</v>
      </c>
      <c r="Y1117"/>
      <c r="Z1117"/>
      <c r="AA1117" s="13">
        <f>Tableau8[[#This Row],[density (kg/m2) or specific weight (kg/m2)]]*Tableau8[[#This Row],[nb of item used ]]*Tableau8[[#This Row],[volume or area]]</f>
        <v>0.7351326809400115</v>
      </c>
      <c r="AB1117">
        <v>24.9</v>
      </c>
      <c r="AC1117">
        <v>1.94</v>
      </c>
      <c r="AD1117" s="11">
        <f t="shared" si="306"/>
        <v>0.7321921502162515</v>
      </c>
      <c r="AE1117" s="11">
        <f>_xlfn.RANK.AVG(Tableau8[[#This Row],[EE ( MJ/m²)]],AD1117:AD2272)</f>
        <v>41</v>
      </c>
      <c r="AF1117" s="11">
        <f t="shared" si="307"/>
        <v>0.1464384300432503</v>
      </c>
      <c r="AG1117" s="11">
        <f t="shared" si="310"/>
        <v>5.704629604094489E-2</v>
      </c>
      <c r="AH1117" s="11">
        <f t="shared" si="308"/>
        <v>5.704629604094489E-2</v>
      </c>
      <c r="AI1117" s="11">
        <f t="shared" si="311"/>
        <v>1.1409259208188978E-2</v>
      </c>
      <c r="AJ1117" s="11">
        <f t="shared" si="309"/>
        <v>1.1409259208188978E-2</v>
      </c>
    </row>
    <row r="1118" spans="1:36" s="20" customFormat="1" x14ac:dyDescent="0.25">
      <c r="A1118" s="4" t="s">
        <v>945</v>
      </c>
      <c r="B1118" s="4" t="s">
        <v>959</v>
      </c>
      <c r="C1118" s="4" t="s">
        <v>17</v>
      </c>
      <c r="D1118" s="4" t="s">
        <v>942</v>
      </c>
      <c r="E1118" t="s">
        <v>872</v>
      </c>
      <c r="F1118" t="s">
        <v>256</v>
      </c>
      <c r="G1118" t="s">
        <v>714</v>
      </c>
      <c r="H1118">
        <v>25</v>
      </c>
      <c r="I1118">
        <v>5</v>
      </c>
      <c r="J1118" t="s">
        <v>57</v>
      </c>
      <c r="K1118" t="s">
        <v>17</v>
      </c>
      <c r="L1118" t="s">
        <v>882</v>
      </c>
      <c r="M1118" t="s">
        <v>12</v>
      </c>
      <c r="N1118" t="s">
        <v>91</v>
      </c>
      <c r="O1118"/>
      <c r="P1118">
        <f>(((0.1)+(2*0.05))*0.0016)*3.79</f>
        <v>1.2128000000000002E-3</v>
      </c>
      <c r="Q1118"/>
      <c r="R1118"/>
      <c r="S1118"/>
      <c r="T1118">
        <v>8</v>
      </c>
      <c r="U1118"/>
      <c r="V1118"/>
      <c r="W1118">
        <v>7800</v>
      </c>
      <c r="X1118" t="s">
        <v>184</v>
      </c>
      <c r="Y1118"/>
      <c r="Z1118"/>
      <c r="AA1118" s="13">
        <f>Tableau8[[#This Row],[density (kg/m2) or specific weight (kg/m2)]]*Tableau8[[#This Row],[nb of item used ]]*Tableau8[[#This Row],[volume or area]]</f>
        <v>75.678720000000013</v>
      </c>
      <c r="AB1118">
        <v>24.9</v>
      </c>
      <c r="AC1118">
        <v>1.94</v>
      </c>
      <c r="AD1118" s="11">
        <f t="shared" si="306"/>
        <v>75.376005120000002</v>
      </c>
      <c r="AE1118" s="11">
        <f>_xlfn.RANK.AVG(Tableau8[[#This Row],[EE ( MJ/m²)]],AD1118:AD2273)</f>
        <v>8</v>
      </c>
      <c r="AF1118" s="11">
        <f t="shared" si="307"/>
        <v>15.075201024</v>
      </c>
      <c r="AG1118" s="11">
        <f t="shared" si="310"/>
        <v>5.8726686720000005</v>
      </c>
      <c r="AH1118" s="11">
        <f t="shared" si="308"/>
        <v>5.8726686720000005</v>
      </c>
      <c r="AI1118" s="11">
        <f t="shared" si="311"/>
        <v>1.1745337344000002</v>
      </c>
      <c r="AJ1118" s="11">
        <f t="shared" si="309"/>
        <v>1.1745337344000002</v>
      </c>
    </row>
    <row r="1119" spans="1:36" x14ac:dyDescent="0.25">
      <c r="A1119" s="4" t="s">
        <v>945</v>
      </c>
      <c r="B1119" s="4" t="s">
        <v>959</v>
      </c>
      <c r="C1119" s="4" t="s">
        <v>17</v>
      </c>
      <c r="D1119" s="4" t="s">
        <v>942</v>
      </c>
      <c r="E1119" t="s">
        <v>872</v>
      </c>
      <c r="F1119" t="s">
        <v>256</v>
      </c>
      <c r="G1119" t="s">
        <v>714</v>
      </c>
      <c r="H1119">
        <v>25</v>
      </c>
      <c r="I1119">
        <v>5</v>
      </c>
      <c r="J1119" t="s">
        <v>57</v>
      </c>
      <c r="K1119" t="s">
        <v>17</v>
      </c>
      <c r="L1119" t="s">
        <v>883</v>
      </c>
      <c r="M1119" t="s">
        <v>12</v>
      </c>
      <c r="N1119" t="s">
        <v>91</v>
      </c>
      <c r="P1119">
        <f>(((0.1)+(2*0.05))*0.0016)*3.79</f>
        <v>1.2128000000000002E-3</v>
      </c>
      <c r="T1119">
        <v>14</v>
      </c>
      <c r="W1119">
        <v>7800</v>
      </c>
      <c r="X1119" t="s">
        <v>184</v>
      </c>
      <c r="AA1119" s="13">
        <f>Tableau8[[#This Row],[density (kg/m2) or specific weight (kg/m2)]]*Tableau8[[#This Row],[nb of item used ]]*Tableau8[[#This Row],[volume or area]]</f>
        <v>132.43776000000003</v>
      </c>
      <c r="AB1119">
        <v>24.9</v>
      </c>
      <c r="AC1119">
        <v>1.94</v>
      </c>
      <c r="AD1119" s="11">
        <f t="shared" si="306"/>
        <v>131.90800896000002</v>
      </c>
      <c r="AE1119" s="11">
        <f>_xlfn.RANK.AVG(Tableau8[[#This Row],[EE ( MJ/m²)]],AD1119:AD2274)</f>
        <v>4</v>
      </c>
      <c r="AF1119" s="11">
        <f t="shared" si="307"/>
        <v>26.381601792000005</v>
      </c>
      <c r="AG1119" s="11">
        <f t="shared" si="310"/>
        <v>10.277170176000002</v>
      </c>
      <c r="AH1119" s="11">
        <f t="shared" si="308"/>
        <v>10.277170176000002</v>
      </c>
      <c r="AI1119" s="11">
        <f t="shared" si="311"/>
        <v>2.0554340352000002</v>
      </c>
      <c r="AJ1119" s="11">
        <f t="shared" si="309"/>
        <v>2.0554340352000002</v>
      </c>
    </row>
    <row r="1120" spans="1:36" s="20" customFormat="1" x14ac:dyDescent="0.25">
      <c r="A1120" s="4" t="s">
        <v>945</v>
      </c>
      <c r="B1120" s="4" t="s">
        <v>959</v>
      </c>
      <c r="C1120" s="4" t="s">
        <v>17</v>
      </c>
      <c r="D1120" s="4" t="s">
        <v>942</v>
      </c>
      <c r="E1120" t="s">
        <v>872</v>
      </c>
      <c r="F1120" t="s">
        <v>256</v>
      </c>
      <c r="G1120" t="s">
        <v>714</v>
      </c>
      <c r="H1120">
        <v>25</v>
      </c>
      <c r="I1120">
        <v>5</v>
      </c>
      <c r="J1120" t="s">
        <v>56</v>
      </c>
      <c r="K1120" t="s">
        <v>17</v>
      </c>
      <c r="L1120" t="s">
        <v>884</v>
      </c>
      <c r="M1120" t="s">
        <v>12</v>
      </c>
      <c r="N1120" t="s">
        <v>12</v>
      </c>
      <c r="O1120"/>
      <c r="P1120">
        <f>(0.246*0.002)*5.68</f>
        <v>2.7945600000000002E-3</v>
      </c>
      <c r="Q1120"/>
      <c r="R1120"/>
      <c r="S1120"/>
      <c r="T1120">
        <v>6</v>
      </c>
      <c r="U1120"/>
      <c r="V1120"/>
      <c r="W1120">
        <v>7800</v>
      </c>
      <c r="X1120" t="s">
        <v>184</v>
      </c>
      <c r="Y1120"/>
      <c r="Z1120"/>
      <c r="AA1120" s="13">
        <f>Tableau8[[#This Row],[density (kg/m2) or specific weight (kg/m2)]]*Tableau8[[#This Row],[nb of item used ]]*Tableau8[[#This Row],[volume or area]]</f>
        <v>130.78540800000002</v>
      </c>
      <c r="AB1120">
        <v>25.3</v>
      </c>
      <c r="AC1120">
        <v>1.95</v>
      </c>
      <c r="AD1120" s="11">
        <f t="shared" si="306"/>
        <v>132.35483289600003</v>
      </c>
      <c r="AE1120" s="11">
        <f>_xlfn.RANK.AVG(Tableau8[[#This Row],[EE ( MJ/m²)]],AD1120:AD2275)</f>
        <v>3</v>
      </c>
      <c r="AF1120" s="11">
        <f t="shared" si="307"/>
        <v>26.470966579200006</v>
      </c>
      <c r="AG1120" s="11">
        <f t="shared" si="310"/>
        <v>10.201261824000001</v>
      </c>
      <c r="AH1120" s="11">
        <f t="shared" si="308"/>
        <v>10.201261824000001</v>
      </c>
      <c r="AI1120" s="11">
        <f t="shared" si="311"/>
        <v>2.0402523648000002</v>
      </c>
      <c r="AJ1120" s="11">
        <f t="shared" si="309"/>
        <v>2.0402523648000002</v>
      </c>
    </row>
    <row r="1121" spans="1:36" x14ac:dyDescent="0.25">
      <c r="A1121" s="4" t="s">
        <v>945</v>
      </c>
      <c r="B1121" s="4" t="s">
        <v>959</v>
      </c>
      <c r="C1121" s="4" t="s">
        <v>17</v>
      </c>
      <c r="D1121" s="4" t="s">
        <v>942</v>
      </c>
      <c r="E1121" t="s">
        <v>872</v>
      </c>
      <c r="F1121" t="s">
        <v>256</v>
      </c>
      <c r="G1121" t="s">
        <v>714</v>
      </c>
      <c r="H1121">
        <v>25</v>
      </c>
      <c r="I1121">
        <v>5</v>
      </c>
      <c r="J1121" t="s">
        <v>56</v>
      </c>
      <c r="K1121" t="s">
        <v>17</v>
      </c>
      <c r="L1121" t="s">
        <v>885</v>
      </c>
      <c r="M1121" t="s">
        <v>12</v>
      </c>
      <c r="N1121" t="s">
        <v>12</v>
      </c>
      <c r="P1121">
        <f>0.74*3.44*0.00035</f>
        <v>8.9095999999999999E-4</v>
      </c>
      <c r="T1121">
        <v>16</v>
      </c>
      <c r="W1121">
        <v>7800</v>
      </c>
      <c r="X1121" t="s">
        <v>184</v>
      </c>
      <c r="AA1121" s="13">
        <f>Tableau8[[#This Row],[density (kg/m2) or specific weight (kg/m2)]]*Tableau8[[#This Row],[nb of item used ]]*Tableau8[[#This Row],[volume or area]]</f>
        <v>111.19180799999999</v>
      </c>
      <c r="AB1121">
        <v>25.3</v>
      </c>
      <c r="AC1121">
        <v>1.95</v>
      </c>
      <c r="AD1121" s="11">
        <f t="shared" si="306"/>
        <v>112.52610969600001</v>
      </c>
      <c r="AE1121" s="11">
        <f>_xlfn.RANK.AVG(Tableau8[[#This Row],[EE ( MJ/m²)]],AD1121:AD2276)</f>
        <v>3</v>
      </c>
      <c r="AF1121" s="11">
        <f t="shared" si="307"/>
        <v>22.505221939200002</v>
      </c>
      <c r="AG1121" s="11">
        <f t="shared" si="310"/>
        <v>8.6729610239999992</v>
      </c>
      <c r="AH1121" s="11">
        <f t="shared" si="308"/>
        <v>8.6729610239999992</v>
      </c>
      <c r="AI1121" s="11">
        <f t="shared" si="311"/>
        <v>1.7345922047999998</v>
      </c>
      <c r="AJ1121" s="11">
        <f t="shared" si="309"/>
        <v>1.7345922047999998</v>
      </c>
    </row>
    <row r="1122" spans="1:36" x14ac:dyDescent="0.25">
      <c r="A1122" s="4" t="s">
        <v>945</v>
      </c>
      <c r="B1122" s="4" t="s">
        <v>959</v>
      </c>
      <c r="C1122" s="4" t="s">
        <v>17</v>
      </c>
      <c r="D1122" s="4" t="s">
        <v>942</v>
      </c>
      <c r="E1122" t="s">
        <v>872</v>
      </c>
      <c r="F1122" t="s">
        <v>256</v>
      </c>
      <c r="G1122" t="s">
        <v>714</v>
      </c>
      <c r="H1122">
        <v>25</v>
      </c>
      <c r="I1122">
        <v>5</v>
      </c>
      <c r="J1122" t="s">
        <v>56</v>
      </c>
      <c r="K1122" t="s">
        <v>17</v>
      </c>
      <c r="L1122" t="s">
        <v>889</v>
      </c>
      <c r="M1122" t="s">
        <v>12</v>
      </c>
      <c r="N1122" t="s">
        <v>12</v>
      </c>
      <c r="P1122">
        <f>0.457*0.0005*4.675</f>
        <v>1.0682375E-3</v>
      </c>
      <c r="T1122">
        <v>1</v>
      </c>
      <c r="W1122">
        <v>7800</v>
      </c>
      <c r="X1122" t="s">
        <v>184</v>
      </c>
      <c r="AA1122" s="13">
        <f>Tableau8[[#This Row],[density (kg/m2) or specific weight (kg/m2)]]*Tableau8[[#This Row],[nb of item used ]]*Tableau8[[#This Row],[volume or area]]</f>
        <v>8.3322525000000009</v>
      </c>
      <c r="AB1122">
        <v>25.3</v>
      </c>
      <c r="AC1122">
        <v>1.95</v>
      </c>
      <c r="AD1122" s="11">
        <f t="shared" si="306"/>
        <v>8.4322395300000021</v>
      </c>
      <c r="AE1122" s="11">
        <f>_xlfn.RANK.AVG(Tableau8[[#This Row],[EE ( MJ/m²)]],AD1122:AD2277)</f>
        <v>26</v>
      </c>
      <c r="AF1122" s="11">
        <f t="shared" si="307"/>
        <v>1.6864479060000004</v>
      </c>
      <c r="AG1122" s="11">
        <f t="shared" si="310"/>
        <v>0.64991569500000013</v>
      </c>
      <c r="AH1122" s="11">
        <f t="shared" si="308"/>
        <v>0.64991569500000013</v>
      </c>
      <c r="AI1122" s="11">
        <f t="shared" si="311"/>
        <v>0.12998313900000003</v>
      </c>
      <c r="AJ1122" s="11">
        <f t="shared" si="309"/>
        <v>0.12998313900000003</v>
      </c>
    </row>
    <row r="1123" spans="1:36" x14ac:dyDescent="0.25">
      <c r="A1123" s="4" t="s">
        <v>945</v>
      </c>
      <c r="B1123" s="4" t="s">
        <v>959</v>
      </c>
      <c r="C1123" s="4" t="s">
        <v>17</v>
      </c>
      <c r="D1123" s="4" t="s">
        <v>942</v>
      </c>
      <c r="E1123" t="s">
        <v>872</v>
      </c>
      <c r="F1123" t="s">
        <v>256</v>
      </c>
      <c r="G1123" t="s">
        <v>714</v>
      </c>
      <c r="H1123">
        <v>25</v>
      </c>
      <c r="I1123">
        <v>5</v>
      </c>
      <c r="J1123" t="s">
        <v>44</v>
      </c>
      <c r="K1123" t="s">
        <v>17</v>
      </c>
      <c r="L1123" t="s">
        <v>890</v>
      </c>
      <c r="M1123" t="s">
        <v>12</v>
      </c>
      <c r="N1123" t="s">
        <v>12</v>
      </c>
      <c r="P1123">
        <f>0.458*0.0005*2.028</f>
        <v>4.6441200000000004E-4</v>
      </c>
      <c r="T1123">
        <v>3</v>
      </c>
      <c r="W1123">
        <v>7800</v>
      </c>
      <c r="X1123" t="s">
        <v>184</v>
      </c>
      <c r="AA1123" s="13">
        <f>Tableau8[[#This Row],[density (kg/m2) or specific weight (kg/m2)]]*Tableau8[[#This Row],[nb of item used ]]*Tableau8[[#This Row],[volume or area]]</f>
        <v>10.867240800000001</v>
      </c>
      <c r="AB1123">
        <v>25.3</v>
      </c>
      <c r="AC1123">
        <v>1.95</v>
      </c>
      <c r="AD1123" s="11">
        <f t="shared" si="306"/>
        <v>10.997647689600001</v>
      </c>
      <c r="AE1123" s="11">
        <f>_xlfn.RANK.AVG(Tableau8[[#This Row],[EE ( MJ/m²)]],AD1123:AD2278)</f>
        <v>21</v>
      </c>
      <c r="AF1123" s="11">
        <f t="shared" si="307"/>
        <v>2.1995295379200002</v>
      </c>
      <c r="AG1123" s="11">
        <f t="shared" si="310"/>
        <v>0.84764478240000007</v>
      </c>
      <c r="AH1123" s="11">
        <f t="shared" si="308"/>
        <v>0.84764478240000007</v>
      </c>
      <c r="AI1123" s="11">
        <f t="shared" si="311"/>
        <v>0.16952895648000002</v>
      </c>
      <c r="AJ1123" s="11">
        <f t="shared" si="309"/>
        <v>0.16952895648000002</v>
      </c>
    </row>
    <row r="1124" spans="1:36" x14ac:dyDescent="0.25">
      <c r="A1124" s="4" t="s">
        <v>945</v>
      </c>
      <c r="B1124" s="4" t="s">
        <v>959</v>
      </c>
      <c r="C1124" s="4" t="s">
        <v>17</v>
      </c>
      <c r="D1124" s="4" t="s">
        <v>942</v>
      </c>
      <c r="E1124" t="s">
        <v>872</v>
      </c>
      <c r="F1124" t="s">
        <v>256</v>
      </c>
      <c r="G1124" t="s">
        <v>714</v>
      </c>
      <c r="H1124">
        <v>25</v>
      </c>
      <c r="I1124">
        <v>5</v>
      </c>
      <c r="J1124" t="s">
        <v>44</v>
      </c>
      <c r="K1124" t="s">
        <v>17</v>
      </c>
      <c r="L1124" t="s">
        <v>891</v>
      </c>
      <c r="M1124" t="s">
        <v>12</v>
      </c>
      <c r="N1124" t="s">
        <v>12</v>
      </c>
      <c r="T1124">
        <v>1</v>
      </c>
      <c r="W1124">
        <v>7800</v>
      </c>
      <c r="X1124" t="s">
        <v>184</v>
      </c>
      <c r="AA1124" s="13">
        <f>172*(0.067+0.017)</f>
        <v>14.448</v>
      </c>
      <c r="AB1124">
        <v>25.3</v>
      </c>
      <c r="AC1124">
        <v>1.95</v>
      </c>
      <c r="AD1124" s="11">
        <f t="shared" si="306"/>
        <v>14.621376</v>
      </c>
      <c r="AE1124" s="11">
        <f>_xlfn.RANK.AVG(Tableau8[[#This Row],[EE ( MJ/m²)]],AD1124:AD2279)</f>
        <v>18</v>
      </c>
      <c r="AF1124" s="11">
        <f t="shared" si="307"/>
        <v>2.9242751999999999</v>
      </c>
      <c r="AG1124" s="11">
        <f t="shared" si="310"/>
        <v>1.1269439999999999</v>
      </c>
      <c r="AH1124" s="11">
        <f t="shared" si="308"/>
        <v>1.1269439999999999</v>
      </c>
      <c r="AI1124" s="11">
        <f t="shared" si="311"/>
        <v>0.2253888</v>
      </c>
      <c r="AJ1124" s="11">
        <f t="shared" si="309"/>
        <v>0.2253888</v>
      </c>
    </row>
    <row r="1125" spans="1:36" x14ac:dyDescent="0.25">
      <c r="A1125" s="4" t="s">
        <v>945</v>
      </c>
      <c r="B1125" s="4" t="s">
        <v>959</v>
      </c>
      <c r="C1125" s="4" t="s">
        <v>17</v>
      </c>
      <c r="D1125" s="4" t="s">
        <v>942</v>
      </c>
      <c r="E1125" t="s">
        <v>872</v>
      </c>
      <c r="F1125" t="s">
        <v>256</v>
      </c>
      <c r="G1125" t="s">
        <v>714</v>
      </c>
      <c r="H1125">
        <v>25</v>
      </c>
      <c r="I1125">
        <v>5</v>
      </c>
      <c r="J1125" t="s">
        <v>44</v>
      </c>
      <c r="K1125" t="s">
        <v>17</v>
      </c>
      <c r="L1125" t="s">
        <v>892</v>
      </c>
      <c r="M1125" t="s">
        <v>12</v>
      </c>
      <c r="N1125" t="s">
        <v>12</v>
      </c>
      <c r="T1125">
        <v>1</v>
      </c>
      <c r="W1125">
        <v>7800</v>
      </c>
      <c r="X1125" t="s">
        <v>184</v>
      </c>
      <c r="AA1125" s="13">
        <f>(0.094+0.022)*28</f>
        <v>3.2479999999999998</v>
      </c>
      <c r="AB1125">
        <v>25.3</v>
      </c>
      <c r="AC1125">
        <v>1.95</v>
      </c>
      <c r="AD1125" s="11">
        <f t="shared" si="306"/>
        <v>3.2869759999999997</v>
      </c>
      <c r="AE1125" s="11">
        <f>_xlfn.RANK.AVG(Tableau8[[#This Row],[EE ( MJ/m²)]],AD1125:AD2280)</f>
        <v>28</v>
      </c>
      <c r="AF1125" s="11">
        <f t="shared" si="307"/>
        <v>0.65739519999999996</v>
      </c>
      <c r="AG1125" s="11">
        <f t="shared" si="310"/>
        <v>0.25334400000000001</v>
      </c>
      <c r="AH1125" s="11">
        <f t="shared" si="308"/>
        <v>0.25334400000000001</v>
      </c>
      <c r="AI1125" s="11">
        <f t="shared" si="311"/>
        <v>5.06688E-2</v>
      </c>
      <c r="AJ1125" s="11">
        <f t="shared" si="309"/>
        <v>5.06688E-2</v>
      </c>
    </row>
    <row r="1126" spans="1:36" x14ac:dyDescent="0.25">
      <c r="A1126" s="4" t="s">
        <v>945</v>
      </c>
      <c r="B1126" s="4" t="s">
        <v>959</v>
      </c>
      <c r="C1126" s="4" t="s">
        <v>17</v>
      </c>
      <c r="D1126" s="4" t="s">
        <v>942</v>
      </c>
      <c r="E1126" t="s">
        <v>872</v>
      </c>
      <c r="F1126" t="s">
        <v>256</v>
      </c>
      <c r="G1126" t="s">
        <v>714</v>
      </c>
      <c r="H1126">
        <v>25</v>
      </c>
      <c r="I1126">
        <v>5</v>
      </c>
      <c r="J1126" t="s">
        <v>44</v>
      </c>
      <c r="K1126" t="s">
        <v>17</v>
      </c>
      <c r="L1126" t="s">
        <v>893</v>
      </c>
      <c r="M1126" t="s">
        <v>12</v>
      </c>
      <c r="N1126" t="s">
        <v>12</v>
      </c>
      <c r="T1126">
        <v>1</v>
      </c>
      <c r="W1126">
        <v>7800</v>
      </c>
      <c r="X1126" t="s">
        <v>184</v>
      </c>
      <c r="AA1126" s="13">
        <v>4.5</v>
      </c>
      <c r="AB1126">
        <v>25.3</v>
      </c>
      <c r="AC1126">
        <v>1.95</v>
      </c>
      <c r="AD1126" s="11">
        <f t="shared" si="306"/>
        <v>4.5540000000000003</v>
      </c>
      <c r="AE1126" s="11">
        <f>_xlfn.RANK.AVG(Tableau8[[#This Row],[EE ( MJ/m²)]],AD1126:AD2281)</f>
        <v>27</v>
      </c>
      <c r="AF1126" s="11">
        <f t="shared" si="307"/>
        <v>0.91080000000000005</v>
      </c>
      <c r="AG1126" s="11">
        <f t="shared" si="310"/>
        <v>0.35100000000000003</v>
      </c>
      <c r="AH1126" s="11">
        <f t="shared" si="308"/>
        <v>0.35100000000000003</v>
      </c>
      <c r="AI1126" s="11">
        <f t="shared" si="311"/>
        <v>7.0200000000000012E-2</v>
      </c>
      <c r="AJ1126" s="11">
        <f t="shared" si="309"/>
        <v>7.0200000000000012E-2</v>
      </c>
    </row>
    <row r="1127" spans="1:36" x14ac:dyDescent="0.25">
      <c r="A1127" s="4" t="s">
        <v>945</v>
      </c>
      <c r="B1127" s="4" t="s">
        <v>959</v>
      </c>
      <c r="C1127" s="4" t="s">
        <v>17</v>
      </c>
      <c r="D1127" s="4" t="s">
        <v>942</v>
      </c>
      <c r="E1127" t="s">
        <v>872</v>
      </c>
      <c r="F1127" t="s">
        <v>256</v>
      </c>
      <c r="G1127" t="s">
        <v>714</v>
      </c>
      <c r="H1127">
        <v>25</v>
      </c>
      <c r="I1127">
        <v>5</v>
      </c>
      <c r="J1127" t="s">
        <v>44</v>
      </c>
      <c r="K1127" t="s">
        <v>17</v>
      </c>
      <c r="L1127" t="s">
        <v>868</v>
      </c>
      <c r="M1127" t="s">
        <v>12</v>
      </c>
      <c r="N1127" t="s">
        <v>12</v>
      </c>
      <c r="T1127">
        <v>1</v>
      </c>
      <c r="W1127">
        <v>7800</v>
      </c>
      <c r="X1127" t="s">
        <v>184</v>
      </c>
      <c r="AA1127" s="13">
        <v>3</v>
      </c>
      <c r="AB1127">
        <v>25.3</v>
      </c>
      <c r="AC1127">
        <v>1.95</v>
      </c>
      <c r="AD1127" s="11">
        <f t="shared" si="306"/>
        <v>3.036</v>
      </c>
      <c r="AE1127" s="11">
        <f>_xlfn.RANK.AVG(Tableau8[[#This Row],[EE ( MJ/m²)]],AD1127:AD2282)</f>
        <v>27</v>
      </c>
      <c r="AF1127" s="11">
        <f t="shared" si="307"/>
        <v>0.60719999999999996</v>
      </c>
      <c r="AG1127" s="11">
        <f t="shared" si="310"/>
        <v>0.23399999999999999</v>
      </c>
      <c r="AH1127" s="11">
        <f t="shared" si="308"/>
        <v>0.23399999999999999</v>
      </c>
      <c r="AI1127" s="11">
        <f t="shared" si="311"/>
        <v>4.6799999999999994E-2</v>
      </c>
      <c r="AJ1127" s="11">
        <f t="shared" si="309"/>
        <v>4.6799999999999994E-2</v>
      </c>
    </row>
    <row r="1128" spans="1:36" x14ac:dyDescent="0.25">
      <c r="A1128" s="4" t="s">
        <v>945</v>
      </c>
      <c r="B1128" s="4" t="s">
        <v>960</v>
      </c>
      <c r="C1128" s="4" t="s">
        <v>17</v>
      </c>
      <c r="D1128" s="4" t="s">
        <v>942</v>
      </c>
      <c r="E1128" t="s">
        <v>894</v>
      </c>
      <c r="F1128" t="s">
        <v>256</v>
      </c>
      <c r="G1128" t="s">
        <v>895</v>
      </c>
      <c r="H1128">
        <f t="shared" ref="H1128:H1157" si="312">3.6*7.2</f>
        <v>25.92</v>
      </c>
      <c r="I1128">
        <v>5</v>
      </c>
      <c r="J1128" t="s">
        <v>57</v>
      </c>
      <c r="K1128" t="s">
        <v>15</v>
      </c>
      <c r="L1128" t="s">
        <v>916</v>
      </c>
      <c r="M1128" t="s">
        <v>15</v>
      </c>
      <c r="N1128" t="s">
        <v>252</v>
      </c>
      <c r="P1128">
        <f>90*0.0125</f>
        <v>1.125</v>
      </c>
      <c r="Q1128" t="s">
        <v>180</v>
      </c>
      <c r="T1128">
        <v>1</v>
      </c>
      <c r="W1128">
        <v>540</v>
      </c>
      <c r="AA1128" s="13">
        <f>Tableau8[[#This Row],[nb of item used ]]*Tableau8[[#This Row],[density (kg/m2) or specific weight (kg/m2)]]*Tableau8[[#This Row],[volume or area]]</f>
        <v>607.5</v>
      </c>
      <c r="AB1128">
        <f>15-7.1</f>
        <v>7.9</v>
      </c>
      <c r="AC1128">
        <f>0.45+0.65</f>
        <v>1.1000000000000001</v>
      </c>
      <c r="AD1128" s="11">
        <f t="shared" si="306"/>
        <v>185.15625</v>
      </c>
      <c r="AE1128" s="11">
        <f>_xlfn.RANK.AVG(Tableau8[[#This Row],[EE ( MJ/m²)]],AD1128:AD2283)</f>
        <v>1</v>
      </c>
      <c r="AF1128" s="11">
        <f t="shared" si="307"/>
        <v>37.03125</v>
      </c>
      <c r="AG1128" s="11">
        <f>(AC1128-0.65)*AA1128/H1128</f>
        <v>10.546875000000002</v>
      </c>
      <c r="AH1128" s="11">
        <f t="shared" si="308"/>
        <v>25.78125</v>
      </c>
      <c r="AI1128" s="11">
        <f>(AC1128-0.65)*AA1128/H1128/I1128</f>
        <v>2.1093750000000004</v>
      </c>
      <c r="AJ1128" s="11">
        <f t="shared" si="309"/>
        <v>5.15625</v>
      </c>
    </row>
    <row r="1129" spans="1:36" s="20" customFormat="1" x14ac:dyDescent="0.25">
      <c r="A1129" s="4" t="s">
        <v>945</v>
      </c>
      <c r="B1129" s="4" t="s">
        <v>960</v>
      </c>
      <c r="C1129" s="4" t="s">
        <v>17</v>
      </c>
      <c r="D1129" s="4" t="s">
        <v>942</v>
      </c>
      <c r="E1129" t="s">
        <v>894</v>
      </c>
      <c r="F1129" t="s">
        <v>256</v>
      </c>
      <c r="G1129" t="s">
        <v>895</v>
      </c>
      <c r="H1129">
        <f t="shared" si="312"/>
        <v>25.92</v>
      </c>
      <c r="I1129">
        <v>5</v>
      </c>
      <c r="J1129" t="s">
        <v>44</v>
      </c>
      <c r="K1129" t="s">
        <v>15</v>
      </c>
      <c r="L1129" t="s">
        <v>920</v>
      </c>
      <c r="M1129" t="s">
        <v>15</v>
      </c>
      <c r="N1129" t="s">
        <v>15</v>
      </c>
      <c r="O1129"/>
      <c r="P1129">
        <f>0.03*0.03*3.79</f>
        <v>3.411E-3</v>
      </c>
      <c r="Q1129"/>
      <c r="R1129"/>
      <c r="S1129"/>
      <c r="T1129">
        <v>6</v>
      </c>
      <c r="U1129"/>
      <c r="V1129"/>
      <c r="W1129">
        <v>510</v>
      </c>
      <c r="X1129" t="s">
        <v>184</v>
      </c>
      <c r="Y1129"/>
      <c r="Z1129"/>
      <c r="AA1129" s="13">
        <f>Tableau8[[#This Row],[nb of item used ]]*Tableau8[[#This Row],[density (kg/m2) or specific weight (kg/m2)]]*Tableau8[[#This Row],[volume or area]]</f>
        <v>10.437659999999999</v>
      </c>
      <c r="AB1129">
        <f>10-4.4</f>
        <v>5.6</v>
      </c>
      <c r="AC1129">
        <f>0.31+0.41</f>
        <v>0.72</v>
      </c>
      <c r="AD1129" s="11">
        <f t="shared" si="306"/>
        <v>2.2550499999999998</v>
      </c>
      <c r="AE1129" s="11">
        <f>_xlfn.RANK.AVG(Tableau8[[#This Row],[EE ( MJ/m²)]],AD1129:AD2284)</f>
        <v>27</v>
      </c>
      <c r="AF1129" s="11">
        <f t="shared" si="307"/>
        <v>0.45100999999999997</v>
      </c>
      <c r="AG1129" s="11">
        <f>(AC1129-0.41)*AA1129/H1129</f>
        <v>0.12483312499999999</v>
      </c>
      <c r="AH1129" s="11">
        <f t="shared" si="308"/>
        <v>0.28993499999999994</v>
      </c>
      <c r="AI1129" s="11">
        <f>(AC1129-0.41)*AA1129/H1129/I1129</f>
        <v>2.4966624999999999E-2</v>
      </c>
      <c r="AJ1129" s="11">
        <f t="shared" si="309"/>
        <v>5.798699999999999E-2</v>
      </c>
    </row>
    <row r="1130" spans="1:36" x14ac:dyDescent="0.25">
      <c r="A1130" s="4" t="s">
        <v>945</v>
      </c>
      <c r="B1130" s="4" t="s">
        <v>960</v>
      </c>
      <c r="C1130" s="4" t="s">
        <v>17</v>
      </c>
      <c r="D1130" s="4" t="s">
        <v>942</v>
      </c>
      <c r="E1130" t="s">
        <v>894</v>
      </c>
      <c r="F1130" t="s">
        <v>256</v>
      </c>
      <c r="G1130" t="s">
        <v>895</v>
      </c>
      <c r="H1130">
        <f t="shared" si="312"/>
        <v>25.92</v>
      </c>
      <c r="I1130">
        <v>5</v>
      </c>
      <c r="J1130" t="s">
        <v>13</v>
      </c>
      <c r="K1130" t="s">
        <v>17</v>
      </c>
      <c r="L1130" t="s">
        <v>896</v>
      </c>
      <c r="M1130" t="s">
        <v>12</v>
      </c>
      <c r="N1130" t="s">
        <v>12</v>
      </c>
      <c r="P1130">
        <f>(0.015*0.4*0.4)+(1.2*PI()*(0.0025^2))</f>
        <v>2.4235619449019235E-3</v>
      </c>
      <c r="T1130">
        <v>6</v>
      </c>
      <c r="W1130">
        <v>7800</v>
      </c>
      <c r="X1130" t="s">
        <v>184</v>
      </c>
      <c r="AA1130" s="13">
        <f>Tableau8[[#This Row],[density (kg/m2) or specific weight (kg/m2)]]*Tableau8[[#This Row],[nb of item used ]]*Tableau8[[#This Row],[volume or area]]</f>
        <v>113.42269902141003</v>
      </c>
      <c r="AB1130">
        <v>25.3</v>
      </c>
      <c r="AC1130">
        <v>1.95</v>
      </c>
      <c r="AD1130" s="11">
        <f t="shared" si="306"/>
        <v>110.7096560664226</v>
      </c>
      <c r="AE1130" s="11">
        <f>_xlfn.RANK.AVG(Tableau8[[#This Row],[EE ( MJ/m²)]],AD1130:AD2285)</f>
        <v>3</v>
      </c>
      <c r="AF1130" s="11">
        <f t="shared" si="307"/>
        <v>22.141931213284519</v>
      </c>
      <c r="AG1130" s="11">
        <f t="shared" ref="AG1130:AG1157" si="313">(AC1130)*AA1130/H1130</f>
        <v>8.5329576810088543</v>
      </c>
      <c r="AH1130" s="11">
        <f t="shared" si="308"/>
        <v>8.5329576810088543</v>
      </c>
      <c r="AI1130" s="11">
        <f t="shared" ref="AI1130:AI1157" si="314">(AC1130)*AA1130/H1130/I1130</f>
        <v>1.706591536201771</v>
      </c>
      <c r="AJ1130" s="11">
        <f t="shared" si="309"/>
        <v>1.706591536201771</v>
      </c>
    </row>
    <row r="1131" spans="1:36" x14ac:dyDescent="0.25">
      <c r="A1131" s="4" t="s">
        <v>945</v>
      </c>
      <c r="B1131" s="4" t="s">
        <v>960</v>
      </c>
      <c r="C1131" s="4" t="s">
        <v>17</v>
      </c>
      <c r="D1131" s="4" t="s">
        <v>942</v>
      </c>
      <c r="E1131" t="s">
        <v>894</v>
      </c>
      <c r="F1131" t="s">
        <v>256</v>
      </c>
      <c r="G1131" t="s">
        <v>895</v>
      </c>
      <c r="H1131">
        <f t="shared" si="312"/>
        <v>25.92</v>
      </c>
      <c r="I1131">
        <v>5</v>
      </c>
      <c r="J1131" t="s">
        <v>13</v>
      </c>
      <c r="K1131" t="s">
        <v>17</v>
      </c>
      <c r="L1131" t="s">
        <v>897</v>
      </c>
      <c r="M1131" t="s">
        <v>12</v>
      </c>
      <c r="N1131" t="s">
        <v>12</v>
      </c>
      <c r="P1131">
        <f>2*(28.5*5.7*PI()*(0.003^2))</f>
        <v>9.1863310783619149E-3</v>
      </c>
      <c r="T1131">
        <v>1</v>
      </c>
      <c r="W1131">
        <v>7800</v>
      </c>
      <c r="X1131" t="s">
        <v>184</v>
      </c>
      <c r="AA1131" s="13">
        <f>Tableau8[[#This Row],[density (kg/m2) or specific weight (kg/m2)]]*Tableau8[[#This Row],[nb of item used ]]*Tableau8[[#This Row],[volume or area]]</f>
        <v>71.653382411222935</v>
      </c>
      <c r="AB1131">
        <v>25.3</v>
      </c>
      <c r="AC1131">
        <v>1.95</v>
      </c>
      <c r="AD1131" s="11">
        <f t="shared" si="306"/>
        <v>69.939451196139672</v>
      </c>
      <c r="AE1131" s="11">
        <f>_xlfn.RANK.AVG(Tableau8[[#This Row],[EE ( MJ/m²)]],AD1131:AD2286)</f>
        <v>3</v>
      </c>
      <c r="AF1131" s="11">
        <f t="shared" si="307"/>
        <v>13.987890239227934</v>
      </c>
      <c r="AG1131" s="11">
        <f t="shared" si="313"/>
        <v>5.3905901119554285</v>
      </c>
      <c r="AH1131" s="11">
        <f t="shared" si="308"/>
        <v>5.3905901119554285</v>
      </c>
      <c r="AI1131" s="11">
        <f t="shared" si="314"/>
        <v>1.0781180223910858</v>
      </c>
      <c r="AJ1131" s="11">
        <f t="shared" si="309"/>
        <v>1.0781180223910858</v>
      </c>
    </row>
    <row r="1132" spans="1:36" x14ac:dyDescent="0.25">
      <c r="A1132" s="4" t="s">
        <v>945</v>
      </c>
      <c r="B1132" s="4" t="s">
        <v>960</v>
      </c>
      <c r="C1132" s="4" t="s">
        <v>17</v>
      </c>
      <c r="D1132" s="4" t="s">
        <v>942</v>
      </c>
      <c r="E1132" t="s">
        <v>894</v>
      </c>
      <c r="F1132" t="s">
        <v>256</v>
      </c>
      <c r="G1132" t="s">
        <v>895</v>
      </c>
      <c r="H1132">
        <f t="shared" si="312"/>
        <v>25.92</v>
      </c>
      <c r="I1132">
        <v>5</v>
      </c>
      <c r="J1132" t="s">
        <v>40</v>
      </c>
      <c r="K1132" t="s">
        <v>17</v>
      </c>
      <c r="L1132" t="s">
        <v>898</v>
      </c>
      <c r="M1132" t="s">
        <v>12</v>
      </c>
      <c r="N1132" t="s">
        <v>91</v>
      </c>
      <c r="P1132">
        <f>(((0.1*2)+(0.05*2))*0.00075)*3.3</f>
        <v>7.425000000000001E-4</v>
      </c>
      <c r="T1132">
        <v>8</v>
      </c>
      <c r="W1132">
        <v>7800</v>
      </c>
      <c r="X1132" t="s">
        <v>184</v>
      </c>
      <c r="AA1132" s="13">
        <f>Tableau8[[#This Row],[density (kg/m2) or specific weight (kg/m2)]]*Tableau8[[#This Row],[nb of item used ]]*Tableau8[[#This Row],[volume or area]]</f>
        <v>46.332000000000008</v>
      </c>
      <c r="AB1132">
        <v>24.9</v>
      </c>
      <c r="AC1132">
        <v>1.94</v>
      </c>
      <c r="AD1132" s="11">
        <f t="shared" si="306"/>
        <v>44.508750000000006</v>
      </c>
      <c r="AE1132" s="11">
        <f>_xlfn.RANK.AVG(Tableau8[[#This Row],[EE ( MJ/m²)]],AD1132:AD2287)</f>
        <v>4</v>
      </c>
      <c r="AF1132" s="11">
        <f t="shared" si="307"/>
        <v>8.9017500000000016</v>
      </c>
      <c r="AG1132" s="11">
        <f t="shared" si="313"/>
        <v>3.4677500000000001</v>
      </c>
      <c r="AH1132" s="11">
        <f t="shared" si="308"/>
        <v>3.4677500000000001</v>
      </c>
      <c r="AI1132" s="11">
        <f t="shared" si="314"/>
        <v>0.69355</v>
      </c>
      <c r="AJ1132" s="11">
        <f t="shared" si="309"/>
        <v>0.69355</v>
      </c>
    </row>
    <row r="1133" spans="1:36" x14ac:dyDescent="0.25">
      <c r="A1133" s="4" t="s">
        <v>945</v>
      </c>
      <c r="B1133" s="4" t="s">
        <v>960</v>
      </c>
      <c r="C1133" s="4" t="s">
        <v>17</v>
      </c>
      <c r="D1133" s="4" t="s">
        <v>942</v>
      </c>
      <c r="E1133" t="s">
        <v>894</v>
      </c>
      <c r="F1133" t="s">
        <v>256</v>
      </c>
      <c r="G1133" t="s">
        <v>895</v>
      </c>
      <c r="H1133">
        <f t="shared" si="312"/>
        <v>25.92</v>
      </c>
      <c r="I1133">
        <v>5</v>
      </c>
      <c r="J1133" t="s">
        <v>40</v>
      </c>
      <c r="K1133" t="s">
        <v>17</v>
      </c>
      <c r="L1133" t="s">
        <v>899</v>
      </c>
      <c r="M1133" t="s">
        <v>12</v>
      </c>
      <c r="N1133" t="s">
        <v>91</v>
      </c>
      <c r="P1133">
        <f>(((0.1*2)+(0.05*2))*0.00075)*4.5</f>
        <v>1.0125000000000002E-3</v>
      </c>
      <c r="T1133">
        <v>4</v>
      </c>
      <c r="W1133">
        <v>7800</v>
      </c>
      <c r="X1133" t="s">
        <v>184</v>
      </c>
      <c r="AA1133" s="13">
        <f>Tableau8[[#This Row],[density (kg/m2) or specific weight (kg/m2)]]*Tableau8[[#This Row],[nb of item used ]]*Tableau8[[#This Row],[volume or area]]</f>
        <v>31.590000000000003</v>
      </c>
      <c r="AB1133">
        <v>24.9</v>
      </c>
      <c r="AC1133">
        <v>1.94</v>
      </c>
      <c r="AD1133" s="11">
        <f t="shared" si="306"/>
        <v>30.346874999999997</v>
      </c>
      <c r="AE1133" s="11">
        <f>_xlfn.RANK.AVG(Tableau8[[#This Row],[EE ( MJ/m²)]],AD1133:AD2288)</f>
        <v>4</v>
      </c>
      <c r="AF1133" s="11">
        <f t="shared" si="307"/>
        <v>6.0693749999999991</v>
      </c>
      <c r="AG1133" s="11">
        <f t="shared" si="313"/>
        <v>2.3643749999999999</v>
      </c>
      <c r="AH1133" s="11">
        <f t="shared" si="308"/>
        <v>2.3643749999999999</v>
      </c>
      <c r="AI1133" s="11">
        <f t="shared" si="314"/>
        <v>0.47287499999999999</v>
      </c>
      <c r="AJ1133" s="11">
        <f t="shared" si="309"/>
        <v>0.47287499999999999</v>
      </c>
    </row>
    <row r="1134" spans="1:36" x14ac:dyDescent="0.25">
      <c r="A1134" s="4" t="s">
        <v>945</v>
      </c>
      <c r="B1134" s="4" t="s">
        <v>960</v>
      </c>
      <c r="C1134" s="4" t="s">
        <v>17</v>
      </c>
      <c r="D1134" s="4" t="s">
        <v>942</v>
      </c>
      <c r="E1134" t="s">
        <v>894</v>
      </c>
      <c r="F1134" t="s">
        <v>256</v>
      </c>
      <c r="G1134" t="s">
        <v>895</v>
      </c>
      <c r="H1134">
        <f t="shared" si="312"/>
        <v>25.92</v>
      </c>
      <c r="I1134">
        <v>5</v>
      </c>
      <c r="J1134" t="s">
        <v>40</v>
      </c>
      <c r="K1134" t="s">
        <v>17</v>
      </c>
      <c r="L1134" t="s">
        <v>900</v>
      </c>
      <c r="M1134" t="s">
        <v>12</v>
      </c>
      <c r="N1134" t="s">
        <v>91</v>
      </c>
      <c r="P1134">
        <f>(((0.1*2)+(0.05*2))*0.00075)*3.7</f>
        <v>8.3250000000000023E-4</v>
      </c>
      <c r="T1134">
        <v>8</v>
      </c>
      <c r="W1134">
        <v>7800</v>
      </c>
      <c r="X1134" t="s">
        <v>184</v>
      </c>
      <c r="AA1134" s="13">
        <f>Tableau8[[#This Row],[density (kg/m2) or specific weight (kg/m2)]]*Tableau8[[#This Row],[nb of item used ]]*Tableau8[[#This Row],[volume or area]]</f>
        <v>51.948000000000015</v>
      </c>
      <c r="AB1134">
        <v>24.9</v>
      </c>
      <c r="AC1134">
        <v>1.94</v>
      </c>
      <c r="AD1134" s="11">
        <f t="shared" si="306"/>
        <v>49.903750000000009</v>
      </c>
      <c r="AE1134" s="11">
        <f>_xlfn.RANK.AVG(Tableau8[[#This Row],[EE ( MJ/m²)]],AD1134:AD2289)</f>
        <v>3</v>
      </c>
      <c r="AF1134" s="11">
        <f t="shared" si="307"/>
        <v>9.9807500000000022</v>
      </c>
      <c r="AG1134" s="11">
        <f t="shared" si="313"/>
        <v>3.8880833333333338</v>
      </c>
      <c r="AH1134" s="11">
        <f t="shared" si="308"/>
        <v>3.8880833333333338</v>
      </c>
      <c r="AI1134" s="11">
        <f t="shared" si="314"/>
        <v>0.77761666666666673</v>
      </c>
      <c r="AJ1134" s="11">
        <f t="shared" si="309"/>
        <v>0.77761666666666673</v>
      </c>
    </row>
    <row r="1135" spans="1:36" x14ac:dyDescent="0.25">
      <c r="A1135" s="4" t="s">
        <v>945</v>
      </c>
      <c r="B1135" s="4" t="s">
        <v>960</v>
      </c>
      <c r="C1135" s="4" t="s">
        <v>17</v>
      </c>
      <c r="D1135" s="4" t="s">
        <v>942</v>
      </c>
      <c r="E1135" t="s">
        <v>894</v>
      </c>
      <c r="F1135" t="s">
        <v>256</v>
      </c>
      <c r="G1135" t="s">
        <v>895</v>
      </c>
      <c r="H1135">
        <f t="shared" si="312"/>
        <v>25.92</v>
      </c>
      <c r="I1135">
        <v>5</v>
      </c>
      <c r="J1135" t="s">
        <v>56</v>
      </c>
      <c r="K1135" t="s">
        <v>17</v>
      </c>
      <c r="L1135" t="s">
        <v>901</v>
      </c>
      <c r="M1135" t="s">
        <v>12</v>
      </c>
      <c r="N1135" t="s">
        <v>91</v>
      </c>
      <c r="P1135">
        <f>(((0.075*2)+(0.04*2))*0.00075)*4.5</f>
        <v>7.7624999999999992E-4</v>
      </c>
      <c r="T1135">
        <v>4</v>
      </c>
      <c r="W1135">
        <v>7800</v>
      </c>
      <c r="X1135" t="s">
        <v>184</v>
      </c>
      <c r="AA1135" s="13">
        <f>Tableau8[[#This Row],[density (kg/m2) or specific weight (kg/m2)]]*Tableau8[[#This Row],[nb of item used ]]*Tableau8[[#This Row],[volume or area]]</f>
        <v>24.218999999999998</v>
      </c>
      <c r="AB1135">
        <v>24.9</v>
      </c>
      <c r="AC1135">
        <v>1.94</v>
      </c>
      <c r="AD1135" s="11">
        <f t="shared" si="306"/>
        <v>23.265937499999993</v>
      </c>
      <c r="AE1135" s="11">
        <f>_xlfn.RANK.AVG(Tableau8[[#This Row],[EE ( MJ/m²)]],AD1135:AD2290)</f>
        <v>5.5</v>
      </c>
      <c r="AF1135" s="11">
        <f t="shared" si="307"/>
        <v>4.6531874999999987</v>
      </c>
      <c r="AG1135" s="11">
        <f t="shared" si="313"/>
        <v>1.8126874999999998</v>
      </c>
      <c r="AH1135" s="11">
        <f t="shared" si="308"/>
        <v>1.8126874999999998</v>
      </c>
      <c r="AI1135" s="11">
        <f t="shared" si="314"/>
        <v>0.36253749999999996</v>
      </c>
      <c r="AJ1135" s="11">
        <f t="shared" si="309"/>
        <v>0.36253749999999996</v>
      </c>
    </row>
    <row r="1136" spans="1:36" x14ac:dyDescent="0.25">
      <c r="A1136" s="4" t="s">
        <v>945</v>
      </c>
      <c r="B1136" s="4" t="s">
        <v>960</v>
      </c>
      <c r="C1136" s="4" t="s">
        <v>17</v>
      </c>
      <c r="D1136" s="4" t="s">
        <v>942</v>
      </c>
      <c r="E1136" t="s">
        <v>894</v>
      </c>
      <c r="F1136" t="s">
        <v>256</v>
      </c>
      <c r="G1136" t="s">
        <v>895</v>
      </c>
      <c r="H1136">
        <f t="shared" si="312"/>
        <v>25.92</v>
      </c>
      <c r="I1136">
        <v>5</v>
      </c>
      <c r="J1136" t="s">
        <v>56</v>
      </c>
      <c r="K1136" t="s">
        <v>17</v>
      </c>
      <c r="L1136" t="s">
        <v>902</v>
      </c>
      <c r="M1136" t="s">
        <v>12</v>
      </c>
      <c r="N1136" t="s">
        <v>91</v>
      </c>
      <c r="P1136">
        <f>(((0.075*2)+(0.04*2))*0.00075)*3.5</f>
        <v>6.0375000000000001E-4</v>
      </c>
      <c r="T1136">
        <v>4</v>
      </c>
      <c r="W1136">
        <v>7800</v>
      </c>
      <c r="X1136" t="s">
        <v>184</v>
      </c>
      <c r="AA1136" s="13">
        <f>Tableau8[[#This Row],[density (kg/m2) or specific weight (kg/m2)]]*Tableau8[[#This Row],[nb of item used ]]*Tableau8[[#This Row],[volume or area]]</f>
        <v>18.837</v>
      </c>
      <c r="AB1136">
        <v>24.9</v>
      </c>
      <c r="AC1136">
        <v>1.94</v>
      </c>
      <c r="AD1136" s="11">
        <f t="shared" si="306"/>
        <v>18.095729166666665</v>
      </c>
      <c r="AE1136" s="11">
        <f>_xlfn.RANK.AVG(Tableau8[[#This Row],[EE ( MJ/m²)]],AD1136:AD2291)</f>
        <v>7</v>
      </c>
      <c r="AF1136" s="11">
        <f t="shared" si="307"/>
        <v>3.6191458333333331</v>
      </c>
      <c r="AG1136" s="11">
        <f t="shared" si="313"/>
        <v>1.4098680555555554</v>
      </c>
      <c r="AH1136" s="11">
        <f t="shared" si="308"/>
        <v>1.4098680555555554</v>
      </c>
      <c r="AI1136" s="11">
        <f t="shared" si="314"/>
        <v>0.28197361111111108</v>
      </c>
      <c r="AJ1136" s="11">
        <f t="shared" si="309"/>
        <v>0.28197361111111108</v>
      </c>
    </row>
    <row r="1137" spans="1:36" x14ac:dyDescent="0.25">
      <c r="A1137" s="4" t="s">
        <v>945</v>
      </c>
      <c r="B1137" s="4" t="s">
        <v>960</v>
      </c>
      <c r="C1137" s="4" t="s">
        <v>17</v>
      </c>
      <c r="D1137" s="4" t="s">
        <v>942</v>
      </c>
      <c r="E1137" t="s">
        <v>894</v>
      </c>
      <c r="F1137" t="s">
        <v>256</v>
      </c>
      <c r="G1137" t="s">
        <v>895</v>
      </c>
      <c r="H1137">
        <f t="shared" si="312"/>
        <v>25.92</v>
      </c>
      <c r="I1137">
        <v>5</v>
      </c>
      <c r="J1137" t="s">
        <v>40</v>
      </c>
      <c r="K1137" t="s">
        <v>17</v>
      </c>
      <c r="L1137" t="s">
        <v>903</v>
      </c>
      <c r="M1137" t="s">
        <v>12</v>
      </c>
      <c r="N1137" t="s">
        <v>91</v>
      </c>
      <c r="P1137">
        <f>(((0.075*2)+(0.04*2))*0.00075)*4.3</f>
        <v>7.417499999999999E-4</v>
      </c>
      <c r="T1137">
        <v>2</v>
      </c>
      <c r="W1137">
        <v>7800</v>
      </c>
      <c r="X1137" t="s">
        <v>184</v>
      </c>
      <c r="AA1137" s="13">
        <f>Tableau8[[#This Row],[density (kg/m2) or specific weight (kg/m2)]]*Tableau8[[#This Row],[nb of item used ]]*Tableau8[[#This Row],[volume or area]]</f>
        <v>11.571299999999999</v>
      </c>
      <c r="AB1137">
        <v>24.9</v>
      </c>
      <c r="AC1137">
        <v>1.94</v>
      </c>
      <c r="AD1137" s="11">
        <f t="shared" ref="AD1137:AD1157" si="315">AB1137*AA1137/H1137</f>
        <v>11.115947916666665</v>
      </c>
      <c r="AE1137" s="11">
        <f>_xlfn.RANK.AVG(Tableau8[[#This Row],[EE ( MJ/m²)]],AD1137:AD2292)</f>
        <v>11</v>
      </c>
      <c r="AF1137" s="11">
        <f t="shared" ref="AF1137:AF1157" si="316">AB1137*AA1137/H1137/I1137</f>
        <v>2.2231895833333328</v>
      </c>
      <c r="AG1137" s="11">
        <f t="shared" si="313"/>
        <v>0.86606180555555545</v>
      </c>
      <c r="AH1137" s="11">
        <f t="shared" ref="AH1137:AH1157" si="317">AC1137*AA1137/H1137</f>
        <v>0.86606180555555545</v>
      </c>
      <c r="AI1137" s="11">
        <f t="shared" si="314"/>
        <v>0.1732123611111111</v>
      </c>
      <c r="AJ1137" s="11">
        <f t="shared" ref="AJ1137:AJ1157" si="318">AC1137*AA1137/H1137/I1137</f>
        <v>0.1732123611111111</v>
      </c>
    </row>
    <row r="1138" spans="1:36" x14ac:dyDescent="0.25">
      <c r="A1138" s="4" t="s">
        <v>945</v>
      </c>
      <c r="B1138" s="4" t="s">
        <v>960</v>
      </c>
      <c r="C1138" s="4" t="s">
        <v>17</v>
      </c>
      <c r="D1138" s="4" t="s">
        <v>942</v>
      </c>
      <c r="E1138" t="s">
        <v>894</v>
      </c>
      <c r="F1138" t="s">
        <v>256</v>
      </c>
      <c r="G1138" t="s">
        <v>895</v>
      </c>
      <c r="H1138">
        <f t="shared" si="312"/>
        <v>25.92</v>
      </c>
      <c r="I1138">
        <v>5</v>
      </c>
      <c r="J1138" t="s">
        <v>40</v>
      </c>
      <c r="K1138" t="s">
        <v>17</v>
      </c>
      <c r="L1138" t="s">
        <v>904</v>
      </c>
      <c r="M1138" t="s">
        <v>12</v>
      </c>
      <c r="N1138" t="s">
        <v>91</v>
      </c>
      <c r="P1138">
        <f>(((0.075*2)+(0.04*2))*0.00075)*4.1</f>
        <v>7.0724999999999987E-4</v>
      </c>
      <c r="T1138">
        <v>2</v>
      </c>
      <c r="W1138">
        <v>7800</v>
      </c>
      <c r="X1138" t="s">
        <v>184</v>
      </c>
      <c r="AA1138" s="13">
        <f>Tableau8[[#This Row],[density (kg/m2) or specific weight (kg/m2)]]*Tableau8[[#This Row],[nb of item used ]]*Tableau8[[#This Row],[volume or area]]</f>
        <v>11.033099999999997</v>
      </c>
      <c r="AB1138">
        <v>24.9</v>
      </c>
      <c r="AC1138">
        <v>1.94</v>
      </c>
      <c r="AD1138" s="11">
        <f t="shared" si="315"/>
        <v>10.598927083333329</v>
      </c>
      <c r="AE1138" s="11">
        <f>_xlfn.RANK.AVG(Tableau8[[#This Row],[EE ( MJ/m²)]],AD1138:AD2293)</f>
        <v>11.5</v>
      </c>
      <c r="AF1138" s="11">
        <f t="shared" si="316"/>
        <v>2.1197854166666659</v>
      </c>
      <c r="AG1138" s="11">
        <f t="shared" si="313"/>
        <v>0.8257798611111109</v>
      </c>
      <c r="AH1138" s="11">
        <f t="shared" si="317"/>
        <v>0.8257798611111109</v>
      </c>
      <c r="AI1138" s="11">
        <f t="shared" si="314"/>
        <v>0.16515597222222217</v>
      </c>
      <c r="AJ1138" s="11">
        <f t="shared" si="318"/>
        <v>0.16515597222222217</v>
      </c>
    </row>
    <row r="1139" spans="1:36" x14ac:dyDescent="0.25">
      <c r="A1139" s="4" t="s">
        <v>945</v>
      </c>
      <c r="B1139" s="4" t="s">
        <v>960</v>
      </c>
      <c r="C1139" s="4" t="s">
        <v>17</v>
      </c>
      <c r="D1139" s="4" t="s">
        <v>942</v>
      </c>
      <c r="E1139" t="s">
        <v>894</v>
      </c>
      <c r="F1139" t="s">
        <v>256</v>
      </c>
      <c r="G1139" t="s">
        <v>895</v>
      </c>
      <c r="H1139">
        <f t="shared" si="312"/>
        <v>25.92</v>
      </c>
      <c r="I1139">
        <v>5</v>
      </c>
      <c r="J1139" t="s">
        <v>56</v>
      </c>
      <c r="K1139" t="s">
        <v>17</v>
      </c>
      <c r="L1139" t="s">
        <v>905</v>
      </c>
      <c r="M1139" t="s">
        <v>12</v>
      </c>
      <c r="N1139" t="s">
        <v>91</v>
      </c>
      <c r="P1139">
        <f>(((0.075*2)+(0.04*2))*0.00075)*1.65</f>
        <v>2.8462499999999999E-4</v>
      </c>
      <c r="T1139">
        <v>8</v>
      </c>
      <c r="W1139">
        <v>7800</v>
      </c>
      <c r="X1139" t="s">
        <v>184</v>
      </c>
      <c r="AA1139" s="13">
        <f>Tableau8[[#This Row],[density (kg/m2) or specific weight (kg/m2)]]*Tableau8[[#This Row],[nb of item used ]]*Tableau8[[#This Row],[volume or area]]</f>
        <v>17.7606</v>
      </c>
      <c r="AB1139">
        <v>24.9</v>
      </c>
      <c r="AC1139">
        <v>1.94</v>
      </c>
      <c r="AD1139" s="11">
        <f t="shared" si="315"/>
        <v>17.061687499999998</v>
      </c>
      <c r="AE1139" s="11">
        <f>_xlfn.RANK.AVG(Tableau8[[#This Row],[EE ( MJ/m²)]],AD1139:AD2294)</f>
        <v>9</v>
      </c>
      <c r="AF1139" s="11">
        <f t="shared" si="316"/>
        <v>3.4123374999999996</v>
      </c>
      <c r="AG1139" s="11">
        <f t="shared" si="313"/>
        <v>1.3293041666666667</v>
      </c>
      <c r="AH1139" s="11">
        <f t="shared" si="317"/>
        <v>1.3293041666666667</v>
      </c>
      <c r="AI1139" s="11">
        <f t="shared" si="314"/>
        <v>0.26586083333333332</v>
      </c>
      <c r="AJ1139" s="11">
        <f t="shared" si="318"/>
        <v>0.26586083333333332</v>
      </c>
    </row>
    <row r="1140" spans="1:36" x14ac:dyDescent="0.25">
      <c r="A1140" s="4" t="s">
        <v>945</v>
      </c>
      <c r="B1140" s="4" t="s">
        <v>960</v>
      </c>
      <c r="C1140" s="4" t="s">
        <v>17</v>
      </c>
      <c r="D1140" s="4" t="s">
        <v>942</v>
      </c>
      <c r="E1140" t="s">
        <v>894</v>
      </c>
      <c r="F1140" t="s">
        <v>256</v>
      </c>
      <c r="G1140" t="s">
        <v>895</v>
      </c>
      <c r="H1140">
        <f t="shared" si="312"/>
        <v>25.92</v>
      </c>
      <c r="I1140">
        <v>5</v>
      </c>
      <c r="J1140" t="s">
        <v>56</v>
      </c>
      <c r="K1140" t="s">
        <v>17</v>
      </c>
      <c r="L1140" t="s">
        <v>906</v>
      </c>
      <c r="M1140" t="s">
        <v>12</v>
      </c>
      <c r="N1140" t="s">
        <v>91</v>
      </c>
      <c r="P1140">
        <f>(((0.075*2)+(0.04*2))*0.00075)*1.93</f>
        <v>3.3292499999999997E-4</v>
      </c>
      <c r="T1140">
        <v>3</v>
      </c>
      <c r="W1140" s="1">
        <v>7800</v>
      </c>
      <c r="X1140" t="s">
        <v>184</v>
      </c>
      <c r="AA1140" s="13">
        <f>Tableau8[[#This Row],[density (kg/m2) or specific weight (kg/m2)]]*Tableau8[[#This Row],[nb of item used ]]*Tableau8[[#This Row],[volume or area]]</f>
        <v>7.7904449999999992</v>
      </c>
      <c r="AB1140">
        <v>24.9</v>
      </c>
      <c r="AC1140">
        <v>1.94</v>
      </c>
      <c r="AD1140" s="11">
        <f t="shared" si="315"/>
        <v>7.4838765624999981</v>
      </c>
      <c r="AE1140" s="11">
        <f>_xlfn.RANK.AVG(Tableau8[[#This Row],[EE ( MJ/m²)]],AD1140:AD2295)</f>
        <v>14</v>
      </c>
      <c r="AF1140" s="11">
        <f t="shared" si="316"/>
        <v>1.4967753124999996</v>
      </c>
      <c r="AG1140" s="11">
        <f t="shared" si="313"/>
        <v>0.58308114583333315</v>
      </c>
      <c r="AH1140" s="11">
        <f t="shared" si="317"/>
        <v>0.58308114583333315</v>
      </c>
      <c r="AI1140" s="11">
        <f t="shared" si="314"/>
        <v>0.11661622916666663</v>
      </c>
      <c r="AJ1140" s="11">
        <f t="shared" si="318"/>
        <v>0.11661622916666663</v>
      </c>
    </row>
    <row r="1141" spans="1:36" x14ac:dyDescent="0.25">
      <c r="A1141" s="4" t="s">
        <v>945</v>
      </c>
      <c r="B1141" s="4" t="s">
        <v>960</v>
      </c>
      <c r="C1141" s="4" t="s">
        <v>17</v>
      </c>
      <c r="D1141" s="4" t="s">
        <v>942</v>
      </c>
      <c r="E1141" t="s">
        <v>894</v>
      </c>
      <c r="F1141" t="s">
        <v>256</v>
      </c>
      <c r="G1141" t="s">
        <v>895</v>
      </c>
      <c r="H1141">
        <f t="shared" si="312"/>
        <v>25.92</v>
      </c>
      <c r="I1141">
        <v>5</v>
      </c>
      <c r="J1141" t="s">
        <v>40</v>
      </c>
      <c r="K1141" t="s">
        <v>17</v>
      </c>
      <c r="L1141" t="s">
        <v>907</v>
      </c>
      <c r="M1141" t="s">
        <v>12</v>
      </c>
      <c r="N1141" t="s">
        <v>91</v>
      </c>
      <c r="P1141">
        <f>(((0.075*2)+(0.04*2))*0.00075)*1.7</f>
        <v>2.9325E-4</v>
      </c>
      <c r="T1141">
        <v>4</v>
      </c>
      <c r="W1141">
        <v>7800</v>
      </c>
      <c r="X1141" t="s">
        <v>184</v>
      </c>
      <c r="AA1141" s="13">
        <f>Tableau8[[#This Row],[density (kg/m2) or specific weight (kg/m2)]]*Tableau8[[#This Row],[nb of item used ]]*Tableau8[[#This Row],[volume or area]]</f>
        <v>9.1494</v>
      </c>
      <c r="AB1141">
        <v>24.9</v>
      </c>
      <c r="AC1141">
        <v>1.94</v>
      </c>
      <c r="AD1141" s="11">
        <f t="shared" si="315"/>
        <v>8.7893541666666657</v>
      </c>
      <c r="AE1141" s="11">
        <f>_xlfn.RANK.AVG(Tableau8[[#This Row],[EE ( MJ/m²)]],AD1141:AD2296)</f>
        <v>12</v>
      </c>
      <c r="AF1141" s="11">
        <f t="shared" si="316"/>
        <v>1.757870833333333</v>
      </c>
      <c r="AG1141" s="11">
        <f t="shared" si="313"/>
        <v>0.68479305555555547</v>
      </c>
      <c r="AH1141" s="11">
        <f t="shared" si="317"/>
        <v>0.68479305555555547</v>
      </c>
      <c r="AI1141" s="11">
        <f t="shared" si="314"/>
        <v>0.1369586111111111</v>
      </c>
      <c r="AJ1141" s="11">
        <f t="shared" si="318"/>
        <v>0.1369586111111111</v>
      </c>
    </row>
    <row r="1142" spans="1:36" x14ac:dyDescent="0.25">
      <c r="A1142" s="4" t="s">
        <v>945</v>
      </c>
      <c r="B1142" s="4" t="s">
        <v>960</v>
      </c>
      <c r="C1142" s="4" t="s">
        <v>17</v>
      </c>
      <c r="D1142" s="4" t="s">
        <v>942</v>
      </c>
      <c r="E1142" t="s">
        <v>894</v>
      </c>
      <c r="F1142" t="s">
        <v>256</v>
      </c>
      <c r="G1142" t="s">
        <v>895</v>
      </c>
      <c r="H1142">
        <f t="shared" si="312"/>
        <v>25.92</v>
      </c>
      <c r="I1142">
        <v>5</v>
      </c>
      <c r="J1142" t="s">
        <v>57</v>
      </c>
      <c r="K1142" t="s">
        <v>17</v>
      </c>
      <c r="L1142" t="s">
        <v>908</v>
      </c>
      <c r="M1142" t="s">
        <v>12</v>
      </c>
      <c r="N1142" t="s">
        <v>91</v>
      </c>
      <c r="P1142">
        <f>(((0.1*2)+(0.05*2))*0.00075)*3.5</f>
        <v>7.8750000000000022E-4</v>
      </c>
      <c r="T1142">
        <v>3</v>
      </c>
      <c r="W1142">
        <v>7800</v>
      </c>
      <c r="X1142" t="s">
        <v>184</v>
      </c>
      <c r="AA1142" s="13">
        <f>Tableau8[[#This Row],[density (kg/m2) or specific weight (kg/m2)]]*Tableau8[[#This Row],[nb of item used ]]*Tableau8[[#This Row],[volume or area]]</f>
        <v>18.427500000000006</v>
      </c>
      <c r="AB1142">
        <v>24.9</v>
      </c>
      <c r="AC1142">
        <v>1.94</v>
      </c>
      <c r="AD1142" s="11">
        <f t="shared" si="315"/>
        <v>17.702343750000001</v>
      </c>
      <c r="AE1142" s="11">
        <f>_xlfn.RANK.AVG(Tableau8[[#This Row],[EE ( MJ/m²)]],AD1142:AD2297)</f>
        <v>7</v>
      </c>
      <c r="AF1142" s="11">
        <f t="shared" si="316"/>
        <v>3.5404687500000001</v>
      </c>
      <c r="AG1142" s="11">
        <f t="shared" si="313"/>
        <v>1.3792187500000002</v>
      </c>
      <c r="AH1142" s="11">
        <f t="shared" si="317"/>
        <v>1.3792187500000002</v>
      </c>
      <c r="AI1142" s="11">
        <f t="shared" si="314"/>
        <v>0.27584375000000005</v>
      </c>
      <c r="AJ1142" s="11">
        <f t="shared" si="318"/>
        <v>0.27584375000000005</v>
      </c>
    </row>
    <row r="1143" spans="1:36" x14ac:dyDescent="0.25">
      <c r="A1143" s="4" t="s">
        <v>945</v>
      </c>
      <c r="B1143" s="4" t="s">
        <v>960</v>
      </c>
      <c r="C1143" s="4" t="s">
        <v>17</v>
      </c>
      <c r="D1143" s="4" t="s">
        <v>942</v>
      </c>
      <c r="E1143" t="s">
        <v>894</v>
      </c>
      <c r="F1143" t="s">
        <v>256</v>
      </c>
      <c r="G1143" t="s">
        <v>895</v>
      </c>
      <c r="H1143">
        <f t="shared" si="312"/>
        <v>25.92</v>
      </c>
      <c r="I1143">
        <v>5</v>
      </c>
      <c r="J1143" t="s">
        <v>56</v>
      </c>
      <c r="K1143" t="s">
        <v>17</v>
      </c>
      <c r="L1143" t="s">
        <v>909</v>
      </c>
      <c r="M1143" t="s">
        <v>12</v>
      </c>
      <c r="N1143" t="s">
        <v>930</v>
      </c>
      <c r="P1143">
        <f>PI()*(0.002^2)*4.5</f>
        <v>5.6548667764616275E-5</v>
      </c>
      <c r="T1143">
        <v>4</v>
      </c>
      <c r="W1143">
        <v>7800</v>
      </c>
      <c r="X1143" t="s">
        <v>184</v>
      </c>
      <c r="AA1143" s="13">
        <f>Tableau8[[#This Row],[density (kg/m2) or specific weight (kg/m2)]]*Tableau8[[#This Row],[nb of item used ]]*Tableau8[[#This Row],[volume or area]]</f>
        <v>1.7643184342560279</v>
      </c>
      <c r="AB1143">
        <v>36</v>
      </c>
      <c r="AC1143">
        <v>3.02</v>
      </c>
      <c r="AD1143" s="11">
        <f t="shared" si="315"/>
        <v>2.4504422698000385</v>
      </c>
      <c r="AE1143" s="11">
        <f>_xlfn.RANK.AVG(Tableau8[[#This Row],[EE ( MJ/m²)]],AD1143:AD2298)</f>
        <v>13</v>
      </c>
      <c r="AF1143" s="11">
        <f t="shared" si="316"/>
        <v>0.49008845396000772</v>
      </c>
      <c r="AG1143" s="11">
        <f t="shared" si="313"/>
        <v>0.20556487929989212</v>
      </c>
      <c r="AH1143" s="11">
        <f t="shared" si="317"/>
        <v>0.20556487929989212</v>
      </c>
      <c r="AI1143" s="11">
        <f t="shared" si="314"/>
        <v>4.1112975859978425E-2</v>
      </c>
      <c r="AJ1143" s="11">
        <f t="shared" si="318"/>
        <v>4.1112975859978425E-2</v>
      </c>
    </row>
    <row r="1144" spans="1:36" x14ac:dyDescent="0.25">
      <c r="A1144" s="4" t="s">
        <v>945</v>
      </c>
      <c r="B1144" s="4" t="s">
        <v>960</v>
      </c>
      <c r="C1144" s="4" t="s">
        <v>17</v>
      </c>
      <c r="D1144" s="4" t="s">
        <v>942</v>
      </c>
      <c r="E1144" t="s">
        <v>894</v>
      </c>
      <c r="F1144" t="s">
        <v>256</v>
      </c>
      <c r="G1144" t="s">
        <v>895</v>
      </c>
      <c r="H1144">
        <f t="shared" si="312"/>
        <v>25.92</v>
      </c>
      <c r="I1144">
        <v>5</v>
      </c>
      <c r="J1144" t="s">
        <v>40</v>
      </c>
      <c r="K1144" t="s">
        <v>17</v>
      </c>
      <c r="L1144" t="s">
        <v>910</v>
      </c>
      <c r="M1144" t="s">
        <v>12</v>
      </c>
      <c r="N1144" t="s">
        <v>91</v>
      </c>
      <c r="P1144">
        <f>(((0.075*2)+(0.04*2))*0.00075)*3.65</f>
        <v>6.2962499999999998E-4</v>
      </c>
      <c r="T1144">
        <v>2</v>
      </c>
      <c r="W1144">
        <v>7800</v>
      </c>
      <c r="X1144" t="s">
        <v>184</v>
      </c>
      <c r="AA1144" s="13">
        <f>Tableau8[[#This Row],[density (kg/m2) or specific weight (kg/m2)]]*Tableau8[[#This Row],[nb of item used ]]*Tableau8[[#This Row],[volume or area]]</f>
        <v>9.8221499999999988</v>
      </c>
      <c r="AB1144">
        <v>24.9</v>
      </c>
      <c r="AC1144">
        <v>1.94</v>
      </c>
      <c r="AD1144" s="11">
        <f t="shared" si="315"/>
        <v>9.4356302083333308</v>
      </c>
      <c r="AE1144" s="11">
        <f>_xlfn.RANK.AVG(Tableau8[[#This Row],[EE ( MJ/m²)]],AD1144:AD2299)</f>
        <v>10</v>
      </c>
      <c r="AF1144" s="11">
        <f t="shared" si="316"/>
        <v>1.8871260416666662</v>
      </c>
      <c r="AG1144" s="11">
        <f t="shared" si="313"/>
        <v>0.73514548611111097</v>
      </c>
      <c r="AH1144" s="11">
        <f t="shared" si="317"/>
        <v>0.73514548611111097</v>
      </c>
      <c r="AI1144" s="11">
        <f t="shared" si="314"/>
        <v>0.14702909722222218</v>
      </c>
      <c r="AJ1144" s="11">
        <f t="shared" si="318"/>
        <v>0.14702909722222218</v>
      </c>
    </row>
    <row r="1145" spans="1:36" x14ac:dyDescent="0.25">
      <c r="A1145" s="4" t="s">
        <v>945</v>
      </c>
      <c r="B1145" s="4" t="s">
        <v>960</v>
      </c>
      <c r="C1145" s="4" t="s">
        <v>17</v>
      </c>
      <c r="D1145" s="4" t="s">
        <v>942</v>
      </c>
      <c r="E1145" t="s">
        <v>894</v>
      </c>
      <c r="F1145" t="s">
        <v>256</v>
      </c>
      <c r="G1145" t="s">
        <v>895</v>
      </c>
      <c r="H1145">
        <f t="shared" si="312"/>
        <v>25.92</v>
      </c>
      <c r="I1145">
        <v>5</v>
      </c>
      <c r="J1145" t="s">
        <v>40</v>
      </c>
      <c r="K1145" t="s">
        <v>17</v>
      </c>
      <c r="L1145" t="s">
        <v>911</v>
      </c>
      <c r="M1145" t="s">
        <v>12</v>
      </c>
      <c r="N1145" t="s">
        <v>91</v>
      </c>
      <c r="P1145">
        <f>(((0.075*2)+(0.04*2))*0.00075)*3</f>
        <v>5.1749999999999995E-4</v>
      </c>
      <c r="T1145">
        <v>6</v>
      </c>
      <c r="W1145">
        <v>7800</v>
      </c>
      <c r="X1145" t="s">
        <v>184</v>
      </c>
      <c r="AA1145" s="13">
        <f>Tableau8[[#This Row],[density (kg/m2) or specific weight (kg/m2)]]*Tableau8[[#This Row],[nb of item used ]]*Tableau8[[#This Row],[volume or area]]</f>
        <v>24.218999999999998</v>
      </c>
      <c r="AB1145">
        <v>24.9</v>
      </c>
      <c r="AC1145">
        <v>1.94</v>
      </c>
      <c r="AD1145" s="11">
        <f t="shared" si="315"/>
        <v>23.265937499999993</v>
      </c>
      <c r="AE1145" s="11">
        <f>_xlfn.RANK.AVG(Tableau8[[#This Row],[EE ( MJ/m²)]],AD1145:AD2300)</f>
        <v>5</v>
      </c>
      <c r="AF1145" s="11">
        <f t="shared" si="316"/>
        <v>4.6531874999999987</v>
      </c>
      <c r="AG1145" s="11">
        <f t="shared" si="313"/>
        <v>1.8126874999999998</v>
      </c>
      <c r="AH1145" s="11">
        <f t="shared" si="317"/>
        <v>1.8126874999999998</v>
      </c>
      <c r="AI1145" s="11">
        <f t="shared" si="314"/>
        <v>0.36253749999999996</v>
      </c>
      <c r="AJ1145" s="11">
        <f t="shared" si="318"/>
        <v>0.36253749999999996</v>
      </c>
    </row>
    <row r="1146" spans="1:36" x14ac:dyDescent="0.25">
      <c r="A1146" s="4" t="s">
        <v>945</v>
      </c>
      <c r="B1146" s="4" t="s">
        <v>960</v>
      </c>
      <c r="C1146" s="4" t="s">
        <v>17</v>
      </c>
      <c r="D1146" s="4" t="s">
        <v>942</v>
      </c>
      <c r="E1146" t="s">
        <v>894</v>
      </c>
      <c r="F1146" t="s">
        <v>256</v>
      </c>
      <c r="G1146" t="s">
        <v>895</v>
      </c>
      <c r="H1146">
        <f t="shared" si="312"/>
        <v>25.92</v>
      </c>
      <c r="I1146">
        <v>5</v>
      </c>
      <c r="J1146" t="s">
        <v>40</v>
      </c>
      <c r="K1146" t="s">
        <v>17</v>
      </c>
      <c r="L1146" t="s">
        <v>912</v>
      </c>
      <c r="M1146" t="s">
        <v>12</v>
      </c>
      <c r="N1146" t="s">
        <v>91</v>
      </c>
      <c r="P1146">
        <f>(((0.075*2)+(0.04*2))*0.00075)*4.1</f>
        <v>7.0724999999999987E-4</v>
      </c>
      <c r="T1146">
        <v>2</v>
      </c>
      <c r="W1146">
        <v>7800</v>
      </c>
      <c r="X1146" t="s">
        <v>184</v>
      </c>
      <c r="AA1146" s="13">
        <f>Tableau8[[#This Row],[density (kg/m2) or specific weight (kg/m2)]]*Tableau8[[#This Row],[nb of item used ]]*Tableau8[[#This Row],[volume or area]]</f>
        <v>11.033099999999997</v>
      </c>
      <c r="AB1146">
        <v>24.9</v>
      </c>
      <c r="AC1146">
        <v>1.94</v>
      </c>
      <c r="AD1146" s="11">
        <f t="shared" si="315"/>
        <v>10.598927083333329</v>
      </c>
      <c r="AE1146" s="11">
        <f>_xlfn.RANK.AVG(Tableau8[[#This Row],[EE ( MJ/m²)]],AD1146:AD2301)</f>
        <v>8</v>
      </c>
      <c r="AF1146" s="11">
        <f t="shared" si="316"/>
        <v>2.1197854166666659</v>
      </c>
      <c r="AG1146" s="11">
        <f t="shared" si="313"/>
        <v>0.8257798611111109</v>
      </c>
      <c r="AH1146" s="11">
        <f t="shared" si="317"/>
        <v>0.8257798611111109</v>
      </c>
      <c r="AI1146" s="11">
        <f t="shared" si="314"/>
        <v>0.16515597222222217</v>
      </c>
      <c r="AJ1146" s="11">
        <f t="shared" si="318"/>
        <v>0.16515597222222217</v>
      </c>
    </row>
    <row r="1147" spans="1:36" x14ac:dyDescent="0.25">
      <c r="A1147" s="4" t="s">
        <v>945</v>
      </c>
      <c r="B1147" s="4" t="s">
        <v>960</v>
      </c>
      <c r="C1147" s="4" t="s">
        <v>17</v>
      </c>
      <c r="D1147" s="4" t="s">
        <v>942</v>
      </c>
      <c r="E1147" t="s">
        <v>894</v>
      </c>
      <c r="F1147" t="s">
        <v>256</v>
      </c>
      <c r="G1147" t="s">
        <v>895</v>
      </c>
      <c r="H1147">
        <f t="shared" si="312"/>
        <v>25.92</v>
      </c>
      <c r="I1147">
        <v>5</v>
      </c>
      <c r="J1147" t="s">
        <v>40</v>
      </c>
      <c r="K1147" t="s">
        <v>17</v>
      </c>
      <c r="L1147" t="s">
        <v>913</v>
      </c>
      <c r="M1147" t="s">
        <v>12</v>
      </c>
      <c r="N1147" t="s">
        <v>91</v>
      </c>
      <c r="P1147">
        <f>(((0.075*2)+(0.04*2))*0.00075)*2.3</f>
        <v>3.9674999999999997E-4</v>
      </c>
      <c r="T1147">
        <v>2</v>
      </c>
      <c r="W1147">
        <v>7800</v>
      </c>
      <c r="X1147" t="s">
        <v>184</v>
      </c>
      <c r="AA1147" s="13">
        <f>Tableau8[[#This Row],[density (kg/m2) or specific weight (kg/m2)]]*Tableau8[[#This Row],[nb of item used ]]*Tableau8[[#This Row],[volume or area]]</f>
        <v>6.1892999999999994</v>
      </c>
      <c r="AB1147">
        <v>24.9</v>
      </c>
      <c r="AC1147">
        <v>1.94</v>
      </c>
      <c r="AD1147" s="11">
        <f t="shared" si="315"/>
        <v>5.9457395833333324</v>
      </c>
      <c r="AE1147" s="11">
        <f>_xlfn.RANK.AVG(Tableau8[[#This Row],[EE ( MJ/m²)]],AD1147:AD2302)</f>
        <v>9</v>
      </c>
      <c r="AF1147" s="11">
        <f t="shared" si="316"/>
        <v>1.1891479166666665</v>
      </c>
      <c r="AG1147" s="11">
        <f t="shared" si="313"/>
        <v>0.463242361111111</v>
      </c>
      <c r="AH1147" s="11">
        <f t="shared" si="317"/>
        <v>0.463242361111111</v>
      </c>
      <c r="AI1147" s="11">
        <f t="shared" si="314"/>
        <v>9.2648472222222195E-2</v>
      </c>
      <c r="AJ1147" s="11">
        <f t="shared" si="318"/>
        <v>9.2648472222222195E-2</v>
      </c>
    </row>
    <row r="1148" spans="1:36" x14ac:dyDescent="0.25">
      <c r="A1148" s="4" t="s">
        <v>945</v>
      </c>
      <c r="B1148" s="4" t="s">
        <v>960</v>
      </c>
      <c r="C1148" s="4" t="s">
        <v>17</v>
      </c>
      <c r="D1148" s="4" t="s">
        <v>942</v>
      </c>
      <c r="E1148" t="s">
        <v>894</v>
      </c>
      <c r="F1148" t="s">
        <v>256</v>
      </c>
      <c r="G1148" t="s">
        <v>895</v>
      </c>
      <c r="H1148">
        <f t="shared" si="312"/>
        <v>25.92</v>
      </c>
      <c r="I1148">
        <v>5</v>
      </c>
      <c r="J1148" t="s">
        <v>56</v>
      </c>
      <c r="K1148" t="s">
        <v>17</v>
      </c>
      <c r="L1148" t="s">
        <v>914</v>
      </c>
      <c r="M1148" t="s">
        <v>12</v>
      </c>
      <c r="N1148" t="s">
        <v>12</v>
      </c>
      <c r="P1148">
        <f>(((0.075*2)+(0.035*2))*0.00075)*3.6</f>
        <v>5.9400000000000002E-4</v>
      </c>
      <c r="T1148">
        <v>6</v>
      </c>
      <c r="W1148">
        <v>7800</v>
      </c>
      <c r="X1148" t="s">
        <v>184</v>
      </c>
      <c r="AA1148" s="13">
        <f>Tableau8[[#This Row],[density (kg/m2) or specific weight (kg/m2)]]*Tableau8[[#This Row],[nb of item used ]]*Tableau8[[#This Row],[volume or area]]</f>
        <v>27.799200000000003</v>
      </c>
      <c r="AB1148">
        <v>25.3</v>
      </c>
      <c r="AC1148">
        <v>1.95</v>
      </c>
      <c r="AD1148" s="11">
        <f t="shared" si="315"/>
        <v>27.134250000000002</v>
      </c>
      <c r="AE1148" s="11">
        <f>_xlfn.RANK.AVG(Tableau8[[#This Row],[EE ( MJ/m²)]],AD1148:AD2303)</f>
        <v>3</v>
      </c>
      <c r="AF1148" s="11">
        <f t="shared" si="316"/>
        <v>5.42685</v>
      </c>
      <c r="AG1148" s="11">
        <f t="shared" si="313"/>
        <v>2.0913749999999998</v>
      </c>
      <c r="AH1148" s="11">
        <f t="shared" si="317"/>
        <v>2.0913749999999998</v>
      </c>
      <c r="AI1148" s="11">
        <f t="shared" si="314"/>
        <v>0.41827499999999995</v>
      </c>
      <c r="AJ1148" s="11">
        <f t="shared" si="318"/>
        <v>0.41827499999999995</v>
      </c>
    </row>
    <row r="1149" spans="1:36" x14ac:dyDescent="0.25">
      <c r="A1149" s="4" t="s">
        <v>945</v>
      </c>
      <c r="B1149" s="4" t="s">
        <v>960</v>
      </c>
      <c r="C1149" s="4" t="s">
        <v>17</v>
      </c>
      <c r="D1149" s="4" t="s">
        <v>942</v>
      </c>
      <c r="E1149" t="s">
        <v>894</v>
      </c>
      <c r="F1149" t="s">
        <v>256</v>
      </c>
      <c r="G1149" t="s">
        <v>895</v>
      </c>
      <c r="H1149">
        <f t="shared" si="312"/>
        <v>25.92</v>
      </c>
      <c r="I1149">
        <v>5</v>
      </c>
      <c r="J1149" t="s">
        <v>56</v>
      </c>
      <c r="K1149" t="s">
        <v>17</v>
      </c>
      <c r="L1149" t="s">
        <v>915</v>
      </c>
      <c r="M1149" t="s">
        <v>12</v>
      </c>
      <c r="N1149" t="s">
        <v>12</v>
      </c>
      <c r="P1149">
        <f>(((0.103*2)+(0.061*2))*0.00075)*3.6</f>
        <v>8.8559999999999984E-4</v>
      </c>
      <c r="T1149">
        <v>2</v>
      </c>
      <c r="W1149">
        <v>7800</v>
      </c>
      <c r="X1149" t="s">
        <v>184</v>
      </c>
      <c r="AA1149" s="13">
        <f>Tableau8[[#This Row],[density (kg/m2) or specific weight (kg/m2)]]*Tableau8[[#This Row],[nb of item used ]]*Tableau8[[#This Row],[volume or area]]</f>
        <v>13.815359999999998</v>
      </c>
      <c r="AB1149">
        <v>25.3</v>
      </c>
      <c r="AC1149">
        <v>1.95</v>
      </c>
      <c r="AD1149" s="11">
        <f t="shared" si="315"/>
        <v>13.484899999999998</v>
      </c>
      <c r="AE1149" s="11">
        <f>_xlfn.RANK.AVG(Tableau8[[#This Row],[EE ( MJ/m²)]],AD1149:AD2304)</f>
        <v>6</v>
      </c>
      <c r="AF1149" s="11">
        <f t="shared" si="316"/>
        <v>2.6969799999999995</v>
      </c>
      <c r="AG1149" s="11">
        <f t="shared" si="313"/>
        <v>1.0393499999999998</v>
      </c>
      <c r="AH1149" s="11">
        <f t="shared" si="317"/>
        <v>1.0393499999999998</v>
      </c>
      <c r="AI1149" s="11">
        <f t="shared" si="314"/>
        <v>0.20786999999999994</v>
      </c>
      <c r="AJ1149" s="11">
        <f t="shared" si="318"/>
        <v>0.20786999999999994</v>
      </c>
    </row>
    <row r="1150" spans="1:36" x14ac:dyDescent="0.25">
      <c r="A1150" s="4" t="s">
        <v>945</v>
      </c>
      <c r="B1150" s="4" t="s">
        <v>960</v>
      </c>
      <c r="C1150" s="4" t="s">
        <v>17</v>
      </c>
      <c r="D1150" s="4" t="s">
        <v>942</v>
      </c>
      <c r="E1150" t="s">
        <v>894</v>
      </c>
      <c r="F1150" t="s">
        <v>256</v>
      </c>
      <c r="G1150" t="s">
        <v>895</v>
      </c>
      <c r="H1150">
        <f t="shared" si="312"/>
        <v>25.92</v>
      </c>
      <c r="I1150">
        <v>5</v>
      </c>
      <c r="J1150" t="s">
        <v>56</v>
      </c>
      <c r="K1150" t="s">
        <v>17</v>
      </c>
      <c r="L1150" t="s">
        <v>917</v>
      </c>
      <c r="M1150" t="s">
        <v>12</v>
      </c>
      <c r="N1150" t="s">
        <v>12</v>
      </c>
      <c r="P1150">
        <f>4.65*2*0.0005</f>
        <v>4.6500000000000005E-3</v>
      </c>
      <c r="T1150">
        <v>4</v>
      </c>
      <c r="W1150">
        <v>7800</v>
      </c>
      <c r="X1150" t="s">
        <v>184</v>
      </c>
      <c r="AA1150" s="13">
        <f>Tableau8[[#This Row],[density (kg/m2) or specific weight (kg/m2)]]*Tableau8[[#This Row],[nb of item used ]]*Tableau8[[#This Row],[volume or area]]</f>
        <v>145.08000000000001</v>
      </c>
      <c r="AB1150">
        <v>25.3</v>
      </c>
      <c r="AC1150">
        <v>1.95</v>
      </c>
      <c r="AD1150" s="11">
        <f t="shared" si="315"/>
        <v>141.60972222222222</v>
      </c>
      <c r="AE1150" s="11">
        <f>_xlfn.RANK.AVG(Tableau8[[#This Row],[EE ( MJ/m²)]],AD1150:AD2305)</f>
        <v>1</v>
      </c>
      <c r="AF1150" s="11">
        <f t="shared" si="316"/>
        <v>28.321944444444444</v>
      </c>
      <c r="AG1150" s="11">
        <f t="shared" si="313"/>
        <v>10.914583333333333</v>
      </c>
      <c r="AH1150" s="11">
        <f t="shared" si="317"/>
        <v>10.914583333333333</v>
      </c>
      <c r="AI1150" s="11">
        <f t="shared" si="314"/>
        <v>2.1829166666666664</v>
      </c>
      <c r="AJ1150" s="11">
        <f t="shared" si="318"/>
        <v>2.1829166666666664</v>
      </c>
    </row>
    <row r="1151" spans="1:36" x14ac:dyDescent="0.25">
      <c r="A1151" s="4" t="s">
        <v>945</v>
      </c>
      <c r="B1151" s="4" t="s">
        <v>960</v>
      </c>
      <c r="C1151" s="4" t="s">
        <v>17</v>
      </c>
      <c r="D1151" s="4" t="s">
        <v>942</v>
      </c>
      <c r="E1151" t="s">
        <v>894</v>
      </c>
      <c r="F1151" t="s">
        <v>256</v>
      </c>
      <c r="G1151" t="s">
        <v>895</v>
      </c>
      <c r="H1151">
        <f t="shared" si="312"/>
        <v>25.92</v>
      </c>
      <c r="I1151">
        <v>5</v>
      </c>
      <c r="J1151" t="s">
        <v>56</v>
      </c>
      <c r="K1151" t="s">
        <v>17</v>
      </c>
      <c r="L1151" t="s">
        <v>918</v>
      </c>
      <c r="M1151" t="s">
        <v>12</v>
      </c>
      <c r="N1151" t="s">
        <v>12</v>
      </c>
      <c r="P1151">
        <f>0.578*0.00045*3.8</f>
        <v>9.8837999999999986E-4</v>
      </c>
      <c r="T1151">
        <v>1</v>
      </c>
      <c r="W1151">
        <v>7800</v>
      </c>
      <c r="X1151" t="s">
        <v>184</v>
      </c>
      <c r="AA1151" s="13">
        <f>Tableau8[[#This Row],[density (kg/m2) or specific weight (kg/m2)]]*Tableau8[[#This Row],[nb of item used ]]*Tableau8[[#This Row],[volume or area]]</f>
        <v>7.709363999999999</v>
      </c>
      <c r="AB1151">
        <v>25.3</v>
      </c>
      <c r="AC1151">
        <v>1.95</v>
      </c>
      <c r="AD1151" s="11">
        <f t="shared" si="315"/>
        <v>7.5249579166666658</v>
      </c>
      <c r="AE1151" s="11">
        <f>_xlfn.RANK.AVG(Tableau8[[#This Row],[EE ( MJ/m²)]],AD1151:AD2306)</f>
        <v>5</v>
      </c>
      <c r="AF1151" s="11">
        <f t="shared" si="316"/>
        <v>1.5049915833333332</v>
      </c>
      <c r="AG1151" s="11">
        <f t="shared" si="313"/>
        <v>0.5799868749999999</v>
      </c>
      <c r="AH1151" s="11">
        <f t="shared" si="317"/>
        <v>0.5799868749999999</v>
      </c>
      <c r="AI1151" s="11">
        <f t="shared" si="314"/>
        <v>0.11599737499999999</v>
      </c>
      <c r="AJ1151" s="11">
        <f t="shared" si="318"/>
        <v>0.11599737499999999</v>
      </c>
    </row>
    <row r="1152" spans="1:36" x14ac:dyDescent="0.25">
      <c r="A1152" s="4" t="s">
        <v>945</v>
      </c>
      <c r="B1152" s="4" t="s">
        <v>960</v>
      </c>
      <c r="C1152" s="4" t="s">
        <v>17</v>
      </c>
      <c r="D1152" s="4" t="s">
        <v>942</v>
      </c>
      <c r="E1152" t="s">
        <v>894</v>
      </c>
      <c r="F1152" t="s">
        <v>256</v>
      </c>
      <c r="G1152" t="s">
        <v>895</v>
      </c>
      <c r="H1152">
        <f t="shared" si="312"/>
        <v>25.92</v>
      </c>
      <c r="I1152">
        <v>5</v>
      </c>
      <c r="J1152" t="s">
        <v>44</v>
      </c>
      <c r="K1152" t="s">
        <v>17</v>
      </c>
      <c r="L1152" t="s">
        <v>919</v>
      </c>
      <c r="M1152" t="s">
        <v>12</v>
      </c>
      <c r="N1152" t="s">
        <v>12</v>
      </c>
      <c r="P1152">
        <f>0.289*4.9*0.0004</f>
        <v>5.6643999999999998E-4</v>
      </c>
      <c r="T1152">
        <v>4</v>
      </c>
      <c r="W1152">
        <v>7800</v>
      </c>
      <c r="X1152" t="s">
        <v>184</v>
      </c>
      <c r="AA1152" s="13">
        <f>Tableau8[[#This Row],[density (kg/m2) or specific weight (kg/m2)]]*Tableau8[[#This Row],[nb of item used ]]*Tableau8[[#This Row],[volume or area]]</f>
        <v>17.672927999999999</v>
      </c>
      <c r="AB1152">
        <v>25.3</v>
      </c>
      <c r="AC1152">
        <v>1.95</v>
      </c>
      <c r="AD1152" s="11">
        <f t="shared" si="315"/>
        <v>17.250195925925926</v>
      </c>
      <c r="AE1152" s="11">
        <f>_xlfn.RANK.AVG(Tableau8[[#This Row],[EE ( MJ/m²)]],AD1152:AD2307)</f>
        <v>4</v>
      </c>
      <c r="AF1152" s="11">
        <f t="shared" si="316"/>
        <v>3.4500391851851853</v>
      </c>
      <c r="AG1152" s="11">
        <f t="shared" si="313"/>
        <v>1.3295605555555552</v>
      </c>
      <c r="AH1152" s="11">
        <f t="shared" si="317"/>
        <v>1.3295605555555552</v>
      </c>
      <c r="AI1152" s="11">
        <f t="shared" si="314"/>
        <v>0.26591211111111102</v>
      </c>
      <c r="AJ1152" s="11">
        <f t="shared" si="318"/>
        <v>0.26591211111111102</v>
      </c>
    </row>
    <row r="1153" spans="1:36" x14ac:dyDescent="0.25">
      <c r="A1153" s="4" t="s">
        <v>945</v>
      </c>
      <c r="B1153" s="4" t="s">
        <v>960</v>
      </c>
      <c r="C1153" s="4" t="s">
        <v>17</v>
      </c>
      <c r="D1153" s="4" t="s">
        <v>942</v>
      </c>
      <c r="E1153" t="s">
        <v>894</v>
      </c>
      <c r="F1153" t="s">
        <v>256</v>
      </c>
      <c r="G1153" t="s">
        <v>895</v>
      </c>
      <c r="H1153">
        <f t="shared" si="312"/>
        <v>25.92</v>
      </c>
      <c r="I1153">
        <v>5</v>
      </c>
      <c r="J1153" t="s">
        <v>44</v>
      </c>
      <c r="K1153" t="s">
        <v>17</v>
      </c>
      <c r="L1153" t="s">
        <v>921</v>
      </c>
      <c r="M1153" t="s">
        <v>12</v>
      </c>
      <c r="N1153" t="s">
        <v>12</v>
      </c>
      <c r="T1153">
        <v>1</v>
      </c>
      <c r="W1153">
        <v>7800</v>
      </c>
      <c r="X1153" t="s">
        <v>184</v>
      </c>
      <c r="AA1153" s="13">
        <f>0.067*30</f>
        <v>2.0100000000000002</v>
      </c>
      <c r="AB1153">
        <v>25.3</v>
      </c>
      <c r="AC1153">
        <v>1.95</v>
      </c>
      <c r="AD1153" s="11">
        <f t="shared" si="315"/>
        <v>1.9619212962962964</v>
      </c>
      <c r="AE1153" s="11">
        <f>_xlfn.RANK.AVG(Tableau8[[#This Row],[EE ( MJ/m²)]],AD1153:AD2308)</f>
        <v>4</v>
      </c>
      <c r="AF1153" s="11">
        <f t="shared" si="316"/>
        <v>0.39238425925925929</v>
      </c>
      <c r="AG1153" s="11">
        <f t="shared" si="313"/>
        <v>0.15121527777777777</v>
      </c>
      <c r="AH1153" s="11">
        <f t="shared" si="317"/>
        <v>0.15121527777777777</v>
      </c>
      <c r="AI1153" s="11">
        <f t="shared" si="314"/>
        <v>3.0243055555555554E-2</v>
      </c>
      <c r="AJ1153" s="11">
        <f t="shared" si="318"/>
        <v>3.0243055555555554E-2</v>
      </c>
    </row>
    <row r="1154" spans="1:36" x14ac:dyDescent="0.25">
      <c r="A1154" s="4" t="s">
        <v>945</v>
      </c>
      <c r="B1154" s="4" t="s">
        <v>960</v>
      </c>
      <c r="C1154" s="4" t="s">
        <v>17</v>
      </c>
      <c r="D1154" s="4" t="s">
        <v>942</v>
      </c>
      <c r="E1154" t="s">
        <v>894</v>
      </c>
      <c r="F1154" t="s">
        <v>256</v>
      </c>
      <c r="G1154" t="s">
        <v>895</v>
      </c>
      <c r="H1154">
        <f t="shared" si="312"/>
        <v>25.92</v>
      </c>
      <c r="I1154">
        <v>5</v>
      </c>
      <c r="J1154" t="s">
        <v>44</v>
      </c>
      <c r="K1154" t="s">
        <v>17</v>
      </c>
      <c r="L1154" t="s">
        <v>922</v>
      </c>
      <c r="M1154" t="s">
        <v>12</v>
      </c>
      <c r="N1154" t="s">
        <v>12</v>
      </c>
      <c r="T1154">
        <v>1</v>
      </c>
      <c r="W1154">
        <v>7800</v>
      </c>
      <c r="X1154" t="s">
        <v>184</v>
      </c>
      <c r="AA1154" s="13">
        <v>25</v>
      </c>
      <c r="AB1154">
        <v>25.3</v>
      </c>
      <c r="AC1154">
        <v>1.95</v>
      </c>
      <c r="AD1154" s="11">
        <f t="shared" si="315"/>
        <v>24.402006172839503</v>
      </c>
      <c r="AE1154" s="11">
        <f>_xlfn.RANK.AVG(Tableau8[[#This Row],[EE ( MJ/m²)]],AD1154:AD2309)</f>
        <v>2</v>
      </c>
      <c r="AF1154" s="11">
        <f t="shared" si="316"/>
        <v>4.8804012345679002</v>
      </c>
      <c r="AG1154" s="11">
        <f t="shared" si="313"/>
        <v>1.880787037037037</v>
      </c>
      <c r="AH1154" s="11">
        <f t="shared" si="317"/>
        <v>1.880787037037037</v>
      </c>
      <c r="AI1154" s="11">
        <f t="shared" si="314"/>
        <v>0.37615740740740738</v>
      </c>
      <c r="AJ1154" s="11">
        <f t="shared" si="318"/>
        <v>0.37615740740740738</v>
      </c>
    </row>
    <row r="1155" spans="1:36" x14ac:dyDescent="0.25">
      <c r="A1155" s="4" t="s">
        <v>945</v>
      </c>
      <c r="B1155" s="4" t="s">
        <v>960</v>
      </c>
      <c r="C1155" s="4" t="s">
        <v>17</v>
      </c>
      <c r="D1155" s="4" t="s">
        <v>942</v>
      </c>
      <c r="E1155" t="s">
        <v>894</v>
      </c>
      <c r="F1155" t="s">
        <v>256</v>
      </c>
      <c r="G1155" t="s">
        <v>895</v>
      </c>
      <c r="H1155">
        <f t="shared" si="312"/>
        <v>25.92</v>
      </c>
      <c r="I1155">
        <v>5</v>
      </c>
      <c r="J1155" t="s">
        <v>13</v>
      </c>
      <c r="K1155" t="s">
        <v>29</v>
      </c>
      <c r="L1155" t="s">
        <v>790</v>
      </c>
      <c r="M1155" t="s">
        <v>364</v>
      </c>
      <c r="N1155" t="s">
        <v>432</v>
      </c>
      <c r="P1155">
        <v>1.3</v>
      </c>
      <c r="Q1155" t="s">
        <v>180</v>
      </c>
      <c r="T1155">
        <v>1</v>
      </c>
      <c r="W1155">
        <v>2240</v>
      </c>
      <c r="X1155" t="s">
        <v>184</v>
      </c>
      <c r="AA1155" s="13">
        <f>Tableau8[[#This Row],[density (kg/m2) or specific weight (kg/m2)]]*Tableau8[[#This Row],[nb of item used ]]*Tableau8[[#This Row],[volume or area]]</f>
        <v>2912</v>
      </c>
      <c r="AB1155">
        <v>8.0999999999999996E-3</v>
      </c>
      <c r="AC1155">
        <v>5.1000000000000004E-3</v>
      </c>
      <c r="AD1155" s="11">
        <f t="shared" si="315"/>
        <v>0.90999999999999992</v>
      </c>
      <c r="AE1155" s="11">
        <f>_xlfn.RANK.AVG(Tableau8[[#This Row],[EE ( MJ/m²)]],AD1155:AD2310)</f>
        <v>3</v>
      </c>
      <c r="AF1155" s="11">
        <f t="shared" si="316"/>
        <v>0.182</v>
      </c>
      <c r="AG1155" s="11">
        <f t="shared" si="313"/>
        <v>0.5729629629629629</v>
      </c>
      <c r="AH1155" s="11">
        <f t="shared" si="317"/>
        <v>0.5729629629629629</v>
      </c>
      <c r="AI1155" s="11">
        <f t="shared" si="314"/>
        <v>0.11459259259259258</v>
      </c>
      <c r="AJ1155" s="11">
        <f t="shared" si="318"/>
        <v>0.11459259259259258</v>
      </c>
    </row>
    <row r="1156" spans="1:36" x14ac:dyDescent="0.25">
      <c r="A1156" s="4" t="s">
        <v>945</v>
      </c>
      <c r="B1156" s="4" t="s">
        <v>960</v>
      </c>
      <c r="C1156" s="4" t="s">
        <v>17</v>
      </c>
      <c r="D1156" s="4" t="s">
        <v>942</v>
      </c>
      <c r="E1156" t="s">
        <v>894</v>
      </c>
      <c r="F1156" t="s">
        <v>256</v>
      </c>
      <c r="G1156" t="s">
        <v>895</v>
      </c>
      <c r="H1156">
        <f t="shared" si="312"/>
        <v>25.92</v>
      </c>
      <c r="I1156">
        <v>5</v>
      </c>
      <c r="J1156" t="s">
        <v>13</v>
      </c>
      <c r="K1156" t="s">
        <v>18</v>
      </c>
      <c r="L1156" t="s">
        <v>789</v>
      </c>
      <c r="M1156" t="s">
        <v>363</v>
      </c>
      <c r="N1156" t="s">
        <v>431</v>
      </c>
      <c r="T1156">
        <v>1</v>
      </c>
      <c r="W1156">
        <v>1860</v>
      </c>
      <c r="X1156" t="s">
        <v>184</v>
      </c>
      <c r="AA1156" s="13">
        <f>15*42.5</f>
        <v>637.5</v>
      </c>
      <c r="AB1156">
        <v>4.51</v>
      </c>
      <c r="AC1156">
        <v>0.74</v>
      </c>
      <c r="AD1156" s="11">
        <f t="shared" si="315"/>
        <v>110.9230324074074</v>
      </c>
      <c r="AE1156" s="11">
        <f>_xlfn.RANK.AVG(Tableau8[[#This Row],[EE ( MJ/m²)]],AD1156:AD2311)</f>
        <v>1</v>
      </c>
      <c r="AF1156" s="11">
        <f t="shared" si="316"/>
        <v>22.184606481481481</v>
      </c>
      <c r="AG1156" s="11">
        <f t="shared" si="313"/>
        <v>18.200231481481481</v>
      </c>
      <c r="AH1156" s="11">
        <f t="shared" si="317"/>
        <v>18.200231481481481</v>
      </c>
      <c r="AI1156" s="11">
        <f t="shared" si="314"/>
        <v>3.6400462962962963</v>
      </c>
      <c r="AJ1156" s="11">
        <f t="shared" si="318"/>
        <v>3.6400462962962963</v>
      </c>
    </row>
    <row r="1157" spans="1:36" x14ac:dyDescent="0.25">
      <c r="A1157" s="4" t="s">
        <v>945</v>
      </c>
      <c r="B1157" s="4" t="s">
        <v>960</v>
      </c>
      <c r="C1157" s="4" t="s">
        <v>17</v>
      </c>
      <c r="D1157" s="4" t="s">
        <v>942</v>
      </c>
      <c r="E1157" t="s">
        <v>894</v>
      </c>
      <c r="F1157" t="s">
        <v>256</v>
      </c>
      <c r="G1157" t="s">
        <v>895</v>
      </c>
      <c r="H1157">
        <f t="shared" si="312"/>
        <v>25.92</v>
      </c>
      <c r="I1157">
        <v>5</v>
      </c>
      <c r="J1157" t="s">
        <v>13</v>
      </c>
      <c r="K1157" t="s">
        <v>29</v>
      </c>
      <c r="L1157" t="s">
        <v>791</v>
      </c>
      <c r="M1157" t="s">
        <v>366</v>
      </c>
      <c r="N1157" t="s">
        <v>433</v>
      </c>
      <c r="P1157">
        <v>2.5499999999999998</v>
      </c>
      <c r="Q1157" t="s">
        <v>180</v>
      </c>
      <c r="T1157">
        <v>1</v>
      </c>
      <c r="U1157" t="s">
        <v>175</v>
      </c>
      <c r="W1157">
        <v>2240</v>
      </c>
      <c r="X1157" t="s">
        <v>184</v>
      </c>
      <c r="AA1157" s="13">
        <f>Tableau8[[#This Row],[density (kg/m2) or specific weight (kg/m2)]]*Tableau8[[#This Row],[nb of item used ]]*Tableau8[[#This Row],[volume or area]]</f>
        <v>5712</v>
      </c>
      <c r="AB1157">
        <v>8.3000000000000004E-2</v>
      </c>
      <c r="AC1157">
        <v>5.1999999999999998E-3</v>
      </c>
      <c r="AD1157" s="11">
        <f t="shared" si="315"/>
        <v>18.290740740740741</v>
      </c>
      <c r="AE1157" s="11">
        <f>_xlfn.RANK.AVG(Tableau8[[#This Row],[EE ( MJ/m²)]],AD1157:AD2312)</f>
        <v>1</v>
      </c>
      <c r="AF1157" s="11">
        <f t="shared" si="316"/>
        <v>3.6581481481481481</v>
      </c>
      <c r="AG1157" s="11">
        <f t="shared" si="313"/>
        <v>1.1459259259259258</v>
      </c>
      <c r="AH1157" s="11">
        <f t="shared" si="317"/>
        <v>1.1459259259259258</v>
      </c>
      <c r="AI1157" s="11">
        <f t="shared" si="314"/>
        <v>0.22918518518518516</v>
      </c>
      <c r="AJ1157" s="11">
        <f t="shared" si="318"/>
        <v>0.22918518518518516</v>
      </c>
    </row>
    <row r="1158" spans="1:36" x14ac:dyDescent="0.25">
      <c r="A1158" s="4"/>
      <c r="B1158" s="4"/>
      <c r="C1158" s="4"/>
      <c r="D1158" s="4"/>
      <c r="AA1158" s="13"/>
      <c r="AE1158" s="11" t="e">
        <f>_xlfn.RANK.AVG(Tableau8[[#This Row],[EE ( MJ/m²)]],AD1158:AD2313)</f>
        <v>#N/A</v>
      </c>
      <c r="AJ1158" s="11"/>
    </row>
    <row r="1159" spans="1:36" x14ac:dyDescent="0.25">
      <c r="A1159" s="4"/>
      <c r="B1159" s="4"/>
      <c r="C1159" s="4"/>
      <c r="D1159" s="4"/>
      <c r="AA1159" s="13"/>
      <c r="AE1159" s="11" t="e">
        <f>_xlfn.RANK.AVG(Tableau8[[#This Row],[EE ( MJ/m²)]],AD1159:AD2314)</f>
        <v>#N/A</v>
      </c>
      <c r="AJ1159" s="11"/>
    </row>
    <row r="1160" spans="1:36" x14ac:dyDescent="0.25">
      <c r="A1160" s="4"/>
      <c r="B1160" s="4"/>
      <c r="C1160" s="4"/>
      <c r="D1160" s="4"/>
      <c r="AA1160" s="13"/>
      <c r="AE1160" s="11" t="e">
        <f>_xlfn.RANK.AVG(Tableau8[[#This Row],[EE ( MJ/m²)]],AD1160:AD2315)</f>
        <v>#N/A</v>
      </c>
      <c r="AJ1160" s="11"/>
    </row>
    <row r="1161" spans="1:36" x14ac:dyDescent="0.25">
      <c r="A1161" s="4"/>
      <c r="B1161" s="4"/>
      <c r="C1161" s="4"/>
      <c r="D1161" s="4"/>
      <c r="AA1161" s="13"/>
      <c r="AE1161" s="11" t="e">
        <f>_xlfn.RANK.AVG(Tableau8[[#This Row],[EE ( MJ/m²)]],AD1161:AD2316)</f>
        <v>#N/A</v>
      </c>
      <c r="AJ1161" s="11"/>
    </row>
    <row r="1162" spans="1:36" x14ac:dyDescent="0.25">
      <c r="A1162" s="4"/>
      <c r="B1162" s="4"/>
      <c r="C1162" s="4"/>
      <c r="D1162" s="4"/>
      <c r="AA1162" s="13"/>
      <c r="AE1162" s="11" t="e">
        <f>_xlfn.RANK.AVG(Tableau8[[#This Row],[EE ( MJ/m²)]],AD1162:AD2317)</f>
        <v>#N/A</v>
      </c>
      <c r="AJ1162" s="11"/>
    </row>
    <row r="1163" spans="1:36" x14ac:dyDescent="0.25">
      <c r="A1163" s="17"/>
      <c r="B1163" s="17"/>
      <c r="C1163" s="4"/>
      <c r="D1163" s="17"/>
      <c r="E1163" s="18"/>
      <c r="F1163" s="18"/>
      <c r="G1163" s="18"/>
      <c r="H1163" s="18"/>
      <c r="I1163" s="18"/>
      <c r="J1163" s="18"/>
      <c r="L1163" s="18"/>
      <c r="M1163" s="18"/>
      <c r="N1163" s="18"/>
      <c r="O1163" s="18"/>
      <c r="P1163" s="18"/>
      <c r="Q1163" s="18"/>
      <c r="R1163" s="18"/>
      <c r="S1163" s="18"/>
      <c r="T1163" s="18"/>
      <c r="U1163" s="18"/>
      <c r="V1163" s="18"/>
      <c r="W1163" s="18"/>
      <c r="Y1163" s="18"/>
      <c r="Z1163" s="18"/>
      <c r="AA1163" s="19"/>
      <c r="AB1163" s="18"/>
      <c r="AC1163" s="18"/>
      <c r="AD1163" s="31"/>
      <c r="AE1163" s="31" t="e">
        <f>_xlfn.RANK.AVG(Tableau8[[#This Row],[EE ( MJ/m²)]],AD1163:AD2318)</f>
        <v>#N/A</v>
      </c>
      <c r="AF1163" s="31"/>
      <c r="AG1163" s="31"/>
      <c r="AH1163" s="31"/>
      <c r="AI1163" s="31"/>
      <c r="AJ1163" s="31"/>
    </row>
    <row r="1164" spans="1:36" x14ac:dyDescent="0.25">
      <c r="A1164" s="17"/>
      <c r="B1164" s="17"/>
      <c r="C1164" s="4"/>
      <c r="D1164" s="17"/>
      <c r="E1164" s="18"/>
      <c r="F1164" s="18"/>
      <c r="G1164" s="18"/>
      <c r="H1164" s="18"/>
      <c r="I1164" s="18"/>
      <c r="J1164" s="18"/>
      <c r="L1164" s="18"/>
      <c r="M1164" s="18"/>
      <c r="N1164" s="18"/>
      <c r="O1164" s="18"/>
      <c r="P1164" s="18"/>
      <c r="Q1164" s="18"/>
      <c r="R1164" s="18"/>
      <c r="S1164" s="18"/>
      <c r="T1164" s="18"/>
      <c r="U1164" s="18"/>
      <c r="V1164" s="18"/>
      <c r="W1164" s="18"/>
      <c r="Y1164" s="18"/>
      <c r="Z1164" s="18"/>
      <c r="AA1164" s="19"/>
      <c r="AB1164" s="18"/>
      <c r="AC1164" s="18"/>
      <c r="AD1164" s="31"/>
      <c r="AE1164" s="31" t="e">
        <f>_xlfn.RANK.AVG(Tableau8[[#This Row],[EE ( MJ/m²)]],AD1164:AD2319)</f>
        <v>#N/A</v>
      </c>
      <c r="AF1164" s="31"/>
      <c r="AG1164" s="31"/>
      <c r="AH1164" s="31"/>
      <c r="AI1164" s="31"/>
      <c r="AJ1164" s="31"/>
    </row>
    <row r="1165" spans="1:36" x14ac:dyDescent="0.25">
      <c r="A1165" s="17"/>
      <c r="B1165" s="17"/>
      <c r="C1165" s="4"/>
      <c r="D1165" s="17"/>
      <c r="E1165" s="18"/>
      <c r="F1165" s="18"/>
      <c r="G1165" s="18"/>
      <c r="H1165" s="18"/>
      <c r="I1165" s="18"/>
      <c r="J1165" s="18"/>
      <c r="L1165" s="18"/>
      <c r="M1165" s="18"/>
      <c r="N1165" s="18"/>
      <c r="O1165" s="18"/>
      <c r="P1165" s="18"/>
      <c r="Q1165" s="18"/>
      <c r="R1165" s="18"/>
      <c r="S1165" s="18"/>
      <c r="T1165" s="18"/>
      <c r="U1165" s="18"/>
      <c r="V1165" s="18"/>
      <c r="W1165" s="18"/>
      <c r="Y1165" s="18"/>
      <c r="Z1165" s="18"/>
      <c r="AA1165" s="19"/>
      <c r="AB1165" s="18"/>
      <c r="AC1165" s="18"/>
      <c r="AD1165" s="31"/>
      <c r="AE1165" s="31" t="e">
        <f>_xlfn.RANK.AVG(Tableau8[[#This Row],[EE ( MJ/m²)]],AD1165:AD2320)</f>
        <v>#N/A</v>
      </c>
      <c r="AF1165" s="31"/>
      <c r="AG1165" s="31"/>
      <c r="AH1165" s="31"/>
      <c r="AI1165" s="31"/>
      <c r="AJ1165" s="31"/>
    </row>
    <row r="1166" spans="1:36" x14ac:dyDescent="0.25">
      <c r="A1166" s="26"/>
      <c r="B1166" s="26"/>
      <c r="C1166" s="4"/>
      <c r="D1166" s="26"/>
      <c r="E1166" s="27"/>
      <c r="F1166" s="27"/>
      <c r="G1166" s="27"/>
      <c r="H1166" s="27"/>
      <c r="I1166" s="27"/>
      <c r="J1166" s="27"/>
      <c r="L1166" s="27"/>
      <c r="M1166" s="27"/>
      <c r="N1166" s="27"/>
      <c r="O1166" s="27"/>
      <c r="P1166" s="27"/>
      <c r="Q1166" s="27"/>
      <c r="R1166" s="27"/>
      <c r="S1166" s="27"/>
      <c r="T1166" s="27"/>
      <c r="U1166" s="27"/>
      <c r="V1166" s="27"/>
      <c r="W1166" s="27"/>
      <c r="X1166" s="27"/>
      <c r="Y1166" s="27"/>
      <c r="Z1166" s="27"/>
      <c r="AA1166" s="28"/>
      <c r="AB1166" s="27"/>
      <c r="AC1166" s="27"/>
      <c r="AD1166" s="32"/>
      <c r="AE1166" s="32" t="e">
        <f>_xlfn.RANK.AVG(Tableau8[[#This Row],[EE ( MJ/m²)]],AD1166:AD2321)</f>
        <v>#N/A</v>
      </c>
      <c r="AF1166" s="32"/>
      <c r="AG1166" s="32"/>
      <c r="AH1166" s="32"/>
      <c r="AI1166" s="32"/>
      <c r="AJ1166" s="32"/>
    </row>
    <row r="1167" spans="1:36" x14ac:dyDescent="0.25">
      <c r="A1167" s="26"/>
      <c r="B1167" s="26"/>
      <c r="C1167" s="4"/>
      <c r="D1167" s="26"/>
      <c r="E1167" s="27"/>
      <c r="F1167" s="27"/>
      <c r="G1167" s="27"/>
      <c r="H1167" s="27"/>
      <c r="I1167" s="27"/>
      <c r="J1167" s="27"/>
      <c r="L1167" s="27"/>
      <c r="M1167" s="27"/>
      <c r="N1167" s="27"/>
      <c r="O1167" s="27"/>
      <c r="P1167" s="27"/>
      <c r="Q1167" s="27"/>
      <c r="R1167" s="27"/>
      <c r="S1167" s="27"/>
      <c r="T1167" s="27"/>
      <c r="U1167" s="27"/>
      <c r="V1167" s="27"/>
      <c r="W1167" s="27"/>
      <c r="X1167" s="27"/>
      <c r="Y1167" s="27"/>
      <c r="Z1167" s="27"/>
      <c r="AA1167" s="28"/>
      <c r="AB1167" s="27"/>
      <c r="AC1167" s="27"/>
      <c r="AD1167" s="32"/>
      <c r="AE1167" s="32" t="e">
        <f>_xlfn.RANK.AVG(Tableau8[[#This Row],[EE ( MJ/m²)]],AD1167:AD2322)</f>
        <v>#N/A</v>
      </c>
      <c r="AF1167" s="32"/>
      <c r="AG1167" s="32"/>
      <c r="AH1167" s="32"/>
      <c r="AI1167" s="32"/>
      <c r="AJ1167" s="32"/>
    </row>
    <row r="1168" spans="1:36" x14ac:dyDescent="0.25">
      <c r="A1168" s="26"/>
      <c r="B1168" s="26"/>
      <c r="C1168" s="4"/>
      <c r="D1168" s="26"/>
      <c r="E1168" s="27"/>
      <c r="F1168" s="27"/>
      <c r="G1168" s="27"/>
      <c r="H1168" s="27"/>
      <c r="I1168" s="27"/>
      <c r="J1168" s="27"/>
      <c r="L1168" s="27"/>
      <c r="M1168" s="27"/>
      <c r="N1168" s="27"/>
      <c r="O1168" s="27"/>
      <c r="P1168" s="27"/>
      <c r="Q1168" s="27"/>
      <c r="R1168" s="27"/>
      <c r="S1168" s="27"/>
      <c r="T1168" s="27"/>
      <c r="U1168" s="27"/>
      <c r="V1168" s="27"/>
      <c r="W1168" s="27"/>
      <c r="X1168" s="27"/>
      <c r="Y1168" s="27"/>
      <c r="Z1168" s="27"/>
      <c r="AA1168" s="28"/>
      <c r="AB1168" s="27"/>
      <c r="AC1168" s="27"/>
      <c r="AD1168" s="32"/>
      <c r="AE1168" s="32" t="e">
        <f>_xlfn.RANK.AVG(Tableau8[[#This Row],[EE ( MJ/m²)]],AD1168:AD2323)</f>
        <v>#N/A</v>
      </c>
      <c r="AF1168" s="32"/>
      <c r="AG1168" s="32"/>
      <c r="AH1168" s="32"/>
      <c r="AI1168" s="32"/>
      <c r="AJ1168" s="32"/>
    </row>
    <row r="1169" spans="1:36" x14ac:dyDescent="0.25">
      <c r="A1169" s="26"/>
      <c r="B1169" s="26"/>
      <c r="C1169" s="4"/>
      <c r="D1169" s="26"/>
      <c r="E1169" s="27"/>
      <c r="F1169" s="27"/>
      <c r="G1169" s="27"/>
      <c r="H1169" s="27"/>
      <c r="I1169" s="27"/>
      <c r="J1169" s="27"/>
      <c r="L1169" s="27"/>
      <c r="M1169" s="27"/>
      <c r="N1169" s="27"/>
      <c r="O1169" s="27"/>
      <c r="P1169" s="27"/>
      <c r="Q1169" s="27"/>
      <c r="R1169" s="27"/>
      <c r="S1169" s="27"/>
      <c r="T1169" s="27"/>
      <c r="U1169" s="27"/>
      <c r="V1169" s="27"/>
      <c r="W1169" s="27"/>
      <c r="X1169" s="27"/>
      <c r="Y1169" s="27"/>
      <c r="Z1169" s="27"/>
      <c r="AA1169" s="28"/>
      <c r="AB1169" s="27"/>
      <c r="AC1169" s="27"/>
      <c r="AD1169" s="32"/>
      <c r="AE1169" s="32" t="e">
        <f>_xlfn.RANK.AVG(Tableau8[[#This Row],[EE ( MJ/m²)]],AD1169:AD2324)</f>
        <v>#N/A</v>
      </c>
      <c r="AF1169" s="32"/>
      <c r="AG1169" s="32"/>
      <c r="AH1169" s="32"/>
      <c r="AI1169" s="32"/>
      <c r="AJ1169" s="32"/>
    </row>
    <row r="1170" spans="1:36" x14ac:dyDescent="0.25">
      <c r="A1170" s="26"/>
      <c r="B1170" s="26"/>
      <c r="C1170" s="4"/>
      <c r="D1170" s="26"/>
      <c r="E1170" s="27"/>
      <c r="F1170" s="27"/>
      <c r="G1170" s="27"/>
      <c r="H1170" s="27"/>
      <c r="I1170" s="27"/>
      <c r="J1170" s="27"/>
      <c r="L1170" s="27"/>
      <c r="M1170" s="27"/>
      <c r="N1170" s="27"/>
      <c r="O1170" s="27"/>
      <c r="P1170" s="27"/>
      <c r="Q1170" s="27"/>
      <c r="R1170" s="27"/>
      <c r="S1170" s="27"/>
      <c r="T1170" s="27"/>
      <c r="U1170" s="27"/>
      <c r="V1170" s="27"/>
      <c r="W1170" s="27"/>
      <c r="X1170" s="27"/>
      <c r="Y1170" s="27"/>
      <c r="Z1170" s="27"/>
      <c r="AA1170" s="28"/>
      <c r="AB1170" s="27"/>
      <c r="AC1170" s="27"/>
      <c r="AD1170" s="32"/>
      <c r="AE1170" s="32" t="e">
        <f>_xlfn.RANK.AVG(Tableau8[[#This Row],[EE ( MJ/m²)]],AD1170:AD2325)</f>
        <v>#N/A</v>
      </c>
      <c r="AF1170" s="32"/>
      <c r="AG1170" s="32"/>
      <c r="AH1170" s="32"/>
      <c r="AI1170" s="32"/>
      <c r="AJ1170" s="32"/>
    </row>
    <row r="1171" spans="1:36" s="20" customFormat="1" x14ac:dyDescent="0.25">
      <c r="A1171" s="26"/>
      <c r="B1171" s="26"/>
      <c r="C1171" s="4"/>
      <c r="D1171" s="26"/>
      <c r="E1171" s="27"/>
      <c r="F1171" s="27"/>
      <c r="G1171" s="27"/>
      <c r="H1171" s="27"/>
      <c r="I1171" s="27"/>
      <c r="J1171" s="27"/>
      <c r="K1171"/>
      <c r="L1171" s="27"/>
      <c r="M1171" s="27"/>
      <c r="N1171" s="27"/>
      <c r="O1171" s="27"/>
      <c r="P1171" s="27"/>
      <c r="Q1171" s="27"/>
      <c r="R1171" s="27"/>
      <c r="S1171" s="27"/>
      <c r="T1171" s="27"/>
      <c r="U1171" s="27"/>
      <c r="V1171" s="27"/>
      <c r="W1171" s="27"/>
      <c r="X1171" s="27"/>
      <c r="Y1171" s="27"/>
      <c r="Z1171" s="27"/>
      <c r="AA1171" s="28"/>
      <c r="AB1171" s="27"/>
      <c r="AC1171" s="27"/>
      <c r="AD1171" s="32"/>
      <c r="AE1171" s="32" t="e">
        <f>_xlfn.RANK.AVG(Tableau8[[#This Row],[EE ( MJ/m²)]],AD1171:AD2326)</f>
        <v>#N/A</v>
      </c>
      <c r="AF1171" s="32"/>
      <c r="AG1171" s="32"/>
      <c r="AH1171" s="32"/>
      <c r="AI1171" s="32"/>
      <c r="AJ1171" s="32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Données biomass maintained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Aude Matard</dc:creator>
  <cp:lastModifiedBy>Noorullah Kuchai</cp:lastModifiedBy>
  <dcterms:created xsi:type="dcterms:W3CDTF">2018-03-08T18:55:37Z</dcterms:created>
  <dcterms:modified xsi:type="dcterms:W3CDTF">2018-09-11T17:44:50Z</dcterms:modified>
</cp:coreProperties>
</file>