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pc-26016-user\Documents\Research\PhD\Literature review\Literature review - paper\"/>
    </mc:Choice>
  </mc:AlternateContent>
  <bookViews>
    <workbookView xWindow="0" yWindow="0" windowWidth="20490" windowHeight="7350" activeTab="1"/>
  </bookViews>
  <sheets>
    <sheet name="Read me" sheetId="2" r:id="rId1"/>
    <sheet name="Batch" sheetId="3" r:id="rId2"/>
    <sheet name="Fed-batch" sheetId="1" r:id="rId3"/>
    <sheet name="(semi-)Continuous" sheetId="4" r:id="rId4"/>
    <sheet name="OLR and MCCA production rate" sheetId="8" r:id="rId5"/>
    <sheet name="Effect of inoculum type" sheetId="12" r:id="rId6"/>
    <sheet name="Effect of HRT and extraction" sheetId="15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5" l="1"/>
  <c r="R5" i="15"/>
  <c r="S5" i="15" s="1"/>
  <c r="G6" i="15"/>
  <c r="R6" i="15"/>
  <c r="S6" i="15" s="1"/>
  <c r="G7" i="15"/>
  <c r="R7" i="15"/>
  <c r="S7" i="15" s="1"/>
  <c r="G8" i="15"/>
  <c r="R8" i="15"/>
  <c r="S8" i="15"/>
  <c r="G9" i="15"/>
  <c r="R9" i="15"/>
  <c r="S9" i="15" s="1"/>
  <c r="G10" i="15"/>
  <c r="R10" i="15"/>
  <c r="S10" i="15"/>
  <c r="G11" i="15"/>
  <c r="R11" i="15"/>
  <c r="S11" i="15" s="1"/>
  <c r="G12" i="15"/>
  <c r="R12" i="15"/>
  <c r="S12" i="15"/>
  <c r="G13" i="15"/>
  <c r="R13" i="15"/>
  <c r="S13" i="15" s="1"/>
  <c r="G14" i="15"/>
  <c r="R14" i="15"/>
  <c r="S14" i="15" s="1"/>
  <c r="G15" i="15"/>
  <c r="R15" i="15"/>
  <c r="S15" i="15" s="1"/>
  <c r="G16" i="15"/>
  <c r="R16" i="15"/>
  <c r="S16" i="15"/>
  <c r="G17" i="15"/>
  <c r="R17" i="15"/>
  <c r="S17" i="15" s="1"/>
  <c r="G18" i="15"/>
  <c r="R18" i="15"/>
  <c r="S18" i="15"/>
  <c r="G19" i="15"/>
  <c r="R19" i="15"/>
  <c r="S19" i="15" s="1"/>
  <c r="E20" i="15"/>
  <c r="G20" i="15"/>
  <c r="R20" i="15"/>
  <c r="S20" i="15" s="1"/>
  <c r="E21" i="15"/>
  <c r="G21" i="15"/>
  <c r="R21" i="15"/>
  <c r="S21" i="15" s="1"/>
  <c r="E22" i="15"/>
  <c r="G22" i="15"/>
  <c r="R22" i="15"/>
  <c r="E23" i="15"/>
  <c r="G23" i="15"/>
  <c r="R23" i="15"/>
  <c r="E24" i="15"/>
  <c r="R24" i="15"/>
  <c r="S24" i="15"/>
  <c r="E25" i="15"/>
  <c r="R25" i="15"/>
  <c r="S25" i="15" s="1"/>
  <c r="E26" i="15"/>
  <c r="R26" i="15"/>
  <c r="E27" i="15"/>
  <c r="R27" i="15"/>
  <c r="S27" i="15" s="1"/>
  <c r="F28" i="15"/>
  <c r="E28" i="15" s="1"/>
  <c r="R28" i="15"/>
  <c r="R29" i="15"/>
  <c r="S29" i="15" s="1"/>
  <c r="R30" i="15"/>
  <c r="S30" i="15" s="1"/>
  <c r="R31" i="15"/>
  <c r="S31" i="15" s="1"/>
  <c r="R32" i="15"/>
  <c r="S32" i="15" s="1"/>
  <c r="R33" i="15"/>
  <c r="S33" i="15" s="1"/>
  <c r="E34" i="15"/>
  <c r="G34" i="15"/>
  <c r="R34" i="15"/>
  <c r="E35" i="15"/>
  <c r="G35" i="15"/>
  <c r="R35" i="15"/>
  <c r="S35" i="15" s="1"/>
  <c r="R36" i="15"/>
  <c r="S36" i="15" s="1"/>
  <c r="R37" i="15"/>
  <c r="S37" i="15" s="1"/>
  <c r="E38" i="15"/>
  <c r="S38" i="15" s="1"/>
  <c r="F38" i="15"/>
  <c r="G38" i="15" s="1"/>
  <c r="R38" i="15"/>
  <c r="E39" i="15"/>
  <c r="R39" i="15"/>
  <c r="S39" i="15" s="1"/>
  <c r="E40" i="15"/>
  <c r="S40" i="15" s="1"/>
  <c r="R40" i="15"/>
  <c r="E41" i="15"/>
  <c r="R41" i="15"/>
  <c r="S41" i="15" s="1"/>
  <c r="E42" i="15"/>
  <c r="R42" i="15"/>
  <c r="S42" i="15"/>
  <c r="R43" i="15"/>
  <c r="S43" i="15" s="1"/>
  <c r="R44" i="15"/>
  <c r="S44" i="15"/>
  <c r="R45" i="15"/>
  <c r="S45" i="15" s="1"/>
  <c r="R46" i="15"/>
  <c r="S46" i="15"/>
  <c r="E47" i="15"/>
  <c r="R47" i="15"/>
  <c r="R48" i="15"/>
  <c r="S48" i="15" s="1"/>
  <c r="R49" i="15"/>
  <c r="S49" i="15" s="1"/>
  <c r="R50" i="15"/>
  <c r="S50" i="15" s="1"/>
  <c r="R51" i="15"/>
  <c r="S51" i="15" s="1"/>
  <c r="R52" i="15"/>
  <c r="S52" i="15" s="1"/>
  <c r="R53" i="15"/>
  <c r="S53" i="15" s="1"/>
  <c r="E54" i="15"/>
  <c r="F54" i="15"/>
  <c r="R54" i="15"/>
  <c r="F55" i="15"/>
  <c r="E55" i="15" s="1"/>
  <c r="R55" i="15"/>
  <c r="F56" i="15"/>
  <c r="E56" i="15" s="1"/>
  <c r="R56" i="15"/>
  <c r="E57" i="15"/>
  <c r="F57" i="15"/>
  <c r="R57" i="15"/>
  <c r="S57" i="15" s="1"/>
  <c r="E58" i="15"/>
  <c r="S58" i="15" s="1"/>
  <c r="R58" i="15"/>
  <c r="E59" i="15"/>
  <c r="R59" i="15"/>
  <c r="S59" i="15" s="1"/>
  <c r="E60" i="15"/>
  <c r="R60" i="15"/>
  <c r="S60" i="15" s="1"/>
  <c r="E61" i="15"/>
  <c r="F61" i="15"/>
  <c r="R61" i="15"/>
  <c r="S61" i="15" s="1"/>
  <c r="E62" i="15"/>
  <c r="F62" i="15"/>
  <c r="R62" i="15"/>
  <c r="S62" i="15" s="1"/>
  <c r="E63" i="15"/>
  <c r="F63" i="15"/>
  <c r="R63" i="15"/>
  <c r="S63" i="15" s="1"/>
  <c r="E64" i="15"/>
  <c r="F64" i="15"/>
  <c r="R64" i="15"/>
  <c r="S64" i="15" s="1"/>
  <c r="R65" i="15"/>
  <c r="S65" i="15"/>
  <c r="R66" i="15"/>
  <c r="S66" i="15" s="1"/>
  <c r="R67" i="15"/>
  <c r="S67" i="15"/>
  <c r="R68" i="15"/>
  <c r="S68" i="15" s="1"/>
  <c r="R69" i="15"/>
  <c r="S69" i="15"/>
  <c r="R70" i="15"/>
  <c r="S70" i="15" s="1"/>
  <c r="F71" i="15"/>
  <c r="E71" i="15" s="1"/>
  <c r="R71" i="15"/>
  <c r="F72" i="15"/>
  <c r="E72" i="15" s="1"/>
  <c r="R72" i="15"/>
  <c r="F73" i="15"/>
  <c r="G73" i="15" s="1"/>
  <c r="R73" i="15"/>
  <c r="F74" i="15"/>
  <c r="G74" i="15" s="1"/>
  <c r="R74" i="15"/>
  <c r="F75" i="15"/>
  <c r="E75" i="15" s="1"/>
  <c r="G75" i="15"/>
  <c r="R75" i="15"/>
  <c r="F76" i="15"/>
  <c r="E76" i="15" s="1"/>
  <c r="R76" i="15"/>
  <c r="S76" i="15" s="1"/>
  <c r="E77" i="15"/>
  <c r="F77" i="15"/>
  <c r="G77" i="15"/>
  <c r="R77" i="15"/>
  <c r="S77" i="15" s="1"/>
  <c r="F78" i="15"/>
  <c r="G78" i="15" s="1"/>
  <c r="R78" i="15"/>
  <c r="E79" i="15"/>
  <c r="S79" i="15" s="1"/>
  <c r="F79" i="15"/>
  <c r="G79" i="15"/>
  <c r="R79" i="15"/>
  <c r="F80" i="15"/>
  <c r="E80" i="15" s="1"/>
  <c r="R80" i="15"/>
  <c r="F81" i="15"/>
  <c r="E81" i="15" s="1"/>
  <c r="G81" i="15"/>
  <c r="R81" i="15"/>
  <c r="F82" i="15"/>
  <c r="G82" i="15" s="1"/>
  <c r="R82" i="15"/>
  <c r="E83" i="15"/>
  <c r="F83" i="15"/>
  <c r="G83" i="15"/>
  <c r="R83" i="15"/>
  <c r="F84" i="15"/>
  <c r="E84" i="15" s="1"/>
  <c r="R84" i="15"/>
  <c r="F85" i="15"/>
  <c r="G85" i="15" s="1"/>
  <c r="R85" i="15"/>
  <c r="E86" i="15"/>
  <c r="S86" i="15" s="1"/>
  <c r="F86" i="15"/>
  <c r="R86" i="15"/>
  <c r="E87" i="15"/>
  <c r="S87" i="15" s="1"/>
  <c r="F87" i="15"/>
  <c r="R87" i="15"/>
  <c r="E88" i="15"/>
  <c r="S88" i="15" s="1"/>
  <c r="F88" i="15"/>
  <c r="R88" i="15"/>
  <c r="R89" i="15"/>
  <c r="S89" i="15" s="1"/>
  <c r="R90" i="15"/>
  <c r="S90" i="15"/>
  <c r="R91" i="15"/>
  <c r="S91" i="15" s="1"/>
  <c r="R92" i="15"/>
  <c r="S92" i="15"/>
  <c r="R93" i="15"/>
  <c r="S93" i="15" s="1"/>
  <c r="R94" i="15"/>
  <c r="S94" i="15"/>
  <c r="R95" i="15"/>
  <c r="S95" i="15" s="1"/>
  <c r="R96" i="15"/>
  <c r="S96" i="15"/>
  <c r="R97" i="15"/>
  <c r="S97" i="15" s="1"/>
  <c r="R98" i="15"/>
  <c r="S98" i="15"/>
  <c r="R99" i="15"/>
  <c r="S99" i="15" s="1"/>
  <c r="R100" i="15"/>
  <c r="S100" i="15"/>
  <c r="R101" i="15"/>
  <c r="S101" i="15" s="1"/>
  <c r="R102" i="15"/>
  <c r="S102" i="15"/>
  <c r="R103" i="15"/>
  <c r="S103" i="15" s="1"/>
  <c r="R104" i="15"/>
  <c r="S104" i="15"/>
  <c r="R105" i="15"/>
  <c r="S105" i="15" s="1"/>
  <c r="R106" i="15"/>
  <c r="S106" i="15"/>
  <c r="R107" i="15"/>
  <c r="S107" i="15" s="1"/>
  <c r="R108" i="15"/>
  <c r="S108" i="15"/>
  <c r="R109" i="15"/>
  <c r="S109" i="15" s="1"/>
  <c r="R110" i="15"/>
  <c r="S110" i="15"/>
  <c r="R111" i="15"/>
  <c r="S111" i="15" s="1"/>
  <c r="F112" i="15"/>
  <c r="E112" i="15" s="1"/>
  <c r="R112" i="15"/>
  <c r="F113" i="15"/>
  <c r="E113" i="15" s="1"/>
  <c r="S113" i="15" s="1"/>
  <c r="R113" i="15"/>
  <c r="F114" i="15"/>
  <c r="E114" i="15" s="1"/>
  <c r="R114" i="15"/>
  <c r="F115" i="15"/>
  <c r="E115" i="15" s="1"/>
  <c r="S115" i="15" s="1"/>
  <c r="R115" i="15"/>
  <c r="S81" i="15" l="1"/>
  <c r="S75" i="15"/>
  <c r="S71" i="15"/>
  <c r="S26" i="15"/>
  <c r="S112" i="15"/>
  <c r="S84" i="15"/>
  <c r="S72" i="15"/>
  <c r="S54" i="15"/>
  <c r="S22" i="15"/>
  <c r="S56" i="15"/>
  <c r="E85" i="15"/>
  <c r="S85" i="15" s="1"/>
  <c r="E73" i="15"/>
  <c r="S73" i="15" s="1"/>
  <c r="S114" i="15"/>
  <c r="S83" i="15"/>
  <c r="S55" i="15"/>
  <c r="S47" i="15"/>
  <c r="S34" i="15"/>
  <c r="S28" i="15"/>
  <c r="S23" i="15"/>
  <c r="S80" i="15"/>
  <c r="G84" i="15"/>
  <c r="E82" i="15"/>
  <c r="S82" i="15" s="1"/>
  <c r="G80" i="15"/>
  <c r="E78" i="15"/>
  <c r="S78" i="15" s="1"/>
  <c r="G76" i="15"/>
  <c r="E74" i="15"/>
  <c r="S74" i="15" s="1"/>
  <c r="G72" i="15"/>
  <c r="R3" i="12" l="1"/>
  <c r="S3" i="12" s="1"/>
  <c r="T3" i="12" s="1"/>
  <c r="R4" i="12"/>
  <c r="S4" i="12" s="1"/>
  <c r="T4" i="12" s="1"/>
  <c r="R5" i="12"/>
  <c r="S5" i="12" s="1"/>
  <c r="T5" i="12" s="1"/>
  <c r="R6" i="12"/>
  <c r="S6" i="12"/>
  <c r="T6" i="12" s="1"/>
  <c r="R7" i="12"/>
  <c r="S7" i="12" s="1"/>
  <c r="T7" i="12" s="1"/>
  <c r="R8" i="12"/>
  <c r="S8" i="12" s="1"/>
  <c r="T8" i="12" s="1"/>
  <c r="R9" i="12"/>
  <c r="S9" i="12"/>
  <c r="T9" i="12" s="1"/>
  <c r="R10" i="12"/>
  <c r="S10" i="12" s="1"/>
  <c r="T10" i="12" s="1"/>
  <c r="R11" i="12"/>
  <c r="S11" i="12"/>
  <c r="T11" i="12" s="1"/>
  <c r="R12" i="12"/>
  <c r="S12" i="12" s="1"/>
  <c r="T12" i="12" s="1"/>
  <c r="R13" i="12"/>
  <c r="S13" i="12"/>
  <c r="T13" i="12" s="1"/>
  <c r="R14" i="12"/>
  <c r="S14" i="12" s="1"/>
  <c r="T14" i="12" s="1"/>
  <c r="R15" i="12"/>
  <c r="S15" i="12"/>
  <c r="T15" i="12" s="1"/>
  <c r="R16" i="12"/>
  <c r="S16" i="12" s="1"/>
  <c r="T16" i="12" s="1"/>
  <c r="R17" i="12"/>
  <c r="S17" i="12" s="1"/>
  <c r="T17" i="12" s="1"/>
  <c r="R18" i="12"/>
  <c r="S18" i="12" s="1"/>
  <c r="T18" i="12" s="1"/>
  <c r="G19" i="12"/>
  <c r="R19" i="12"/>
  <c r="S19" i="12" s="1"/>
  <c r="T19" i="12" s="1"/>
  <c r="G20" i="12"/>
  <c r="R20" i="12"/>
  <c r="S20" i="12" s="1"/>
  <c r="T20" i="12" s="1"/>
  <c r="R21" i="12"/>
  <c r="S21" i="12" s="1"/>
  <c r="T21" i="12" s="1"/>
  <c r="R22" i="12"/>
  <c r="S22" i="12" s="1"/>
  <c r="T22" i="12" s="1"/>
  <c r="R23" i="12"/>
  <c r="S23" i="12" s="1"/>
  <c r="T23" i="12" s="1"/>
  <c r="R24" i="12"/>
  <c r="S24" i="12" s="1"/>
  <c r="T24" i="12" s="1"/>
  <c r="R25" i="12"/>
  <c r="S25" i="12" s="1"/>
  <c r="T25" i="12" s="1"/>
  <c r="R26" i="12"/>
  <c r="S26" i="12" s="1"/>
  <c r="T26" i="12" s="1"/>
  <c r="R27" i="12"/>
  <c r="S27" i="12" s="1"/>
  <c r="T27" i="12" s="1"/>
  <c r="R28" i="12"/>
  <c r="S28" i="12" s="1"/>
  <c r="T28" i="12" s="1"/>
  <c r="R29" i="12"/>
  <c r="S29" i="12"/>
  <c r="T29" i="12" s="1"/>
  <c r="R30" i="12"/>
  <c r="S30" i="12" s="1"/>
  <c r="T30" i="12" s="1"/>
  <c r="R31" i="12"/>
  <c r="S31" i="12" s="1"/>
  <c r="T31" i="12" s="1"/>
  <c r="R32" i="12"/>
  <c r="S32" i="12" s="1"/>
  <c r="T32" i="12" s="1"/>
  <c r="R33" i="12"/>
  <c r="S33" i="12" s="1"/>
  <c r="T33" i="12" s="1"/>
  <c r="R34" i="12"/>
  <c r="S34" i="12" s="1"/>
  <c r="T34" i="12" s="1"/>
  <c r="R35" i="12"/>
  <c r="S35" i="12"/>
  <c r="T35" i="12" s="1"/>
  <c r="R36" i="12"/>
  <c r="S36" i="12" s="1"/>
  <c r="T36" i="12" s="1"/>
  <c r="R37" i="12"/>
  <c r="S37" i="12"/>
  <c r="T37" i="12" s="1"/>
  <c r="R38" i="12"/>
  <c r="S38" i="12" s="1"/>
  <c r="T38" i="12" s="1"/>
  <c r="R39" i="12"/>
  <c r="S39" i="12" s="1"/>
  <c r="T39" i="12" s="1"/>
  <c r="R40" i="12"/>
  <c r="S40" i="12" s="1"/>
  <c r="T40" i="12" s="1"/>
  <c r="R41" i="12"/>
  <c r="S41" i="12"/>
  <c r="T41" i="12" s="1"/>
  <c r="R42" i="12"/>
  <c r="S42" i="12" s="1"/>
  <c r="T42" i="12" s="1"/>
  <c r="R43" i="12"/>
  <c r="S43" i="12"/>
  <c r="T43" i="12" s="1"/>
  <c r="R44" i="12"/>
  <c r="S44" i="12" s="1"/>
  <c r="T44" i="12" s="1"/>
  <c r="R45" i="12"/>
  <c r="S45" i="12" s="1"/>
  <c r="T45" i="12" s="1"/>
  <c r="R46" i="12"/>
  <c r="S46" i="12" s="1"/>
  <c r="T46" i="12" s="1"/>
  <c r="R47" i="12"/>
  <c r="S47" i="12" s="1"/>
  <c r="T47" i="12" s="1"/>
  <c r="R48" i="12"/>
  <c r="S48" i="12" s="1"/>
  <c r="T48" i="12" s="1"/>
  <c r="R49" i="12"/>
  <c r="S49" i="12"/>
  <c r="T49" i="12" s="1"/>
  <c r="R50" i="12"/>
  <c r="S50" i="12" s="1"/>
  <c r="T50" i="12" s="1"/>
  <c r="R51" i="12"/>
  <c r="S51" i="12" s="1"/>
  <c r="T51" i="12" s="1"/>
  <c r="R52" i="12"/>
  <c r="S52" i="12" s="1"/>
  <c r="T52" i="12" s="1"/>
  <c r="R53" i="12"/>
  <c r="S53" i="12" s="1"/>
  <c r="T53" i="12" s="1"/>
  <c r="R54" i="12"/>
  <c r="S54" i="12" s="1"/>
  <c r="T54" i="12" s="1"/>
  <c r="R55" i="12"/>
  <c r="S55" i="12" s="1"/>
  <c r="T55" i="12" s="1"/>
  <c r="R56" i="12"/>
  <c r="S56" i="12" s="1"/>
  <c r="T56" i="12" s="1"/>
  <c r="R57" i="12"/>
  <c r="S57" i="12" s="1"/>
  <c r="T57" i="12" s="1"/>
  <c r="R58" i="12"/>
  <c r="S58" i="12" s="1"/>
  <c r="T58" i="12" s="1"/>
  <c r="R59" i="12"/>
  <c r="S59" i="12" s="1"/>
  <c r="T59" i="12" s="1"/>
  <c r="R60" i="12"/>
  <c r="S60" i="12" s="1"/>
  <c r="T60" i="12" s="1"/>
  <c r="R61" i="12"/>
  <c r="S61" i="12"/>
  <c r="T61" i="12" s="1"/>
  <c r="R62" i="12"/>
  <c r="S62" i="12" s="1"/>
  <c r="T62" i="12" s="1"/>
  <c r="R63" i="12"/>
  <c r="S63" i="12" s="1"/>
  <c r="T63" i="12" s="1"/>
  <c r="R64" i="12"/>
  <c r="S64" i="12" s="1"/>
  <c r="T64" i="12" s="1"/>
  <c r="R65" i="12"/>
  <c r="S65" i="12" s="1"/>
  <c r="T65" i="12" s="1"/>
  <c r="R66" i="12"/>
  <c r="S66" i="12" s="1"/>
  <c r="T66" i="12" s="1"/>
  <c r="R67" i="12"/>
  <c r="S67" i="12"/>
  <c r="T67" i="12" s="1"/>
  <c r="S68" i="12"/>
  <c r="T68" i="12" s="1"/>
  <c r="S69" i="12"/>
  <c r="T69" i="12" s="1"/>
  <c r="S70" i="12"/>
  <c r="T70" i="12" s="1"/>
  <c r="S71" i="12"/>
  <c r="T71" i="12" s="1"/>
  <c r="S72" i="12"/>
  <c r="T72" i="12" s="1"/>
  <c r="S73" i="12"/>
  <c r="T73" i="12" s="1"/>
  <c r="S74" i="12"/>
  <c r="T74" i="12" s="1"/>
  <c r="S75" i="12"/>
  <c r="T75" i="12" s="1"/>
  <c r="S76" i="12"/>
  <c r="T76" i="12" s="1"/>
  <c r="O77" i="12"/>
  <c r="R77" i="12"/>
  <c r="O78" i="12"/>
  <c r="S78" i="12" s="1"/>
  <c r="T78" i="12" s="1"/>
  <c r="R78" i="12"/>
  <c r="O79" i="12"/>
  <c r="R79" i="12"/>
  <c r="J80" i="12"/>
  <c r="T80" i="12" s="1"/>
  <c r="O80" i="12"/>
  <c r="R80" i="12"/>
  <c r="S80" i="12"/>
  <c r="J81" i="12"/>
  <c r="O81" i="12"/>
  <c r="R81" i="12"/>
  <c r="S81" i="12"/>
  <c r="T81" i="12" s="1"/>
  <c r="J82" i="12"/>
  <c r="O82" i="12"/>
  <c r="R82" i="12"/>
  <c r="S82" i="12" s="1"/>
  <c r="T82" i="12" s="1"/>
  <c r="O83" i="12"/>
  <c r="R83" i="12"/>
  <c r="O84" i="12"/>
  <c r="R84" i="12"/>
  <c r="S84" i="12" s="1"/>
  <c r="T84" i="12" s="1"/>
  <c r="O85" i="12"/>
  <c r="R85" i="12"/>
  <c r="O86" i="12"/>
  <c r="R86" i="12"/>
  <c r="S86" i="12" s="1"/>
  <c r="T86" i="12" s="1"/>
  <c r="O87" i="12"/>
  <c r="R87" i="12"/>
  <c r="O88" i="12"/>
  <c r="R88" i="12"/>
  <c r="S88" i="12" s="1"/>
  <c r="T88" i="12" s="1"/>
  <c r="O89" i="12"/>
  <c r="R89" i="12"/>
  <c r="O90" i="12"/>
  <c r="R90" i="12"/>
  <c r="S90" i="12" s="1"/>
  <c r="T90" i="12" s="1"/>
  <c r="R91" i="12"/>
  <c r="S91" i="12" s="1"/>
  <c r="T91" i="12" s="1"/>
  <c r="O92" i="12"/>
  <c r="R92" i="12"/>
  <c r="S92" i="12"/>
  <c r="T92" i="12" s="1"/>
  <c r="O93" i="12"/>
  <c r="R93" i="12"/>
  <c r="S93" i="12" s="1"/>
  <c r="T93" i="12" s="1"/>
  <c r="O94" i="12"/>
  <c r="R94" i="12"/>
  <c r="R95" i="12"/>
  <c r="S95" i="12" s="1"/>
  <c r="T95" i="12" s="1"/>
  <c r="R96" i="12"/>
  <c r="S96" i="12"/>
  <c r="T96" i="12" s="1"/>
  <c r="R97" i="12"/>
  <c r="S97" i="12" s="1"/>
  <c r="T97" i="12" s="1"/>
  <c r="R98" i="12"/>
  <c r="S98" i="12"/>
  <c r="T98" i="12" s="1"/>
  <c r="R99" i="12"/>
  <c r="S99" i="12" s="1"/>
  <c r="T99" i="12" s="1"/>
  <c r="R100" i="12"/>
  <c r="S100" i="12"/>
  <c r="T100" i="12" s="1"/>
  <c r="O101" i="12"/>
  <c r="R101" i="12"/>
  <c r="O102" i="12"/>
  <c r="R102" i="12"/>
  <c r="R103" i="12"/>
  <c r="S103" i="12" s="1"/>
  <c r="T103" i="12" s="1"/>
  <c r="R104" i="12"/>
  <c r="S104" i="12" s="1"/>
  <c r="T104" i="12" s="1"/>
  <c r="R105" i="12"/>
  <c r="S105" i="12"/>
  <c r="T105" i="12" s="1"/>
  <c r="R106" i="12"/>
  <c r="S106" i="12" s="1"/>
  <c r="T106" i="12" s="1"/>
  <c r="J107" i="12"/>
  <c r="R107" i="12"/>
  <c r="S107" i="12" s="1"/>
  <c r="J108" i="12"/>
  <c r="R108" i="12"/>
  <c r="S108" i="12"/>
  <c r="R109" i="12"/>
  <c r="S109" i="12" s="1"/>
  <c r="T109" i="12" s="1"/>
  <c r="S94" i="12" l="1"/>
  <c r="T94" i="12" s="1"/>
  <c r="S102" i="12"/>
  <c r="T102" i="12" s="1"/>
  <c r="T107" i="12"/>
  <c r="T108" i="12"/>
  <c r="S101" i="12"/>
  <c r="T101" i="12" s="1"/>
  <c r="S79" i="12"/>
  <c r="T79" i="12" s="1"/>
  <c r="S77" i="12"/>
  <c r="T77" i="12" s="1"/>
  <c r="S89" i="12"/>
  <c r="T89" i="12" s="1"/>
  <c r="S87" i="12"/>
  <c r="T87" i="12" s="1"/>
  <c r="S85" i="12"/>
  <c r="T85" i="12" s="1"/>
  <c r="S83" i="12"/>
  <c r="T83" i="12" s="1"/>
  <c r="U4" i="8" l="1"/>
  <c r="K5" i="8"/>
  <c r="U5" i="8"/>
  <c r="E6" i="8"/>
  <c r="U6" i="8"/>
  <c r="K7" i="8"/>
  <c r="U7" i="8"/>
  <c r="U8" i="8"/>
  <c r="U9" i="8"/>
  <c r="U10" i="8"/>
  <c r="Q11" i="8"/>
  <c r="S11" i="8"/>
  <c r="U12" i="8"/>
  <c r="E13" i="8"/>
  <c r="Q13" i="8"/>
  <c r="U13" i="8" s="1"/>
  <c r="U14" i="8"/>
  <c r="U15" i="8"/>
  <c r="N16" i="8"/>
  <c r="Q16" i="8" s="1"/>
  <c r="P16" i="8"/>
  <c r="S16" i="8" s="1"/>
  <c r="U17" i="8"/>
  <c r="U18" i="8"/>
  <c r="U19" i="8"/>
  <c r="U20" i="8"/>
  <c r="U21" i="8"/>
  <c r="U22" i="8"/>
  <c r="U23" i="8"/>
  <c r="K24" i="8"/>
  <c r="U24" i="8"/>
  <c r="U25" i="8"/>
  <c r="U26" i="8"/>
  <c r="U27" i="8"/>
  <c r="U28" i="8"/>
  <c r="U29" i="8"/>
  <c r="U30" i="8"/>
  <c r="U31" i="8"/>
  <c r="U32" i="8"/>
  <c r="AK50" i="4"/>
  <c r="AK199" i="4"/>
  <c r="AK198" i="4"/>
  <c r="AK197" i="4"/>
  <c r="AK196" i="4"/>
  <c r="AK195" i="4"/>
  <c r="AK194" i="4"/>
  <c r="N200" i="4"/>
  <c r="N199" i="4"/>
  <c r="N198" i="4"/>
  <c r="N197" i="4"/>
  <c r="N196" i="4"/>
  <c r="N195" i="4"/>
  <c r="N194" i="4"/>
  <c r="N192" i="4"/>
  <c r="N191" i="4"/>
  <c r="N193" i="4"/>
  <c r="N190" i="4"/>
  <c r="N189" i="4"/>
  <c r="AM187" i="4"/>
  <c r="AM185" i="4"/>
  <c r="AM184" i="4"/>
  <c r="AM180" i="4"/>
  <c r="AM179" i="4"/>
  <c r="AM178" i="4"/>
  <c r="AM177" i="4"/>
  <c r="AK187" i="4"/>
  <c r="AK186" i="4"/>
  <c r="AK185" i="4"/>
  <c r="AK184" i="4"/>
  <c r="AK183" i="4"/>
  <c r="AK182" i="4"/>
  <c r="AK181" i="4"/>
  <c r="AK180" i="4"/>
  <c r="AK179" i="4"/>
  <c r="AK178" i="4"/>
  <c r="AK177" i="4"/>
  <c r="AQ176" i="4"/>
  <c r="AQ175" i="4"/>
  <c r="AO175" i="4"/>
  <c r="AO176" i="4"/>
  <c r="AK176" i="4"/>
  <c r="AK175" i="4"/>
  <c r="U11" i="8" l="1"/>
  <c r="U16" i="8"/>
  <c r="AB170" i="4" l="1"/>
  <c r="AB169" i="4"/>
  <c r="AB168" i="4"/>
  <c r="AB167" i="4"/>
  <c r="AB166" i="4"/>
  <c r="AB165" i="4"/>
  <c r="AB164" i="4"/>
  <c r="AB162" i="4"/>
  <c r="AB163" i="4"/>
  <c r="AB161" i="4"/>
  <c r="AB160" i="4"/>
  <c r="AB159" i="4"/>
  <c r="AB158" i="4"/>
  <c r="AB157" i="4"/>
  <c r="AB156" i="4"/>
  <c r="AB155" i="4"/>
  <c r="AB154" i="4"/>
  <c r="AB153" i="4"/>
  <c r="AB152" i="4"/>
  <c r="AB151" i="4"/>
  <c r="AB150" i="4"/>
  <c r="AB149" i="4"/>
  <c r="AB148" i="4"/>
  <c r="O137" i="4"/>
  <c r="O138" i="4"/>
  <c r="O139" i="4"/>
  <c r="N139" i="4" s="1"/>
  <c r="O140" i="4"/>
  <c r="N140" i="4" s="1"/>
  <c r="O141" i="4"/>
  <c r="O142" i="4"/>
  <c r="O143" i="4"/>
  <c r="O144" i="4"/>
  <c r="N144" i="4" s="1"/>
  <c r="N137" i="4"/>
  <c r="O136" i="4"/>
  <c r="N136" i="4" s="1"/>
  <c r="O135" i="4"/>
  <c r="N135" i="4" s="1"/>
  <c r="O134" i="4"/>
  <c r="O133" i="4"/>
  <c r="N133" i="4" s="1"/>
  <c r="O132" i="4"/>
  <c r="N143" i="4"/>
  <c r="N142" i="4"/>
  <c r="N141" i="4"/>
  <c r="N138" i="4"/>
  <c r="N134" i="4"/>
  <c r="N132" i="4"/>
  <c r="J122" i="4"/>
  <c r="O120" i="4"/>
  <c r="J55" i="4"/>
  <c r="J76" i="4"/>
  <c r="J73" i="4"/>
  <c r="J72" i="4"/>
  <c r="J71" i="4"/>
  <c r="J69" i="4"/>
  <c r="J68" i="4"/>
  <c r="J67" i="4"/>
  <c r="J65" i="4"/>
  <c r="J64" i="4"/>
  <c r="J63" i="4"/>
  <c r="O60" i="4" l="1"/>
  <c r="N60" i="4" s="1"/>
  <c r="O59" i="4"/>
  <c r="N59" i="4" s="1"/>
  <c r="N45" i="4"/>
  <c r="AQ193" i="4"/>
  <c r="AO193" i="4"/>
  <c r="N188" i="4"/>
  <c r="J187" i="4"/>
  <c r="J186" i="4"/>
  <c r="J185" i="4"/>
  <c r="J184" i="4"/>
  <c r="J183" i="4"/>
  <c r="J182" i="4"/>
  <c r="J181" i="4"/>
  <c r="J180" i="4"/>
  <c r="J179" i="4"/>
  <c r="J178" i="4"/>
  <c r="J177" i="4"/>
  <c r="N176" i="4"/>
  <c r="N175" i="4"/>
  <c r="O174" i="4"/>
  <c r="N174" i="4" s="1"/>
  <c r="J174" i="4"/>
  <c r="AO173" i="4"/>
  <c r="O173" i="4"/>
  <c r="N173" i="4" s="1"/>
  <c r="AO172" i="4"/>
  <c r="O172" i="4"/>
  <c r="N172" i="4"/>
  <c r="AO171" i="4"/>
  <c r="AK171" i="4"/>
  <c r="O171" i="4"/>
  <c r="N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1" i="4"/>
  <c r="J150" i="4"/>
  <c r="J149" i="4"/>
  <c r="AO147" i="4"/>
  <c r="AM147" i="4"/>
  <c r="AK147" i="4"/>
  <c r="O147" i="4"/>
  <c r="N147" i="4"/>
  <c r="AO146" i="4"/>
  <c r="AM146" i="4"/>
  <c r="AQ146" i="4" s="1"/>
  <c r="AK146" i="4"/>
  <c r="O146" i="4"/>
  <c r="N146" i="4"/>
  <c r="J146" i="4"/>
  <c r="AO145" i="4"/>
  <c r="AM145" i="4"/>
  <c r="AK145" i="4"/>
  <c r="O145" i="4"/>
  <c r="N145" i="4"/>
  <c r="AK144" i="4"/>
  <c r="AO144" i="4"/>
  <c r="AK143" i="4"/>
  <c r="AO143" i="4" s="1"/>
  <c r="AK142" i="4"/>
  <c r="AO142" i="4" s="1"/>
  <c r="J142" i="4"/>
  <c r="AO141" i="4"/>
  <c r="AK141" i="4"/>
  <c r="J141" i="4"/>
  <c r="AK140" i="4"/>
  <c r="AO140" i="4" s="1"/>
  <c r="J140" i="4"/>
  <c r="AK139" i="4"/>
  <c r="AO139" i="4" s="1"/>
  <c r="AK138" i="4"/>
  <c r="AO138" i="4" s="1"/>
  <c r="J138" i="4"/>
  <c r="AK137" i="4"/>
  <c r="AO137" i="4" s="1"/>
  <c r="J137" i="4"/>
  <c r="AK136" i="4"/>
  <c r="AO136" i="4" s="1"/>
  <c r="J136" i="4"/>
  <c r="AK135" i="4"/>
  <c r="AO135" i="4" s="1"/>
  <c r="AK134" i="4"/>
  <c r="AO134" i="4" s="1"/>
  <c r="J134" i="4"/>
  <c r="AK133" i="4"/>
  <c r="AO133" i="4" s="1"/>
  <c r="J133" i="4"/>
  <c r="AK132" i="4"/>
  <c r="AO132" i="4" s="1"/>
  <c r="J132" i="4"/>
  <c r="AK131" i="4"/>
  <c r="O131" i="4"/>
  <c r="N131" i="4" s="1"/>
  <c r="O130" i="4"/>
  <c r="AQ130" i="4" s="1"/>
  <c r="J130" i="4"/>
  <c r="O129" i="4"/>
  <c r="J129" i="4"/>
  <c r="O128" i="4"/>
  <c r="J127" i="4"/>
  <c r="J126" i="4"/>
  <c r="J125" i="4"/>
  <c r="J124" i="4"/>
  <c r="J123" i="4"/>
  <c r="O121" i="4"/>
  <c r="AQ121" i="4" s="1"/>
  <c r="AO120" i="4"/>
  <c r="AM120" i="4"/>
  <c r="AQ120" i="4" s="1"/>
  <c r="N120" i="4"/>
  <c r="N121" i="4" s="1"/>
  <c r="J120" i="4"/>
  <c r="AQ119" i="4"/>
  <c r="AM119" i="4"/>
  <c r="AK119" i="4"/>
  <c r="O119" i="4"/>
  <c r="N119" i="4"/>
  <c r="AM118" i="4"/>
  <c r="AK118" i="4"/>
  <c r="AO118" i="4" s="1"/>
  <c r="O118" i="4"/>
  <c r="N118" i="4"/>
  <c r="J118" i="4"/>
  <c r="AG117" i="4"/>
  <c r="N117" i="4"/>
  <c r="J117" i="4"/>
  <c r="N116" i="4"/>
  <c r="J116" i="4"/>
  <c r="N115" i="4"/>
  <c r="J115" i="4"/>
  <c r="O114" i="4"/>
  <c r="AO114" i="4" s="1"/>
  <c r="N114" i="4"/>
  <c r="H114" i="4"/>
  <c r="O113" i="4"/>
  <c r="AO113" i="4" s="1"/>
  <c r="N113" i="4"/>
  <c r="H113" i="4"/>
  <c r="O112" i="4"/>
  <c r="AO112" i="4" s="1"/>
  <c r="N112" i="4"/>
  <c r="H112" i="4"/>
  <c r="O111" i="4"/>
  <c r="AO111" i="4" s="1"/>
  <c r="N111" i="4"/>
  <c r="H111" i="4"/>
  <c r="O110" i="4"/>
  <c r="AO110" i="4" s="1"/>
  <c r="N110" i="4"/>
  <c r="H110" i="4"/>
  <c r="O109" i="4"/>
  <c r="AO109" i="4" s="1"/>
  <c r="N109" i="4"/>
  <c r="H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AO95" i="4"/>
  <c r="N95" i="4"/>
  <c r="AO94" i="4"/>
  <c r="AO93" i="4"/>
  <c r="N93" i="4"/>
  <c r="J92" i="4"/>
  <c r="J91" i="4"/>
  <c r="J90" i="4"/>
  <c r="J88" i="4"/>
  <c r="N87" i="4"/>
  <c r="J87" i="4"/>
  <c r="N86" i="4"/>
  <c r="J86" i="4"/>
  <c r="N85" i="4"/>
  <c r="J85" i="4"/>
  <c r="N84" i="4"/>
  <c r="O83" i="4"/>
  <c r="AO83" i="4" s="1"/>
  <c r="N83" i="4"/>
  <c r="J81" i="4"/>
  <c r="N80" i="4"/>
  <c r="AP79" i="4"/>
  <c r="AO79" i="4"/>
  <c r="N79" i="4"/>
  <c r="AO78" i="4"/>
  <c r="N78" i="4"/>
  <c r="AM61" i="4"/>
  <c r="AK61" i="4"/>
  <c r="N61" i="4"/>
  <c r="AK60" i="4"/>
  <c r="O58" i="4"/>
  <c r="N58" i="4" s="1"/>
  <c r="O53" i="4"/>
  <c r="O52" i="4"/>
  <c r="AM51" i="4"/>
  <c r="AQ51" i="4" s="1"/>
  <c r="AK51" i="4"/>
  <c r="AO51" i="4" s="1"/>
  <c r="N51" i="4"/>
  <c r="AO50" i="4"/>
  <c r="N50" i="4"/>
  <c r="AK49" i="4"/>
  <c r="AO49" i="4" s="1"/>
  <c r="N49" i="4"/>
  <c r="AK48" i="4"/>
  <c r="AO48" i="4" s="1"/>
  <c r="N48" i="4"/>
  <c r="AO47" i="4"/>
  <c r="R47" i="4"/>
  <c r="N47" i="4"/>
  <c r="AO46" i="4"/>
  <c r="R46" i="4"/>
  <c r="N46" i="4"/>
  <c r="AO45" i="4"/>
  <c r="R45" i="4"/>
  <c r="AO44" i="4"/>
  <c r="R44" i="4"/>
  <c r="N44" i="4"/>
  <c r="AP43" i="4"/>
  <c r="AL43" i="4"/>
  <c r="AK43" i="4"/>
  <c r="AO43" i="4" s="1"/>
  <c r="AL42" i="4"/>
  <c r="AP42" i="4" s="1"/>
  <c r="AK42" i="4"/>
  <c r="AO42" i="4" s="1"/>
  <c r="AL41" i="4"/>
  <c r="AP41" i="4" s="1"/>
  <c r="AK41" i="4"/>
  <c r="AO41" i="4" s="1"/>
  <c r="AP40" i="4"/>
  <c r="AL40" i="4"/>
  <c r="AK40" i="4"/>
  <c r="AO40" i="4" s="1"/>
  <c r="AP39" i="4"/>
  <c r="AL39" i="4"/>
  <c r="AK39" i="4"/>
  <c r="AO39" i="4" s="1"/>
  <c r="AL38" i="4"/>
  <c r="AP38" i="4" s="1"/>
  <c r="AK38" i="4"/>
  <c r="AO38" i="4" s="1"/>
  <c r="AL37" i="4"/>
  <c r="AP37" i="4" s="1"/>
  <c r="AK37" i="4"/>
  <c r="AO37" i="4" s="1"/>
  <c r="AP36" i="4"/>
  <c r="AL36" i="4"/>
  <c r="AK36" i="4"/>
  <c r="AO36" i="4" s="1"/>
  <c r="AP35" i="4"/>
  <c r="AL35" i="4"/>
  <c r="AK35" i="4"/>
  <c r="AO35" i="4" s="1"/>
  <c r="AL34" i="4"/>
  <c r="AP34" i="4" s="1"/>
  <c r="AK34" i="4"/>
  <c r="AO34" i="4" s="1"/>
  <c r="AL33" i="4"/>
  <c r="AP33" i="4" s="1"/>
  <c r="AK33" i="4"/>
  <c r="AO33" i="4" s="1"/>
  <c r="AP32" i="4"/>
  <c r="AL32" i="4"/>
  <c r="AK32" i="4"/>
  <c r="AO32" i="4" s="1"/>
  <c r="AP31" i="4"/>
  <c r="AL31" i="4"/>
  <c r="AK31" i="4"/>
  <c r="AO31" i="4" s="1"/>
  <c r="AL30" i="4"/>
  <c r="AP30" i="4" s="1"/>
  <c r="AK30" i="4"/>
  <c r="AO30" i="4" s="1"/>
  <c r="AL29" i="4"/>
  <c r="AP29" i="4" s="1"/>
  <c r="AK29" i="4"/>
  <c r="AO29" i="4" s="1"/>
  <c r="AQ28" i="4"/>
  <c r="AM28" i="4"/>
  <c r="AK28" i="4"/>
  <c r="AO28" i="4" s="1"/>
  <c r="AQ27" i="4"/>
  <c r="AM27" i="4"/>
  <c r="AK27" i="4"/>
  <c r="AO27" i="4" s="1"/>
  <c r="AM26" i="4"/>
  <c r="AQ26" i="4" s="1"/>
  <c r="AK26" i="4"/>
  <c r="AO26" i="4" s="1"/>
  <c r="AM25" i="4"/>
  <c r="AQ25" i="4" s="1"/>
  <c r="AK25" i="4"/>
  <c r="AO25" i="4" s="1"/>
  <c r="AQ24" i="4"/>
  <c r="AM24" i="4"/>
  <c r="AK24" i="4"/>
  <c r="AO24" i="4" s="1"/>
  <c r="AQ23" i="4"/>
  <c r="AM23" i="4"/>
  <c r="AK23" i="4"/>
  <c r="AO23" i="4" s="1"/>
  <c r="AM22" i="4"/>
  <c r="AQ22" i="4" s="1"/>
  <c r="AK22" i="4"/>
  <c r="AO22" i="4" s="1"/>
  <c r="AM21" i="4"/>
  <c r="AQ21" i="4" s="1"/>
  <c r="AK21" i="4"/>
  <c r="AO21" i="4" s="1"/>
  <c r="AQ20" i="4"/>
  <c r="AM20" i="4"/>
  <c r="AK20" i="4"/>
  <c r="AO20" i="4" s="1"/>
  <c r="AQ19" i="4"/>
  <c r="AM19" i="4"/>
  <c r="AK19" i="4"/>
  <c r="AO19" i="4" s="1"/>
  <c r="AM18" i="4"/>
  <c r="AQ18" i="4" s="1"/>
  <c r="AK18" i="4"/>
  <c r="AO18" i="4" s="1"/>
  <c r="AM17" i="4"/>
  <c r="AQ17" i="4" s="1"/>
  <c r="AK17" i="4"/>
  <c r="AO17" i="4" s="1"/>
  <c r="AQ16" i="4"/>
  <c r="AM16" i="4"/>
  <c r="AK16" i="4"/>
  <c r="AO16" i="4" s="1"/>
  <c r="AQ15" i="4"/>
  <c r="AM15" i="4"/>
  <c r="AK15" i="4"/>
  <c r="AO15" i="4" s="1"/>
  <c r="AM14" i="4"/>
  <c r="AQ14" i="4" s="1"/>
  <c r="AK14" i="4"/>
  <c r="AO14" i="4" s="1"/>
  <c r="AO13" i="4"/>
  <c r="AO12" i="4"/>
  <c r="AO11" i="4"/>
  <c r="AO10" i="4"/>
  <c r="AO9" i="4"/>
  <c r="AO8" i="4"/>
  <c r="AO7" i="4"/>
  <c r="AO6" i="4"/>
  <c r="AO5" i="4"/>
  <c r="AO4" i="4"/>
  <c r="AO130" i="4" l="1"/>
  <c r="AO131" i="4"/>
  <c r="AQ118" i="4"/>
  <c r="AO119" i="4"/>
  <c r="AP130" i="4"/>
  <c r="AQ147" i="4"/>
  <c r="N130" i="4"/>
  <c r="AQ145" i="4"/>
  <c r="AO121" i="4"/>
  <c r="J131" i="4"/>
  <c r="J135" i="4"/>
  <c r="J139" i="4"/>
  <c r="J143" i="4"/>
  <c r="J144" i="4"/>
  <c r="Z150" i="3"/>
  <c r="Z148" i="3"/>
  <c r="Z147" i="3"/>
  <c r="N90" i="3"/>
  <c r="N89" i="3"/>
  <c r="V29" i="2" l="1"/>
  <c r="U29" i="2"/>
  <c r="T29" i="2"/>
  <c r="S29" i="2"/>
  <c r="V28" i="2"/>
  <c r="U28" i="2"/>
  <c r="T28" i="2"/>
  <c r="S28" i="2"/>
  <c r="V27" i="2"/>
  <c r="U27" i="2"/>
  <c r="T27" i="2"/>
  <c r="S27" i="2"/>
  <c r="V26" i="2"/>
  <c r="U26" i="2"/>
  <c r="T26" i="2"/>
  <c r="S26" i="2"/>
  <c r="V25" i="2"/>
  <c r="U25" i="2"/>
  <c r="T25" i="2"/>
  <c r="S25" i="2"/>
  <c r="V23" i="2"/>
  <c r="U23" i="2"/>
  <c r="T23" i="2"/>
  <c r="S23" i="2"/>
  <c r="V22" i="2"/>
  <c r="U22" i="2"/>
  <c r="T22" i="2"/>
  <c r="S22" i="2"/>
  <c r="V21" i="2"/>
  <c r="U21" i="2"/>
  <c r="T21" i="2"/>
  <c r="S21" i="2"/>
  <c r="V20" i="2"/>
  <c r="U20" i="2"/>
  <c r="T20" i="2"/>
  <c r="S20" i="2"/>
  <c r="V19" i="2"/>
  <c r="U19" i="2"/>
  <c r="T19" i="2"/>
  <c r="S19" i="2"/>
  <c r="V18" i="2"/>
  <c r="U18" i="2"/>
  <c r="T18" i="2"/>
  <c r="S18" i="2"/>
  <c r="V17" i="2"/>
  <c r="U17" i="2"/>
  <c r="T17" i="2"/>
  <c r="S17" i="2"/>
  <c r="V16" i="2"/>
  <c r="U16" i="2"/>
  <c r="T16" i="2"/>
  <c r="S16" i="2"/>
  <c r="V15" i="2"/>
  <c r="U15" i="2"/>
  <c r="T15" i="2"/>
  <c r="S15" i="2"/>
  <c r="V13" i="2"/>
  <c r="U13" i="2"/>
  <c r="T13" i="2"/>
  <c r="S13" i="2"/>
  <c r="V12" i="2"/>
  <c r="U12" i="2"/>
  <c r="T12" i="2"/>
  <c r="S12" i="2"/>
  <c r="V11" i="2"/>
  <c r="U11" i="2"/>
  <c r="T11" i="2"/>
  <c r="S11" i="2"/>
  <c r="AC139" i="3" l="1"/>
  <c r="AC138" i="3"/>
  <c r="AC137" i="3"/>
  <c r="AC136" i="3"/>
  <c r="AC135" i="3"/>
  <c r="AC134" i="3"/>
  <c r="AC133" i="3"/>
  <c r="AC132" i="3"/>
  <c r="AC131" i="3"/>
  <c r="AC130" i="3"/>
  <c r="AC177" i="3"/>
  <c r="AD176" i="3"/>
  <c r="AC176" i="3"/>
  <c r="AC175" i="3"/>
  <c r="E175" i="3"/>
  <c r="AC174" i="3"/>
  <c r="E174" i="3"/>
  <c r="AC173" i="3"/>
  <c r="E173" i="3"/>
  <c r="AC172" i="3"/>
  <c r="E172" i="3"/>
  <c r="Q171" i="3"/>
  <c r="E171" i="3"/>
  <c r="AC170" i="3"/>
  <c r="Q170" i="3"/>
  <c r="E170" i="3"/>
  <c r="Q169" i="3"/>
  <c r="E169" i="3"/>
  <c r="E168" i="3"/>
  <c r="AC167" i="3"/>
  <c r="E167" i="3"/>
  <c r="AC166" i="3"/>
  <c r="E166" i="3"/>
  <c r="AD165" i="3"/>
  <c r="AC165" i="3"/>
  <c r="E165" i="3"/>
  <c r="AC164" i="3"/>
  <c r="E164" i="3"/>
  <c r="G158" i="3"/>
  <c r="G157" i="3"/>
  <c r="G156" i="3"/>
  <c r="G155" i="3"/>
  <c r="G154" i="3"/>
  <c r="G153" i="3"/>
  <c r="AC152" i="3"/>
  <c r="AC151" i="3"/>
  <c r="AC150" i="3"/>
  <c r="AC149" i="3"/>
  <c r="AC148" i="3"/>
  <c r="AC147" i="3"/>
  <c r="AD127" i="3"/>
  <c r="AC127" i="3"/>
  <c r="K126" i="3"/>
  <c r="G126" i="3"/>
  <c r="K125" i="3"/>
  <c r="G125" i="3"/>
  <c r="K124" i="3"/>
  <c r="G124" i="3"/>
  <c r="AC114" i="3"/>
  <c r="Q114" i="3"/>
  <c r="AC113" i="3"/>
  <c r="Q113" i="3"/>
  <c r="AC112" i="3"/>
  <c r="Q112" i="3"/>
  <c r="AC111" i="3"/>
  <c r="Q111" i="3"/>
  <c r="AC110" i="3"/>
  <c r="AC109" i="3"/>
  <c r="Q109" i="3"/>
  <c r="AC108" i="3"/>
  <c r="Q108" i="3"/>
  <c r="AC107" i="3"/>
  <c r="AC106" i="3"/>
  <c r="Q106" i="3"/>
  <c r="AC105" i="3"/>
  <c r="Q105" i="3"/>
  <c r="AC104" i="3"/>
  <c r="Q104" i="3"/>
  <c r="Q103" i="3"/>
  <c r="AC102" i="3"/>
  <c r="AC101" i="3"/>
  <c r="Q101" i="3"/>
  <c r="AC100" i="3"/>
  <c r="Q100" i="3"/>
  <c r="AC99" i="3"/>
  <c r="AC98" i="3"/>
  <c r="Q98" i="3"/>
  <c r="AC97" i="3"/>
  <c r="Q97" i="3"/>
  <c r="AC96" i="3"/>
  <c r="Q96" i="3"/>
  <c r="AC95" i="3"/>
  <c r="Q95" i="3"/>
  <c r="AC94" i="3"/>
  <c r="AC93" i="3"/>
  <c r="Q93" i="3"/>
  <c r="AC92" i="3"/>
  <c r="Q92" i="3"/>
  <c r="AI91" i="3"/>
  <c r="AC91" i="3"/>
  <c r="AI90" i="3"/>
  <c r="AC88" i="3"/>
  <c r="AC87" i="3"/>
  <c r="AC86" i="3"/>
  <c r="AC85" i="3"/>
  <c r="AC84" i="3"/>
  <c r="AC82" i="3"/>
  <c r="AC81" i="3"/>
  <c r="AC80" i="3"/>
  <c r="AC77" i="3"/>
  <c r="AD63" i="3"/>
  <c r="AC63" i="3"/>
  <c r="AD62" i="3"/>
  <c r="AC62" i="3"/>
  <c r="AD61" i="3"/>
  <c r="AC61" i="3"/>
  <c r="AD60" i="3"/>
  <c r="AC60" i="3"/>
  <c r="AD59" i="3"/>
  <c r="AC59" i="3"/>
  <c r="AD58" i="3"/>
  <c r="AC58" i="3"/>
  <c r="AD57" i="3"/>
  <c r="AC57" i="3"/>
  <c r="AD56" i="3"/>
  <c r="AC56" i="3"/>
  <c r="AD55" i="3"/>
  <c r="AC55" i="3"/>
  <c r="AD54" i="3"/>
  <c r="AC54" i="3"/>
  <c r="AD53" i="3"/>
  <c r="AC53" i="3"/>
  <c r="AD52" i="3"/>
  <c r="AC52" i="3"/>
  <c r="AC34" i="3"/>
  <c r="AC32" i="3"/>
  <c r="K29" i="3"/>
  <c r="K28" i="3"/>
  <c r="AC13" i="3"/>
  <c r="AC12" i="3"/>
  <c r="AC11" i="3"/>
  <c r="AC10" i="3"/>
  <c r="AC9" i="3"/>
  <c r="AC8" i="3"/>
  <c r="AC7" i="3"/>
  <c r="AC6" i="3"/>
  <c r="AC5" i="3"/>
</calcChain>
</file>

<file path=xl/comments1.xml><?xml version="1.0" encoding="utf-8"?>
<comments xmlns="http://schemas.openxmlformats.org/spreadsheetml/2006/main">
  <authors>
    <author>Vicky De Groof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PVC-jacketed reactor</t>
        </r>
      </text>
    </comment>
    <comment ref="K28" authorId="0" shapeId="0">
      <text>
        <r>
          <rPr>
            <sz val="9"/>
            <color indexed="81"/>
            <rFont val="Tahoma"/>
            <family val="2"/>
          </rPr>
          <t>yellow water: 
69.5g/L = 102.93 gCOD/L lactic
50.50 g/L = 122.96 gCOD/L etoh
15.6 g/L = 16.64 g/L glucose
--&gt; 200 mL yellow water in 1 L --&gt; minimum sCOD is sum of above/5 gCOD/L</t>
        </r>
      </text>
    </comment>
    <comment ref="Y28" authorId="0" shapeId="0">
      <text>
        <r>
          <rPr>
            <sz val="9"/>
            <color indexed="81"/>
            <rFont val="Tahoma"/>
            <family val="2"/>
          </rPr>
          <t>1.16g/L C2 
2.44g/L C4
12.93g/L C6
--&gt; converted to gCOD/L and sum taken</t>
        </r>
      </text>
    </comment>
    <comment ref="K29" authorId="0" shapeId="0">
      <text>
        <r>
          <rPr>
            <sz val="9"/>
            <color indexed="81"/>
            <rFont val="Tahoma"/>
            <family val="2"/>
          </rPr>
          <t xml:space="preserve">20g/L = 48.7 gcod/L etoh
8g/L = 8.53 gCOD/L C2
--&gt; sum minimum gCOD/L
</t>
        </r>
      </text>
    </comment>
    <comment ref="Y29" authorId="0" shapeId="0">
      <text>
        <r>
          <rPr>
            <sz val="9"/>
            <color indexed="81"/>
            <rFont val="Tahoma"/>
            <family val="2"/>
          </rPr>
          <t>Graph shown, not exact values
--&gt; converted to gCOD/L and sum taken</t>
        </r>
      </text>
    </comment>
    <comment ref="K30" authorId="0" shapeId="0">
      <text>
        <r>
          <rPr>
            <sz val="9"/>
            <color indexed="81"/>
            <rFont val="Tahoma"/>
            <family val="2"/>
          </rPr>
          <t>10g/L = 10.7gCOD/L glucose</t>
        </r>
      </text>
    </comment>
    <comment ref="Y30" authorId="0" shapeId="0">
      <text>
        <r>
          <rPr>
            <sz val="9"/>
            <color indexed="81"/>
            <rFont val="Tahoma"/>
            <family val="2"/>
          </rPr>
          <t>0.49 g/L C2 
3.36 g/L C4
&lt; 1 g/L C6
--&gt; converted to gCOD/L and sum taken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30g/L = 32 gcod/L</t>
        </r>
      </text>
    </comment>
    <comment ref="Y31" authorId="0" shapeId="0">
      <text>
        <r>
          <rPr>
            <sz val="9"/>
            <color indexed="81"/>
            <rFont val="Tahoma"/>
            <family val="2"/>
          </rPr>
          <t>0.62 g/L C2 
0.95 g/L C4
12.54 g/L C6
--&gt; converted to gCOD/L and sum taken</t>
        </r>
      </text>
    </comment>
    <comment ref="L32" authorId="0" shapeId="0">
      <text>
        <r>
          <rPr>
            <sz val="9"/>
            <color indexed="81"/>
            <rFont val="Tahoma"/>
            <family val="2"/>
          </rPr>
          <t xml:space="preserve">
substrate used as inoculum</t>
        </r>
      </text>
    </comment>
    <comment ref="Y32" authorId="0" shapeId="0">
      <text>
        <r>
          <rPr>
            <sz val="9"/>
            <color indexed="81"/>
            <rFont val="Tahoma"/>
            <family val="2"/>
          </rPr>
          <t>C2,C3,C4,C5,C6,C7,C8 to gCOD/L -&gt; summarized</t>
        </r>
      </text>
    </comment>
    <comment ref="L33" authorId="0" shapeId="0">
      <text>
        <r>
          <rPr>
            <sz val="9"/>
            <color indexed="81"/>
            <rFont val="Tahoma"/>
            <family val="2"/>
          </rPr>
          <t xml:space="preserve">
substrate used as inoculum</t>
        </r>
      </text>
    </comment>
    <comment ref="Y33" authorId="0" shapeId="0">
      <text>
        <r>
          <rPr>
            <sz val="9"/>
            <color indexed="81"/>
            <rFont val="Tahoma"/>
            <family val="2"/>
          </rPr>
          <t>C2,C3,C4,C5,C6,C7,C8 to gCOD/L -&gt; summarized</t>
        </r>
      </text>
    </comment>
    <comment ref="L34" authorId="0" shapeId="0">
      <text>
        <r>
          <rPr>
            <sz val="9"/>
            <color indexed="81"/>
            <rFont val="Tahoma"/>
            <family val="2"/>
          </rPr>
          <t xml:space="preserve">
substrate used as inoculum</t>
        </r>
      </text>
    </comment>
    <comment ref="Y34" authorId="0" shapeId="0">
      <text>
        <r>
          <rPr>
            <sz val="9"/>
            <color indexed="81"/>
            <rFont val="Tahoma"/>
            <family val="2"/>
          </rPr>
          <t>C2,C3,C4,C5,C6,C7,C8 to gCOD/L -&gt; summarized</t>
        </r>
      </text>
    </comment>
    <comment ref="Y35" authorId="0" shapeId="0">
      <text>
        <r>
          <rPr>
            <sz val="9"/>
            <color indexed="81"/>
            <rFont val="Tahoma"/>
            <family val="2"/>
          </rPr>
          <t>Mostly C2</t>
        </r>
      </text>
    </comment>
    <comment ref="Y36" authorId="0" shapeId="0">
      <text>
        <r>
          <rPr>
            <b/>
            <sz val="9"/>
            <color indexed="81"/>
            <rFont val="Tahoma"/>
            <family val="2"/>
          </rPr>
          <t>Mostly C2</t>
        </r>
      </text>
    </comment>
    <comment ref="Z52" authorId="0" shapeId="0">
      <text>
        <r>
          <rPr>
            <sz val="9"/>
            <color indexed="81"/>
            <rFont val="Tahoma"/>
            <family val="2"/>
          </rPr>
          <t>Estimated from graph and C6/C8 ratio  in SI</t>
        </r>
      </text>
    </comment>
    <comment ref="AB52" authorId="0" shapeId="0">
      <text>
        <r>
          <rPr>
            <sz val="9"/>
            <color indexed="81"/>
            <rFont val="Tahoma"/>
            <family val="2"/>
          </rPr>
          <t>Estimated from graph and C6/C8 ratio  in SI</t>
        </r>
      </text>
    </comment>
    <comment ref="Z53" authorId="0" shapeId="0">
      <text>
        <r>
          <rPr>
            <sz val="9"/>
            <color indexed="81"/>
            <rFont val="Tahoma"/>
            <family val="2"/>
          </rPr>
          <t xml:space="preserve">
Estimated from graph and C6/C8 ratio  in SI</t>
        </r>
      </text>
    </comment>
    <comment ref="AB53" authorId="0" shapeId="0">
      <text>
        <r>
          <rPr>
            <sz val="9"/>
            <color indexed="81"/>
            <rFont val="Tahoma"/>
            <family val="2"/>
          </rPr>
          <t>Estimated from graph and C6/C8 ratio  in SI</t>
        </r>
      </text>
    </comment>
    <comment ref="Z54" authorId="0" shapeId="0">
      <text>
        <r>
          <rPr>
            <sz val="9"/>
            <color indexed="81"/>
            <rFont val="Tahoma"/>
            <family val="2"/>
          </rPr>
          <t>Estimated from graph and C6/C8 ratio  in SI</t>
        </r>
      </text>
    </comment>
    <comment ref="AB54" authorId="0" shapeId="0">
      <text>
        <r>
          <rPr>
            <sz val="9"/>
            <color indexed="81"/>
            <rFont val="Tahoma"/>
            <family val="2"/>
          </rPr>
          <t>Estimated from graph and C6/C8 ratio  in SI</t>
        </r>
      </text>
    </comment>
    <comment ref="Z55" authorId="0" shapeId="0">
      <text>
        <r>
          <rPr>
            <sz val="9"/>
            <color indexed="81"/>
            <rFont val="Tahoma"/>
            <family val="2"/>
          </rPr>
          <t>Estimated from graph and C6/C8 ratio  in SI</t>
        </r>
      </text>
    </comment>
    <comment ref="AB55" authorId="0" shapeId="0">
      <text>
        <r>
          <rPr>
            <sz val="9"/>
            <color indexed="81"/>
            <rFont val="Tahoma"/>
            <family val="2"/>
          </rPr>
          <t>Estimated from graph and C6/C8 ratio  in SI</t>
        </r>
      </text>
    </comment>
    <comment ref="Z56" authorId="0" shapeId="0">
      <text>
        <r>
          <rPr>
            <sz val="9"/>
            <color indexed="81"/>
            <rFont val="Tahoma"/>
            <family val="2"/>
          </rPr>
          <t>Estimated from graph and C6/C8 ratio  in SI</t>
        </r>
      </text>
    </comment>
    <comment ref="AB56" authorId="0" shapeId="0">
      <text>
        <r>
          <rPr>
            <sz val="9"/>
            <color indexed="81"/>
            <rFont val="Tahoma"/>
            <family val="2"/>
          </rPr>
          <t>Estimated from graph and C6/C8 ratio  in SI</t>
        </r>
      </text>
    </comment>
    <comment ref="Z57" authorId="0" shapeId="0">
      <text>
        <r>
          <rPr>
            <sz val="9"/>
            <color indexed="81"/>
            <rFont val="Tahoma"/>
            <family val="2"/>
          </rPr>
          <t>Estimated from graph and C6/C8 ratio  in SI</t>
        </r>
      </text>
    </comment>
    <comment ref="AB57" authorId="0" shapeId="0">
      <text>
        <r>
          <rPr>
            <sz val="9"/>
            <color indexed="81"/>
            <rFont val="Tahoma"/>
            <family val="2"/>
          </rPr>
          <t>Estimated from graph and C6/C8 ratio  in SI</t>
        </r>
      </text>
    </comment>
    <comment ref="Z58" authorId="0" shapeId="0">
      <text>
        <r>
          <rPr>
            <sz val="9"/>
            <color indexed="81"/>
            <rFont val="Tahoma"/>
            <family val="2"/>
          </rPr>
          <t>Estimated from graph and C6/C8 ratio  in SI</t>
        </r>
      </text>
    </comment>
    <comment ref="AB58" authorId="0" shapeId="0">
      <text>
        <r>
          <rPr>
            <sz val="9"/>
            <color indexed="81"/>
            <rFont val="Tahoma"/>
            <family val="2"/>
          </rPr>
          <t>Estimated from graph and C6/C8 ratio  in SI</t>
        </r>
      </text>
    </comment>
    <comment ref="Z59" authorId="0" shapeId="0">
      <text>
        <r>
          <rPr>
            <sz val="9"/>
            <color indexed="81"/>
            <rFont val="Tahoma"/>
            <family val="2"/>
          </rPr>
          <t>Estimated from graph and C6/C8 ratio  in SI</t>
        </r>
      </text>
    </comment>
    <comment ref="AB59" authorId="0" shapeId="0">
      <text>
        <r>
          <rPr>
            <sz val="9"/>
            <color indexed="81"/>
            <rFont val="Tahoma"/>
            <family val="2"/>
          </rPr>
          <t>Estimated from graph and C6/C8 ratio  in SI</t>
        </r>
      </text>
    </comment>
    <comment ref="Z60" authorId="0" shapeId="0">
      <text>
        <r>
          <rPr>
            <sz val="9"/>
            <color indexed="81"/>
            <rFont val="Tahoma"/>
            <family val="2"/>
          </rPr>
          <t>Estimated from graph and C6/C8 ratio  in SI</t>
        </r>
      </text>
    </comment>
    <comment ref="AB60" authorId="0" shapeId="0">
      <text>
        <r>
          <rPr>
            <sz val="9"/>
            <color indexed="81"/>
            <rFont val="Tahoma"/>
            <family val="2"/>
          </rPr>
          <t>Estimated from graph and C6/C8 ratio  in SI</t>
        </r>
      </text>
    </comment>
    <comment ref="Z61" authorId="0" shapeId="0">
      <text>
        <r>
          <rPr>
            <sz val="9"/>
            <color indexed="81"/>
            <rFont val="Tahoma"/>
            <family val="2"/>
          </rPr>
          <t>Estimated from graph and C6/C8 ratio  in SI</t>
        </r>
      </text>
    </comment>
    <comment ref="AB61" authorId="0" shapeId="0">
      <text>
        <r>
          <rPr>
            <sz val="9"/>
            <color indexed="81"/>
            <rFont val="Tahoma"/>
            <family val="2"/>
          </rPr>
          <t>Estimated from graph and C6/C8 ratio  in SI</t>
        </r>
      </text>
    </comment>
    <comment ref="Z62" authorId="0" shapeId="0">
      <text>
        <r>
          <rPr>
            <sz val="9"/>
            <color indexed="81"/>
            <rFont val="Tahoma"/>
            <family val="2"/>
          </rPr>
          <t>Estimated from graph and C6/C8 ratio  in SI</t>
        </r>
      </text>
    </comment>
    <comment ref="AB62" authorId="0" shapeId="0">
      <text>
        <r>
          <rPr>
            <sz val="9"/>
            <color indexed="81"/>
            <rFont val="Tahoma"/>
            <family val="2"/>
          </rPr>
          <t>Estimated from graph and C6/C8 ratio  in SI</t>
        </r>
      </text>
    </comment>
    <comment ref="Z63" authorId="0" shapeId="0">
      <text>
        <r>
          <rPr>
            <sz val="9"/>
            <color indexed="81"/>
            <rFont val="Tahoma"/>
            <family val="2"/>
          </rPr>
          <t>Estimated from graph and C6/C8 ratio  in SI</t>
        </r>
      </text>
    </comment>
    <comment ref="AB63" authorId="0" shapeId="0">
      <text>
        <r>
          <rPr>
            <sz val="9"/>
            <color indexed="81"/>
            <rFont val="Tahoma"/>
            <family val="2"/>
          </rPr>
          <t>Estimated from graph and C6/C8 ratio  in SI</t>
        </r>
      </text>
    </comment>
    <comment ref="F76" authorId="0" shapeId="0">
      <text>
        <r>
          <rPr>
            <sz val="9"/>
            <color indexed="81"/>
            <rFont val="Tahoma"/>
            <family val="2"/>
          </rPr>
          <t>4 L solid waste compartment, 2 L leachate collection</t>
        </r>
      </text>
    </comment>
    <comment ref="K76" authorId="0" shapeId="0">
      <text>
        <r>
          <rPr>
            <sz val="9"/>
            <color indexed="81"/>
            <rFont val="Tahoma"/>
            <family val="2"/>
          </rPr>
          <t xml:space="preserve">332.8tCOD/kg solid waste --&gt; 2kg solid waste, assuming 2L liquid
</t>
        </r>
      </text>
    </comment>
    <comment ref="L76" authorId="0" shapeId="0">
      <text>
        <r>
          <rPr>
            <sz val="9"/>
            <color indexed="81"/>
            <rFont val="Tahoma"/>
            <family val="2"/>
          </rPr>
          <t xml:space="preserve">
substrate used as inoculum</t>
        </r>
      </text>
    </comment>
    <comment ref="Z77" authorId="0" shapeId="0">
      <text>
        <r>
          <rPr>
            <sz val="9"/>
            <color indexed="81"/>
            <rFont val="Tahoma"/>
            <family val="2"/>
          </rPr>
          <t xml:space="preserve">
Also includes C5</t>
        </r>
      </text>
    </comment>
    <comment ref="Z80" authorId="0" shapeId="0">
      <text>
        <r>
          <rPr>
            <sz val="9"/>
            <color indexed="81"/>
            <rFont val="Tahoma"/>
            <family val="2"/>
          </rPr>
          <t xml:space="preserve">
Also includes C5</t>
        </r>
      </text>
    </comment>
    <comment ref="Z81" authorId="0" shapeId="0">
      <text>
        <r>
          <rPr>
            <sz val="9"/>
            <color indexed="81"/>
            <rFont val="Tahoma"/>
            <family val="2"/>
          </rPr>
          <t xml:space="preserve">
Also includes C5</t>
        </r>
      </text>
    </comment>
    <comment ref="Z82" authorId="0" shapeId="0">
      <text>
        <r>
          <rPr>
            <sz val="9"/>
            <color indexed="81"/>
            <rFont val="Tahoma"/>
            <family val="2"/>
          </rPr>
          <t xml:space="preserve">
Also includes C5</t>
        </r>
      </text>
    </comment>
    <comment ref="N89" authorId="0" shapeId="0">
      <text>
        <r>
          <rPr>
            <sz val="9"/>
            <color indexed="81"/>
            <rFont val="Tahoma"/>
            <family val="2"/>
          </rPr>
          <t>gVS/L
calculated from other values given</t>
        </r>
      </text>
    </comment>
    <comment ref="T89" authorId="0" shapeId="0">
      <text>
        <r>
          <rPr>
            <sz val="9"/>
            <color indexed="81"/>
            <rFont val="Tahoma"/>
            <family val="2"/>
          </rPr>
          <t xml:space="preserve">
added after pH dropped</t>
        </r>
      </text>
    </comment>
    <comment ref="Y89" authorId="0" shapeId="0">
      <text>
        <r>
          <rPr>
            <sz val="9"/>
            <color indexed="81"/>
            <rFont val="Tahoma"/>
            <family val="2"/>
          </rPr>
          <t xml:space="preserve">max at day 52, dropped lower later </t>
        </r>
      </text>
    </comment>
    <comment ref="N90" authorId="0" shapeId="0">
      <text>
        <r>
          <rPr>
            <sz val="9"/>
            <color indexed="81"/>
            <rFont val="Tahoma"/>
            <family val="2"/>
          </rPr>
          <t>gVS/L
calculated from other values given</t>
        </r>
      </text>
    </comment>
    <comment ref="K91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K92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K93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K94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K95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K96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K97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K98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K99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K100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K101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K102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K103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K104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K105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K106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K107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K108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K109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K110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K111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K112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K113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K114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N115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15mL inoc with 67.62+-0.74gVS/L in total V of 115mL</t>
        </r>
      </text>
    </comment>
    <comment ref="N116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15mL inoc with 67.62+-0.74gVS/L in total V of 115mL</t>
        </r>
      </text>
    </comment>
    <comment ref="N117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15mL inoc with 67.62+-0.74gVS/L in total V of 115mL</t>
        </r>
      </text>
    </comment>
    <comment ref="N118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15mL inoc with 67.62+-0.74gVS/L in total V of 115mL</t>
        </r>
      </text>
    </comment>
    <comment ref="N119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15mL inoc with 67.62+-0.74gVS/L in total V of 115mL</t>
        </r>
      </text>
    </comment>
    <comment ref="Z120" authorId="0" shapeId="0">
      <text>
        <r>
          <rPr>
            <sz val="9"/>
            <color indexed="81"/>
            <rFont val="Tahoma"/>
            <family val="2"/>
          </rPr>
          <t>Unsure</t>
        </r>
      </text>
    </comment>
    <comment ref="Z121" authorId="0" shapeId="0">
      <text>
        <r>
          <rPr>
            <sz val="9"/>
            <color indexed="81"/>
            <rFont val="Tahoma"/>
            <family val="2"/>
          </rPr>
          <t xml:space="preserve">
after 10 days - Control digestion no extraction</t>
        </r>
      </text>
    </comment>
    <comment ref="Y123" authorId="0" shapeId="0">
      <text>
        <r>
          <rPr>
            <sz val="9"/>
            <color indexed="81"/>
            <rFont val="Tahoma"/>
            <family val="2"/>
          </rPr>
          <t xml:space="preserve">
C4</t>
        </r>
      </text>
    </comment>
    <comment ref="A124" authorId="0" shapeId="0">
      <text>
        <r>
          <rPr>
            <sz val="9"/>
            <color indexed="81"/>
            <rFont val="Tahoma"/>
            <family val="2"/>
          </rPr>
          <t>they also performed a screening experiment for optimal ethanol/C2 ratio, not included in spreadsheet</t>
        </r>
      </text>
    </comment>
    <comment ref="K124" authorId="0" shapeId="0">
      <text>
        <r>
          <rPr>
            <sz val="9"/>
            <color indexed="81"/>
            <rFont val="Tahoma"/>
            <family val="2"/>
          </rPr>
          <t xml:space="preserve">
conversion of mM to COD, then sum of ethanol and c2</t>
        </r>
      </text>
    </comment>
    <comment ref="A125" authorId="0" shapeId="0">
      <text>
        <r>
          <rPr>
            <sz val="9"/>
            <color indexed="81"/>
            <rFont val="Tahoma"/>
            <family val="2"/>
          </rPr>
          <t>they also performed a screening experiment for optimal ethanol/C2 ratio, not included in spreadsheet</t>
        </r>
      </text>
    </comment>
    <comment ref="K125" authorId="0" shapeId="0">
      <text>
        <r>
          <rPr>
            <sz val="9"/>
            <color indexed="81"/>
            <rFont val="Tahoma"/>
            <family val="2"/>
          </rPr>
          <t>conversion of mM to COD, then sum of ethanol and c2</t>
        </r>
      </text>
    </comment>
    <comment ref="A126" authorId="0" shapeId="0">
      <text>
        <r>
          <rPr>
            <sz val="9"/>
            <color indexed="81"/>
            <rFont val="Tahoma"/>
            <family val="2"/>
          </rPr>
          <t>they also performed a screening experiment for optimal ethanol/C2 ratio, not included in spreadsheet</t>
        </r>
      </text>
    </comment>
    <comment ref="K126" authorId="0" shapeId="0">
      <text>
        <r>
          <rPr>
            <sz val="9"/>
            <color indexed="81"/>
            <rFont val="Tahoma"/>
            <family val="2"/>
          </rPr>
          <t>conversion of mM to COD, then sum of ethanol and c2</t>
        </r>
      </text>
    </comment>
    <comment ref="G146" authorId="0" shapeId="0">
      <text>
        <r>
          <rPr>
            <sz val="9"/>
            <color indexed="81"/>
            <rFont val="Tahoma"/>
            <family val="2"/>
          </rPr>
          <t xml:space="preserve">
25/09/1965 to 5/03/1866
</t>
        </r>
      </text>
    </comment>
    <comment ref="Z146" authorId="0" shapeId="0">
      <text>
        <r>
          <rPr>
            <sz val="9"/>
            <color indexed="81"/>
            <rFont val="Tahoma"/>
            <family val="2"/>
          </rPr>
          <t xml:space="preserve">
18g/3L</t>
        </r>
      </text>
    </comment>
    <comment ref="Y153" authorId="0" shapeId="0">
      <text>
        <r>
          <rPr>
            <sz val="9"/>
            <color indexed="81"/>
            <rFont val="Tahoma"/>
            <family val="2"/>
          </rPr>
          <t>C2-C6: converted from mM to gCOD/L then summed</t>
        </r>
      </text>
    </comment>
    <comment ref="Y154" authorId="0" shapeId="0">
      <text>
        <r>
          <rPr>
            <sz val="9"/>
            <color indexed="81"/>
            <rFont val="Tahoma"/>
            <family val="2"/>
          </rPr>
          <t>C2-C6: converted from mM to gCOD/L then summed</t>
        </r>
      </text>
    </comment>
    <comment ref="Y155" authorId="0" shapeId="0">
      <text>
        <r>
          <rPr>
            <sz val="9"/>
            <color indexed="81"/>
            <rFont val="Tahoma"/>
            <family val="2"/>
          </rPr>
          <t>C2-C6: converted from mM to gCOD/L then summed</t>
        </r>
      </text>
    </comment>
    <comment ref="Y156" authorId="0" shapeId="0">
      <text>
        <r>
          <rPr>
            <sz val="9"/>
            <color indexed="81"/>
            <rFont val="Tahoma"/>
            <family val="2"/>
          </rPr>
          <t xml:space="preserve">C2-C6: converted from mM to gCOD/L then summed
</t>
        </r>
      </text>
    </comment>
    <comment ref="Y157" authorId="0" shapeId="0">
      <text>
        <r>
          <rPr>
            <sz val="9"/>
            <color indexed="81"/>
            <rFont val="Tahoma"/>
            <family val="2"/>
          </rPr>
          <t xml:space="preserve">C2-C6: converted from mM to gCOD/L then summed
</t>
        </r>
      </text>
    </comment>
    <comment ref="Y158" authorId="0" shapeId="0">
      <text>
        <r>
          <rPr>
            <sz val="9"/>
            <color indexed="81"/>
            <rFont val="Tahoma"/>
            <family val="2"/>
          </rPr>
          <t xml:space="preserve">C2-C6: converted from mM to gCOD/L then summed
</t>
        </r>
      </text>
    </comment>
    <comment ref="Y159" authorId="0" shapeId="0">
      <text>
        <r>
          <rPr>
            <sz val="9"/>
            <color indexed="81"/>
            <rFont val="Tahoma"/>
            <family val="2"/>
          </rPr>
          <t xml:space="preserve">C2-C6: converted from mM to gCOD/L then summed
</t>
        </r>
      </text>
    </comment>
    <comment ref="Y160" authorId="0" shapeId="0">
      <text>
        <r>
          <rPr>
            <sz val="9"/>
            <color indexed="81"/>
            <rFont val="Tahoma"/>
            <family val="2"/>
          </rPr>
          <t xml:space="preserve">C2-C6: converted from mM to gCOD/L then summed
</t>
        </r>
      </text>
    </comment>
    <comment ref="Y161" authorId="0" shapeId="0">
      <text>
        <r>
          <rPr>
            <sz val="9"/>
            <color indexed="81"/>
            <rFont val="Tahoma"/>
            <family val="2"/>
          </rPr>
          <t xml:space="preserve">C2-C6: converted from mM to gCOD/L then summed
</t>
        </r>
      </text>
    </comment>
    <comment ref="Y162" authorId="0" shapeId="0">
      <text>
        <r>
          <rPr>
            <sz val="9"/>
            <color indexed="81"/>
            <rFont val="Tahoma"/>
            <family val="2"/>
          </rPr>
          <t xml:space="preserve">C2-C6: converted from mM to gCOD/L then summed
</t>
        </r>
      </text>
    </comment>
    <comment ref="D163" authorId="0" shapeId="0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glass column with polpypropylene bed, substrate, gravel</t>
        </r>
      </text>
    </comment>
    <comment ref="K177" authorId="0" shapeId="0">
      <text>
        <r>
          <rPr>
            <sz val="9"/>
            <color indexed="81"/>
            <rFont val="Tahoma"/>
            <family val="2"/>
          </rPr>
          <t>in gCOD/L
451.5mM ethanol</t>
        </r>
      </text>
    </comment>
    <comment ref="Z177" authorId="0" shapeId="0">
      <text>
        <r>
          <rPr>
            <sz val="9"/>
            <color indexed="81"/>
            <rFont val="Tahoma"/>
            <family val="2"/>
          </rPr>
          <t xml:space="preserve">
7.05g/2L</t>
        </r>
      </text>
    </comment>
  </commentList>
</comments>
</file>

<file path=xl/comments2.xml><?xml version="1.0" encoding="utf-8"?>
<comments xmlns="http://schemas.openxmlformats.org/spreadsheetml/2006/main">
  <authors>
    <author>Vicky De Groof</author>
  </authors>
  <commentList>
    <comment ref="D4" authorId="0" shapeId="0">
      <text>
        <r>
          <rPr>
            <sz val="9"/>
            <color indexed="81"/>
            <rFont val="Tahoma"/>
            <family val="2"/>
          </rPr>
          <t>fed once a day</t>
        </r>
      </text>
    </comment>
    <comment ref="O4" authorId="0" shapeId="0">
      <text>
        <r>
          <rPr>
            <sz val="9"/>
            <color indexed="81"/>
            <rFont val="Tahoma"/>
            <family val="2"/>
          </rPr>
          <t xml:space="preserve">
1/3 dilution once a day</t>
        </r>
      </text>
    </comment>
    <comment ref="AA4" authorId="0" shapeId="0">
      <text>
        <r>
          <rPr>
            <sz val="9"/>
            <color indexed="81"/>
            <rFont val="Tahoma"/>
            <family val="2"/>
          </rPr>
          <t xml:space="preserve">
headspace connected to reversible liquid displacement device with a wet-tip counter</t>
        </r>
      </text>
    </comment>
    <comment ref="D5" authorId="0" shapeId="0">
      <text>
        <r>
          <rPr>
            <sz val="9"/>
            <color indexed="81"/>
            <rFont val="Tahoma"/>
            <family val="2"/>
          </rPr>
          <t>fed once a day</t>
        </r>
      </text>
    </comment>
    <comment ref="O5" authorId="0" shapeId="0">
      <text>
        <r>
          <rPr>
            <sz val="9"/>
            <color indexed="81"/>
            <rFont val="Tahoma"/>
            <family val="2"/>
          </rPr>
          <t xml:space="preserve">
1/3 dilution once a day</t>
        </r>
      </text>
    </comment>
    <comment ref="AA5" authorId="0" shapeId="0">
      <text>
        <r>
          <rPr>
            <sz val="9"/>
            <color indexed="81"/>
            <rFont val="Tahoma"/>
            <family val="2"/>
          </rPr>
          <t xml:space="preserve">
headspace connected to reversible liquid displacement device with a wet-tip counter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>fed once a day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
1/3 dilution once a day</t>
        </r>
      </text>
    </comment>
    <comment ref="AA6" authorId="0" shapeId="0">
      <text>
        <r>
          <rPr>
            <sz val="9"/>
            <color indexed="81"/>
            <rFont val="Tahoma"/>
            <family val="2"/>
          </rPr>
          <t xml:space="preserve">
headspace connected to reversible liquid displacement device with a wet-tip counter</t>
        </r>
      </text>
    </comment>
    <comment ref="D7" authorId="0" shapeId="0">
      <text>
        <r>
          <rPr>
            <sz val="9"/>
            <color indexed="81"/>
            <rFont val="Tahoma"/>
            <family val="2"/>
          </rPr>
          <t>fed once a day</t>
        </r>
      </text>
    </comment>
    <comment ref="O7" authorId="0" shapeId="0">
      <text>
        <r>
          <rPr>
            <sz val="9"/>
            <color indexed="81"/>
            <rFont val="Tahoma"/>
            <family val="2"/>
          </rPr>
          <t xml:space="preserve">
1/3 dilution once a day</t>
        </r>
      </text>
    </comment>
    <comment ref="AA7" authorId="0" shapeId="0">
      <text>
        <r>
          <rPr>
            <sz val="9"/>
            <color indexed="81"/>
            <rFont val="Tahoma"/>
            <family val="2"/>
          </rPr>
          <t xml:space="preserve">
headspace connected to reversible liquid displacement device with a wet-tip counter</t>
        </r>
      </text>
    </comment>
    <comment ref="D8" authorId="0" shapeId="0">
      <text>
        <r>
          <rPr>
            <sz val="9"/>
            <color indexed="81"/>
            <rFont val="Tahoma"/>
            <family val="2"/>
          </rPr>
          <t>fed once a day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
1/3 dilution once a day</t>
        </r>
      </text>
    </comment>
    <comment ref="AA8" authorId="0" shapeId="0">
      <text>
        <r>
          <rPr>
            <sz val="9"/>
            <color indexed="81"/>
            <rFont val="Tahoma"/>
            <family val="2"/>
          </rPr>
          <t xml:space="preserve">
headspace connected to reversible liquid displacement device with a wet-tip counter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>fed once a day</t>
        </r>
      </text>
    </comment>
    <comment ref="O9" authorId="0" shapeId="0">
      <text>
        <r>
          <rPr>
            <sz val="9"/>
            <color indexed="81"/>
            <rFont val="Tahoma"/>
            <family val="2"/>
          </rPr>
          <t xml:space="preserve">
1/3 dilution once a day</t>
        </r>
      </text>
    </comment>
    <comment ref="AA9" authorId="0" shapeId="0">
      <text>
        <r>
          <rPr>
            <sz val="9"/>
            <color indexed="81"/>
            <rFont val="Tahoma"/>
            <family val="2"/>
          </rPr>
          <t xml:space="preserve">
headspace connected to reversible liquid displacement device with a wet-tip counter</t>
        </r>
      </text>
    </comment>
    <comment ref="D10" authorId="0" shapeId="0">
      <text>
        <r>
          <rPr>
            <sz val="9"/>
            <color indexed="81"/>
            <rFont val="Tahoma"/>
            <family val="2"/>
          </rPr>
          <t>fed once a day</t>
        </r>
      </text>
    </comment>
    <comment ref="D11" authorId="0" shapeId="0">
      <text>
        <r>
          <rPr>
            <sz val="9"/>
            <color indexed="81"/>
            <rFont val="Tahoma"/>
            <family val="2"/>
          </rPr>
          <t>fed once a day</t>
        </r>
      </text>
    </comment>
    <comment ref="D12" authorId="0" shapeId="0">
      <text>
        <r>
          <rPr>
            <sz val="9"/>
            <color indexed="81"/>
            <rFont val="Tahoma"/>
            <family val="2"/>
          </rPr>
          <t>fed once a day</t>
        </r>
      </text>
    </comment>
    <comment ref="D13" authorId="0" shapeId="0">
      <text>
        <r>
          <rPr>
            <sz val="9"/>
            <color indexed="81"/>
            <rFont val="Tahoma"/>
            <family val="2"/>
          </rPr>
          <t>fed once a day</t>
        </r>
      </text>
    </comment>
    <comment ref="D14" authorId="0" shapeId="0">
      <text>
        <r>
          <rPr>
            <sz val="9"/>
            <color indexed="81"/>
            <rFont val="Tahoma"/>
            <family val="2"/>
          </rPr>
          <t xml:space="preserve">
daily replacing fixed volume of fermentation broth with substrate</t>
        </r>
      </text>
    </comment>
    <comment ref="AB14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gCOD/L</t>
        </r>
      </text>
    </comment>
    <comment ref="AD14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%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 xml:space="preserve">
daily replacing fixed volume of fermentation broth with substrate</t>
        </r>
      </text>
    </comment>
    <comment ref="AB15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gCOD/L</t>
        </r>
      </text>
    </comment>
    <comment ref="AD15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%</t>
        </r>
      </text>
    </comment>
    <comment ref="D16" authorId="0" shapeId="0">
      <text>
        <r>
          <rPr>
            <sz val="9"/>
            <color indexed="81"/>
            <rFont val="Tahoma"/>
            <family val="2"/>
          </rPr>
          <t xml:space="preserve">
daily replacing fixed volume of fermentation broth with substrate</t>
        </r>
      </text>
    </comment>
    <comment ref="AB16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gCOD/L</t>
        </r>
      </text>
    </comment>
    <comment ref="AD16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%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 xml:space="preserve">
daily replacing fixed volume of fermentation broth with substrate</t>
        </r>
      </text>
    </comment>
    <comment ref="AB17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gCOD/L</t>
        </r>
      </text>
    </comment>
    <comment ref="AD17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%</t>
        </r>
      </text>
    </comment>
    <comment ref="D18" authorId="0" shapeId="0">
      <text>
        <r>
          <rPr>
            <sz val="9"/>
            <color indexed="81"/>
            <rFont val="Tahoma"/>
            <family val="2"/>
          </rPr>
          <t xml:space="preserve">
daily replacing fixed volume of fermentation broth with substrate</t>
        </r>
      </text>
    </comment>
    <comment ref="AB18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gCOD/L</t>
        </r>
      </text>
    </comment>
    <comment ref="AD18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%</t>
        </r>
      </text>
    </comment>
    <comment ref="D19" authorId="0" shapeId="0">
      <text>
        <r>
          <rPr>
            <sz val="9"/>
            <color indexed="81"/>
            <rFont val="Tahoma"/>
            <family val="2"/>
          </rPr>
          <t xml:space="preserve">
daily replacing fixed volume of fermentation broth with substrate</t>
        </r>
      </text>
    </comment>
    <comment ref="AB19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gCOD/L</t>
        </r>
      </text>
    </comment>
    <comment ref="AD19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%</t>
        </r>
      </text>
    </comment>
    <comment ref="AK19" authorId="0" shapeId="0">
      <text>
        <r>
          <rPr>
            <sz val="9"/>
            <color indexed="81"/>
            <rFont val="Tahoma"/>
            <family val="2"/>
          </rPr>
          <t xml:space="preserve">
estimation of max</t>
        </r>
      </text>
    </comment>
    <comment ref="D20" authorId="0" shapeId="0">
      <text>
        <r>
          <rPr>
            <sz val="9"/>
            <color indexed="81"/>
            <rFont val="Tahoma"/>
            <family val="2"/>
          </rPr>
          <t xml:space="preserve">
daily replacing fixed volume of fermentation broth with substrate</t>
        </r>
      </text>
    </comment>
    <comment ref="AB20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gCOD/L</t>
        </r>
      </text>
    </comment>
    <comment ref="AD20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%</t>
        </r>
      </text>
    </comment>
    <comment ref="AK20" authorId="0" shapeId="0">
      <text>
        <r>
          <rPr>
            <sz val="9"/>
            <color indexed="81"/>
            <rFont val="Tahoma"/>
            <family val="2"/>
          </rPr>
          <t>Estimation of max</t>
        </r>
      </text>
    </comment>
    <comment ref="D21" authorId="0" shapeId="0">
      <text>
        <r>
          <rPr>
            <sz val="9"/>
            <color indexed="81"/>
            <rFont val="Tahoma"/>
            <family val="2"/>
          </rPr>
          <t xml:space="preserve">
daily replacing fixed volume of fermentation broth with substrate</t>
        </r>
      </text>
    </comment>
    <comment ref="AB21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gCOD/L</t>
        </r>
      </text>
    </comment>
    <comment ref="AD21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%</t>
        </r>
      </text>
    </comment>
    <comment ref="AK21" authorId="0" shapeId="0">
      <text>
        <r>
          <rPr>
            <sz val="9"/>
            <color indexed="81"/>
            <rFont val="Tahoma"/>
            <family val="2"/>
          </rPr>
          <t>Estimation of max</t>
        </r>
      </text>
    </comment>
    <comment ref="D22" authorId="0" shapeId="0">
      <text>
        <r>
          <rPr>
            <sz val="9"/>
            <color indexed="81"/>
            <rFont val="Tahoma"/>
            <family val="2"/>
          </rPr>
          <t xml:space="preserve">
daily replacing fixed volume of fermentation broth with substrate</t>
        </r>
      </text>
    </comment>
    <comment ref="AB22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gCOD/L</t>
        </r>
      </text>
    </comment>
    <comment ref="AD22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%</t>
        </r>
      </text>
    </comment>
    <comment ref="AK22" authorId="0" shapeId="0">
      <text>
        <r>
          <rPr>
            <sz val="9"/>
            <color indexed="81"/>
            <rFont val="Tahoma"/>
            <family val="2"/>
          </rPr>
          <t>Estimation of max</t>
        </r>
      </text>
    </comment>
    <comment ref="D23" authorId="0" shapeId="0">
      <text>
        <r>
          <rPr>
            <sz val="9"/>
            <color indexed="81"/>
            <rFont val="Tahoma"/>
            <family val="2"/>
          </rPr>
          <t xml:space="preserve">
daily replacing fixed volume of fermentation broth with substrate</t>
        </r>
      </text>
    </comment>
    <comment ref="AB23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gCOD/L</t>
        </r>
      </text>
    </comment>
    <comment ref="AD23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%</t>
        </r>
      </text>
    </comment>
    <comment ref="AK23" authorId="0" shapeId="0">
      <text>
        <r>
          <rPr>
            <sz val="9"/>
            <color indexed="81"/>
            <rFont val="Tahoma"/>
            <family val="2"/>
          </rPr>
          <t>Estimation of max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
daily replacing fixed volume of fermentation broth with substrate</t>
        </r>
      </text>
    </comment>
    <comment ref="AB24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gCOD/L</t>
        </r>
      </text>
    </comment>
    <comment ref="AD24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%</t>
        </r>
      </text>
    </comment>
    <comment ref="D25" authorId="0" shapeId="0">
      <text>
        <r>
          <rPr>
            <sz val="9"/>
            <color indexed="81"/>
            <rFont val="Tahoma"/>
            <family val="2"/>
          </rPr>
          <t xml:space="preserve">
daily replacing fixed volume of fermentation broth with substrate</t>
        </r>
      </text>
    </comment>
    <comment ref="AB25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gCOD/L</t>
        </r>
      </text>
    </comment>
    <comment ref="AD25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%</t>
        </r>
      </text>
    </comment>
    <comment ref="D26" authorId="0" shapeId="0">
      <text>
        <r>
          <rPr>
            <sz val="9"/>
            <color indexed="81"/>
            <rFont val="Tahoma"/>
            <family val="2"/>
          </rPr>
          <t xml:space="preserve">
daily replacing fixed volume of fermentation broth with substrate</t>
        </r>
      </text>
    </comment>
    <comment ref="AB26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gCOD/L</t>
        </r>
      </text>
    </comment>
    <comment ref="AD26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%</t>
        </r>
      </text>
    </comment>
    <comment ref="D27" authorId="0" shapeId="0">
      <text>
        <r>
          <rPr>
            <sz val="9"/>
            <color indexed="81"/>
            <rFont val="Tahoma"/>
            <family val="2"/>
          </rPr>
          <t xml:space="preserve">
daily replacing fixed volume of fermentation broth with substrate</t>
        </r>
      </text>
    </comment>
    <comment ref="AB27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gCOD/L</t>
        </r>
      </text>
    </comment>
    <comment ref="AD27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%</t>
        </r>
      </text>
    </comment>
    <comment ref="D28" authorId="0" shapeId="0">
      <text>
        <r>
          <rPr>
            <sz val="9"/>
            <color indexed="81"/>
            <rFont val="Tahoma"/>
            <family val="2"/>
          </rPr>
          <t xml:space="preserve">
daily replacing fixed volume of fermentation broth with substrate</t>
        </r>
      </text>
    </comment>
    <comment ref="AB28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gCOD/L</t>
        </r>
      </text>
    </comment>
    <comment ref="AD28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%</t>
        </r>
      </text>
    </comment>
    <comment ref="I29" authorId="0" shapeId="0">
      <text>
        <r>
          <rPr>
            <sz val="9"/>
            <color indexed="81"/>
            <rFont val="Tahoma"/>
            <family val="2"/>
          </rPr>
          <t>Total liquid in all 4 fermentors</t>
        </r>
      </text>
    </comment>
    <comment ref="I30" authorId="0" shapeId="0">
      <text>
        <r>
          <rPr>
            <sz val="9"/>
            <color indexed="81"/>
            <rFont val="Tahoma"/>
            <family val="2"/>
          </rPr>
          <t>Total liquid in all 4 fermentors</t>
        </r>
      </text>
    </comment>
    <comment ref="I31" authorId="0" shapeId="0">
      <text>
        <r>
          <rPr>
            <sz val="9"/>
            <color indexed="81"/>
            <rFont val="Tahoma"/>
            <family val="2"/>
          </rPr>
          <t>Total liquid in all 4 fermentors</t>
        </r>
      </text>
    </comment>
    <comment ref="I32" authorId="0" shapeId="0">
      <text>
        <r>
          <rPr>
            <sz val="9"/>
            <color indexed="81"/>
            <rFont val="Tahoma"/>
            <family val="2"/>
          </rPr>
          <t>Total liquid in all 4 fermentors</t>
        </r>
      </text>
    </comment>
    <comment ref="I33" authorId="0" shapeId="0">
      <text>
        <r>
          <rPr>
            <sz val="9"/>
            <color indexed="81"/>
            <rFont val="Tahoma"/>
            <family val="2"/>
          </rPr>
          <t>Total liquid in all 4 fermentors</t>
        </r>
      </text>
    </comment>
    <comment ref="D44" authorId="0" shapeId="0">
      <text>
        <r>
          <rPr>
            <sz val="9"/>
            <color indexed="81"/>
            <rFont val="Tahoma"/>
            <family val="2"/>
          </rPr>
          <t>Daily fixed volume of influent with pump and effluent coming from overflow</t>
        </r>
      </text>
    </comment>
    <comment ref="N44" authorId="0" shapeId="0">
      <text>
        <r>
          <rPr>
            <sz val="9"/>
            <color indexed="81"/>
            <rFont val="Tahoma"/>
            <family val="2"/>
          </rPr>
          <t>gCOD/L/d
calculated from working volume 0.2L/ SRT 20days * tCOD 56.76 gtCOD/L</t>
        </r>
      </text>
    </comment>
    <comment ref="R44" authorId="0" shapeId="0">
      <text>
        <r>
          <rPr>
            <sz val="9"/>
            <color indexed="81"/>
            <rFont val="Tahoma"/>
            <family val="2"/>
          </rPr>
          <t>gVS/L
Calculated from 5% inoc in 0.2L and VS inoc is 38.5+-2.7g/L</t>
        </r>
      </text>
    </comment>
    <comment ref="AB44" authorId="0" shapeId="0">
      <text>
        <r>
          <rPr>
            <sz val="9"/>
            <color indexed="81"/>
            <rFont val="Tahoma"/>
            <family val="2"/>
          </rPr>
          <t>Average from duplicate</t>
        </r>
      </text>
    </comment>
    <comment ref="AD44" authorId="0" shapeId="0">
      <text>
        <r>
          <rPr>
            <sz val="9"/>
            <color indexed="81"/>
            <rFont val="Tahoma"/>
            <family val="2"/>
          </rPr>
          <t>max at day 8 - dropped to 0.7g/L
avg is 11%</t>
        </r>
      </text>
    </comment>
    <comment ref="D45" authorId="0" shapeId="0">
      <text>
        <r>
          <rPr>
            <sz val="9"/>
            <color indexed="81"/>
            <rFont val="Tahoma"/>
            <family val="2"/>
          </rPr>
          <t>Daily fixed volume of influent with pump and effluent coming from overflow</t>
        </r>
      </text>
    </comment>
    <comment ref="N45" authorId="0" shapeId="0">
      <text>
        <r>
          <rPr>
            <sz val="9"/>
            <color indexed="81"/>
            <rFont val="Tahoma"/>
            <family val="2"/>
          </rPr>
          <t>gCOD/L/d
calculated from working volume 0.2L/ SRT 20days * tCOD 56.76 gtCOD/L</t>
        </r>
      </text>
    </comment>
    <comment ref="R45" authorId="0" shapeId="0">
      <text>
        <r>
          <rPr>
            <sz val="9"/>
            <color indexed="81"/>
            <rFont val="Tahoma"/>
            <family val="2"/>
          </rPr>
          <t>gVS/L
Calculated from 5% inoc in 0.2L and VS inoc is 38.5+-2.7g/L</t>
        </r>
      </text>
    </comment>
    <comment ref="AB45" authorId="0" shapeId="0">
      <text>
        <r>
          <rPr>
            <sz val="9"/>
            <color indexed="81"/>
            <rFont val="Tahoma"/>
            <family val="2"/>
          </rPr>
          <t>Average from duplicates</t>
        </r>
      </text>
    </comment>
    <comment ref="AD45" authorId="0" shapeId="0">
      <text>
        <r>
          <rPr>
            <sz val="9"/>
            <color indexed="81"/>
            <rFont val="Tahoma"/>
            <family val="2"/>
          </rPr>
          <t>max at day 28 dropped to 1.1g/L
avg is 20%</t>
        </r>
      </text>
    </comment>
    <comment ref="D46" authorId="0" shapeId="0">
      <text>
        <r>
          <rPr>
            <sz val="9"/>
            <color indexed="81"/>
            <rFont val="Tahoma"/>
            <family val="2"/>
          </rPr>
          <t>Daily fixed volume of influent with pump and effluent coming from overflow</t>
        </r>
      </text>
    </comment>
    <comment ref="N46" authorId="0" shapeId="0">
      <text>
        <r>
          <rPr>
            <sz val="9"/>
            <color indexed="81"/>
            <rFont val="Tahoma"/>
            <family val="2"/>
          </rPr>
          <t>gCOD/L/d
calculated from working volum e0.2L/ SRT 10days * tCOD 56.76gtCOD/L</t>
        </r>
      </text>
    </comment>
    <comment ref="R46" authorId="0" shapeId="0">
      <text>
        <r>
          <rPr>
            <sz val="9"/>
            <color indexed="81"/>
            <rFont val="Tahoma"/>
            <family val="2"/>
          </rPr>
          <t>gVS/L
Calculated from 5% inoc in 0.2L and VS inoc is 38.5+-2.7g/L</t>
        </r>
      </text>
    </comment>
    <comment ref="D47" authorId="0" shapeId="0">
      <text>
        <r>
          <rPr>
            <sz val="9"/>
            <color indexed="81"/>
            <rFont val="Tahoma"/>
            <family val="2"/>
          </rPr>
          <t>Daily fixed volume of influent with pump and effluent coming from overflow</t>
        </r>
      </text>
    </comment>
    <comment ref="N47" authorId="0" shapeId="0">
      <text>
        <r>
          <rPr>
            <sz val="9"/>
            <color indexed="81"/>
            <rFont val="Tahoma"/>
            <family val="2"/>
          </rPr>
          <t>gCOD/L/d
calculated from working volum e0.2L/ SRT 30days * tCOD 56.76gtCOD/L</t>
        </r>
      </text>
    </comment>
    <comment ref="R47" authorId="0" shapeId="0">
      <text>
        <r>
          <rPr>
            <sz val="9"/>
            <color indexed="81"/>
            <rFont val="Tahoma"/>
            <family val="2"/>
          </rPr>
          <t>gVS/L
Calculated from 5% inoc in 0.2L and VS inoc is 38.5+-2.7g/L</t>
        </r>
      </text>
    </comment>
    <comment ref="AD47" authorId="0" shapeId="0">
      <text>
        <r>
          <rPr>
            <sz val="9"/>
            <color indexed="81"/>
            <rFont val="Tahoma"/>
            <family val="2"/>
          </rPr>
          <t>max at day 28 dropped to 1.1g/L
avg is 20%</t>
        </r>
      </text>
    </comment>
    <comment ref="N48" authorId="0" shapeId="0">
      <text>
        <r>
          <rPr>
            <sz val="9"/>
            <color indexed="81"/>
            <rFont val="Tahoma"/>
            <family val="2"/>
          </rPr>
          <t>COD feed / HRT</t>
        </r>
      </text>
    </comment>
    <comment ref="N49" authorId="0" shapeId="0">
      <text>
        <r>
          <rPr>
            <sz val="9"/>
            <color indexed="81"/>
            <rFont val="Tahoma"/>
            <family val="2"/>
          </rPr>
          <t>COD feed / HRT</t>
        </r>
      </text>
    </comment>
    <comment ref="N50" authorId="0" shapeId="0">
      <text>
        <r>
          <rPr>
            <sz val="9"/>
            <color indexed="81"/>
            <rFont val="Tahoma"/>
            <family val="2"/>
          </rPr>
          <t>COD feed / HRT</t>
        </r>
      </text>
    </comment>
    <comment ref="N51" authorId="0" shapeId="0">
      <text>
        <r>
          <rPr>
            <sz val="9"/>
            <color indexed="81"/>
            <rFont val="Tahoma"/>
            <family val="2"/>
          </rPr>
          <t xml:space="preserve">
COD feed / HRT</t>
        </r>
      </text>
    </comment>
    <comment ref="J52" authorId="0" shapeId="0">
      <text>
        <r>
          <rPr>
            <sz val="9"/>
            <color indexed="81"/>
            <rFont val="Tahoma"/>
            <family val="2"/>
          </rPr>
          <t>excluded batch start up 13days with acetate and methanol</t>
        </r>
      </text>
    </comment>
    <comment ref="J53" authorId="0" shapeId="0">
      <text>
        <r>
          <rPr>
            <sz val="9"/>
            <color indexed="81"/>
            <rFont val="Tahoma"/>
            <family val="2"/>
          </rPr>
          <t>excluded batch start up 13days with acetate and methanol</t>
        </r>
      </text>
    </comment>
    <comment ref="D54" authorId="0" shapeId="0">
      <text>
        <r>
          <rPr>
            <sz val="9"/>
            <color indexed="81"/>
            <rFont val="Tahoma"/>
            <family val="2"/>
          </rPr>
          <t>fed every 2 days</t>
        </r>
      </text>
    </comment>
    <comment ref="N54" authorId="0" shapeId="0">
      <text>
        <r>
          <rPr>
            <sz val="9"/>
            <color indexed="81"/>
            <rFont val="Tahoma"/>
            <family val="2"/>
          </rPr>
          <t>gCOD//d</t>
        </r>
      </text>
    </comment>
    <comment ref="T54" authorId="0" shapeId="0">
      <text>
        <r>
          <rPr>
            <sz val="9"/>
            <color indexed="81"/>
            <rFont val="Tahoma"/>
            <family val="2"/>
          </rPr>
          <t>Throughout fermentation cycle</t>
        </r>
      </text>
    </comment>
    <comment ref="D55" authorId="0" shapeId="0">
      <text>
        <r>
          <rPr>
            <sz val="9"/>
            <color indexed="81"/>
            <rFont val="Tahoma"/>
            <family val="2"/>
          </rPr>
          <t>fed every 2 days</t>
        </r>
      </text>
    </comment>
    <comment ref="F55" authorId="0" shapeId="0">
      <text>
        <r>
          <rPr>
            <sz val="9"/>
            <color indexed="81"/>
            <rFont val="Tahoma"/>
            <family val="2"/>
          </rPr>
          <t xml:space="preserve">
Extraction only applied after 230 days</t>
        </r>
      </text>
    </comment>
    <comment ref="J55" authorId="0" shapeId="0">
      <text>
        <r>
          <rPr>
            <sz val="9"/>
            <color indexed="81"/>
            <rFont val="Tahoma"/>
            <family val="2"/>
          </rPr>
          <t>phase 2, extraction only applied after 230days: days 230-477</t>
        </r>
      </text>
    </comment>
    <comment ref="N55" authorId="0" shapeId="0">
      <text>
        <r>
          <rPr>
            <sz val="9"/>
            <color indexed="81"/>
            <rFont val="Tahoma"/>
            <family val="2"/>
          </rPr>
          <t>gCOD//d</t>
        </r>
      </text>
    </comment>
    <comment ref="T55" authorId="0" shapeId="0">
      <text>
        <r>
          <rPr>
            <sz val="9"/>
            <color indexed="81"/>
            <rFont val="Tahoma"/>
            <family val="2"/>
          </rPr>
          <t>Throughout fermentation cycle</t>
        </r>
      </text>
    </comment>
    <comment ref="D56" authorId="0" shapeId="0">
      <text>
        <r>
          <rPr>
            <sz val="9"/>
            <color indexed="81"/>
            <rFont val="Tahoma"/>
            <family val="2"/>
          </rPr>
          <t>fed every 2 days</t>
        </r>
      </text>
    </comment>
    <comment ref="N56" authorId="0" shapeId="0">
      <text>
        <r>
          <rPr>
            <sz val="9"/>
            <color indexed="81"/>
            <rFont val="Tahoma"/>
            <family val="2"/>
          </rPr>
          <t>gCOD//d</t>
        </r>
      </text>
    </comment>
    <comment ref="S56" authorId="0" shapeId="0">
      <text>
        <r>
          <rPr>
            <sz val="9"/>
            <color indexed="81"/>
            <rFont val="Tahoma"/>
            <family val="2"/>
          </rPr>
          <t>33days at 40C, 100 days at 30</t>
        </r>
      </text>
    </comment>
    <comment ref="T56" authorId="0" shapeId="0">
      <text>
        <r>
          <rPr>
            <sz val="9"/>
            <color indexed="81"/>
            <rFont val="Tahoma"/>
            <family val="2"/>
          </rPr>
          <t>Throughout fermentation cycle</t>
        </r>
      </text>
    </comment>
    <comment ref="D57" authorId="0" shapeId="0">
      <text>
        <r>
          <rPr>
            <sz val="9"/>
            <color indexed="81"/>
            <rFont val="Tahoma"/>
            <family val="2"/>
          </rPr>
          <t>fed every 2 days</t>
        </r>
      </text>
    </comment>
    <comment ref="N57" authorId="0" shapeId="0">
      <text>
        <r>
          <rPr>
            <sz val="9"/>
            <color indexed="81"/>
            <rFont val="Tahoma"/>
            <family val="2"/>
          </rPr>
          <t>gCOD//d</t>
        </r>
      </text>
    </comment>
    <comment ref="S57" authorId="0" shapeId="0">
      <text>
        <r>
          <rPr>
            <sz val="9"/>
            <color indexed="81"/>
            <rFont val="Tahoma"/>
            <family val="2"/>
          </rPr>
          <t>33days at 40C, 100 days at 30</t>
        </r>
      </text>
    </comment>
    <comment ref="T57" authorId="0" shapeId="0">
      <text>
        <r>
          <rPr>
            <sz val="9"/>
            <color indexed="81"/>
            <rFont val="Tahoma"/>
            <family val="2"/>
          </rPr>
          <t>Throughout fermentation cycle</t>
        </r>
      </text>
    </comment>
    <comment ref="J58" authorId="0" shapeId="0">
      <text>
        <r>
          <rPr>
            <sz val="9"/>
            <color indexed="81"/>
            <rFont val="Tahoma"/>
            <family val="2"/>
          </rPr>
          <t>phase 1</t>
        </r>
      </text>
    </comment>
    <comment ref="N58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gCODfeed/HRT</t>
        </r>
      </text>
    </comment>
    <comment ref="O58" authorId="0" shapeId="0">
      <text>
        <r>
          <rPr>
            <sz val="9"/>
            <color indexed="81"/>
            <rFont val="Tahoma"/>
            <family val="2"/>
          </rPr>
          <t>HRT = 14 h</t>
        </r>
      </text>
    </comment>
    <comment ref="J59" authorId="0" shapeId="0">
      <text>
        <r>
          <rPr>
            <sz val="9"/>
            <color indexed="81"/>
            <rFont val="Tahoma"/>
            <family val="2"/>
          </rPr>
          <t>phase 2
total operation 10 days</t>
        </r>
      </text>
    </comment>
    <comment ref="N59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gCODfeed/HRT</t>
        </r>
      </text>
    </comment>
    <comment ref="O59" authorId="0" shapeId="0">
      <text>
        <r>
          <rPr>
            <sz val="9"/>
            <color indexed="81"/>
            <rFont val="Tahoma"/>
            <family val="2"/>
          </rPr>
          <t>HRT = 14 h</t>
        </r>
      </text>
    </comment>
    <comment ref="J60" authorId="0" shapeId="0">
      <text>
        <r>
          <rPr>
            <sz val="9"/>
            <color indexed="81"/>
            <rFont val="Tahoma"/>
            <family val="2"/>
          </rPr>
          <t>phase 3
total operation 23 days</t>
        </r>
      </text>
    </comment>
    <comment ref="N60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gCODfeed/HRT</t>
        </r>
      </text>
    </comment>
    <comment ref="O60" authorId="0" shapeId="0">
      <text>
        <r>
          <rPr>
            <sz val="9"/>
            <color indexed="81"/>
            <rFont val="Tahoma"/>
            <family val="2"/>
          </rPr>
          <t>HRT = 14 h</t>
        </r>
      </text>
    </comment>
    <comment ref="N61" authorId="0" shapeId="0">
      <text>
        <r>
          <rPr>
            <sz val="9"/>
            <color indexed="81"/>
            <rFont val="Tahoma"/>
            <family val="2"/>
          </rPr>
          <t xml:space="preserve">
101 g tCOD/L
7 day HRT
5 L reactor</t>
        </r>
      </text>
    </comment>
    <comment ref="N62" authorId="0" shapeId="0">
      <text>
        <r>
          <rPr>
            <sz val="9"/>
            <color indexed="81"/>
            <rFont val="Tahoma"/>
            <family val="2"/>
          </rPr>
          <t>Fed every 2 days, gCOD/l/d</t>
        </r>
      </text>
    </comment>
    <comment ref="O62" authorId="0" shapeId="0">
      <text>
        <r>
          <rPr>
            <sz val="9"/>
            <color indexed="81"/>
            <rFont val="Tahoma"/>
            <family val="2"/>
          </rPr>
          <t>HRT
SRT decoupled by settling before effluent withdrawel</t>
        </r>
      </text>
    </comment>
    <comment ref="T62" authorId="0" shapeId="0">
      <text>
        <r>
          <rPr>
            <sz val="9"/>
            <color indexed="81"/>
            <rFont val="Tahoma"/>
            <family val="2"/>
          </rPr>
          <t>Throughout fermentation cycle</t>
        </r>
      </text>
    </comment>
    <comment ref="J63" authorId="0" shapeId="0">
      <text>
        <r>
          <rPr>
            <sz val="9"/>
            <color indexed="81"/>
            <rFont val="Tahoma"/>
            <family val="2"/>
          </rPr>
          <t xml:space="preserve">Phase 2, changed HRT
day 163-243 </t>
        </r>
      </text>
    </comment>
    <comment ref="N63" authorId="0" shapeId="0">
      <text>
        <r>
          <rPr>
            <sz val="9"/>
            <color indexed="81"/>
            <rFont val="Tahoma"/>
            <family val="2"/>
          </rPr>
          <t>Fed every 2 days, gCOD/l/d</t>
        </r>
      </text>
    </comment>
    <comment ref="O63" authorId="0" shapeId="0">
      <text>
        <r>
          <rPr>
            <sz val="9"/>
            <color indexed="81"/>
            <rFont val="Tahoma"/>
            <family val="2"/>
          </rPr>
          <t>HRT
SRT decoupled by settling before effluent withdrawel</t>
        </r>
      </text>
    </comment>
    <comment ref="T63" authorId="0" shapeId="0">
      <text>
        <r>
          <rPr>
            <sz val="9"/>
            <color indexed="81"/>
            <rFont val="Tahoma"/>
            <family val="2"/>
          </rPr>
          <t>Throughout fermentation cycle</t>
        </r>
      </text>
    </comment>
    <comment ref="J64" authorId="0" shapeId="0">
      <text>
        <r>
          <rPr>
            <sz val="9"/>
            <color indexed="81"/>
            <rFont val="Tahoma"/>
            <family val="2"/>
          </rPr>
          <t>Phase 3, changed HRT
days 243 - 337</t>
        </r>
      </text>
    </comment>
    <comment ref="N64" authorId="0" shapeId="0">
      <text>
        <r>
          <rPr>
            <sz val="9"/>
            <color indexed="81"/>
            <rFont val="Tahoma"/>
            <family val="2"/>
          </rPr>
          <t>Fed every 2 days, gCOD/l/d</t>
        </r>
      </text>
    </comment>
    <comment ref="O64" authorId="0" shapeId="0">
      <text>
        <r>
          <rPr>
            <sz val="9"/>
            <color indexed="81"/>
            <rFont val="Tahoma"/>
            <family val="2"/>
          </rPr>
          <t>HRT
SRT decoupled by settling before effluent withdrawal</t>
        </r>
      </text>
    </comment>
    <comment ref="T64" authorId="0" shapeId="0">
      <text>
        <r>
          <rPr>
            <sz val="9"/>
            <color indexed="81"/>
            <rFont val="Tahoma"/>
            <family val="2"/>
          </rPr>
          <t>Throughout fermentation cycle</t>
        </r>
      </text>
    </comment>
    <comment ref="J65" authorId="0" shapeId="0">
      <text>
        <r>
          <rPr>
            <sz val="9"/>
            <color indexed="81"/>
            <rFont val="Tahoma"/>
            <family val="2"/>
          </rPr>
          <t>Phase 4, changed pH
days 338-419</t>
        </r>
      </text>
    </comment>
    <comment ref="N65" authorId="0" shapeId="0">
      <text>
        <r>
          <rPr>
            <sz val="9"/>
            <color indexed="81"/>
            <rFont val="Tahoma"/>
            <family val="2"/>
          </rPr>
          <t>Fed every 2 days, gCOD/l/d</t>
        </r>
      </text>
    </comment>
    <comment ref="O65" authorId="0" shapeId="0">
      <text>
        <r>
          <rPr>
            <sz val="9"/>
            <color indexed="81"/>
            <rFont val="Tahoma"/>
            <family val="2"/>
          </rPr>
          <t>HRT
SRT decoupled by settling before effluent withdrawal</t>
        </r>
      </text>
    </comment>
    <comment ref="T65" authorId="0" shapeId="0">
      <text>
        <r>
          <rPr>
            <sz val="9"/>
            <color indexed="81"/>
            <rFont val="Tahoma"/>
            <family val="2"/>
          </rPr>
          <t>Throughout fermentation cycle</t>
        </r>
      </text>
    </comment>
    <comment ref="N66" authorId="0" shapeId="0">
      <text>
        <r>
          <rPr>
            <sz val="9"/>
            <color indexed="81"/>
            <rFont val="Tahoma"/>
            <family val="2"/>
          </rPr>
          <t>Fed every 2 days, gCOD/l/d</t>
        </r>
      </text>
    </comment>
    <comment ref="O66" authorId="0" shapeId="0">
      <text>
        <r>
          <rPr>
            <sz val="9"/>
            <color indexed="81"/>
            <rFont val="Tahoma"/>
            <family val="2"/>
          </rPr>
          <t>HRT
SRT decoupled by settling before effluent withdrawel</t>
        </r>
      </text>
    </comment>
    <comment ref="T66" authorId="0" shapeId="0">
      <text>
        <r>
          <rPr>
            <sz val="9"/>
            <color indexed="81"/>
            <rFont val="Tahoma"/>
            <family val="2"/>
          </rPr>
          <t>Throughout fermentation cycle</t>
        </r>
      </text>
    </comment>
    <comment ref="J67" authorId="0" shapeId="0">
      <text>
        <r>
          <rPr>
            <sz val="9"/>
            <color indexed="81"/>
            <rFont val="Tahoma"/>
            <family val="2"/>
          </rPr>
          <t xml:space="preserve">Phase 2, changed HRT
day 163-243 </t>
        </r>
      </text>
    </comment>
    <comment ref="N67" authorId="0" shapeId="0">
      <text>
        <r>
          <rPr>
            <sz val="9"/>
            <color indexed="81"/>
            <rFont val="Tahoma"/>
            <family val="2"/>
          </rPr>
          <t>Fed every 2 days, gCOD/l/d</t>
        </r>
      </text>
    </comment>
    <comment ref="O67" authorId="0" shapeId="0">
      <text>
        <r>
          <rPr>
            <sz val="9"/>
            <color indexed="81"/>
            <rFont val="Tahoma"/>
            <family val="2"/>
          </rPr>
          <t>HRT
SRT decoupled by settling before effluent withdrawel</t>
        </r>
      </text>
    </comment>
    <comment ref="T67" authorId="0" shapeId="0">
      <text>
        <r>
          <rPr>
            <sz val="9"/>
            <color indexed="81"/>
            <rFont val="Tahoma"/>
            <family val="2"/>
          </rPr>
          <t>Throughout fermentation cycle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>Phase 3, changed HRT
days 243 - 337</t>
        </r>
      </text>
    </comment>
    <comment ref="N68" authorId="0" shapeId="0">
      <text>
        <r>
          <rPr>
            <sz val="9"/>
            <color indexed="81"/>
            <rFont val="Tahoma"/>
            <family val="2"/>
          </rPr>
          <t>Fed every 2 days, gCOD/l/d</t>
        </r>
      </text>
    </comment>
    <comment ref="O68" authorId="0" shapeId="0">
      <text>
        <r>
          <rPr>
            <sz val="9"/>
            <color indexed="81"/>
            <rFont val="Tahoma"/>
            <family val="2"/>
          </rPr>
          <t>HRT
SRT decoupled by settling before effluent withdrawal</t>
        </r>
      </text>
    </comment>
    <comment ref="T68" authorId="0" shapeId="0">
      <text>
        <r>
          <rPr>
            <sz val="9"/>
            <color indexed="81"/>
            <rFont val="Tahoma"/>
            <family val="2"/>
          </rPr>
          <t>Throughout fermentation cycle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>Phase 4, changed pH
days 338-419</t>
        </r>
      </text>
    </comment>
    <comment ref="N69" authorId="0" shapeId="0">
      <text>
        <r>
          <rPr>
            <sz val="9"/>
            <color indexed="81"/>
            <rFont val="Tahoma"/>
            <family val="2"/>
          </rPr>
          <t>Fed every 2 days, gCOD/l/d</t>
        </r>
      </text>
    </comment>
    <comment ref="O69" authorId="0" shapeId="0">
      <text>
        <r>
          <rPr>
            <sz val="9"/>
            <color indexed="81"/>
            <rFont val="Tahoma"/>
            <family val="2"/>
          </rPr>
          <t>HRT
SRT decoupled by settling before effluent withdrawal</t>
        </r>
      </text>
    </comment>
    <comment ref="T69" authorId="0" shapeId="0">
      <text>
        <r>
          <rPr>
            <sz val="9"/>
            <color indexed="81"/>
            <rFont val="Tahoma"/>
            <family val="2"/>
          </rPr>
          <t>Throughout fermentation cycle</t>
        </r>
      </text>
    </comment>
    <comment ref="N70" authorId="0" shapeId="0">
      <text>
        <r>
          <rPr>
            <sz val="9"/>
            <color indexed="81"/>
            <rFont val="Tahoma"/>
            <family val="2"/>
          </rPr>
          <t>Fed every 2 days, gCOD/l/d</t>
        </r>
      </text>
    </comment>
    <comment ref="O70" authorId="0" shapeId="0">
      <text>
        <r>
          <rPr>
            <sz val="9"/>
            <color indexed="81"/>
            <rFont val="Tahoma"/>
            <family val="2"/>
          </rPr>
          <t>HRT
SRT decoupled by settling before effluent withdrawel</t>
        </r>
      </text>
    </comment>
    <comment ref="T70" authorId="0" shapeId="0">
      <text>
        <r>
          <rPr>
            <sz val="9"/>
            <color indexed="81"/>
            <rFont val="Tahoma"/>
            <family val="2"/>
          </rPr>
          <t>Throughout fermentation cycle</t>
        </r>
      </text>
    </comment>
    <comment ref="J71" authorId="0" shapeId="0">
      <text>
        <r>
          <rPr>
            <sz val="9"/>
            <color indexed="81"/>
            <rFont val="Tahoma"/>
            <family val="2"/>
          </rPr>
          <t xml:space="preserve">Phase 2, changed HRT
day 163-243 </t>
        </r>
      </text>
    </comment>
    <comment ref="N71" authorId="0" shapeId="0">
      <text>
        <r>
          <rPr>
            <sz val="9"/>
            <color indexed="81"/>
            <rFont val="Tahoma"/>
            <family val="2"/>
          </rPr>
          <t>Fed every 2 days, gCOD/l/d</t>
        </r>
      </text>
    </comment>
    <comment ref="O71" authorId="0" shapeId="0">
      <text>
        <r>
          <rPr>
            <sz val="9"/>
            <color indexed="81"/>
            <rFont val="Tahoma"/>
            <family val="2"/>
          </rPr>
          <t>HRT
SRT decoupled by settling before effluent withdrawel</t>
        </r>
      </text>
    </comment>
    <comment ref="T71" authorId="0" shapeId="0">
      <text>
        <r>
          <rPr>
            <sz val="9"/>
            <color indexed="81"/>
            <rFont val="Tahoma"/>
            <family val="2"/>
          </rPr>
          <t>Throughout fermentation cycle</t>
        </r>
      </text>
    </comment>
    <comment ref="J72" authorId="0" shapeId="0">
      <text>
        <r>
          <rPr>
            <sz val="9"/>
            <color indexed="81"/>
            <rFont val="Tahoma"/>
            <family val="2"/>
          </rPr>
          <t>Phase 3, changed HRT
days 243 - 337</t>
        </r>
      </text>
    </comment>
    <comment ref="N72" authorId="0" shapeId="0">
      <text>
        <r>
          <rPr>
            <sz val="9"/>
            <color indexed="81"/>
            <rFont val="Tahoma"/>
            <family val="2"/>
          </rPr>
          <t>Fed every 2 days, gCOD/l/d</t>
        </r>
      </text>
    </comment>
    <comment ref="O72" authorId="0" shapeId="0">
      <text>
        <r>
          <rPr>
            <sz val="9"/>
            <color indexed="81"/>
            <rFont val="Tahoma"/>
            <family val="2"/>
          </rPr>
          <t>HRT
SRT decoupled by settling before effluent withdrawal</t>
        </r>
      </text>
    </comment>
    <comment ref="T72" authorId="0" shapeId="0">
      <text>
        <r>
          <rPr>
            <sz val="9"/>
            <color indexed="81"/>
            <rFont val="Tahoma"/>
            <family val="2"/>
          </rPr>
          <t>Throughout fermentation cycle</t>
        </r>
      </text>
    </comment>
    <comment ref="J73" authorId="0" shapeId="0">
      <text>
        <r>
          <rPr>
            <sz val="9"/>
            <color indexed="81"/>
            <rFont val="Tahoma"/>
            <family val="2"/>
          </rPr>
          <t>Phase 4, changed pH
days 338-419</t>
        </r>
      </text>
    </comment>
    <comment ref="N73" authorId="0" shapeId="0">
      <text>
        <r>
          <rPr>
            <sz val="9"/>
            <color indexed="81"/>
            <rFont val="Tahoma"/>
            <family val="2"/>
          </rPr>
          <t>Fed every 2 days, gCOD/l/d</t>
        </r>
      </text>
    </comment>
    <comment ref="O73" authorId="0" shapeId="0">
      <text>
        <r>
          <rPr>
            <sz val="9"/>
            <color indexed="81"/>
            <rFont val="Tahoma"/>
            <family val="2"/>
          </rPr>
          <t>HRT
SRT decoupled by settling before effluent withdrawal</t>
        </r>
      </text>
    </comment>
    <comment ref="T73" authorId="0" shapeId="0">
      <text>
        <r>
          <rPr>
            <sz val="9"/>
            <color indexed="81"/>
            <rFont val="Tahoma"/>
            <family val="2"/>
          </rPr>
          <t>Throughout fermentation cycle</t>
        </r>
      </text>
    </comment>
    <comment ref="N74" authorId="0" shapeId="0">
      <text>
        <r>
          <rPr>
            <sz val="9"/>
            <color indexed="81"/>
            <rFont val="Tahoma"/>
            <family val="2"/>
          </rPr>
          <t>Fed every 2 days, gCOD/l/d</t>
        </r>
      </text>
    </comment>
    <comment ref="O74" authorId="0" shapeId="0">
      <text>
        <r>
          <rPr>
            <sz val="9"/>
            <color indexed="81"/>
            <rFont val="Tahoma"/>
            <family val="2"/>
          </rPr>
          <t>HRT
SRT decoupled by settling before effluent withdrawel</t>
        </r>
      </text>
    </comment>
    <comment ref="T74" authorId="0" shapeId="0">
      <text>
        <r>
          <rPr>
            <sz val="9"/>
            <color indexed="81"/>
            <rFont val="Tahoma"/>
            <family val="2"/>
          </rPr>
          <t>Throughout fermentation cycle</t>
        </r>
      </text>
    </comment>
    <comment ref="J75" authorId="0" shapeId="0">
      <text>
        <r>
          <rPr>
            <sz val="9"/>
            <color indexed="81"/>
            <rFont val="Tahoma"/>
            <family val="2"/>
          </rPr>
          <t>replicate from phase 3 acid pretreatment (duplicates)</t>
        </r>
      </text>
    </comment>
    <comment ref="N75" authorId="0" shapeId="0">
      <text>
        <r>
          <rPr>
            <sz val="9"/>
            <color indexed="81"/>
            <rFont val="Tahoma"/>
            <family val="2"/>
          </rPr>
          <t>Fed every 2 days, gCOD/l/d</t>
        </r>
      </text>
    </comment>
    <comment ref="O75" authorId="0" shapeId="0">
      <text>
        <r>
          <rPr>
            <sz val="9"/>
            <color indexed="81"/>
            <rFont val="Tahoma"/>
            <family val="2"/>
          </rPr>
          <t>HRT
SRT decoupled by settling before effluent withdrawal</t>
        </r>
      </text>
    </comment>
    <comment ref="S75" authorId="0" shapeId="0">
      <text>
        <r>
          <rPr>
            <sz val="9"/>
            <color indexed="81"/>
            <rFont val="Tahoma"/>
            <family val="2"/>
          </rPr>
          <t>70°C for 24h</t>
        </r>
      </text>
    </comment>
    <comment ref="T75" authorId="0" shapeId="0">
      <text>
        <r>
          <rPr>
            <sz val="9"/>
            <color indexed="81"/>
            <rFont val="Tahoma"/>
            <family val="2"/>
          </rPr>
          <t>Throughout fermentation cycle</t>
        </r>
      </text>
    </comment>
    <comment ref="AB75" authorId="0" shapeId="0">
      <text>
        <r>
          <rPr>
            <sz val="9"/>
            <color indexed="81"/>
            <rFont val="Tahoma"/>
            <family val="2"/>
          </rPr>
          <t>Average from duplicates</t>
        </r>
      </text>
    </comment>
    <comment ref="J76" authorId="0" shapeId="0">
      <text>
        <r>
          <rPr>
            <sz val="9"/>
            <color indexed="81"/>
            <rFont val="Tahoma"/>
            <family val="2"/>
          </rPr>
          <t>New phase. Days 28-200</t>
        </r>
      </text>
    </comment>
    <comment ref="N76" authorId="0" shapeId="0">
      <text>
        <r>
          <rPr>
            <sz val="9"/>
            <color indexed="81"/>
            <rFont val="Tahoma"/>
            <family val="2"/>
          </rPr>
          <t>Fed every 2 days, gCOD/l/d</t>
        </r>
      </text>
    </comment>
    <comment ref="O76" authorId="0" shapeId="0">
      <text>
        <r>
          <rPr>
            <sz val="9"/>
            <color indexed="81"/>
            <rFont val="Tahoma"/>
            <family val="2"/>
          </rPr>
          <t>HRT
SRT decoupled by settling before effluent withdrawal</t>
        </r>
      </text>
    </comment>
    <comment ref="S76" authorId="0" shapeId="0">
      <text>
        <r>
          <rPr>
            <sz val="9"/>
            <color indexed="81"/>
            <rFont val="Tahoma"/>
            <family val="2"/>
          </rPr>
          <t>70°C for 24h</t>
        </r>
      </text>
    </comment>
    <comment ref="T76" authorId="0" shapeId="0">
      <text>
        <r>
          <rPr>
            <sz val="9"/>
            <color indexed="81"/>
            <rFont val="Tahoma"/>
            <family val="2"/>
          </rPr>
          <t>Throughout fermentation cycle</t>
        </r>
      </text>
    </comment>
    <comment ref="AB76" authorId="0" shapeId="0">
      <text>
        <r>
          <rPr>
            <sz val="9"/>
            <color indexed="81"/>
            <rFont val="Tahoma"/>
            <family val="2"/>
          </rPr>
          <t>Average from duplicates</t>
        </r>
      </text>
    </comment>
    <comment ref="U77" authorId="0" shapeId="0">
      <text>
        <r>
          <rPr>
            <sz val="9"/>
            <color indexed="81"/>
            <rFont val="Tahoma"/>
            <family val="2"/>
          </rPr>
          <t>Initially not controlled, when drop below 4: control set in place &gt;3.9</t>
        </r>
      </text>
    </comment>
    <comment ref="D78" authorId="0" shapeId="0">
      <text>
        <r>
          <rPr>
            <sz val="9"/>
            <color indexed="81"/>
            <rFont val="Tahoma"/>
            <family val="2"/>
          </rPr>
          <t>every day harvesting and feeding</t>
        </r>
      </text>
    </comment>
    <comment ref="N78" authorId="0" shapeId="0">
      <text>
        <r>
          <rPr>
            <sz val="9"/>
            <color indexed="81"/>
            <rFont val="Tahoma"/>
            <family val="2"/>
          </rPr>
          <t>gCOD feed / HRT</t>
        </r>
      </text>
    </comment>
    <comment ref="D79" authorId="0" shapeId="0">
      <text>
        <r>
          <rPr>
            <sz val="9"/>
            <color indexed="81"/>
            <rFont val="Tahoma"/>
            <family val="2"/>
          </rPr>
          <t>every day harvesting and feeding</t>
        </r>
      </text>
    </comment>
    <comment ref="N79" authorId="0" shapeId="0">
      <text>
        <r>
          <rPr>
            <sz val="9"/>
            <color indexed="81"/>
            <rFont val="Tahoma"/>
            <family val="2"/>
          </rPr>
          <t>COD feed/HRT</t>
        </r>
      </text>
    </comment>
    <comment ref="D80" authorId="0" shapeId="0">
      <text>
        <r>
          <rPr>
            <sz val="9"/>
            <color indexed="81"/>
            <rFont val="Tahoma"/>
            <family val="2"/>
          </rPr>
          <t>every day harvesting and feeding</t>
        </r>
      </text>
    </comment>
    <comment ref="N80" authorId="0" shapeId="0">
      <text>
        <r>
          <rPr>
            <sz val="9"/>
            <color indexed="81"/>
            <rFont val="Tahoma"/>
            <family val="2"/>
          </rPr>
          <t>CODfeed /HRT</t>
        </r>
      </text>
    </comment>
    <comment ref="D81" authorId="0" shapeId="0">
      <text>
        <r>
          <rPr>
            <sz val="9"/>
            <color indexed="81"/>
            <rFont val="Tahoma"/>
            <family val="2"/>
          </rPr>
          <t>fed every 48h</t>
        </r>
      </text>
    </comment>
    <comment ref="R81" authorId="0" shapeId="0">
      <text>
        <r>
          <rPr>
            <sz val="9"/>
            <color indexed="81"/>
            <rFont val="Tahoma"/>
            <family val="2"/>
          </rPr>
          <t>First 30 days fed with dilute-acid pretreated corn fiber diluted with ethanol HRT 15days and 1.7gCOD/l/d olr</t>
        </r>
      </text>
    </comment>
    <comment ref="D82" authorId="0" shapeId="0">
      <text>
        <r>
          <rPr>
            <sz val="9"/>
            <color indexed="81"/>
            <rFont val="Tahoma"/>
            <family val="2"/>
          </rPr>
          <t>fed every 48h</t>
        </r>
      </text>
    </comment>
    <comment ref="D83" authorId="0" shapeId="0">
      <text>
        <r>
          <rPr>
            <sz val="9"/>
            <color indexed="81"/>
            <rFont val="Tahoma"/>
            <family val="2"/>
          </rPr>
          <t>daily 50 mL replaced</t>
        </r>
      </text>
    </comment>
    <comment ref="N83" authorId="0" shapeId="0">
      <text>
        <r>
          <rPr>
            <sz val="9"/>
            <color indexed="81"/>
            <rFont val="Tahoma"/>
            <family val="2"/>
          </rPr>
          <t>yellow water: 
69.5g/L = 102.93 gCOD/L lactic
50.50 g/L = 122.96 gCOD/L etoh
15.6 g/L = 16.64 g/L glucose
--&gt; 50 mL/d yellow water in 1.4 L --&gt; minimum sCOD is sum of above *50/1400 gCOD/L</t>
        </r>
      </text>
    </comment>
    <comment ref="D84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but no granule formation
but flocks of biomass retained</t>
        </r>
      </text>
    </comment>
    <comment ref="J84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stage 1</t>
        </r>
      </text>
    </comment>
    <comment ref="N84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feedstock has COD of 71.9tCOD/L</t>
        </r>
      </text>
    </comment>
    <comment ref="O84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HRT</t>
        </r>
      </text>
    </comment>
    <comment ref="D85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but no granule formation
but flocks of biomass retained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stage 2 part 1</t>
        </r>
      </text>
    </comment>
    <comment ref="O85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HRT</t>
        </r>
      </text>
    </comment>
    <comment ref="D86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but no granule formation
but flocks of biomass retained</t>
        </r>
      </text>
    </comment>
    <comment ref="J86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stage 2 part 2</t>
        </r>
      </text>
    </comment>
    <comment ref="O86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HRT</t>
        </r>
      </text>
    </comment>
    <comment ref="D87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but no granule formation
but flocks of biomass retained</t>
        </r>
      </text>
    </comment>
    <comment ref="J87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stage 3</t>
        </r>
      </text>
    </comment>
    <comment ref="O87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HRT</t>
        </r>
      </text>
    </comment>
    <comment ref="D88" authorId="0" shapeId="0">
      <text>
        <r>
          <rPr>
            <sz val="9"/>
            <color indexed="81"/>
            <rFont val="Tahoma"/>
            <family val="2"/>
          </rPr>
          <t>Same as Kucek 2016: conversion of l-lactate into C6</t>
        </r>
      </text>
    </comment>
    <comment ref="Q88" authorId="0" shapeId="0">
      <text>
        <r>
          <rPr>
            <sz val="9"/>
            <color indexed="81"/>
            <rFont val="Tahoma"/>
            <family val="2"/>
          </rPr>
          <t>from a reactor fermenting ethanol-rich fermentation beer for 4 years. Triple washed in basal medium</t>
        </r>
      </text>
    </comment>
    <comment ref="D89" authorId="0" shapeId="0">
      <text>
        <r>
          <rPr>
            <sz val="9"/>
            <color indexed="81"/>
            <rFont val="Tahoma"/>
            <family val="2"/>
          </rPr>
          <t>Same as Kucek 2016: conversion of l-lactate into C6</t>
        </r>
      </text>
    </comment>
    <comment ref="L89" authorId="0" shapeId="0">
      <text>
        <r>
          <rPr>
            <sz val="9"/>
            <color indexed="81"/>
            <rFont val="Tahoma"/>
            <family val="2"/>
          </rPr>
          <t xml:space="preserve">54% of sCOD influent = lactic acid
</t>
        </r>
      </text>
    </comment>
    <comment ref="N89" authorId="0" shapeId="0">
      <text>
        <r>
          <rPr>
            <sz val="9"/>
            <color indexed="81"/>
            <rFont val="Tahoma"/>
            <family val="2"/>
          </rPr>
          <t xml:space="preserve">g sCOD /L / d
</t>
        </r>
      </text>
    </comment>
    <comment ref="Q89" authorId="0" shapeId="0">
      <text>
        <r>
          <rPr>
            <sz val="9"/>
            <color indexed="81"/>
            <rFont val="Tahoma"/>
            <family val="2"/>
          </rPr>
          <t>from a reactor fermenting ethanol-rich fermentation beer for 4 years. Triple washed in basal medium</t>
        </r>
      </text>
    </comment>
    <comment ref="Z89" authorId="0" shapeId="0">
      <text>
        <r>
          <rPr>
            <sz val="9"/>
            <color indexed="81"/>
            <rFont val="Tahoma"/>
            <family val="2"/>
          </rPr>
          <t>2.10+-0.45 mmolC/L/d</t>
        </r>
      </text>
    </comment>
    <comment ref="D90" authorId="0" shapeId="0">
      <text>
        <r>
          <rPr>
            <sz val="9"/>
            <color indexed="81"/>
            <rFont val="Tahoma"/>
            <family val="2"/>
          </rPr>
          <t>Same as Kucek 2016: conversion of l-lactate into C6</t>
        </r>
      </text>
    </comment>
    <comment ref="J90" authorId="0" shapeId="0">
      <text>
        <r>
          <rPr>
            <sz val="9"/>
            <color indexed="81"/>
            <rFont val="Tahoma"/>
            <family val="2"/>
          </rPr>
          <t xml:space="preserve">
follow up from 2.1 day HRT</t>
        </r>
      </text>
    </comment>
    <comment ref="L90" authorId="0" shapeId="0">
      <text>
        <r>
          <rPr>
            <sz val="9"/>
            <color indexed="81"/>
            <rFont val="Tahoma"/>
            <family val="2"/>
          </rPr>
          <t xml:space="preserve">54% of sCOD influent = lactic acid
</t>
        </r>
      </text>
    </comment>
    <comment ref="N90" authorId="0" shapeId="0">
      <text>
        <r>
          <rPr>
            <sz val="9"/>
            <color indexed="81"/>
            <rFont val="Tahoma"/>
            <family val="2"/>
          </rPr>
          <t xml:space="preserve">g sCOD/L/d
</t>
        </r>
      </text>
    </comment>
    <comment ref="Q90" authorId="0" shapeId="0">
      <text>
        <r>
          <rPr>
            <sz val="9"/>
            <color indexed="81"/>
            <rFont val="Tahoma"/>
            <family val="2"/>
          </rPr>
          <t>from a reactor fermenting ethanol-rich fermentation beer for 4 years. Triple washed in basal medium</t>
        </r>
      </text>
    </comment>
    <comment ref="D91" authorId="0" shapeId="0">
      <text>
        <r>
          <rPr>
            <sz val="9"/>
            <color indexed="81"/>
            <rFont val="Tahoma"/>
            <family val="2"/>
          </rPr>
          <t>Same as Kucek 2016: conversion of l-lactate into C6</t>
        </r>
      </text>
    </comment>
    <comment ref="J91" authorId="0" shapeId="0">
      <text>
        <r>
          <rPr>
            <sz val="9"/>
            <color indexed="81"/>
            <rFont val="Tahoma"/>
            <family val="2"/>
          </rPr>
          <t>Follow up from 1.8 days  HRT</t>
        </r>
      </text>
    </comment>
    <comment ref="L91" authorId="0" shapeId="0">
      <text>
        <r>
          <rPr>
            <sz val="9"/>
            <color indexed="81"/>
            <rFont val="Tahoma"/>
            <family val="2"/>
          </rPr>
          <t xml:space="preserve">54% of sCOD influent = lactic acid
</t>
        </r>
      </text>
    </comment>
    <comment ref="N91" authorId="0" shapeId="0">
      <text>
        <r>
          <rPr>
            <sz val="9"/>
            <color indexed="81"/>
            <rFont val="Tahoma"/>
            <family val="2"/>
          </rPr>
          <t>g sCOD/L/d</t>
        </r>
      </text>
    </comment>
    <comment ref="Q91" authorId="0" shapeId="0">
      <text>
        <r>
          <rPr>
            <sz val="9"/>
            <color indexed="81"/>
            <rFont val="Tahoma"/>
            <family val="2"/>
          </rPr>
          <t>from a reactor fermenting ethanol-rich fermentation beer for 4 years. Triple washed in basal medium</t>
        </r>
      </text>
    </comment>
    <comment ref="D92" authorId="0" shapeId="0">
      <text>
        <r>
          <rPr>
            <sz val="9"/>
            <color indexed="81"/>
            <rFont val="Tahoma"/>
            <family val="2"/>
          </rPr>
          <t>fed every 2 days (48h cycle) with settling phase</t>
        </r>
      </text>
    </comment>
    <comment ref="N93" authorId="0" shapeId="0">
      <text>
        <r>
          <rPr>
            <sz val="9"/>
            <color indexed="81"/>
            <rFont val="Tahoma"/>
            <family val="2"/>
          </rPr>
          <t xml:space="preserve">daily
9.36 +- 0.95 g/L Lactic acid and 0.9 +- 0.14 g/L C2 --&gt; estimated sCOD of 10.6 gCOD/L </t>
        </r>
      </text>
    </comment>
    <comment ref="J94" authorId="0" shapeId="0">
      <text>
        <r>
          <rPr>
            <sz val="9"/>
            <color indexed="81"/>
            <rFont val="Tahoma"/>
            <family val="2"/>
          </rPr>
          <t xml:space="preserve">performed overall for 14days but highset rate at day 6 - 1 week after 1 week in between was batch </t>
        </r>
      </text>
    </comment>
    <comment ref="N95" authorId="0" shapeId="0">
      <text>
        <r>
          <rPr>
            <sz val="9"/>
            <color indexed="81"/>
            <rFont val="Tahoma"/>
            <family val="2"/>
          </rPr>
          <t>daily
sCOD from 25g/L Lactic acid after 48h</t>
        </r>
      </text>
    </comment>
    <comment ref="N109" authorId="0" shapeId="0">
      <text>
        <r>
          <rPr>
            <sz val="9"/>
            <color indexed="81"/>
            <rFont val="Tahoma"/>
            <family val="2"/>
          </rPr>
          <t>COD feed/ HRT</t>
        </r>
      </text>
    </comment>
    <comment ref="O109" authorId="0" shapeId="0">
      <text>
        <r>
          <rPr>
            <sz val="9"/>
            <color indexed="81"/>
            <rFont val="Tahoma"/>
            <family val="2"/>
          </rPr>
          <t>from h to day
HRT decrease after start up for biomass retention and established culture</t>
        </r>
      </text>
    </comment>
    <comment ref="N110" authorId="0" shapeId="0">
      <text>
        <r>
          <rPr>
            <sz val="9"/>
            <color indexed="81"/>
            <rFont val="Tahoma"/>
            <family val="2"/>
          </rPr>
          <t>COD feed/ HRT</t>
        </r>
      </text>
    </comment>
    <comment ref="O110" authorId="0" shapeId="0">
      <text>
        <r>
          <rPr>
            <sz val="9"/>
            <color indexed="81"/>
            <rFont val="Tahoma"/>
            <family val="2"/>
          </rPr>
          <t>from h to day
HRT decrease after start up for biomass retention and established culture</t>
        </r>
      </text>
    </comment>
    <comment ref="N111" authorId="0" shapeId="0">
      <text>
        <r>
          <rPr>
            <sz val="9"/>
            <color indexed="81"/>
            <rFont val="Tahoma"/>
            <family val="2"/>
          </rPr>
          <t>COD feed/ HRT</t>
        </r>
      </text>
    </comment>
    <comment ref="O111" authorId="0" shapeId="0">
      <text>
        <r>
          <rPr>
            <sz val="9"/>
            <color indexed="81"/>
            <rFont val="Tahoma"/>
            <family val="2"/>
          </rPr>
          <t>from h to day
HRT decrease after start up for biomass retention and established culture</t>
        </r>
      </text>
    </comment>
    <comment ref="N112" authorId="0" shapeId="0">
      <text>
        <r>
          <rPr>
            <sz val="9"/>
            <color indexed="81"/>
            <rFont val="Tahoma"/>
            <family val="2"/>
          </rPr>
          <t xml:space="preserve">COD feed/ HRT
</t>
        </r>
      </text>
    </comment>
    <comment ref="O112" authorId="0" shapeId="0">
      <text>
        <r>
          <rPr>
            <sz val="9"/>
            <color indexed="81"/>
            <rFont val="Tahoma"/>
            <family val="2"/>
          </rPr>
          <t>from h to day
HRT decrease after start up for biomass retention and established culture</t>
        </r>
      </text>
    </comment>
    <comment ref="N113" authorId="0" shapeId="0">
      <text>
        <r>
          <rPr>
            <sz val="9"/>
            <color indexed="81"/>
            <rFont val="Tahoma"/>
            <family val="2"/>
          </rPr>
          <t>COD feed/ HRT</t>
        </r>
      </text>
    </comment>
    <comment ref="O113" authorId="0" shapeId="0">
      <text>
        <r>
          <rPr>
            <sz val="9"/>
            <color indexed="81"/>
            <rFont val="Tahoma"/>
            <family val="2"/>
          </rPr>
          <t>from h to day
HRT decrease after start up for biomass retention and established culture</t>
        </r>
      </text>
    </comment>
    <comment ref="N114" authorId="0" shapeId="0">
      <text>
        <r>
          <rPr>
            <sz val="9"/>
            <color indexed="81"/>
            <rFont val="Tahoma"/>
            <family val="2"/>
          </rPr>
          <t>COD feed/ HRT</t>
        </r>
      </text>
    </comment>
    <comment ref="O114" authorId="0" shapeId="0">
      <text>
        <r>
          <rPr>
            <sz val="9"/>
            <color indexed="81"/>
            <rFont val="Tahoma"/>
            <family val="2"/>
          </rPr>
          <t>from h to day
HRT decrease after start up for biomass retention and established culture</t>
        </r>
      </text>
    </comment>
    <comment ref="J115" authorId="0" shapeId="0">
      <text>
        <r>
          <rPr>
            <sz val="9"/>
            <color indexed="81"/>
            <rFont val="Tahoma"/>
            <family val="2"/>
          </rPr>
          <t>19 days of start up with synthetic medium of which 9 days batch</t>
        </r>
      </text>
    </comment>
    <comment ref="L115" authorId="0" shapeId="0">
      <text>
        <r>
          <rPr>
            <sz val="9"/>
            <color indexed="81"/>
            <rFont val="Tahoma"/>
            <family val="2"/>
          </rPr>
          <t xml:space="preserve">Acidified FW has 37.1gsCOD/L
--&gt; total sCOD of 115.5 gsCOD/L
</t>
        </r>
      </text>
    </comment>
    <comment ref="N115" authorId="0" shapeId="0">
      <text>
        <r>
          <rPr>
            <sz val="9"/>
            <color indexed="81"/>
            <rFont val="Tahoma"/>
            <family val="2"/>
          </rPr>
          <t>estimated COD feed/HRT (see comment feedstock description)</t>
        </r>
      </text>
    </comment>
    <comment ref="O115" authorId="0" shapeId="0">
      <text>
        <r>
          <rPr>
            <sz val="9"/>
            <color indexed="81"/>
            <rFont val="Tahoma"/>
            <family val="2"/>
          </rPr>
          <t xml:space="preserve">in-situ settler: SRT is higher
</t>
        </r>
      </text>
    </comment>
    <comment ref="L116" authorId="0" shapeId="0">
      <text>
        <r>
          <rPr>
            <sz val="9"/>
            <color indexed="81"/>
            <rFont val="Tahoma"/>
            <family val="2"/>
          </rPr>
          <t xml:space="preserve">Acidified FW has 37.1gsCOD/L
--&gt; total sCOD of 115.5 gsCOD/L
</t>
        </r>
      </text>
    </comment>
    <comment ref="N116" authorId="0" shapeId="0">
      <text>
        <r>
          <rPr>
            <sz val="9"/>
            <color indexed="81"/>
            <rFont val="Tahoma"/>
            <family val="2"/>
          </rPr>
          <t>estimated COD feed/HRT (see comment feedstock description)</t>
        </r>
      </text>
    </comment>
    <comment ref="O116" authorId="0" shapeId="0">
      <text>
        <r>
          <rPr>
            <sz val="9"/>
            <color indexed="81"/>
            <rFont val="Tahoma"/>
            <family val="2"/>
          </rPr>
          <t>in-situ settler: SRT is higher</t>
        </r>
      </text>
    </comment>
    <comment ref="L117" authorId="0" shapeId="0">
      <text>
        <r>
          <rPr>
            <sz val="9"/>
            <color indexed="81"/>
            <rFont val="Tahoma"/>
            <family val="2"/>
          </rPr>
          <t xml:space="preserve">Acidified FW has 37.1gsCOD/L
--&gt; total sCOD of 115.5 gsCOD/L
</t>
        </r>
      </text>
    </comment>
    <comment ref="N117" authorId="0" shapeId="0">
      <text>
        <r>
          <rPr>
            <sz val="9"/>
            <color indexed="81"/>
            <rFont val="Tahoma"/>
            <family val="2"/>
          </rPr>
          <t>estimated COD feed/HRT (see comment feedstock description)</t>
        </r>
      </text>
    </comment>
    <comment ref="O117" authorId="0" shapeId="0">
      <text>
        <r>
          <rPr>
            <sz val="9"/>
            <color indexed="81"/>
            <rFont val="Tahoma"/>
            <family val="2"/>
          </rPr>
          <t>in-situ settler: SRT is higher</t>
        </r>
      </text>
    </comment>
    <comment ref="AD117" authorId="0" shapeId="0">
      <text>
        <r>
          <rPr>
            <sz val="9"/>
            <color indexed="81"/>
            <rFont val="Tahoma"/>
            <family val="2"/>
          </rPr>
          <t>25.7g/L max</t>
        </r>
      </text>
    </comment>
    <comment ref="J118" authorId="0" shapeId="0">
      <text>
        <r>
          <rPr>
            <sz val="9"/>
            <color indexed="81"/>
            <rFont val="Tahoma"/>
            <family val="2"/>
          </rPr>
          <t xml:space="preserve">phase 1 (day 32-36)
</t>
        </r>
      </text>
    </comment>
    <comment ref="O118" authorId="0" shapeId="0">
      <text>
        <r>
          <rPr>
            <sz val="9"/>
            <color indexed="81"/>
            <rFont val="Tahoma"/>
            <family val="2"/>
          </rPr>
          <t>hours to day</t>
        </r>
      </text>
    </comment>
    <comment ref="J119" authorId="0" shapeId="0">
      <text>
        <r>
          <rPr>
            <sz val="9"/>
            <color indexed="81"/>
            <rFont val="Tahoma"/>
            <family val="2"/>
          </rPr>
          <t xml:space="preserve">phase 2 (day 37-44)
</t>
        </r>
      </text>
    </comment>
    <comment ref="O119" authorId="0" shapeId="0">
      <text>
        <r>
          <rPr>
            <sz val="9"/>
            <color indexed="81"/>
            <rFont val="Tahoma"/>
            <family val="2"/>
          </rPr>
          <t>hours to day</t>
        </r>
      </text>
    </comment>
    <comment ref="J120" authorId="0" shapeId="0">
      <text>
        <r>
          <rPr>
            <sz val="9"/>
            <color indexed="81"/>
            <rFont val="Tahoma"/>
            <family val="2"/>
          </rPr>
          <t>phase 2 (day 45-59)</t>
        </r>
      </text>
    </comment>
    <comment ref="O120" authorId="0" shapeId="0">
      <text>
        <r>
          <rPr>
            <sz val="9"/>
            <color indexed="81"/>
            <rFont val="Tahoma"/>
            <family val="2"/>
          </rPr>
          <t>hours to day</t>
        </r>
      </text>
    </comment>
    <comment ref="J121" authorId="0" shapeId="0">
      <text>
        <r>
          <rPr>
            <sz val="9"/>
            <color indexed="81"/>
            <rFont val="Tahoma"/>
            <family val="2"/>
          </rPr>
          <t>final phase (day 60-69)</t>
        </r>
      </text>
    </comment>
    <comment ref="O121" authorId="0" shapeId="0">
      <text>
        <r>
          <rPr>
            <sz val="9"/>
            <color indexed="81"/>
            <rFont val="Tahoma"/>
            <family val="2"/>
          </rPr>
          <t>hours to day</t>
        </r>
      </text>
    </comment>
    <comment ref="AC121" authorId="0" shapeId="0">
      <text>
        <r>
          <rPr>
            <sz val="9"/>
            <color indexed="81"/>
            <rFont val="Tahoma"/>
            <family val="2"/>
          </rPr>
          <t>max 57.4</t>
        </r>
      </text>
    </comment>
    <comment ref="AD121" authorId="0" shapeId="0">
      <text>
        <r>
          <rPr>
            <sz val="9"/>
            <color indexed="81"/>
            <rFont val="Tahoma"/>
            <family val="2"/>
          </rPr>
          <t>max 9.3g/L</t>
        </r>
      </text>
    </comment>
    <comment ref="D122" authorId="0" shapeId="0">
      <text>
        <r>
          <rPr>
            <sz val="9"/>
            <color indexed="81"/>
            <rFont val="Tahoma"/>
            <family val="2"/>
          </rPr>
          <t xml:space="preserve">fed every 2 days
</t>
        </r>
      </text>
    </comment>
    <comment ref="J122" authorId="0" shapeId="0">
      <text>
        <r>
          <rPr>
            <sz val="9"/>
            <color indexed="81"/>
            <rFont val="Tahoma"/>
            <family val="2"/>
          </rPr>
          <t xml:space="preserve">
17 day first batch</t>
        </r>
      </text>
    </comment>
    <comment ref="N122" authorId="0" shapeId="0">
      <text>
        <r>
          <rPr>
            <sz val="9"/>
            <color indexed="81"/>
            <rFont val="Tahoma"/>
            <family val="2"/>
          </rPr>
          <t xml:space="preserve">
48h cycle
</t>
        </r>
      </text>
    </comment>
    <comment ref="D123" authorId="0" shapeId="0">
      <text>
        <r>
          <rPr>
            <sz val="9"/>
            <color indexed="81"/>
            <rFont val="Tahoma"/>
            <family val="2"/>
          </rPr>
          <t xml:space="preserve">fed every 2 days
</t>
        </r>
      </text>
    </comment>
    <comment ref="J123" authorId="0" shapeId="0">
      <text>
        <r>
          <rPr>
            <sz val="9"/>
            <color indexed="81"/>
            <rFont val="Tahoma"/>
            <family val="2"/>
          </rPr>
          <t xml:space="preserve">
17 day first batch</t>
        </r>
      </text>
    </comment>
    <comment ref="N123" authorId="0" shapeId="0">
      <text>
        <r>
          <rPr>
            <sz val="9"/>
            <color indexed="81"/>
            <rFont val="Tahoma"/>
            <family val="2"/>
          </rPr>
          <t xml:space="preserve">
48h cycle
</t>
        </r>
      </text>
    </comment>
    <comment ref="J124" authorId="0" shapeId="0">
      <text>
        <r>
          <rPr>
            <sz val="9"/>
            <color indexed="81"/>
            <rFont val="Tahoma"/>
            <family val="2"/>
          </rPr>
          <t xml:space="preserve">
follow up on semi-continuous</t>
        </r>
      </text>
    </comment>
    <comment ref="J125" authorId="0" shapeId="0">
      <text>
        <r>
          <rPr>
            <sz val="9"/>
            <color indexed="81"/>
            <rFont val="Tahoma"/>
            <family val="2"/>
          </rPr>
          <t xml:space="preserve">
follow up on semi-continuous</t>
        </r>
      </text>
    </comment>
    <comment ref="J126" authorId="0" shapeId="0">
      <text>
        <r>
          <rPr>
            <sz val="9"/>
            <color indexed="81"/>
            <rFont val="Tahoma"/>
            <family val="2"/>
          </rPr>
          <t xml:space="preserve">
follow up on semi-continuous</t>
        </r>
      </text>
    </comment>
    <comment ref="J127" authorId="0" shapeId="0">
      <text>
        <r>
          <rPr>
            <sz val="9"/>
            <color indexed="81"/>
            <rFont val="Tahoma"/>
            <family val="2"/>
          </rPr>
          <t xml:space="preserve">
follow up on semi-continuous</t>
        </r>
      </text>
    </comment>
    <comment ref="T128" authorId="0" shapeId="0">
      <text>
        <r>
          <rPr>
            <sz val="9"/>
            <color indexed="81"/>
            <rFont val="Tahoma"/>
            <family val="2"/>
          </rPr>
          <t>pH controlled by addition of NaOH to medium not direct to reactor</t>
        </r>
      </text>
    </comment>
    <comment ref="T129" authorId="0" shapeId="0">
      <text>
        <r>
          <rPr>
            <sz val="9"/>
            <color indexed="81"/>
            <rFont val="Tahoma"/>
            <family val="2"/>
          </rPr>
          <t>pH controlled by addition of NaOH to medium not direct to reactor</t>
        </r>
      </text>
    </comment>
    <comment ref="N130" authorId="0" shapeId="0">
      <text>
        <r>
          <rPr>
            <sz val="9"/>
            <color indexed="81"/>
            <rFont val="Tahoma"/>
            <family val="2"/>
          </rPr>
          <t>60.6gCOD/L influent
divided by HRT</t>
        </r>
      </text>
    </comment>
    <comment ref="AD130" authorId="0" shapeId="0">
      <text>
        <r>
          <rPr>
            <sz val="9"/>
            <color indexed="81"/>
            <rFont val="Tahoma"/>
            <family val="2"/>
          </rPr>
          <t>max on day 142</t>
        </r>
      </text>
    </comment>
    <comment ref="AE130" authorId="0" shapeId="0">
      <text>
        <r>
          <rPr>
            <sz val="9"/>
            <color indexed="81"/>
            <rFont val="Tahoma"/>
            <family val="2"/>
          </rPr>
          <t>day 142</t>
        </r>
      </text>
    </comment>
    <comment ref="AF130" authorId="0" shapeId="0">
      <text>
        <r>
          <rPr>
            <sz val="9"/>
            <color indexed="81"/>
            <rFont val="Tahoma"/>
            <family val="2"/>
          </rPr>
          <t>max on day 142</t>
        </r>
      </text>
    </comment>
    <comment ref="N131" authorId="0" shapeId="0">
      <text>
        <r>
          <rPr>
            <sz val="9"/>
            <color indexed="81"/>
            <rFont val="Tahoma"/>
            <family val="2"/>
          </rPr>
          <t>10g/L sucrose -&gt; 11.218 gCOD/L
divided by HRT</t>
        </r>
      </text>
    </comment>
    <comment ref="O131" authorId="0" shapeId="0">
      <text>
        <r>
          <rPr>
            <sz val="9"/>
            <color indexed="81"/>
            <rFont val="Tahoma"/>
            <family val="2"/>
          </rPr>
          <t>hours to days</t>
        </r>
      </text>
    </comment>
    <comment ref="AB131" authorId="0" shapeId="0">
      <text>
        <r>
          <rPr>
            <sz val="9"/>
            <color indexed="81"/>
            <rFont val="Tahoma"/>
            <family val="2"/>
          </rPr>
          <t>includes ethanol</t>
        </r>
      </text>
    </comment>
    <comment ref="N132" authorId="0" shapeId="0">
      <text>
        <r>
          <rPr>
            <sz val="9"/>
            <color indexed="81"/>
            <rFont val="Tahoma"/>
            <family val="2"/>
          </rPr>
          <t>10g/L sucrose -&gt; 11.218 gCOD/L
divided by HRT</t>
        </r>
      </text>
    </comment>
    <comment ref="O132" authorId="0" shapeId="0">
      <text>
        <r>
          <rPr>
            <sz val="9"/>
            <color indexed="81"/>
            <rFont val="Tahoma"/>
            <family val="2"/>
          </rPr>
          <t>hours to days</t>
        </r>
      </text>
    </comment>
    <comment ref="AB132" authorId="0" shapeId="0">
      <text>
        <r>
          <rPr>
            <sz val="9"/>
            <color indexed="81"/>
            <rFont val="Tahoma"/>
            <family val="2"/>
          </rPr>
          <t xml:space="preserve">
includes ethanol</t>
        </r>
      </text>
    </comment>
    <comment ref="N133" authorId="0" shapeId="0">
      <text>
        <r>
          <rPr>
            <sz val="9"/>
            <color indexed="81"/>
            <rFont val="Tahoma"/>
            <family val="2"/>
          </rPr>
          <t>10g/L sucrose -&gt; 11.218 gCOD/L
divided by HRT</t>
        </r>
      </text>
    </comment>
    <comment ref="O133" authorId="0" shapeId="0">
      <text>
        <r>
          <rPr>
            <sz val="9"/>
            <color indexed="81"/>
            <rFont val="Tahoma"/>
            <family val="2"/>
          </rPr>
          <t>hours to days</t>
        </r>
      </text>
    </comment>
    <comment ref="AB133" authorId="0" shapeId="0">
      <text>
        <r>
          <rPr>
            <sz val="9"/>
            <color indexed="81"/>
            <rFont val="Tahoma"/>
            <family val="2"/>
          </rPr>
          <t xml:space="preserve">
includes ethanol</t>
        </r>
      </text>
    </comment>
    <comment ref="N134" authorId="0" shapeId="0">
      <text>
        <r>
          <rPr>
            <sz val="9"/>
            <color indexed="81"/>
            <rFont val="Tahoma"/>
            <family val="2"/>
          </rPr>
          <t>10g/L sucrose -&gt; 11.218 gCOD/L
divided by HRT</t>
        </r>
      </text>
    </comment>
    <comment ref="O134" authorId="0" shapeId="0">
      <text>
        <r>
          <rPr>
            <sz val="9"/>
            <color indexed="81"/>
            <rFont val="Tahoma"/>
            <family val="2"/>
          </rPr>
          <t>hours to days</t>
        </r>
      </text>
    </comment>
    <comment ref="AB134" authorId="0" shapeId="0">
      <text>
        <r>
          <rPr>
            <sz val="9"/>
            <color indexed="81"/>
            <rFont val="Tahoma"/>
            <family val="2"/>
          </rPr>
          <t>Includes ethanol</t>
        </r>
      </text>
    </comment>
    <comment ref="N135" authorId="0" shapeId="0">
      <text>
        <r>
          <rPr>
            <sz val="9"/>
            <color indexed="81"/>
            <rFont val="Tahoma"/>
            <family val="2"/>
          </rPr>
          <t>10g/L sucrose -&gt; 11.218 gCOD/L
divided by HRT</t>
        </r>
      </text>
    </comment>
    <comment ref="O135" authorId="0" shapeId="0">
      <text>
        <r>
          <rPr>
            <sz val="9"/>
            <color indexed="81"/>
            <rFont val="Tahoma"/>
            <family val="2"/>
          </rPr>
          <t>hours to days</t>
        </r>
      </text>
    </comment>
    <comment ref="AB135" authorId="0" shapeId="0">
      <text>
        <r>
          <rPr>
            <sz val="9"/>
            <color indexed="81"/>
            <rFont val="Tahoma"/>
            <family val="2"/>
          </rPr>
          <t xml:space="preserve">
Includes ethanol</t>
        </r>
      </text>
    </comment>
    <comment ref="N136" authorId="0" shapeId="0">
      <text>
        <r>
          <rPr>
            <sz val="9"/>
            <color indexed="81"/>
            <rFont val="Tahoma"/>
            <family val="2"/>
          </rPr>
          <t>10g/L sucrose -&gt; 11.218 gCOD/L
divided by HRT</t>
        </r>
      </text>
    </comment>
    <comment ref="O136" authorId="0" shapeId="0">
      <text>
        <r>
          <rPr>
            <sz val="9"/>
            <color indexed="81"/>
            <rFont val="Tahoma"/>
            <family val="2"/>
          </rPr>
          <t>hours to days</t>
        </r>
      </text>
    </comment>
    <comment ref="AB136" authorId="0" shapeId="0">
      <text>
        <r>
          <rPr>
            <sz val="9"/>
            <color indexed="81"/>
            <rFont val="Tahoma"/>
            <family val="2"/>
          </rPr>
          <t>Includes ethanol</t>
        </r>
      </text>
    </comment>
    <comment ref="N137" authorId="0" shapeId="0">
      <text>
        <r>
          <rPr>
            <sz val="9"/>
            <color indexed="81"/>
            <rFont val="Tahoma"/>
            <family val="2"/>
          </rPr>
          <t>10g/L sucrose -&gt; 11.218 gCOD/L
divided by HRT</t>
        </r>
      </text>
    </comment>
    <comment ref="O137" authorId="0" shapeId="0">
      <text>
        <r>
          <rPr>
            <sz val="9"/>
            <color indexed="81"/>
            <rFont val="Tahoma"/>
            <family val="2"/>
          </rPr>
          <t>hours to days</t>
        </r>
      </text>
    </comment>
    <comment ref="AB137" authorId="0" shapeId="0">
      <text>
        <r>
          <rPr>
            <sz val="9"/>
            <color indexed="81"/>
            <rFont val="Tahoma"/>
            <family val="2"/>
          </rPr>
          <t>Includes ethanol</t>
        </r>
      </text>
    </comment>
    <comment ref="N138" authorId="0" shapeId="0">
      <text>
        <r>
          <rPr>
            <sz val="9"/>
            <color indexed="81"/>
            <rFont val="Tahoma"/>
            <family val="2"/>
          </rPr>
          <t>10g/L sucrose -&gt; 11.218 gCOD/L
divided by HRT</t>
        </r>
      </text>
    </comment>
    <comment ref="O138" authorId="0" shapeId="0">
      <text>
        <r>
          <rPr>
            <sz val="9"/>
            <color indexed="81"/>
            <rFont val="Tahoma"/>
            <family val="2"/>
          </rPr>
          <t>hours to days</t>
        </r>
      </text>
    </comment>
    <comment ref="AB138" authorId="0" shapeId="0">
      <text>
        <r>
          <rPr>
            <sz val="9"/>
            <color indexed="81"/>
            <rFont val="Tahoma"/>
            <family val="2"/>
          </rPr>
          <t>Includes ethanol</t>
        </r>
      </text>
    </comment>
    <comment ref="N139" authorId="0" shapeId="0">
      <text>
        <r>
          <rPr>
            <sz val="9"/>
            <color indexed="81"/>
            <rFont val="Tahoma"/>
            <family val="2"/>
          </rPr>
          <t>10g/L sucrose -&gt; 11.218 gCOD/L
divided by HRT</t>
        </r>
      </text>
    </comment>
    <comment ref="O139" authorId="0" shapeId="0">
      <text>
        <r>
          <rPr>
            <sz val="9"/>
            <color indexed="81"/>
            <rFont val="Tahoma"/>
            <family val="2"/>
          </rPr>
          <t>hours to days</t>
        </r>
      </text>
    </comment>
    <comment ref="AB139" authorId="0" shapeId="0">
      <text>
        <r>
          <rPr>
            <sz val="9"/>
            <color indexed="81"/>
            <rFont val="Tahoma"/>
            <family val="2"/>
          </rPr>
          <t>Includes ethanol</t>
        </r>
      </text>
    </comment>
    <comment ref="N140" authorId="0" shapeId="0">
      <text>
        <r>
          <rPr>
            <sz val="9"/>
            <color indexed="81"/>
            <rFont val="Tahoma"/>
            <family val="2"/>
          </rPr>
          <t>10g/L sucrose -&gt; 11.218 gCOD/L
divided by HRT</t>
        </r>
      </text>
    </comment>
    <comment ref="O140" authorId="0" shapeId="0">
      <text>
        <r>
          <rPr>
            <sz val="9"/>
            <color indexed="81"/>
            <rFont val="Tahoma"/>
            <family val="2"/>
          </rPr>
          <t>hours to days</t>
        </r>
      </text>
    </comment>
    <comment ref="AB140" authorId="0" shapeId="0">
      <text>
        <r>
          <rPr>
            <sz val="9"/>
            <color indexed="81"/>
            <rFont val="Tahoma"/>
            <family val="2"/>
          </rPr>
          <t>Includes ethanol</t>
        </r>
      </text>
    </comment>
    <comment ref="N141" authorId="0" shapeId="0">
      <text>
        <r>
          <rPr>
            <sz val="9"/>
            <color indexed="81"/>
            <rFont val="Tahoma"/>
            <family val="2"/>
          </rPr>
          <t>10g/L sucrose -&gt; 11.218 gCOD/L
divided by HRT</t>
        </r>
      </text>
    </comment>
    <comment ref="O141" authorId="0" shapeId="0">
      <text>
        <r>
          <rPr>
            <sz val="9"/>
            <color indexed="81"/>
            <rFont val="Tahoma"/>
            <family val="2"/>
          </rPr>
          <t>hours to days</t>
        </r>
      </text>
    </comment>
    <comment ref="AB141" authorId="0" shapeId="0">
      <text>
        <r>
          <rPr>
            <sz val="9"/>
            <color indexed="81"/>
            <rFont val="Tahoma"/>
            <family val="2"/>
          </rPr>
          <t>Includes ethanol</t>
        </r>
      </text>
    </comment>
    <comment ref="N142" authorId="0" shapeId="0">
      <text>
        <r>
          <rPr>
            <sz val="9"/>
            <color indexed="81"/>
            <rFont val="Tahoma"/>
            <family val="2"/>
          </rPr>
          <t>10g/L sucrose -&gt; 11.218 gCOD/L
divided by HRT</t>
        </r>
      </text>
    </comment>
    <comment ref="O142" authorId="0" shapeId="0">
      <text>
        <r>
          <rPr>
            <sz val="9"/>
            <color indexed="81"/>
            <rFont val="Tahoma"/>
            <family val="2"/>
          </rPr>
          <t>hours to days</t>
        </r>
      </text>
    </comment>
    <comment ref="AB142" authorId="0" shapeId="0">
      <text>
        <r>
          <rPr>
            <sz val="9"/>
            <color indexed="81"/>
            <rFont val="Tahoma"/>
            <family val="2"/>
          </rPr>
          <t>Includes ethanol</t>
        </r>
      </text>
    </comment>
    <comment ref="N143" authorId="0" shapeId="0">
      <text>
        <r>
          <rPr>
            <sz val="9"/>
            <color indexed="81"/>
            <rFont val="Tahoma"/>
            <family val="2"/>
          </rPr>
          <t>10g/L sucrose -&gt; 11.218 gCOD/L
divided by HRT</t>
        </r>
      </text>
    </comment>
    <comment ref="O143" authorId="0" shapeId="0">
      <text>
        <r>
          <rPr>
            <sz val="9"/>
            <color indexed="81"/>
            <rFont val="Tahoma"/>
            <family val="2"/>
          </rPr>
          <t>hours to days</t>
        </r>
      </text>
    </comment>
    <comment ref="AB143" authorId="0" shapeId="0">
      <text>
        <r>
          <rPr>
            <sz val="9"/>
            <color indexed="81"/>
            <rFont val="Tahoma"/>
            <family val="2"/>
          </rPr>
          <t>Includes ethanol</t>
        </r>
      </text>
    </comment>
    <comment ref="N144" authorId="0" shapeId="0">
      <text>
        <r>
          <rPr>
            <sz val="9"/>
            <color indexed="81"/>
            <rFont val="Tahoma"/>
            <family val="2"/>
          </rPr>
          <t>10g/L sucrose -&gt; 11.218 gCOD/L
divided by HRT</t>
        </r>
      </text>
    </comment>
    <comment ref="O144" authorId="0" shapeId="0">
      <text>
        <r>
          <rPr>
            <sz val="9"/>
            <color indexed="81"/>
            <rFont val="Tahoma"/>
            <family val="2"/>
          </rPr>
          <t>hours to days</t>
        </r>
      </text>
    </comment>
    <comment ref="AB144" authorId="0" shapeId="0">
      <text>
        <r>
          <rPr>
            <sz val="9"/>
            <color indexed="81"/>
            <rFont val="Tahoma"/>
            <family val="2"/>
          </rPr>
          <t>Includes ethanol</t>
        </r>
      </text>
    </comment>
    <comment ref="J145" authorId="0" shapeId="0">
      <text>
        <r>
          <rPr>
            <sz val="9"/>
            <color indexed="81"/>
            <rFont val="Tahoma"/>
            <family val="2"/>
          </rPr>
          <t>after 56 days start up</t>
        </r>
      </text>
    </comment>
    <comment ref="AB148" authorId="0" shapeId="0">
      <text>
        <r>
          <rPr>
            <sz val="9"/>
            <color indexed="81"/>
            <rFont val="Tahoma"/>
            <family val="2"/>
          </rPr>
          <t>gCOD/L - errors not included</t>
        </r>
      </text>
    </comment>
    <comment ref="AB149" authorId="0" shapeId="0">
      <text>
        <r>
          <rPr>
            <sz val="9"/>
            <color indexed="81"/>
            <rFont val="Tahoma"/>
            <family val="2"/>
          </rPr>
          <t>gCOD/L - errors not included</t>
        </r>
      </text>
    </comment>
    <comment ref="AB150" authorId="0" shapeId="0">
      <text>
        <r>
          <rPr>
            <sz val="9"/>
            <color indexed="81"/>
            <rFont val="Tahoma"/>
            <family val="2"/>
          </rPr>
          <t>gCOD/L - errors not included</t>
        </r>
      </text>
    </comment>
    <comment ref="AB151" authorId="0" shapeId="0">
      <text>
        <r>
          <rPr>
            <sz val="9"/>
            <color indexed="81"/>
            <rFont val="Tahoma"/>
            <family val="2"/>
          </rPr>
          <t>gCOD/L - errors not included</t>
        </r>
      </text>
    </comment>
    <comment ref="AB152" authorId="0" shapeId="0">
      <text>
        <r>
          <rPr>
            <sz val="9"/>
            <color indexed="81"/>
            <rFont val="Tahoma"/>
            <family val="2"/>
          </rPr>
          <t>gCOD/L - errors not included</t>
        </r>
      </text>
    </comment>
    <comment ref="AB153" authorId="0" shapeId="0">
      <text>
        <r>
          <rPr>
            <sz val="9"/>
            <color indexed="81"/>
            <rFont val="Tahoma"/>
            <family val="2"/>
          </rPr>
          <t>gCOD/L - errors not included</t>
        </r>
      </text>
    </comment>
    <comment ref="AB154" authorId="0" shapeId="0">
      <text>
        <r>
          <rPr>
            <sz val="9"/>
            <color indexed="81"/>
            <rFont val="Tahoma"/>
            <family val="2"/>
          </rPr>
          <t>gCOD/L - errors not included</t>
        </r>
      </text>
    </comment>
    <comment ref="AB155" authorId="0" shapeId="0">
      <text>
        <r>
          <rPr>
            <sz val="9"/>
            <color indexed="81"/>
            <rFont val="Tahoma"/>
            <family val="2"/>
          </rPr>
          <t>gCOD/L - errors not included</t>
        </r>
      </text>
    </comment>
    <comment ref="AB156" authorId="0" shapeId="0">
      <text>
        <r>
          <rPr>
            <sz val="9"/>
            <color indexed="81"/>
            <rFont val="Tahoma"/>
            <family val="2"/>
          </rPr>
          <t>gCOD/L - errors not included</t>
        </r>
      </text>
    </comment>
    <comment ref="AB157" authorId="0" shapeId="0">
      <text>
        <r>
          <rPr>
            <sz val="9"/>
            <color indexed="81"/>
            <rFont val="Tahoma"/>
            <family val="2"/>
          </rPr>
          <t>gCOD/L - errors not included</t>
        </r>
      </text>
    </comment>
    <comment ref="AB158" authorId="0" shapeId="0">
      <text>
        <r>
          <rPr>
            <sz val="9"/>
            <color indexed="81"/>
            <rFont val="Tahoma"/>
            <family val="2"/>
          </rPr>
          <t>gCOD/L - errors not included</t>
        </r>
      </text>
    </comment>
    <comment ref="AB159" authorId="0" shapeId="0">
      <text>
        <r>
          <rPr>
            <sz val="9"/>
            <color indexed="81"/>
            <rFont val="Tahoma"/>
            <family val="2"/>
          </rPr>
          <t>gCOD/L - errors not included</t>
        </r>
      </text>
    </comment>
    <comment ref="AB160" authorId="0" shapeId="0">
      <text>
        <r>
          <rPr>
            <sz val="9"/>
            <color indexed="81"/>
            <rFont val="Tahoma"/>
            <family val="2"/>
          </rPr>
          <t>gCOD/L - errors not included</t>
        </r>
      </text>
    </comment>
    <comment ref="AB161" authorId="0" shapeId="0">
      <text>
        <r>
          <rPr>
            <sz val="9"/>
            <color indexed="81"/>
            <rFont val="Tahoma"/>
            <family val="2"/>
          </rPr>
          <t>gCOD/L - errors not included</t>
        </r>
      </text>
    </comment>
    <comment ref="AB162" authorId="0" shapeId="0">
      <text>
        <r>
          <rPr>
            <sz val="9"/>
            <color indexed="81"/>
            <rFont val="Tahoma"/>
            <family val="2"/>
          </rPr>
          <t>gCOD/L - errors not included</t>
        </r>
      </text>
    </comment>
    <comment ref="AB163" authorId="0" shapeId="0">
      <text>
        <r>
          <rPr>
            <sz val="9"/>
            <color indexed="81"/>
            <rFont val="Tahoma"/>
            <family val="2"/>
          </rPr>
          <t>gCOD/L - errors not included</t>
        </r>
      </text>
    </comment>
    <comment ref="AB164" authorId="0" shapeId="0">
      <text>
        <r>
          <rPr>
            <sz val="9"/>
            <color indexed="81"/>
            <rFont val="Tahoma"/>
            <family val="2"/>
          </rPr>
          <t>gCOD/L - errors not included</t>
        </r>
      </text>
    </comment>
    <comment ref="AB165" authorId="0" shapeId="0">
      <text>
        <r>
          <rPr>
            <sz val="9"/>
            <color indexed="81"/>
            <rFont val="Tahoma"/>
            <family val="2"/>
          </rPr>
          <t>gCOD/L - errors not included</t>
        </r>
      </text>
    </comment>
    <comment ref="AB166" authorId="0" shapeId="0">
      <text>
        <r>
          <rPr>
            <sz val="9"/>
            <color indexed="81"/>
            <rFont val="Tahoma"/>
            <family val="2"/>
          </rPr>
          <t>gCOD/L - errors not included</t>
        </r>
      </text>
    </comment>
    <comment ref="AB167" authorId="0" shapeId="0">
      <text>
        <r>
          <rPr>
            <sz val="9"/>
            <color indexed="81"/>
            <rFont val="Tahoma"/>
            <family val="2"/>
          </rPr>
          <t>gCOD/L - errors not included</t>
        </r>
      </text>
    </comment>
    <comment ref="AB168" authorId="0" shapeId="0">
      <text>
        <r>
          <rPr>
            <sz val="9"/>
            <color indexed="81"/>
            <rFont val="Tahoma"/>
            <family val="2"/>
          </rPr>
          <t>gCOD/L - errors not included</t>
        </r>
      </text>
    </comment>
    <comment ref="AB169" authorId="0" shapeId="0">
      <text>
        <r>
          <rPr>
            <sz val="9"/>
            <color indexed="81"/>
            <rFont val="Tahoma"/>
            <family val="2"/>
          </rPr>
          <t>gCOD/L - errors not included</t>
        </r>
      </text>
    </comment>
    <comment ref="AB170" authorId="0" shapeId="0">
      <text>
        <r>
          <rPr>
            <sz val="9"/>
            <color indexed="81"/>
            <rFont val="Tahoma"/>
            <family val="2"/>
          </rPr>
          <t>gCOD/L - errors not included</t>
        </r>
      </text>
    </comment>
    <comment ref="J171" authorId="0" shapeId="0">
      <text>
        <r>
          <rPr>
            <sz val="9"/>
            <color indexed="81"/>
            <rFont val="Tahoma"/>
            <family val="2"/>
          </rPr>
          <t>after 84 day start up</t>
        </r>
      </text>
    </comment>
    <comment ref="N171" authorId="0" shapeId="0">
      <text>
        <r>
          <rPr>
            <sz val="9"/>
            <color indexed="81"/>
            <rFont val="Tahoma"/>
            <family val="2"/>
          </rPr>
          <t>estimated from medium description</t>
        </r>
      </text>
    </comment>
    <comment ref="AB171" authorId="0" shapeId="0">
      <text>
        <r>
          <rPr>
            <sz val="9"/>
            <color indexed="81"/>
            <rFont val="Tahoma"/>
            <family val="2"/>
          </rPr>
          <t>gCOD/L
Converted to COD then sum</t>
        </r>
      </text>
    </comment>
    <comment ref="AC171" authorId="0" shapeId="0">
      <text>
        <r>
          <rPr>
            <sz val="9"/>
            <color indexed="81"/>
            <rFont val="Tahoma"/>
            <family val="2"/>
          </rPr>
          <t>gCOD/L
Converted to COD then sum</t>
        </r>
      </text>
    </comment>
    <comment ref="J172" authorId="0" shapeId="0">
      <text>
        <r>
          <rPr>
            <sz val="9"/>
            <color indexed="81"/>
            <rFont val="Tahoma"/>
            <family val="2"/>
          </rPr>
          <t>total 63 but 40 steady state</t>
        </r>
      </text>
    </comment>
    <comment ref="N172" authorId="0" shapeId="0">
      <text>
        <r>
          <rPr>
            <sz val="9"/>
            <color indexed="81"/>
            <rFont val="Tahoma"/>
            <family val="2"/>
          </rPr>
          <t>estimated from medium description</t>
        </r>
      </text>
    </comment>
    <comment ref="AB172" authorId="0" shapeId="0">
      <text>
        <r>
          <rPr>
            <sz val="9"/>
            <color indexed="81"/>
            <rFont val="Tahoma"/>
            <family val="2"/>
          </rPr>
          <t>gCOD/L
Converted to COD then sum</t>
        </r>
      </text>
    </comment>
    <comment ref="AC172" authorId="0" shapeId="0">
      <text>
        <r>
          <rPr>
            <sz val="9"/>
            <color indexed="81"/>
            <rFont val="Tahoma"/>
            <family val="2"/>
          </rPr>
          <t>gCOD/L
Converted to COD then sum</t>
        </r>
      </text>
    </comment>
    <comment ref="J173" authorId="0" shapeId="0">
      <text>
        <r>
          <rPr>
            <sz val="9"/>
            <color indexed="81"/>
            <rFont val="Tahoma"/>
            <family val="2"/>
          </rPr>
          <t>total 24days but 13 days steady state</t>
        </r>
      </text>
    </comment>
    <comment ref="N173" authorId="0" shapeId="0">
      <text>
        <r>
          <rPr>
            <sz val="9"/>
            <color indexed="81"/>
            <rFont val="Tahoma"/>
            <family val="2"/>
          </rPr>
          <t>estimated from medium description</t>
        </r>
      </text>
    </comment>
    <comment ref="AB173" authorId="0" shapeId="0">
      <text>
        <r>
          <rPr>
            <sz val="9"/>
            <color indexed="81"/>
            <rFont val="Tahoma"/>
            <family val="2"/>
          </rPr>
          <t>gCOD/L
Converted to COD then sum</t>
        </r>
      </text>
    </comment>
    <comment ref="AC173" authorId="0" shapeId="0">
      <text>
        <r>
          <rPr>
            <sz val="9"/>
            <color indexed="81"/>
            <rFont val="Tahoma"/>
            <family val="2"/>
          </rPr>
          <t>gCOD/L
Converted to COD then sum</t>
        </r>
      </text>
    </comment>
    <comment ref="N174" authorId="0" shapeId="0">
      <text>
        <r>
          <rPr>
            <sz val="9"/>
            <color indexed="81"/>
            <rFont val="Tahoma"/>
            <family val="2"/>
          </rPr>
          <t>estimated from medium description</t>
        </r>
      </text>
    </comment>
    <comment ref="I175" authorId="0" shapeId="0">
      <text>
        <r>
          <rPr>
            <sz val="9"/>
            <color indexed="81"/>
            <rFont val="Tahoma"/>
            <family val="2"/>
          </rPr>
          <t xml:space="preserve">
Control</t>
        </r>
      </text>
    </comment>
    <comment ref="J175" authorId="0" shapeId="0">
      <text>
        <r>
          <rPr>
            <sz val="9"/>
            <color indexed="81"/>
            <rFont val="Tahoma"/>
            <family val="2"/>
          </rPr>
          <t>9day startup</t>
        </r>
      </text>
    </comment>
    <comment ref="I176" authorId="0" shapeId="0">
      <text>
        <r>
          <rPr>
            <sz val="9"/>
            <color indexed="81"/>
            <rFont val="Tahoma"/>
            <family val="2"/>
          </rPr>
          <t xml:space="preserve">
Biochar added</t>
        </r>
      </text>
    </comment>
    <comment ref="J176" authorId="0" shapeId="0">
      <text>
        <r>
          <rPr>
            <sz val="9"/>
            <color indexed="81"/>
            <rFont val="Tahoma"/>
            <family val="2"/>
          </rPr>
          <t xml:space="preserve">
9day startup</t>
        </r>
      </text>
    </comment>
    <comment ref="N177" authorId="0" shapeId="0">
      <text>
        <r>
          <rPr>
            <sz val="9"/>
            <color indexed="81"/>
            <rFont val="Tahoma"/>
            <family val="2"/>
          </rPr>
          <t xml:space="preserve">
+-0.81</t>
        </r>
      </text>
    </comment>
    <comment ref="N178" authorId="0" shapeId="0">
      <text>
        <r>
          <rPr>
            <sz val="9"/>
            <color indexed="81"/>
            <rFont val="Tahoma"/>
            <family val="2"/>
          </rPr>
          <t xml:space="preserve">
+- 1.1</t>
        </r>
      </text>
    </comment>
    <comment ref="N179" authorId="0" shapeId="0">
      <text>
        <r>
          <rPr>
            <sz val="9"/>
            <color indexed="81"/>
            <rFont val="Tahoma"/>
            <family val="2"/>
          </rPr>
          <t xml:space="preserve">
+- 1.43</t>
        </r>
      </text>
    </comment>
    <comment ref="N180" authorId="0" shapeId="0">
      <text>
        <r>
          <rPr>
            <sz val="9"/>
            <color indexed="81"/>
            <rFont val="Tahoma"/>
            <family val="2"/>
          </rPr>
          <t xml:space="preserve">
+-1.24</t>
        </r>
      </text>
    </comment>
    <comment ref="N181" authorId="0" shapeId="0">
      <text>
        <r>
          <rPr>
            <sz val="9"/>
            <color indexed="81"/>
            <rFont val="Tahoma"/>
            <family val="2"/>
          </rPr>
          <t xml:space="preserve">
+- 1.18</t>
        </r>
      </text>
    </comment>
    <comment ref="N182" authorId="0" shapeId="0">
      <text>
        <r>
          <rPr>
            <sz val="9"/>
            <color indexed="81"/>
            <rFont val="Tahoma"/>
            <family val="2"/>
          </rPr>
          <t xml:space="preserve">
+- 1.08</t>
        </r>
      </text>
    </comment>
    <comment ref="N183" authorId="0" shapeId="0">
      <text>
        <r>
          <rPr>
            <sz val="9"/>
            <color indexed="81"/>
            <rFont val="Tahoma"/>
            <family val="2"/>
          </rPr>
          <t>+- 0.85</t>
        </r>
      </text>
    </comment>
    <comment ref="N184" authorId="0" shapeId="0">
      <text>
        <r>
          <rPr>
            <sz val="9"/>
            <color indexed="81"/>
            <rFont val="Tahoma"/>
            <family val="2"/>
          </rPr>
          <t xml:space="preserve">
+- 1.16</t>
        </r>
      </text>
    </comment>
    <comment ref="N185" authorId="0" shapeId="0">
      <text>
        <r>
          <rPr>
            <sz val="9"/>
            <color indexed="81"/>
            <rFont val="Tahoma"/>
            <family val="2"/>
          </rPr>
          <t xml:space="preserve">
+- 1.31</t>
        </r>
      </text>
    </comment>
    <comment ref="N186" authorId="0" shapeId="0">
      <text>
        <r>
          <rPr>
            <sz val="9"/>
            <color indexed="81"/>
            <rFont val="Tahoma"/>
            <family val="2"/>
          </rPr>
          <t xml:space="preserve">
estimation - no measurement of C2 available</t>
        </r>
      </text>
    </comment>
    <comment ref="N187" authorId="0" shapeId="0">
      <text>
        <r>
          <rPr>
            <sz val="9"/>
            <color indexed="81"/>
            <rFont val="Tahoma"/>
            <family val="2"/>
          </rPr>
          <t xml:space="preserve">
+- 1.35</t>
        </r>
      </text>
    </comment>
    <comment ref="N188" authorId="0" shapeId="0">
      <text>
        <r>
          <rPr>
            <sz val="9"/>
            <color indexed="81"/>
            <rFont val="Tahoma"/>
            <family val="2"/>
          </rPr>
          <t xml:space="preserve">
75mL/day of sCOD 95.400 gcod/L - 95.800 gCOD/L</t>
        </r>
      </text>
    </comment>
    <comment ref="U188" authorId="0" shapeId="0">
      <text>
        <r>
          <rPr>
            <sz val="9"/>
            <color indexed="81"/>
            <rFont val="Tahoma"/>
            <family val="2"/>
          </rPr>
          <t xml:space="preserve">
stabilised at 3.6 during operation</t>
        </r>
      </text>
    </comment>
    <comment ref="N189" authorId="0" shapeId="0">
      <text>
        <r>
          <rPr>
            <sz val="9"/>
            <color indexed="81"/>
            <rFont val="Tahoma"/>
            <family val="2"/>
          </rPr>
          <t xml:space="preserve">
75mL/day of sCOD 95.400 gcod/L - 95.800 gCOD/L</t>
        </r>
      </text>
    </comment>
    <comment ref="N190" authorId="0" shapeId="0">
      <text>
        <r>
          <rPr>
            <sz val="9"/>
            <color indexed="81"/>
            <rFont val="Tahoma"/>
            <family val="2"/>
          </rPr>
          <t xml:space="preserve">
75mL/day of sCOD 95.400 gcod/L - 95.800 gCOD/L</t>
        </r>
      </text>
    </comment>
    <comment ref="N191" authorId="0" shapeId="0">
      <text>
        <r>
          <rPr>
            <sz val="9"/>
            <color indexed="81"/>
            <rFont val="Tahoma"/>
            <family val="2"/>
          </rPr>
          <t xml:space="preserve">
75mL/day of sCOD 95.400 gcod/L - 95.800 gCOD/L</t>
        </r>
      </text>
    </comment>
    <comment ref="N192" authorId="0" shapeId="0">
      <text>
        <r>
          <rPr>
            <sz val="9"/>
            <color indexed="81"/>
            <rFont val="Tahoma"/>
            <family val="2"/>
          </rPr>
          <t xml:space="preserve">
75mL/day of sCOD 95.400 gcod/L - 95.800 gCOD/L</t>
        </r>
      </text>
    </comment>
    <comment ref="N193" authorId="0" shapeId="0">
      <text>
        <r>
          <rPr>
            <sz val="9"/>
            <color indexed="81"/>
            <rFont val="Tahoma"/>
            <family val="2"/>
          </rPr>
          <t xml:space="preserve">
75mL/day of sCOD 95.400 gcod/L - 95.800 gCOD/L</t>
        </r>
      </text>
    </comment>
    <comment ref="N194" authorId="0" shapeId="0">
      <text>
        <r>
          <rPr>
            <sz val="9"/>
            <color indexed="81"/>
            <rFont val="Tahoma"/>
            <family val="2"/>
          </rPr>
          <t>80kgVS,fw/Lreactor * 1.45gCOD/gVSfw /7day semi batch</t>
        </r>
      </text>
    </comment>
    <comment ref="N195" authorId="0" shapeId="0">
      <text>
        <r>
          <rPr>
            <sz val="9"/>
            <color indexed="81"/>
            <rFont val="Tahoma"/>
            <family val="2"/>
          </rPr>
          <t>80kgVS,fw/Lreactor * 1.45gCOD/gVSfw /7day semi batch</t>
        </r>
      </text>
    </comment>
    <comment ref="N196" authorId="0" shapeId="0">
      <text>
        <r>
          <rPr>
            <sz val="9"/>
            <color indexed="81"/>
            <rFont val="Tahoma"/>
            <family val="2"/>
          </rPr>
          <t>80kgVS,fw/Lreactor * 1.45gCOD/gVSfw /7day semi batch</t>
        </r>
      </text>
    </comment>
    <comment ref="N197" authorId="0" shapeId="0">
      <text>
        <r>
          <rPr>
            <sz val="9"/>
            <color indexed="81"/>
            <rFont val="Tahoma"/>
            <family val="2"/>
          </rPr>
          <t>80kgVS,fw/Lreactor * 1.45gCOD/gVSfw /7day semi batch</t>
        </r>
      </text>
    </comment>
    <comment ref="N198" authorId="0" shapeId="0">
      <text>
        <r>
          <rPr>
            <sz val="9"/>
            <color indexed="81"/>
            <rFont val="Tahoma"/>
            <family val="2"/>
          </rPr>
          <t>80kgVS,fw/Lreactor * 1.45gCOD/gVSfw /7day semi batch</t>
        </r>
      </text>
    </comment>
    <comment ref="N199" authorId="0" shapeId="0">
      <text>
        <r>
          <rPr>
            <sz val="9"/>
            <color indexed="81"/>
            <rFont val="Tahoma"/>
            <family val="2"/>
          </rPr>
          <t>80kgVS,fw/Lreactor * 1.45gCOD/gVSfw /7day semi batch</t>
        </r>
      </text>
    </comment>
    <comment ref="N200" authorId="0" shapeId="0">
      <text>
        <r>
          <rPr>
            <sz val="9"/>
            <color indexed="81"/>
            <rFont val="Tahoma"/>
            <family val="2"/>
          </rPr>
          <t>120kgVS,fw/Lreactor * 1.45gCOD/gVSfw /7day semi batch</t>
        </r>
      </text>
    </comment>
  </commentList>
</comments>
</file>

<file path=xl/comments3.xml><?xml version="1.0" encoding="utf-8"?>
<comments xmlns="http://schemas.openxmlformats.org/spreadsheetml/2006/main">
  <authors>
    <author>Vicky De Groof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 xml:space="preserve">Vicky De Groof:
</t>
        </r>
      </text>
    </comment>
    <comment ref="K5" authorId="0" shapeId="0">
      <text>
        <r>
          <rPr>
            <sz val="9"/>
            <color indexed="81"/>
            <rFont val="Tahoma"/>
            <family val="2"/>
          </rPr>
          <t>estimated from TS (9gTS/L/d) using conversion factor from Fisgative 2016</t>
        </r>
      </text>
    </comment>
    <comment ref="A7" authorId="0" shapeId="0">
      <text>
        <r>
          <rPr>
            <sz val="9"/>
            <color indexed="81"/>
            <rFont val="Tahoma"/>
            <family val="2"/>
          </rPr>
          <t>Experiment with no mixing excluded</t>
        </r>
      </text>
    </comment>
    <comment ref="K7" authorId="0" shapeId="0">
      <text>
        <r>
          <rPr>
            <sz val="9"/>
            <color indexed="81"/>
            <rFont val="Tahoma"/>
            <family val="2"/>
          </rPr>
          <t>estimated from TS (30gTS/L/d) using conversion factor from Fisgative 2016
228gTS/kgWW fw
198gCOD/kgWW fw</t>
        </r>
      </text>
    </comment>
  </commentList>
</comments>
</file>

<file path=xl/comments4.xml><?xml version="1.0" encoding="utf-8"?>
<comments xmlns="http://schemas.openxmlformats.org/spreadsheetml/2006/main">
  <authors>
    <author>Vicky De Groof</author>
  </authors>
  <commentList>
    <comment ref="O3" authorId="0" shapeId="0">
      <text>
        <r>
          <rPr>
            <sz val="9"/>
            <color indexed="81"/>
            <rFont val="Tahoma"/>
            <family val="2"/>
          </rPr>
          <t xml:space="preserve">
13 gCOD/L + 25g/L EtoH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PVC-jacketed reactor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 xml:space="preserve">
gVS/L</t>
        </r>
      </text>
    </comment>
    <comment ref="O19" authorId="0" shapeId="0">
      <text>
        <r>
          <rPr>
            <sz val="9"/>
            <color indexed="81"/>
            <rFont val="Tahoma"/>
            <family val="2"/>
          </rPr>
          <t xml:space="preserve">
 +- 3.59 gCOD/L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 xml:space="preserve">
gVS/L</t>
        </r>
      </text>
    </comment>
    <comment ref="O20" authorId="0" shapeId="0">
      <text>
        <r>
          <rPr>
            <sz val="9"/>
            <color indexed="81"/>
            <rFont val="Tahoma"/>
            <family val="2"/>
          </rPr>
          <t xml:space="preserve">
 +- 3.59 gCOD/L</t>
        </r>
      </text>
    </comment>
    <comment ref="O21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O22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O23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O25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O26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O27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O28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O30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O31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O32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O33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O34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O35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O36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O37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O38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O39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O40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O41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O42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O43" authorId="0" shapeId="0">
      <text>
        <r>
          <rPr>
            <sz val="9"/>
            <color indexed="81"/>
            <rFont val="Tahoma"/>
            <family val="2"/>
          </rPr>
          <t xml:space="preserve">
Paper: "0.5gVS/100 mL substrate load"
COD primary sludge = 2.052 g/L
VS PS = 3.1%
COD waste activated sludge = 3.306 g/L
VS WAS = 4.7
1:1 PS:WAS substrate
VS substrate = average VS PS and VS WAS = 3.9 %
COD substrate = average = 2.679 gCOD/L
--&gt; 0.5%VS per Lreactor corresponds to 0.128 L in 1 L (0.5/3.9) --&gt; 0.343gCOD added --&gt; 0.343gCOD/Lreactor</t>
        </r>
      </text>
    </comment>
    <comment ref="O60" authorId="0" shapeId="0">
      <text>
        <r>
          <rPr>
            <sz val="9"/>
            <color indexed="81"/>
            <rFont val="Tahoma"/>
            <family val="2"/>
          </rPr>
          <t xml:space="preserve">
50mM C2 + 50 mM EtoH</t>
        </r>
      </text>
    </comment>
    <comment ref="O61" authorId="0" shapeId="0">
      <text>
        <r>
          <rPr>
            <sz val="9"/>
            <color indexed="81"/>
            <rFont val="Tahoma"/>
            <family val="2"/>
          </rPr>
          <t xml:space="preserve">
50mM C2 + 50 mM EtoH</t>
        </r>
      </text>
    </comment>
    <comment ref="O62" authorId="0" shapeId="0">
      <text>
        <r>
          <rPr>
            <sz val="9"/>
            <color indexed="81"/>
            <rFont val="Tahoma"/>
            <family val="2"/>
          </rPr>
          <t xml:space="preserve">
50mM C2</t>
        </r>
      </text>
    </comment>
    <comment ref="O77" authorId="0" shapeId="0">
      <text>
        <r>
          <rPr>
            <sz val="9"/>
            <color indexed="81"/>
            <rFont val="Tahoma"/>
            <family val="2"/>
          </rPr>
          <t xml:space="preserve">
407 +- 58gCOD per reactor and 5 reactor volume</t>
        </r>
      </text>
    </comment>
    <comment ref="O78" authorId="0" shapeId="0">
      <text>
        <r>
          <rPr>
            <sz val="9"/>
            <color indexed="81"/>
            <rFont val="Tahoma"/>
            <family val="2"/>
          </rPr>
          <t xml:space="preserve">
407 +- 58gCOD per reactor and 5 reactor volume</t>
        </r>
      </text>
    </comment>
    <comment ref="O79" authorId="0" shapeId="0">
      <text>
        <r>
          <rPr>
            <sz val="9"/>
            <color indexed="81"/>
            <rFont val="Tahoma"/>
            <family val="2"/>
          </rPr>
          <t xml:space="preserve">
407 +- 58gCOD per reactor and 5 reactor volume</t>
        </r>
      </text>
    </comment>
    <comment ref="O82" authorId="0" shapeId="0">
      <text>
        <r>
          <rPr>
            <sz val="9"/>
            <color indexed="81"/>
            <rFont val="Tahoma"/>
            <family val="2"/>
          </rPr>
          <t xml:space="preserve">
conversion of mM to COD, then sum of ethanol and c2</t>
        </r>
      </text>
    </comment>
    <comment ref="O83" authorId="0" shapeId="0">
      <text>
        <r>
          <rPr>
            <sz val="9"/>
            <color indexed="81"/>
            <rFont val="Tahoma"/>
            <family val="2"/>
          </rPr>
          <t xml:space="preserve">
3.8gCODEtOH/L + 0.7gCODC2/L</t>
        </r>
      </text>
    </comment>
    <comment ref="O84" authorId="0" shapeId="0">
      <text>
        <r>
          <rPr>
            <sz val="9"/>
            <color indexed="81"/>
            <rFont val="Tahoma"/>
            <family val="2"/>
          </rPr>
          <t xml:space="preserve">
9.6gCODEtOH/L + 0.7gCOD C2/L</t>
        </r>
      </text>
    </comment>
    <comment ref="O85" authorId="0" shapeId="0">
      <text>
        <r>
          <rPr>
            <sz val="9"/>
            <color indexed="81"/>
            <rFont val="Tahoma"/>
            <family val="2"/>
          </rPr>
          <t xml:space="preserve">
9.6gCODEtOH/L + 0.7gCOD C2/L</t>
        </r>
      </text>
    </comment>
    <comment ref="O86" authorId="0" shapeId="0">
      <text>
        <r>
          <rPr>
            <sz val="9"/>
            <color indexed="81"/>
            <rFont val="Tahoma"/>
            <family val="2"/>
          </rPr>
          <t xml:space="preserve">
9.6gCODEtOH/L + 0.7gCOD C2/L</t>
        </r>
      </text>
    </comment>
    <comment ref="O87" authorId="0" shapeId="0">
      <text>
        <r>
          <rPr>
            <sz val="9"/>
            <color indexed="81"/>
            <rFont val="Tahoma"/>
            <family val="2"/>
          </rPr>
          <t xml:space="preserve">
19.2gCODEtOH/L + 1.4gCOD C2/L</t>
        </r>
      </text>
    </comment>
    <comment ref="O88" authorId="0" shapeId="0">
      <text>
        <r>
          <rPr>
            <sz val="9"/>
            <color indexed="81"/>
            <rFont val="Tahoma"/>
            <family val="2"/>
          </rPr>
          <t xml:space="preserve">
19.2gCODEtOH/L + 0.7gCOD C2/L</t>
        </r>
      </text>
    </comment>
    <comment ref="O89" authorId="0" shapeId="0">
      <text>
        <r>
          <rPr>
            <sz val="9"/>
            <color indexed="81"/>
            <rFont val="Tahoma"/>
            <family val="2"/>
          </rPr>
          <t xml:space="preserve">
9.6gCODEtOH/L + 1.6gCOD C2/L</t>
        </r>
      </text>
    </comment>
    <comment ref="O90" authorId="0" shapeId="0">
      <text>
        <r>
          <rPr>
            <sz val="9"/>
            <color indexed="81"/>
            <rFont val="Tahoma"/>
            <family val="2"/>
          </rPr>
          <t xml:space="preserve">
3.8gCODEtOH/L + 0.3gCODC2/L</t>
        </r>
      </text>
    </comment>
    <comment ref="O91" authorId="0" shapeId="0">
      <text>
        <r>
          <rPr>
            <sz val="9"/>
            <color indexed="81"/>
            <rFont val="Tahoma"/>
            <family val="2"/>
          </rPr>
          <t xml:space="preserve">
9.6gCODEtOH/L + 0.3gCOD C2/L</t>
        </r>
      </text>
    </comment>
    <comment ref="O92" authorId="0" shapeId="0">
      <text>
        <r>
          <rPr>
            <sz val="9"/>
            <color indexed="81"/>
            <rFont val="Tahoma"/>
            <family val="2"/>
          </rPr>
          <t xml:space="preserve">
28.8gCOD/letoh + 0.7gcod/Lc2</t>
        </r>
      </text>
    </comment>
    <comment ref="O93" authorId="0" shapeId="0">
      <text>
        <r>
          <rPr>
            <sz val="9"/>
            <color indexed="81"/>
            <rFont val="Tahoma"/>
            <family val="2"/>
          </rPr>
          <t xml:space="preserve">
28.8gCODEtOH/L + 2.1gCOD C2/L</t>
        </r>
      </text>
    </comment>
    <comment ref="O94" authorId="0" shapeId="0">
      <text>
        <r>
          <rPr>
            <sz val="9"/>
            <color indexed="81"/>
            <rFont val="Tahoma"/>
            <family val="2"/>
          </rPr>
          <t xml:space="preserve">
9.6gCODEtOH/L + 4.3gCOD C2/L</t>
        </r>
      </text>
    </comment>
    <comment ref="O95" authorId="0" shapeId="0">
      <text>
        <r>
          <rPr>
            <sz val="9"/>
            <color indexed="81"/>
            <rFont val="Tahoma"/>
            <family val="2"/>
          </rPr>
          <t xml:space="preserve">
4g/L etoh and 9g/L C2</t>
        </r>
      </text>
    </comment>
    <comment ref="O96" authorId="0" shapeId="0">
      <text>
        <r>
          <rPr>
            <sz val="9"/>
            <color indexed="81"/>
            <rFont val="Tahoma"/>
            <family val="2"/>
          </rPr>
          <t xml:space="preserve">
18g/L etoh and 9g/L C2</t>
        </r>
      </text>
    </comment>
    <comment ref="O97" authorId="0" shapeId="0">
      <text>
        <r>
          <rPr>
            <sz val="9"/>
            <color indexed="81"/>
            <rFont val="Tahoma"/>
            <family val="2"/>
          </rPr>
          <t xml:space="preserve">
8.8g/L C2 + 25.6g/L EtOH</t>
        </r>
      </text>
    </comment>
    <comment ref="O98" authorId="0" shapeId="0">
      <text>
        <r>
          <rPr>
            <sz val="9"/>
            <color indexed="81"/>
            <rFont val="Tahoma"/>
            <family val="2"/>
          </rPr>
          <t xml:space="preserve">
8.8g/L C2 + 27.5g/L EtOH</t>
        </r>
      </text>
    </comment>
    <comment ref="O99" authorId="0" shapeId="0">
      <text>
        <r>
          <rPr>
            <sz val="9"/>
            <color indexed="81"/>
            <rFont val="Tahoma"/>
            <family val="2"/>
          </rPr>
          <t xml:space="preserve">
28.5g/L EtOH</t>
        </r>
      </text>
    </comment>
    <comment ref="O100" authorId="0" shapeId="0">
      <text>
        <r>
          <rPr>
            <sz val="9"/>
            <color indexed="81"/>
            <rFont val="Tahoma"/>
            <family val="2"/>
          </rPr>
          <t>13 gCOD/L + 25g/L EtoH</t>
        </r>
      </text>
    </comment>
    <comment ref="O101" authorId="0" shapeId="0">
      <text>
        <r>
          <rPr>
            <sz val="9"/>
            <color indexed="81"/>
            <rFont val="Tahoma"/>
            <family val="2"/>
          </rPr>
          <t xml:space="preserve">
yellow water: 
69.5g/L = 102.93 gCOD/L lactic
50.50 g/L = 122.96 gCOD/L etoh
15.6 g/L = 16.64 g/L glucose
--&gt; 200 mL yellow water in 1 L --&gt; minimum sCOD is sum of above/5 gCOD/L</t>
        </r>
      </text>
    </comment>
    <comment ref="O102" authorId="0" shapeId="0">
      <text>
        <r>
          <rPr>
            <sz val="9"/>
            <color indexed="81"/>
            <rFont val="Tahoma"/>
            <family val="2"/>
          </rPr>
          <t xml:space="preserve">
20g/L = 48.7 gcod/L etoh
8g/L = 8.53 gCOD/L C2
--&gt; sum minimum gCOD/L
</t>
        </r>
      </text>
    </comment>
    <comment ref="O103" authorId="0" shapeId="0">
      <text>
        <r>
          <rPr>
            <sz val="9"/>
            <color indexed="81"/>
            <rFont val="Tahoma"/>
            <family val="2"/>
          </rPr>
          <t xml:space="preserve">
30g/L = 32 gcod/L</t>
        </r>
      </text>
    </comment>
    <comment ref="O104" authorId="0" shapeId="0">
      <text>
        <r>
          <rPr>
            <sz val="9"/>
            <color indexed="81"/>
            <rFont val="Tahoma"/>
            <family val="2"/>
          </rPr>
          <t xml:space="preserve">
10g/L = 10.7gCOD/L glucose</t>
        </r>
      </text>
    </comment>
    <comment ref="O105" authorId="0" shapeId="0">
      <text>
        <r>
          <rPr>
            <sz val="9"/>
            <color indexed="81"/>
            <rFont val="Tahoma"/>
            <family val="2"/>
          </rPr>
          <t xml:space="preserve">
13 gCOD/L + 25g/L EtoH</t>
        </r>
      </text>
    </comment>
    <comment ref="O106" authorId="0" shapeId="0">
      <text>
        <r>
          <rPr>
            <sz val="9"/>
            <color indexed="81"/>
            <rFont val="Tahoma"/>
            <family val="2"/>
          </rPr>
          <t xml:space="preserve">
10.37g/L etoh</t>
        </r>
      </text>
    </comment>
    <comment ref="O107" authorId="0" shapeId="0">
      <text>
        <r>
          <rPr>
            <sz val="9"/>
            <color indexed="81"/>
            <rFont val="Tahoma"/>
            <family val="2"/>
          </rPr>
          <t xml:space="preserve">
10.37g/L etoh</t>
        </r>
      </text>
    </comment>
    <comment ref="O108" authorId="0" shapeId="0">
      <text>
        <r>
          <rPr>
            <sz val="9"/>
            <color indexed="81"/>
            <rFont val="Tahoma"/>
            <family val="2"/>
          </rPr>
          <t xml:space="preserve">
10.37g/L</t>
        </r>
      </text>
    </comment>
    <comment ref="O109" authorId="0" shapeId="0">
      <text>
        <r>
          <rPr>
            <sz val="9"/>
            <color indexed="81"/>
            <rFont val="Tahoma"/>
            <family val="2"/>
          </rPr>
          <t xml:space="preserve">
10.37g/L etoh</t>
        </r>
      </text>
    </comment>
  </commentList>
</comments>
</file>

<file path=xl/comments5.xml><?xml version="1.0" encoding="utf-8"?>
<comments xmlns="http://schemas.openxmlformats.org/spreadsheetml/2006/main">
  <authors>
    <author>Vicky De Groof</author>
  </authors>
  <commentList>
    <comment ref="E20" authorId="0" shapeId="0">
      <text>
        <r>
          <rPr>
            <sz val="9"/>
            <color indexed="81"/>
            <rFont val="Tahoma"/>
            <family val="2"/>
          </rPr>
          <t xml:space="preserve">
gCOD/L/d
calculated from working volum e0.2L/ SRT 20days * tCOD 56.76gtCOD/L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 xml:space="preserve">
gCOD/L/d
calculated from working volum e0.2L/ SRT 20days * tCOD 56.76gtCOD/L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 xml:space="preserve">
gCOD/L/d
calculated from working volum e0.2L/ SRT 10days * tCOD 56.76gtCOD/L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 xml:space="preserve">
gCOD/L/d
calculated from working volum e0.2L/ SRT 30days * tCOD 56.76gtCOD/L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
COD feed / HRT</t>
        </r>
      </text>
    </comment>
    <comment ref="E25" authorId="0" shapeId="0">
      <text>
        <r>
          <rPr>
            <sz val="9"/>
            <color indexed="81"/>
            <rFont val="Tahoma"/>
            <family val="2"/>
          </rPr>
          <t xml:space="preserve">
COD feed / HRT</t>
        </r>
      </text>
    </comment>
    <comment ref="E26" authorId="0" shapeId="0">
      <text>
        <r>
          <rPr>
            <sz val="9"/>
            <color indexed="81"/>
            <rFont val="Tahoma"/>
            <family val="2"/>
          </rPr>
          <t xml:space="preserve">
COD feed / HRT</t>
        </r>
      </text>
    </comment>
    <comment ref="E27" authorId="0" shapeId="0">
      <text>
        <r>
          <rPr>
            <sz val="9"/>
            <color indexed="81"/>
            <rFont val="Tahoma"/>
            <family val="2"/>
          </rPr>
          <t xml:space="preserve">
COD feed / HRT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</rPr>
          <t>Vicky De Groof:</t>
        </r>
        <r>
          <rPr>
            <sz val="9"/>
            <color indexed="81"/>
            <rFont val="Tahoma"/>
            <family val="2"/>
          </rPr>
          <t xml:space="preserve">
basically synthetic though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
Fed every 2 days, gCOD/l/d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
HRT
SRT decoupled by settling before effluent withdrawal</t>
        </r>
      </text>
    </comment>
    <comment ref="E30" authorId="0" shapeId="0">
      <text>
        <r>
          <rPr>
            <sz val="9"/>
            <color indexed="81"/>
            <rFont val="Tahoma"/>
            <family val="2"/>
          </rPr>
          <t xml:space="preserve">
Fed every 2 days, gCOD/l/d</t>
        </r>
      </text>
    </comment>
    <comment ref="F30" authorId="0" shapeId="0">
      <text>
        <r>
          <rPr>
            <sz val="9"/>
            <color indexed="81"/>
            <rFont val="Tahoma"/>
            <family val="2"/>
          </rPr>
          <t xml:space="preserve">
HRT
SRT decoupled by settling before effluent withdrawal</t>
        </r>
      </text>
    </comment>
    <comment ref="E31" authorId="0" shapeId="0">
      <text>
        <r>
          <rPr>
            <sz val="9"/>
            <color indexed="81"/>
            <rFont val="Tahoma"/>
            <family val="2"/>
          </rPr>
          <t xml:space="preserve">
Fed every 2 days, gCOD/l/d</t>
        </r>
      </text>
    </comment>
    <comment ref="F31" authorId="0" shapeId="0">
      <text>
        <r>
          <rPr>
            <sz val="9"/>
            <color indexed="81"/>
            <rFont val="Tahoma"/>
            <family val="2"/>
          </rPr>
          <t xml:space="preserve">
HRT
SRT decoupled by settling before effluent withdrawal</t>
        </r>
      </text>
    </comment>
    <comment ref="E32" authorId="0" shapeId="0">
      <text>
        <r>
          <rPr>
            <sz val="9"/>
            <color indexed="81"/>
            <rFont val="Tahoma"/>
            <family val="2"/>
          </rPr>
          <t xml:space="preserve">
Fed every 2 days, gCOD/l/d</t>
        </r>
      </text>
    </comment>
    <comment ref="F32" authorId="0" shapeId="0">
      <text>
        <r>
          <rPr>
            <sz val="9"/>
            <color indexed="81"/>
            <rFont val="Tahoma"/>
            <family val="2"/>
          </rPr>
          <t xml:space="preserve">
HRT
SRT decoupled by settling before effluent withdrawal</t>
        </r>
      </text>
    </comment>
    <comment ref="E33" authorId="0" shapeId="0">
      <text>
        <r>
          <rPr>
            <sz val="9"/>
            <color indexed="81"/>
            <rFont val="Tahoma"/>
            <family val="2"/>
          </rPr>
          <t xml:space="preserve">
Fed every 2 days, gCOD/l/d</t>
        </r>
      </text>
    </comment>
    <comment ref="F33" authorId="0" shapeId="0">
      <text>
        <r>
          <rPr>
            <sz val="9"/>
            <color indexed="81"/>
            <rFont val="Tahoma"/>
            <family val="2"/>
          </rPr>
          <t xml:space="preserve">
HRT
SRT decoupled by settling before effluent withdrawal</t>
        </r>
      </text>
    </comment>
    <comment ref="F34" authorId="0" shapeId="0">
      <text>
        <r>
          <rPr>
            <sz val="9"/>
            <color indexed="81"/>
            <rFont val="Tahoma"/>
            <family val="2"/>
          </rPr>
          <t xml:space="preserve">
every 2 days harvesting and feeding</t>
        </r>
      </text>
    </comment>
    <comment ref="F35" authorId="0" shapeId="0">
      <text>
        <r>
          <rPr>
            <sz val="9"/>
            <color indexed="81"/>
            <rFont val="Tahoma"/>
            <family val="2"/>
          </rPr>
          <t xml:space="preserve">
every day harvesting and feeding</t>
        </r>
      </text>
    </comment>
    <comment ref="E38" authorId="0" shapeId="0">
      <text>
        <r>
          <rPr>
            <sz val="9"/>
            <color indexed="81"/>
            <rFont val="Tahoma"/>
            <family val="2"/>
          </rPr>
          <t xml:space="preserve">
yellow water: 
69.5g/L = 102.93 gCOD/L lactic
50.50 g/L = 122.96 gCOD/L etoh
15.6 g/L = 16.64 g/L glucose
--&gt; 50 mL/d yellow water in 1.4 L --&gt; minimum sCOD is sum of above *50/1400 gCOD/L</t>
        </r>
      </text>
    </comment>
    <comment ref="E39" authorId="0" shapeId="0">
      <text>
        <r>
          <rPr>
            <sz val="9"/>
            <color indexed="81"/>
            <rFont val="Tahoma"/>
            <family val="2"/>
          </rPr>
          <t xml:space="preserve">
feedstock has COD of 71.9tCOD/L</t>
        </r>
      </text>
    </comment>
    <comment ref="E43" authorId="0" shapeId="0">
      <text>
        <r>
          <rPr>
            <sz val="9"/>
            <color indexed="81"/>
            <rFont val="Tahoma"/>
            <family val="2"/>
          </rPr>
          <t xml:space="preserve">
g sCOD /L / d
</t>
        </r>
      </text>
    </comment>
    <comment ref="I43" authorId="0" shapeId="0">
      <text>
        <r>
          <rPr>
            <sz val="9"/>
            <color indexed="81"/>
            <rFont val="Tahoma"/>
            <family val="2"/>
          </rPr>
          <t xml:space="preserve">
54% of sCOD influent was lactic acid
</t>
        </r>
      </text>
    </comment>
    <comment ref="E44" authorId="0" shapeId="0">
      <text>
        <r>
          <rPr>
            <sz val="9"/>
            <color indexed="81"/>
            <rFont val="Tahoma"/>
            <family val="2"/>
          </rPr>
          <t xml:space="preserve">
g sCOD/L/d
</t>
        </r>
      </text>
    </comment>
    <comment ref="I44" authorId="0" shapeId="0">
      <text>
        <r>
          <rPr>
            <sz val="9"/>
            <color indexed="81"/>
            <rFont val="Tahoma"/>
            <family val="2"/>
          </rPr>
          <t xml:space="preserve">
54% of sCOD influent was lactic acid
</t>
        </r>
      </text>
    </comment>
    <comment ref="E45" authorId="0" shapeId="0">
      <text>
        <r>
          <rPr>
            <sz val="9"/>
            <color indexed="81"/>
            <rFont val="Tahoma"/>
            <family val="2"/>
          </rPr>
          <t xml:space="preserve">
g sCOD/L/d</t>
        </r>
      </text>
    </comment>
    <comment ref="I45" authorId="0" shapeId="0">
      <text>
        <r>
          <rPr>
            <sz val="9"/>
            <color indexed="81"/>
            <rFont val="Tahoma"/>
            <family val="2"/>
          </rPr>
          <t xml:space="preserve">
54% of sCOD influent was lactic acid
</t>
        </r>
      </text>
    </comment>
    <comment ref="E46" authorId="0" shapeId="0">
      <text>
        <r>
          <rPr>
            <sz val="9"/>
            <color indexed="81"/>
            <rFont val="Tahoma"/>
            <family val="2"/>
          </rPr>
          <t xml:space="preserve">
fed every 2 days (48h cycle) with settling phase</t>
        </r>
      </text>
    </comment>
    <comment ref="E47" authorId="0" shapeId="0">
      <text>
        <r>
          <rPr>
            <sz val="9"/>
            <color indexed="81"/>
            <rFont val="Tahoma"/>
            <family val="2"/>
          </rPr>
          <t xml:space="preserve">
daily
9.36 +- 0.95 g/L Lactic acid and 0.9 +- 0.14 g/L C2 --&gt; estimated sCOD of 10.6 gCOD/L </t>
        </r>
      </text>
    </comment>
    <comment ref="F54" authorId="0" shapeId="0">
      <text>
        <r>
          <rPr>
            <sz val="9"/>
            <color indexed="81"/>
            <rFont val="Tahoma"/>
            <family val="2"/>
          </rPr>
          <t xml:space="preserve">
HRT decrease after start up for biomass retention and established culture</t>
        </r>
      </text>
    </comment>
    <comment ref="F55" authorId="0" shapeId="0">
      <text>
        <r>
          <rPr>
            <sz val="9"/>
            <color indexed="81"/>
            <rFont val="Tahoma"/>
            <family val="2"/>
          </rPr>
          <t xml:space="preserve">
HRT decrease after start up for biomass retention and established culture</t>
        </r>
      </text>
    </comment>
    <comment ref="F56" authorId="0" shapeId="0">
      <text>
        <r>
          <rPr>
            <sz val="9"/>
            <color indexed="81"/>
            <rFont val="Tahoma"/>
            <family val="2"/>
          </rPr>
          <t xml:space="preserve">
HRT decrease after start up for biomass retention and established culture</t>
        </r>
      </text>
    </comment>
    <comment ref="F57" authorId="0" shapeId="0">
      <text>
        <r>
          <rPr>
            <sz val="9"/>
            <color indexed="81"/>
            <rFont val="Tahoma"/>
            <family val="2"/>
          </rPr>
          <t xml:space="preserve">
HRT decrease after start up for biomass retention and established culture</t>
        </r>
      </text>
    </comment>
    <comment ref="F58" authorId="0" shapeId="0">
      <text>
        <r>
          <rPr>
            <sz val="9"/>
            <color indexed="81"/>
            <rFont val="Tahoma"/>
            <family val="2"/>
          </rPr>
          <t xml:space="preserve">
in-situ settler: SRT is higher
</t>
        </r>
      </text>
    </comment>
    <comment ref="I58" authorId="0" shapeId="0">
      <text>
        <r>
          <rPr>
            <sz val="9"/>
            <color indexed="81"/>
            <rFont val="Tahoma"/>
            <family val="2"/>
          </rPr>
          <t xml:space="preserve">
AFW has 37.1gsCOD/L
--&gt; total sCOD of 115.5 gsCOD/L
</t>
        </r>
      </text>
    </comment>
    <comment ref="F59" authorId="0" shapeId="0">
      <text>
        <r>
          <rPr>
            <sz val="9"/>
            <color indexed="81"/>
            <rFont val="Tahoma"/>
            <family val="2"/>
          </rPr>
          <t xml:space="preserve">
in-situ settler: SRT is higher</t>
        </r>
      </text>
    </comment>
    <comment ref="I59" authorId="0" shapeId="0">
      <text>
        <r>
          <rPr>
            <sz val="9"/>
            <color indexed="81"/>
            <rFont val="Tahoma"/>
            <family val="2"/>
          </rPr>
          <t xml:space="preserve">
AFW has 37.1gsCOD/L
--&gt; total sCOD of 115.5 gsCOD/L
</t>
        </r>
      </text>
    </comment>
    <comment ref="F60" authorId="0" shapeId="0">
      <text>
        <r>
          <rPr>
            <sz val="9"/>
            <color indexed="81"/>
            <rFont val="Tahoma"/>
            <family val="2"/>
          </rPr>
          <t xml:space="preserve">
in-situ settler: SRT is higher</t>
        </r>
      </text>
    </comment>
    <comment ref="I60" authorId="0" shapeId="0">
      <text>
        <r>
          <rPr>
            <sz val="9"/>
            <color indexed="81"/>
            <rFont val="Tahoma"/>
            <family val="2"/>
          </rPr>
          <t xml:space="preserve">
AFW has 37.1gsCOD/L
--&gt; total sCOD of 115.5 gsCOD/L
</t>
        </r>
      </text>
    </comment>
    <comment ref="E65" authorId="0" shapeId="0">
      <text>
        <r>
          <rPr>
            <sz val="9"/>
            <color indexed="81"/>
            <rFont val="Tahoma"/>
            <family val="2"/>
          </rPr>
          <t xml:space="preserve">
48h cycle
</t>
        </r>
      </text>
    </comment>
    <comment ref="E66" authorId="0" shapeId="0">
      <text>
        <r>
          <rPr>
            <sz val="9"/>
            <color indexed="81"/>
            <rFont val="Tahoma"/>
            <family val="2"/>
          </rPr>
          <t xml:space="preserve">
48h cycle
</t>
        </r>
      </text>
    </comment>
    <comment ref="E71" authorId="0" shapeId="0">
      <text>
        <r>
          <rPr>
            <sz val="9"/>
            <color indexed="81"/>
            <rFont val="Tahoma"/>
            <family val="2"/>
          </rPr>
          <t xml:space="preserve">
60.6gCOD/L influent</t>
        </r>
      </text>
    </comment>
    <comment ref="E72" authorId="0" shapeId="0">
      <text>
        <r>
          <rPr>
            <sz val="9"/>
            <color indexed="81"/>
            <rFont val="Tahoma"/>
            <family val="2"/>
          </rPr>
          <t xml:space="preserve">
10g/L sucrose -&gt; 11.218 gCOD/L
divided by HRT</t>
        </r>
      </text>
    </comment>
    <comment ref="E112" authorId="0" shapeId="0">
      <text>
        <r>
          <rPr>
            <sz val="9"/>
            <color indexed="81"/>
            <rFont val="Tahoma"/>
            <family val="2"/>
          </rPr>
          <t xml:space="preserve">
estimated from medium description</t>
        </r>
      </text>
    </comment>
  </commentList>
</comments>
</file>

<file path=xl/sharedStrings.xml><?xml version="1.0" encoding="utf-8"?>
<sst xmlns="http://schemas.openxmlformats.org/spreadsheetml/2006/main" count="14514" uniqueCount="1860">
  <si>
    <t>NA</t>
  </si>
  <si>
    <t>NS</t>
  </si>
  <si>
    <t>CE</t>
  </si>
  <si>
    <t>Chain elongation</t>
  </si>
  <si>
    <t>MES</t>
  </si>
  <si>
    <t>2-(N-morpholino)ethanesulfonic acid</t>
  </si>
  <si>
    <t>BESA</t>
  </si>
  <si>
    <t>bromoethanesulfonic acid</t>
  </si>
  <si>
    <t>CHBr3</t>
  </si>
  <si>
    <t>bromoform</t>
  </si>
  <si>
    <t>CHI3</t>
  </si>
  <si>
    <t>iodoform</t>
  </si>
  <si>
    <t>SBR</t>
  </si>
  <si>
    <t>Sequencing batch reactor (meaning fermentation cycles instead of continuous feeding)</t>
  </si>
  <si>
    <t>LBR</t>
  </si>
  <si>
    <t>Leach bed reactor</t>
  </si>
  <si>
    <t>Corresponding author: Ana Lanham</t>
  </si>
  <si>
    <t>a.lanham@bath.ac.uk</t>
  </si>
  <si>
    <t>Contents</t>
  </si>
  <si>
    <t>Ref</t>
  </si>
  <si>
    <t xml:space="preserve">Product study </t>
  </si>
  <si>
    <t>Reactor type</t>
  </si>
  <si>
    <t>Reactor Volume</t>
  </si>
  <si>
    <t>Working volume</t>
  </si>
  <si>
    <t>Incubation time</t>
  </si>
  <si>
    <t>Inoculum</t>
  </si>
  <si>
    <t>Biomass concentration</t>
  </si>
  <si>
    <t>pH (Controlled or uncontrolled but unitial pH set or uncontrolled and no pH set)</t>
  </si>
  <si>
    <t>pH controller or buffer</t>
  </si>
  <si>
    <t>Alkalinity</t>
  </si>
  <si>
    <t>Mixing</t>
  </si>
  <si>
    <t>CH4 inhibition</t>
  </si>
  <si>
    <t>Headspace</t>
  </si>
  <si>
    <t>Product outcome</t>
  </si>
  <si>
    <t>Microbial analysis</t>
  </si>
  <si>
    <t>L</t>
  </si>
  <si>
    <t>days</t>
  </si>
  <si>
    <t>Synthetic/Complex medium</t>
  </si>
  <si>
    <t>Origin</t>
  </si>
  <si>
    <t>Electron donor</t>
  </si>
  <si>
    <t>Load</t>
  </si>
  <si>
    <t>Pure/Mixed</t>
  </si>
  <si>
    <t>C6</t>
  </si>
  <si>
    <t>C7</t>
  </si>
  <si>
    <t xml:space="preserve">C8 </t>
  </si>
  <si>
    <t>C8</t>
  </si>
  <si>
    <t>Y/N</t>
  </si>
  <si>
    <t>start</t>
  </si>
  <si>
    <t>end</t>
  </si>
  <si>
    <t>Control (Y/N)</t>
  </si>
  <si>
    <t>gCaCO3/L</t>
  </si>
  <si>
    <t>tool</t>
  </si>
  <si>
    <t>effect</t>
  </si>
  <si>
    <t>paper unit</t>
  </si>
  <si>
    <t>gCOD/L</t>
  </si>
  <si>
    <t>VFA</t>
  </si>
  <si>
    <t>Thermophilic methanogen inhibition by C4</t>
  </si>
  <si>
    <t>Synthetic</t>
  </si>
  <si>
    <t>Basal medium,  NA2S, ethanol, C4, C2 and H2/CO2 (50/50)</t>
  </si>
  <si>
    <t>Ethanol</t>
  </si>
  <si>
    <t>Mixed</t>
  </si>
  <si>
    <t>Thermophilic WWTP sludge</t>
  </si>
  <si>
    <t>2.5 mL inoc</t>
  </si>
  <si>
    <t>5.5, 5.75 or 6.0</t>
  </si>
  <si>
    <t>Y</t>
  </si>
  <si>
    <t>100 mmol/L MES</t>
  </si>
  <si>
    <t>n-but</t>
  </si>
  <si>
    <t>&lt;pH 6, only 15mmol/L C4 required to inhibit 90% methanogens)</t>
  </si>
  <si>
    <t>N2 (10') flush at start, 50/50 H2/CO2 headspace</t>
  </si>
  <si>
    <t>N</t>
  </si>
  <si>
    <t>Anaerobic hood</t>
  </si>
  <si>
    <t>STR</t>
  </si>
  <si>
    <t>Complex</t>
  </si>
  <si>
    <t xml:space="preserve">Carbohydrate rich potato wastestream diluted in bassal medium and 2bar H2 </t>
  </si>
  <si>
    <t>Lactic acid</t>
  </si>
  <si>
    <t>8 gCOD/L</t>
  </si>
  <si>
    <t>0.6gVS inoc in 0.75L</t>
  </si>
  <si>
    <t>magnetic stirrer</t>
  </si>
  <si>
    <t xml:space="preserve">2 bar H2 </t>
  </si>
  <si>
    <t>13.5 gCOD/L</t>
  </si>
  <si>
    <t>23 gCDO/L</t>
  </si>
  <si>
    <t>Carbohydrate rich potato wastestream diluted in bassal medium and 2bar CO2</t>
  </si>
  <si>
    <t>2 bar CO2</t>
  </si>
  <si>
    <t>Carbohydrate rich potato wastestream diluted in bassal medium</t>
  </si>
  <si>
    <t>N2</t>
  </si>
  <si>
    <t>Different chain elongation substrates</t>
  </si>
  <si>
    <t>Glass vials</t>
  </si>
  <si>
    <t>CE microbiome from in-house reactor fed with C2:EtOH 1:3</t>
  </si>
  <si>
    <t>0.271 gVSS/L</t>
  </si>
  <si>
    <t>HCl/NaOH at start</t>
  </si>
  <si>
    <t>pH 5.5</t>
  </si>
  <si>
    <t>0.6 mM</t>
  </si>
  <si>
    <t>24.8 mM</t>
  </si>
  <si>
    <t>12.4 mM</t>
  </si>
  <si>
    <t>42.6 mM</t>
  </si>
  <si>
    <t>Methanol</t>
  </si>
  <si>
    <t>1.7 mM</t>
  </si>
  <si>
    <t>24.4 mM</t>
  </si>
  <si>
    <t>Propanol</t>
  </si>
  <si>
    <t>8.0 mM</t>
  </si>
  <si>
    <t>C</t>
  </si>
  <si>
    <t>Butanol</t>
  </si>
  <si>
    <t>1.0 mM</t>
  </si>
  <si>
    <t>Acidogenic potential tests of different liquid food waste</t>
  </si>
  <si>
    <t>Food waste - mixed food waste</t>
  </si>
  <si>
    <t>5 gCOD/L</t>
  </si>
  <si>
    <t>AD FW sludge</t>
  </si>
  <si>
    <t>1gVS/L</t>
  </si>
  <si>
    <t>7 - 7.5</t>
  </si>
  <si>
    <t>Stirrer cap bar</t>
  </si>
  <si>
    <t>organic overload</t>
  </si>
  <si>
    <t>F/M &gt; 5/2 -&gt; CH4&lt;250mL</t>
  </si>
  <si>
    <t>10 gCOD/L</t>
  </si>
  <si>
    <t>Glass bioreactor</t>
  </si>
  <si>
    <t>diluted yellow water</t>
  </si>
  <si>
    <t>lactic acid</t>
  </si>
  <si>
    <t>50 mL</t>
  </si>
  <si>
    <t>5M HCl and 2M NaOH</t>
  </si>
  <si>
    <t>0.3% of total biogas was methane</t>
  </si>
  <si>
    <t>medium flushed with N2</t>
  </si>
  <si>
    <t>12.93 g/L</t>
  </si>
  <si>
    <t>synthetic</t>
  </si>
  <si>
    <t>synthetic medium + ethanol</t>
  </si>
  <si>
    <t>ethanol</t>
  </si>
  <si>
    <t>1.2 g/L</t>
  </si>
  <si>
    <t>More C4 production (10.2g/L)</t>
  </si>
  <si>
    <t>synthetic medium + glucose</t>
  </si>
  <si>
    <t>synthetic medium + lactic acid</t>
  </si>
  <si>
    <t>12.54g/L</t>
  </si>
  <si>
    <t>C6 from OFMSW</t>
  </si>
  <si>
    <t>2kg OFMSW + 2L</t>
  </si>
  <si>
    <t>Food waste - OFMSW (2kg 90%garden waste + 10% kitchen waste + 2L water)</t>
  </si>
  <si>
    <t>407 +- 58gCOD per reactor</t>
  </si>
  <si>
    <t>OFMSW</t>
  </si>
  <si>
    <t>Recirculation of leachate 7.2h/L</t>
  </si>
  <si>
    <t>&lt;1% CH4</t>
  </si>
  <si>
    <t>N2 flushed at start</t>
  </si>
  <si>
    <t>1.8 +- 0.2g/L</t>
  </si>
  <si>
    <t>Food waste - frozen OFMSW  (2kg 90%garden waste + 10% kitchen waste + 2L water) + ethanol</t>
  </si>
  <si>
    <t>2.7 +-0.0 g/L</t>
  </si>
  <si>
    <t>0.5 +-0.1 g/L</t>
  </si>
  <si>
    <t>Food waste - frozen OFMSW  (2kg 90%garden waste + 10% kitchen waste + 2L water)</t>
  </si>
  <si>
    <t>1.7 +- 0.2g/L</t>
  </si>
  <si>
    <t>0.0 g/L</t>
  </si>
  <si>
    <t>Meso- an thermophilic community treating lignocellulosic feedstock</t>
  </si>
  <si>
    <t>Lignocellulosic pretreated biomass (lime- and heat pretreated sorghum) with chicken manure</t>
  </si>
  <si>
    <t>36g lime-treated sorgum and 4g dried chicken manure</t>
  </si>
  <si>
    <t>Marine sediment</t>
  </si>
  <si>
    <t>CaCO3</t>
  </si>
  <si>
    <t>Iodoform</t>
  </si>
  <si>
    <t>0.230+0.012gacid/L/d</t>
  </si>
  <si>
    <t>2.98+-0.88% of acid</t>
  </si>
  <si>
    <t>Sampling by sacrificing a bottle</t>
  </si>
  <si>
    <t>0.159+-0.001 gacid/L/d</t>
  </si>
  <si>
    <t>Chain elongation potential test with ethanol and H2 addition</t>
  </si>
  <si>
    <t>Restaurant FW leachate from CE semi-cont - no substrate</t>
  </si>
  <si>
    <t>Lactate</t>
  </si>
  <si>
    <t>4g/L etoh and 9g/L C2</t>
  </si>
  <si>
    <t>in-house CE</t>
  </si>
  <si>
    <t>NaOH</t>
  </si>
  <si>
    <t>long exposure of MMC to high carboxylate concentrations during fermentation</t>
  </si>
  <si>
    <t>0.037 +etoh</t>
  </si>
  <si>
    <t>Restaurant FW leachate from CE semi-cont - + etoh</t>
  </si>
  <si>
    <t>18g/L etoh and 9g/L C2</t>
  </si>
  <si>
    <t>not produced</t>
  </si>
  <si>
    <t>Restaurant FW leachate from CE semi-cont + H2</t>
  </si>
  <si>
    <t>4g/L etoh and 9g/L C2 + 0.5bar 80/20H2/CO2</t>
  </si>
  <si>
    <t>0.5bar 80/20 H2/CO2</t>
  </si>
  <si>
    <t>23.16 gCOD/L (started with 8.98gCOD/L C6)</t>
  </si>
  <si>
    <t>Restaurant FW leachate from CE semi-cont - +etoh and H2</t>
  </si>
  <si>
    <t>18g/L etoh and 9g/L C2 +  0.5bar 80/20H2/CO2</t>
  </si>
  <si>
    <t>22.75gCOD/L (started with 8.98gCOD/L C6)</t>
  </si>
  <si>
    <t xml:space="preserve">synthetic waste with C2, EtOH and BESA </t>
  </si>
  <si>
    <t>8.8g/L C2 + 25.6g/L EtOH</t>
  </si>
  <si>
    <t>in-house enriched CE on ethanol and SCFA</t>
  </si>
  <si>
    <t>Rotating shaker</t>
  </si>
  <si>
    <t>2-BESA</t>
  </si>
  <si>
    <t>No CH4</t>
  </si>
  <si>
    <t>8.6g/L (max day 75)</t>
  </si>
  <si>
    <t>0.21 g/L (max day 40)</t>
  </si>
  <si>
    <t xml:space="preserve">synthetic waste with C2, EtOH </t>
  </si>
  <si>
    <t>8.8g/L C2 + 27.5g/L EtOH</t>
  </si>
  <si>
    <t>16% CH4 (day 40)</t>
  </si>
  <si>
    <t>3.6 g/L (max day 91)</t>
  </si>
  <si>
    <t>0.23 g/L (max day 14)</t>
  </si>
  <si>
    <t>synthetic waste with C2</t>
  </si>
  <si>
    <t>8.8g/L C2 +10g/L addition day 19</t>
  </si>
  <si>
    <t>34% CH4 (day 40)</t>
  </si>
  <si>
    <t>2.08 g/L (max day 91)</t>
  </si>
  <si>
    <t>0.19 g/L (max day 40)</t>
  </si>
  <si>
    <t>synthetic waste with EtOH</t>
  </si>
  <si>
    <t>28.5g/L EtOH</t>
  </si>
  <si>
    <t>33% CH4 (day 40)</t>
  </si>
  <si>
    <t>0.89g/L (max day 40)</t>
  </si>
  <si>
    <t>Effects of no inoc, pure culture (C. kluyveri), enriched MMC or bio-augmented enriched MMC</t>
  </si>
  <si>
    <t>Hydrolysed FW leachate (2-stage FW) + EtoH</t>
  </si>
  <si>
    <t>13 gCOD/L + 25g/L EtoH</t>
  </si>
  <si>
    <t>None</t>
  </si>
  <si>
    <t>0 CH4</t>
  </si>
  <si>
    <t>&lt;DL</t>
  </si>
  <si>
    <t>Pure</t>
  </si>
  <si>
    <t>C. kluyveri</t>
  </si>
  <si>
    <t xml:space="preserve">4 mL </t>
  </si>
  <si>
    <t>1% CH4</t>
  </si>
  <si>
    <t>1.12g/L (max day 41)</t>
  </si>
  <si>
    <t>0.16g/L (max day 63)</t>
  </si>
  <si>
    <t>6% CH4</t>
  </si>
  <si>
    <t>2.68g/L (max day 51)</t>
  </si>
  <si>
    <t>0.18g/L (max day 91)</t>
  </si>
  <si>
    <t>0.1g/L C10 day 63</t>
  </si>
  <si>
    <t>in-house enriched CE on ethanol and SCFA + C. kluyveri</t>
  </si>
  <si>
    <t>8.11g/L (max day 28)</t>
  </si>
  <si>
    <t>0.71g/L (max day 51)</t>
  </si>
  <si>
    <t>0.38g/L C10 day 63</t>
  </si>
  <si>
    <t>Chain elongation using a mixed culture with pure C2 and ethanol</t>
  </si>
  <si>
    <t>Acetate (50mM) + H2</t>
  </si>
  <si>
    <t>H2</t>
  </si>
  <si>
    <t>50mM C2</t>
  </si>
  <si>
    <t>enrichment derived from Granular sludge from UASB treating brewery wastewater</t>
  </si>
  <si>
    <t>4.8g/37.5mL wet sludge</t>
  </si>
  <si>
    <t>Y, 5.35-5.65</t>
  </si>
  <si>
    <t xml:space="preserve">manual HCl or NaOH addition day 2, 7, 14, 21 </t>
  </si>
  <si>
    <t>Flushed at start with N2 or H2 with final 1.5x10^5 Pa pressure</t>
  </si>
  <si>
    <t>16.1 mMC</t>
  </si>
  <si>
    <t>28.0 mMC</t>
  </si>
  <si>
    <t>Acetate (50mM) + Ethanol (50mM)</t>
  </si>
  <si>
    <t>50mM C2 + 50 mM EtoH</t>
  </si>
  <si>
    <t>21.5 mMC</t>
  </si>
  <si>
    <t>Acetate (50mM) + Ethanol (50mM) + H2</t>
  </si>
  <si>
    <t>Ethanol/H2</t>
  </si>
  <si>
    <t>34.4 mMC</t>
  </si>
  <si>
    <t>35.2 mMC</t>
  </si>
  <si>
    <t>Batch experiments with microbiome from continuous reactor: varied EtOh/C2 ratio - C8/C6</t>
  </si>
  <si>
    <t>Synthetic syngas fermentation effluent (basal medium with yeast extract, ethanol and acetate)</t>
  </si>
  <si>
    <t>9.6gCODEtOH/L + 0.3gCOD C2/L</t>
  </si>
  <si>
    <t xml:space="preserve">5% v/v </t>
  </si>
  <si>
    <t>0.032g/L Na2CO3 and MES buffer</t>
  </si>
  <si>
    <t>9.6gCODEtOH/L + 0.7gCOD C2/L</t>
  </si>
  <si>
    <t>9.6gCODEtOH/L + 1.6gCOD C2/L</t>
  </si>
  <si>
    <t>9.6gCODEtOH/L + 4.3gCOD C2/L</t>
  </si>
  <si>
    <t>3.8gCODEtOH/L + 0.3gCODC2/L</t>
  </si>
  <si>
    <t>19.2gCODEtOH/L + 1.4gCOD C2/L</t>
  </si>
  <si>
    <t>28.8gCODEtOH/L + 2.1gCOD C2/L</t>
  </si>
  <si>
    <t>3.8gCODEtOH/L + 0.7gCODC2/L</t>
  </si>
  <si>
    <t>19.2gCODEtOH/L + 0.7gCOD C2/L</t>
  </si>
  <si>
    <t>28.8gCODEtOH/L + 0.7gCOD C2/L</t>
  </si>
  <si>
    <t>Batch experiments to evaluate effect of TS and alkalinity in triplicate</t>
  </si>
  <si>
    <t>Simulated OFMSW with addition of inorganic nutrients</t>
  </si>
  <si>
    <t>5% TS</t>
  </si>
  <si>
    <t>AD sewage sludge</t>
  </si>
  <si>
    <t>1.33 F/M (gCOD,fed / gVS, incoc)</t>
  </si>
  <si>
    <t>+- 3.5</t>
  </si>
  <si>
    <t>NaHCO3</t>
  </si>
  <si>
    <t>+- 5 gCOD/L</t>
  </si>
  <si>
    <t>Trace amounts</t>
  </si>
  <si>
    <t>+-4.25</t>
  </si>
  <si>
    <t>+- 17.5 gCOD/L</t>
  </si>
  <si>
    <t>+- 20 gCOD/L</t>
  </si>
  <si>
    <t>+-7</t>
  </si>
  <si>
    <t>+-30 gCOD/L</t>
  </si>
  <si>
    <t>8% TS</t>
  </si>
  <si>
    <t>+- 12gCOD/L</t>
  </si>
  <si>
    <t>+-4</t>
  </si>
  <si>
    <t>+- 18 gCOD/L</t>
  </si>
  <si>
    <t>+-5</t>
  </si>
  <si>
    <t>+- 27 gCOD/L</t>
  </si>
  <si>
    <t>+-6.25</t>
  </si>
  <si>
    <t>+-35 gCOD/L</t>
  </si>
  <si>
    <t>10% TS</t>
  </si>
  <si>
    <t>+-3.25</t>
  </si>
  <si>
    <t>+-10gCOD/L</t>
  </si>
  <si>
    <t>+- 16gCOD/L</t>
  </si>
  <si>
    <t>+-25 gCOD/L</t>
  </si>
  <si>
    <t>+- 25 gCOD/L</t>
  </si>
  <si>
    <t>VFA production and separation from fw</t>
  </si>
  <si>
    <t>OFMSW (2kg OFMSW + 1.5L tap water)</t>
  </si>
  <si>
    <t xml:space="preserve">332.8 COD/L liquid </t>
  </si>
  <si>
    <t>6.3L/d recylcing of leachate</t>
  </si>
  <si>
    <t>+- 30gCOD/kg solid waste</t>
  </si>
  <si>
    <t>Lactic acid consumption</t>
  </si>
  <si>
    <t>Acidogenic potential tests: substrate</t>
  </si>
  <si>
    <t>Glass bottles</t>
  </si>
  <si>
    <t xml:space="preserve">Cheese whey with added inorganic nutrients </t>
  </si>
  <si>
    <t>8gCOD/L</t>
  </si>
  <si>
    <t>2gVSS/L</t>
  </si>
  <si>
    <t>NaHCO3 and KHCO3</t>
  </si>
  <si>
    <t>Stirrer</t>
  </si>
  <si>
    <t>3.374+-0.138gCOD/L</t>
  </si>
  <si>
    <t>&lt;10-14%</t>
  </si>
  <si>
    <t>Acidogenic potential tests: alkalinity</t>
  </si>
  <si>
    <t>More acidification at higher alkalinity and lower F/M</t>
  </si>
  <si>
    <t>Acidogenic potential tests: F/M</t>
  </si>
  <si>
    <t>4-20 gCOD/L</t>
  </si>
  <si>
    <t xml:space="preserve">Sugarcane with added inorganic nutrients </t>
  </si>
  <si>
    <t>NaHCO3 and KHCO4</t>
  </si>
  <si>
    <t>3.110+-0.124gCOD/L</t>
  </si>
  <si>
    <t xml:space="preserve">OFMSW with added inorganic nutrients </t>
  </si>
  <si>
    <t>NaHCO3 and KHCO5</t>
  </si>
  <si>
    <t>2.707+-0.082gCOD/L</t>
  </si>
  <si>
    <t xml:space="preserve">Winery effluent with added inorganic nutrients </t>
  </si>
  <si>
    <t>NaHCO3 and KHCO6</t>
  </si>
  <si>
    <t>1.144+-0.175gCOD/L</t>
  </si>
  <si>
    <t>Effect of alkalinities and F/M</t>
  </si>
  <si>
    <t>Synthetic soft drink wastewater (cola and multi-fruit juice mixture diluted with tap water)</t>
  </si>
  <si>
    <t>4 gCOD/L</t>
  </si>
  <si>
    <t>2.5 +- 0.3gVSS/L</t>
  </si>
  <si>
    <t>Regular N2 flush after sampling (5times)</t>
  </si>
  <si>
    <t>2.4 gCOD/L</t>
  </si>
  <si>
    <t>5.7 +- 0.7 gCOD/L</t>
  </si>
  <si>
    <t>7.0 +- 0.0 gCOD/L</t>
  </si>
  <si>
    <t>6.4 +- 1.2 gCOD/L</t>
  </si>
  <si>
    <t>16.1 gCOD/L</t>
  </si>
  <si>
    <t>7.7 +- 1.1 gCOD/L</t>
  </si>
  <si>
    <t>9.4 +- 1.5 gCOD/L</t>
  </si>
  <si>
    <t>Effect of pH buffer on acidogenic fermentation of vegetable and salad waste</t>
  </si>
  <si>
    <t>Bottle</t>
  </si>
  <si>
    <t>Vegetable and salad waste</t>
  </si>
  <si>
    <t>56.76 +- 3.59 gCOD/L</t>
  </si>
  <si>
    <t>mixed</t>
  </si>
  <si>
    <t>AD sludge</t>
  </si>
  <si>
    <t>6.8-8.0</t>
  </si>
  <si>
    <t>13.3+3.3 NaHCO3</t>
  </si>
  <si>
    <t>none</t>
  </si>
  <si>
    <t>Methane production 75% of biogas</t>
  </si>
  <si>
    <t>+- 45gCOD/L</t>
  </si>
  <si>
    <t>3 g/L</t>
  </si>
  <si>
    <t>between 5.0-6.0</t>
  </si>
  <si>
    <t>+- 19gCOD/L</t>
  </si>
  <si>
    <t>0.9 g/L</t>
  </si>
  <si>
    <t>Effect of pH and retention time of VFA in MCF</t>
  </si>
  <si>
    <t>1:1 mixture primary sludge and waste activated sludge</t>
  </si>
  <si>
    <t>0.343 gCOD/L</t>
  </si>
  <si>
    <t>AD sludge WWTP (mesophilic)</t>
  </si>
  <si>
    <t>+-5.25</t>
  </si>
  <si>
    <t>18% HCl and 3M KOH</t>
  </si>
  <si>
    <t>N2/CO2 (80/20) flushed at start</t>
  </si>
  <si>
    <t>0.239g/gVSadded</t>
  </si>
  <si>
    <t>+-7%</t>
  </si>
  <si>
    <t>5.5mL/gVS added CH4</t>
  </si>
  <si>
    <t>0.390g/gVSadded</t>
  </si>
  <si>
    <t>+-6.3%</t>
  </si>
  <si>
    <t>225mL/gVS added CH4</t>
  </si>
  <si>
    <t>0.067g/gVS added</t>
  </si>
  <si>
    <t>+-24%</t>
  </si>
  <si>
    <t>319mL/gVS added CH4</t>
  </si>
  <si>
    <t>0.037g/gVSadded</t>
  </si>
  <si>
    <t>+-23%</t>
  </si>
  <si>
    <t>29mL/gVS added CH4</t>
  </si>
  <si>
    <t>0.012g/gVSadded</t>
  </si>
  <si>
    <t>+-55.9%</t>
  </si>
  <si>
    <t>0.277g/gVSadded</t>
  </si>
  <si>
    <t>+-5.2%</t>
  </si>
  <si>
    <t>0.190g/gVS added</t>
  </si>
  <si>
    <t>+-6%</t>
  </si>
  <si>
    <t>0.039g/gVS added</t>
  </si>
  <si>
    <t>0.228g/gVSadded</t>
  </si>
  <si>
    <t>82mL/gVS added CH4</t>
  </si>
  <si>
    <t>0.230g/gVSadded</t>
  </si>
  <si>
    <t>+-6.5%</t>
  </si>
  <si>
    <t>381mL/gVS added CH4</t>
  </si>
  <si>
    <t>0.016g/gVSadded</t>
  </si>
  <si>
    <t>+-13%</t>
  </si>
  <si>
    <t>409mL/gVS added CH4</t>
  </si>
  <si>
    <t>0.052g/gVSadded</t>
  </si>
  <si>
    <t>+-17.3</t>
  </si>
  <si>
    <t>462mL/gVS added CH4</t>
  </si>
  <si>
    <t>0.017g/gVSadded</t>
  </si>
  <si>
    <t>111mL/gVS added CH4</t>
  </si>
  <si>
    <t>0.420g/gVSadded</t>
  </si>
  <si>
    <t>0.261g/gVSadded</t>
  </si>
  <si>
    <t>+-5.5%</t>
  </si>
  <si>
    <t>0.629g/gVSadded</t>
  </si>
  <si>
    <t>+-3%</t>
  </si>
  <si>
    <t>0.267g/gVS added</t>
  </si>
  <si>
    <t>+-9%</t>
  </si>
  <si>
    <t>238mL/gVS added CH4</t>
  </si>
  <si>
    <t>0.207g/gVSadded</t>
  </si>
  <si>
    <t>642mL/gVS added CH4</t>
  </si>
  <si>
    <t>0.005g/gVSadded</t>
  </si>
  <si>
    <t>480mL/gVS added CH4</t>
  </si>
  <si>
    <t>0.025g/gVS added</t>
  </si>
  <si>
    <t>+-17%</t>
  </si>
  <si>
    <t>534mL/gVS added CH4</t>
  </si>
  <si>
    <t>154mL/gVS added CH4</t>
  </si>
  <si>
    <t>0.621g/hVSadded</t>
  </si>
  <si>
    <t>0.540g/gVSadded</t>
  </si>
  <si>
    <t>+-4.5</t>
  </si>
  <si>
    <t>0.461g/gVSadded</t>
  </si>
  <si>
    <t>Carboxylic acid production from brewer's spent grain (pH, etoh and lactic)</t>
  </si>
  <si>
    <t>Erlenmeyer with brewing air lock</t>
  </si>
  <si>
    <t>35g BSG with total solid 5%</t>
  </si>
  <si>
    <t>Activated sludge WWTP</t>
  </si>
  <si>
    <t>8.82 gVS/L</t>
  </si>
  <si>
    <t>6M HCl and NaOH</t>
  </si>
  <si>
    <t>Orbital shaker</t>
  </si>
  <si>
    <t>Unmodified</t>
  </si>
  <si>
    <t>&lt;0.1g/L</t>
  </si>
  <si>
    <t>pH drop to 3.8 after 1 day and maintained - lactic highest day 10 at 9.2g/L</t>
  </si>
  <si>
    <t>+-13g/L</t>
  </si>
  <si>
    <t>0.3g/L</t>
  </si>
  <si>
    <t>LA dominant for first 5 days, then reduced to 0 wuth VFA prod + CE</t>
  </si>
  <si>
    <t>LA dominant for first 5 days, then reduced to 0 wuth VFA prod, No CE</t>
  </si>
  <si>
    <t>Brewer's spent grain with 3x ethanol addition to 2-2.5g/L when levels dropped</t>
  </si>
  <si>
    <t>0.9g/L</t>
  </si>
  <si>
    <t>EtOH addition kept C3 and C4 the same but C6 increase, ethanol residual - etoh addition triggered CE</t>
  </si>
  <si>
    <t>Brewer's spent grain with 5x lactic acid addition to 1.5-6.0 g/L when levels dropped</t>
  </si>
  <si>
    <t>LA consumed, increase in C3 and C4, no CE</t>
  </si>
  <si>
    <t>extraction</t>
  </si>
  <si>
    <t>Lignocellulosic biomass for acidogenesis to test NF membranes</t>
  </si>
  <si>
    <t>Glass bottle</t>
  </si>
  <si>
    <t>pretreated willow biomass</t>
  </si>
  <si>
    <t>75g dry biomass/L TS</t>
  </si>
  <si>
    <t>Mixture of silage, rumen fluid and compost</t>
  </si>
  <si>
    <t>volatile solid ratio of 1g inoc to 10 g willow and total solids 75g dry biomass/L</t>
  </si>
  <si>
    <t>large buffer capacity of substrate hypothesised</t>
  </si>
  <si>
    <t>6.7 to 38.2</t>
  </si>
  <si>
    <t>2.1 to 30g/L</t>
  </si>
  <si>
    <t>38.68g/L</t>
  </si>
  <si>
    <t>Glass bottle with extraction (NF)</t>
  </si>
  <si>
    <t>20.21 g/L</t>
  </si>
  <si>
    <t>CE with methanol</t>
  </si>
  <si>
    <t>Acetate, ethanol, methanol (and growth medium)</t>
  </si>
  <si>
    <t>Ethanol/methanol</t>
  </si>
  <si>
    <t>200mM methanol + 50mM C2</t>
  </si>
  <si>
    <t>enriched mixed culture (CE on ethanol UAB) with added  E. limosum</t>
  </si>
  <si>
    <t>5.9-6.1?</t>
  </si>
  <si>
    <t>No</t>
  </si>
  <si>
    <t>Pressurized 1.5bar 80/20 N2/CO2</t>
  </si>
  <si>
    <t>191mMC</t>
  </si>
  <si>
    <t>3mMC</t>
  </si>
  <si>
    <t>No C6 when less methanol, acetate or no enrichment</t>
  </si>
  <si>
    <t>Scale-up effect</t>
  </si>
  <si>
    <t>Glass serum bottle</t>
  </si>
  <si>
    <t>DSM 52 medium (yeast extract), Ethanol (305+-8mM) , acetate (252+-8mM)</t>
  </si>
  <si>
    <t>enriched in-house inoculum cultivated with sterile medium</t>
  </si>
  <si>
    <t>0. OD (600nm) of microbiome in growth phase</t>
  </si>
  <si>
    <t>shaken once a day</t>
  </si>
  <si>
    <t>Enriched inoculum</t>
  </si>
  <si>
    <t>no methane produced</t>
  </si>
  <si>
    <t>N2/CO2 flushed at start</t>
  </si>
  <si>
    <t>843.2 +- 20 C mM</t>
  </si>
  <si>
    <t>89.2 +- 2 mM</t>
  </si>
  <si>
    <t>anaerobic glove box</t>
  </si>
  <si>
    <t>Tailor made lab flask (glass)</t>
  </si>
  <si>
    <t>DSM 52 medium (yeast extract), Ethanol (318+-11mM), acetate (254+-4mM)</t>
  </si>
  <si>
    <t>977.8 +- 22.8 mM C</t>
  </si>
  <si>
    <t>90+-1mM</t>
  </si>
  <si>
    <t>Standard bioreactor (glass)</t>
  </si>
  <si>
    <t>DSM 52 medium (yeast extract), Ethanol (322+-3mM), acetate (300+-2mM)</t>
  </si>
  <si>
    <t>mechanical stirrer</t>
  </si>
  <si>
    <t>97.3 +- 2.4 mM</t>
  </si>
  <si>
    <t>Production of MCCAs with subsequent Kolbe electrochemical conversion to alkanes (2 independent studies)</t>
  </si>
  <si>
    <t>LBR (with offline pertraction and kolbe electrolysis)</t>
  </si>
  <si>
    <t>Corn silage</t>
  </si>
  <si>
    <t>digester sludge from 1st phase of 2-phasic AD</t>
  </si>
  <si>
    <t>4.33 L digestate</t>
  </si>
  <si>
    <t>10 M NaOH</t>
  </si>
  <si>
    <t>recirculation of leachate 0.63L/min</t>
  </si>
  <si>
    <t>0.144 gCOD/L/d</t>
  </si>
  <si>
    <t>0.005 gCOD/L/d</t>
  </si>
  <si>
    <t>CE/extraction</t>
  </si>
  <si>
    <t>OFMSW treated for CE followed by extraction in bio-diesel, multistep bioref approach - primary fermenter</t>
  </si>
  <si>
    <t>leachate of OFMSW (65% green waste, 21%fw, 14% unwanted -&gt; leachate fermented)</t>
  </si>
  <si>
    <t>30-45</t>
  </si>
  <si>
    <t>+- 500 mol in 900L</t>
  </si>
  <si>
    <t>23% approx of 500 mol in 900 L</t>
  </si>
  <si>
    <t>&lt;5%</t>
  </si>
  <si>
    <t>OFMSW treated for CE followed by extraction in bio-diesel, multistep bioref approach - secondary fermenter (i.e. ethanol addition)</t>
  </si>
  <si>
    <t>prefermented OFMSW leachate + ethanol</t>
  </si>
  <si>
    <t>40 mol/900L</t>
  </si>
  <si>
    <t>UAB</t>
  </si>
  <si>
    <t>Optimum alcohol concentration for CE of cellulosic substrate</t>
  </si>
  <si>
    <t>Shredded office paper and dry chicken manure with urea addition (CN 25-30 (w/w))  0g/L etoh</t>
  </si>
  <si>
    <t>10% solids</t>
  </si>
  <si>
    <t xml:space="preserve">Beach sediment </t>
  </si>
  <si>
    <t>12.5% total volume</t>
  </si>
  <si>
    <t>6.8-7.0</t>
  </si>
  <si>
    <t>MgCO3</t>
  </si>
  <si>
    <t>4g/L</t>
  </si>
  <si>
    <t>Shredded office paper and dry chicken manure with urea addition (CN 25-30 (w/w)) 5g/L etoh</t>
  </si>
  <si>
    <t>10% solids +etoh</t>
  </si>
  <si>
    <t>6g/L</t>
  </si>
  <si>
    <t>Shredded office paper and dry chicken manure with urea addition (CN 25-30 (w/w)) 10 g/L etoh</t>
  </si>
  <si>
    <t>9g/L</t>
  </si>
  <si>
    <t>Shredded office paper and dry chicken manure with urea addition (CN 25-30 (w/w)) 15g/L etoh</t>
  </si>
  <si>
    <t>8g/L</t>
  </si>
  <si>
    <t>Shredded office paper and dry chicken manure with urea addition (CN 25-30 (w/w)) 20g/L etoh</t>
  </si>
  <si>
    <t>Shredded office paper and dry chicken manure with urea addition (CN 25-30 (w/w)) 40g/L etoh</t>
  </si>
  <si>
    <t>&lt;1g/L</t>
  </si>
  <si>
    <t>Syntehtic</t>
  </si>
  <si>
    <t>Ethanol (42.5g/3L) ,  meat extract (4gDM/3L), chalk</t>
  </si>
  <si>
    <t>34.49 gsCOD/L</t>
  </si>
  <si>
    <t>Riverbed chalk/open</t>
  </si>
  <si>
    <t>20-30</t>
  </si>
  <si>
    <t>Chalk</t>
  </si>
  <si>
    <t>6 g/L</t>
  </si>
  <si>
    <t>Comparing acidogenic potential and methane potential of differenct substrates</t>
  </si>
  <si>
    <t>Trub</t>
  </si>
  <si>
    <t>acid and heat pretreated ad sludge</t>
  </si>
  <si>
    <t>4 gCODsub/gCODinoc</t>
  </si>
  <si>
    <t>1 M HCl or NaOH</t>
  </si>
  <si>
    <t>pH 5.5 + organic overload</t>
  </si>
  <si>
    <t>N2 flushed at start and after sampling</t>
  </si>
  <si>
    <t>Spent yeast</t>
  </si>
  <si>
    <t>Spent grain</t>
  </si>
  <si>
    <t>pear pulp</t>
  </si>
  <si>
    <t>date pulp</t>
  </si>
  <si>
    <t>apple pulp</t>
  </si>
  <si>
    <t>VFA from cellulosic biomass with rumen microbiome enriched with C kluyveri and ethanol</t>
  </si>
  <si>
    <t>none (only inoculum)</t>
  </si>
  <si>
    <t>300mL/L inoc</t>
  </si>
  <si>
    <t>Ruminal microflora</t>
  </si>
  <si>
    <t>300mL/l</t>
  </si>
  <si>
    <t>Methane produced (not quantified)</t>
  </si>
  <si>
    <t>CO2 gas phase in head space</t>
  </si>
  <si>
    <t>0.2 mM</t>
  </si>
  <si>
    <t xml:space="preserve">Cellulosic biomass (switchgrass herbage) </t>
  </si>
  <si>
    <t>9g dw/L swg</t>
  </si>
  <si>
    <t>0.4 mM</t>
  </si>
  <si>
    <t>Cellulosic biomass (witchgrass herbage) + ethanol</t>
  </si>
  <si>
    <t>10.37g/L etoh and 9g dw/L swg</t>
  </si>
  <si>
    <t>0.2mM</t>
  </si>
  <si>
    <t>Cellulosic biomass (switchgrass herbage) + ethanol</t>
  </si>
  <si>
    <t>Ruminal microflora + c kluyveri</t>
  </si>
  <si>
    <t>42.1 mM</t>
  </si>
  <si>
    <t xml:space="preserve"> ethanol</t>
  </si>
  <si>
    <t>10.37g/L etoh</t>
  </si>
  <si>
    <t>33.2 mM</t>
  </si>
  <si>
    <t>Cellulosic biomass (alfalfa stems) + ethanol</t>
  </si>
  <si>
    <t>10.37g/L etoh and 9g dw/L as</t>
  </si>
  <si>
    <t>7.8 mM</t>
  </si>
  <si>
    <t>52.5 mM</t>
  </si>
  <si>
    <t>7.6 mM</t>
  </si>
  <si>
    <t>27 mM</t>
  </si>
  <si>
    <t>Studying transit of fermentation products and community during primary fermentation of maize silage</t>
  </si>
  <si>
    <t>Maize silage (tap water diluted)</t>
  </si>
  <si>
    <t>200g/0.5L maize silage (41.6% TSFM)</t>
  </si>
  <si>
    <t>enriched in-house microbiome from natural microbiome in maize</t>
  </si>
  <si>
    <t>NA (300 mL/h percolation)</t>
  </si>
  <si>
    <t>low pH</t>
  </si>
  <si>
    <t>11.24 g/L</t>
  </si>
  <si>
    <t>2.77 g/L</t>
  </si>
  <si>
    <t>Studying impact of substrate type and pH on VFA production</t>
  </si>
  <si>
    <t>glucose</t>
  </si>
  <si>
    <t>5.33 gsCOD/L</t>
  </si>
  <si>
    <t>0.05gVS/L</t>
  </si>
  <si>
    <t>18% HCl and 3 M KOH</t>
  </si>
  <si>
    <t>CO2/N2 20/80 flush at start</t>
  </si>
  <si>
    <t>0.01g/gsCOD</t>
  </si>
  <si>
    <t>cheese whey</t>
  </si>
  <si>
    <t>7.23 gsCOD/L</t>
  </si>
  <si>
    <t>0.03g/gsCOD</t>
  </si>
  <si>
    <t>&lt;0.01g/gsCOD</t>
  </si>
  <si>
    <t>5.16 gsCOD/L</t>
  </si>
  <si>
    <t>microalgae biomass</t>
  </si>
  <si>
    <t>3.73 gsCOD/L</t>
  </si>
  <si>
    <t>0.02g/gsCOD</t>
  </si>
  <si>
    <t>high pH</t>
  </si>
  <si>
    <t>BES</t>
  </si>
  <si>
    <t>VFA from H2 and CO2 (syngas)</t>
  </si>
  <si>
    <t>Hollow fibre membrane biofilm</t>
  </si>
  <si>
    <t>H2/CO2 60/40 + nutrient medium</t>
  </si>
  <si>
    <t>Enriched in-house culture producing methane</t>
  </si>
  <si>
    <t>2 M NaOH</t>
  </si>
  <si>
    <t>recirculation (0.5L/min)</t>
  </si>
  <si>
    <t>little methane</t>
  </si>
  <si>
    <t>anaerobic</t>
  </si>
  <si>
    <t>0.7g/L</t>
  </si>
  <si>
    <t>0.42g/L</t>
  </si>
  <si>
    <t>Fermentation flask</t>
  </si>
  <si>
    <t>Ethanol (28.8g)</t>
  </si>
  <si>
    <t>3.53 g/L</t>
  </si>
  <si>
    <t>2.91g/L C4, Unmiscible, oily layer, Co-occurrence of methanogen species with spore-forming bacteria</t>
  </si>
  <si>
    <t>Effect of biochar (20g/L, produced from pine by charring) on product toxicity  - with biochar</t>
  </si>
  <si>
    <t>?</t>
  </si>
  <si>
    <t>CE/H2</t>
  </si>
  <si>
    <t>Effect of methanogen inhibition, inoculum and organic load on H2 and C6 production from cassava wastewater</t>
  </si>
  <si>
    <t>Diluted cassava wastewater with nutrient addition and buffer</t>
  </si>
  <si>
    <t>ethanol (in-situ produced)</t>
  </si>
  <si>
    <t>10gCOD/L</t>
  </si>
  <si>
    <t>2gTVS/L</t>
  </si>
  <si>
    <t>2M HCl or NaOH</t>
  </si>
  <si>
    <t>acetylene injection into the headspace (1% v/v)</t>
  </si>
  <si>
    <t>no methane detected</t>
  </si>
  <si>
    <t>acetylene injection into the headspace (1% v/v) - probably opening of headspace at sampling points</t>
  </si>
  <si>
    <t>+- 500 mg/L</t>
  </si>
  <si>
    <t>Heat treatment of inoculum (120C 1atm 30min)</t>
  </si>
  <si>
    <t>opening of headspace at sampling?</t>
  </si>
  <si>
    <t>+-500mg/L</t>
  </si>
  <si>
    <t>20gCOD/L</t>
  </si>
  <si>
    <t>+-750mg/L</t>
  </si>
  <si>
    <t>40gCOD/L</t>
  </si>
  <si>
    <t>Bovine rumen</t>
  </si>
  <si>
    <t>AD textile sludge (enriched in clostridium sp.)</t>
  </si>
  <si>
    <t>+-200mg/L</t>
  </si>
  <si>
    <t>1g/L</t>
  </si>
  <si>
    <t>Fed-batch</t>
  </si>
  <si>
    <t>Continuous</t>
  </si>
  <si>
    <t xml:space="preserve">Batch </t>
  </si>
  <si>
    <t>Overview data of experiments operating in batch using complex feedstock</t>
  </si>
  <si>
    <t>Overview data of experiments operating fed-batch using complex feedstock</t>
  </si>
  <si>
    <t>Overview data of experiments operating semi-continuously using complex feedstock</t>
  </si>
  <si>
    <t>Constants used in calculations</t>
  </si>
  <si>
    <t>Compound</t>
  </si>
  <si>
    <t>Acronym</t>
  </si>
  <si>
    <t>Formula</t>
  </si>
  <si>
    <t>MW</t>
  </si>
  <si>
    <t>Ox</t>
  </si>
  <si>
    <t>g/mol</t>
  </si>
  <si>
    <t>molO2/mol</t>
  </si>
  <si>
    <t>molC/mol</t>
  </si>
  <si>
    <t>GAS</t>
  </si>
  <si>
    <t>methane</t>
  </si>
  <si>
    <t>CH4</t>
  </si>
  <si>
    <t>carbon dioxide</t>
  </si>
  <si>
    <t>CO2</t>
  </si>
  <si>
    <t>hydrogen</t>
  </si>
  <si>
    <t>formic acid</t>
  </si>
  <si>
    <t>C1</t>
  </si>
  <si>
    <t>CH2O2</t>
  </si>
  <si>
    <t>actecic acid</t>
  </si>
  <si>
    <t>C2</t>
  </si>
  <si>
    <t>C2H4O2</t>
  </si>
  <si>
    <t>propionic acid</t>
  </si>
  <si>
    <t>C3</t>
  </si>
  <si>
    <t>C3H6O2</t>
  </si>
  <si>
    <t>n-butyric acid</t>
  </si>
  <si>
    <t>C4</t>
  </si>
  <si>
    <t>C4H8O2</t>
  </si>
  <si>
    <t>n-valeric acid</t>
  </si>
  <si>
    <t>C5</t>
  </si>
  <si>
    <t>C5H10O2</t>
  </si>
  <si>
    <t>n-caproic acid</t>
  </si>
  <si>
    <t>C6H12O2</t>
  </si>
  <si>
    <t>n-heptanoic acid</t>
  </si>
  <si>
    <t>C7H14O2</t>
  </si>
  <si>
    <t>n-caprylic acid</t>
  </si>
  <si>
    <t>C8H16O2</t>
  </si>
  <si>
    <t>n-nonanoic acid</t>
  </si>
  <si>
    <t>C9</t>
  </si>
  <si>
    <t>C9H18O2</t>
  </si>
  <si>
    <t>OTHER</t>
  </si>
  <si>
    <t>Lac</t>
  </si>
  <si>
    <t>C3H6O3</t>
  </si>
  <si>
    <t>EtOH</t>
  </si>
  <si>
    <t>C2H6O</t>
  </si>
  <si>
    <t>Gluc</t>
  </si>
  <si>
    <t>C6H12O6</t>
  </si>
  <si>
    <t>glycerol</t>
  </si>
  <si>
    <t>Glyc</t>
  </si>
  <si>
    <t>C3H8O3</t>
  </si>
  <si>
    <t>sucrose</t>
  </si>
  <si>
    <t>Suc</t>
  </si>
  <si>
    <t>C12H22O11</t>
  </si>
  <si>
    <t>g/L</t>
  </si>
  <si>
    <t>M (mol/L)</t>
  </si>
  <si>
    <t>gC/L</t>
  </si>
  <si>
    <t>MC (molC/L)</t>
  </si>
  <si>
    <t>Conversion example</t>
  </si>
  <si>
    <t>Target</t>
  </si>
  <si>
    <t xml:space="preserve">Different COD load and CO2 and H2 </t>
  </si>
  <si>
    <t>Stirred tank reactor</t>
  </si>
  <si>
    <t>Description</t>
  </si>
  <si>
    <t>Reactor description</t>
  </si>
  <si>
    <t>units</t>
  </si>
  <si>
    <t>Parameter</t>
  </si>
  <si>
    <r>
      <t>Temperature (</t>
    </r>
    <r>
      <rPr>
        <b/>
        <sz val="11"/>
        <color theme="1"/>
        <rFont val="Calibri"/>
        <family val="2"/>
      </rPr>
      <t>°C)</t>
    </r>
  </si>
  <si>
    <t>Total carboxylic</t>
  </si>
  <si>
    <t>Feedstock description</t>
  </si>
  <si>
    <t>Feedstock</t>
  </si>
  <si>
    <t>Environmental conditions</t>
  </si>
  <si>
    <t>Arslan, D.; Steinbusch, K.J.; Diels, L.; De Wever, H.; Hamelers, H.V.; Buisman, C.J. Selective carboxylate production by controlling hydrogen, carbon dioxide and substrate concentrations in mixed culture fermentation. Bioresour Technol 2013, 136, 452-460, doi:10.1016/j.biortech.2013.03.063.</t>
  </si>
  <si>
    <t>Agler, M.T.; Spirito, C.M.; Usack, J.G.; Werner, J.J.; Angenent, L.T. Development of a highly specific and productive process for n-caproic acid production: applying lessons from methanogenic microbiomes. Water Sci Technol 2014, 69, 62-68, doi:10.2166/wst.2013.549</t>
  </si>
  <si>
    <t>100 mM EtOH + 50mM C1 (and mineral stock medium)</t>
  </si>
  <si>
    <t>100 mM EtOH + 50mM C2  (and mineral stock medium)</t>
  </si>
  <si>
    <t>100 mM EtOH + 50mM C3  (and mineral stock medium)</t>
  </si>
  <si>
    <t>100 mM EtOH + 50mM C4  (and mineral stock medium)</t>
  </si>
  <si>
    <t>100 mM EtOH + 50mM i-C4  (and mineral stock medium)</t>
  </si>
  <si>
    <t>100 mM EtOH + 50mM C5  (and mineral stock medium)</t>
  </si>
  <si>
    <t>100 mM EtOH + 50mM C6  (and mineral stock medium)</t>
  </si>
  <si>
    <t>50 mM C2 + 100 mM methanol  (and mineral stock medium)</t>
  </si>
  <si>
    <t>50 mM C2 + 100 mM EtOH  (and mineral stock medium)</t>
  </si>
  <si>
    <t>50 mM C2 + 100 mM propanol  (and mineral stock medium)</t>
  </si>
  <si>
    <t>50 mM C2 + 100 mM butanol  (and mineral stock medium)</t>
  </si>
  <si>
    <t>1M HCl/NaOH at start</t>
  </si>
  <si>
    <t xml:space="preserve">Shaker plate </t>
  </si>
  <si>
    <t>Magnetic stirrer</t>
  </si>
  <si>
    <t>23 gCOD/L</t>
  </si>
  <si>
    <t>Food waste - Liquid, ethanol rich (35.91 gEtOH/L) food waste</t>
  </si>
  <si>
    <t>8 - 7.5</t>
  </si>
  <si>
    <t>9 - 7.5</t>
  </si>
  <si>
    <t>graph</t>
  </si>
  <si>
    <t>enriched in-house inoculum adapted to yellow water, from pit-mud inoculum</t>
  </si>
  <si>
    <t>6.0-6.5</t>
  </si>
  <si>
    <t>Coma, M.; Martinez-Hernandez, E.; Abeln, F.; Raikova, S.; Donnelly, J.; Arnot, T.C.; Allen, M.J.; Hong, D.D.; Chuck, C.J. Organic waste as a sustainable feedstock for platform chemicals. Faraday Discuss 2017, 202, 175-195, doi:10.1039/c7fd00070g.</t>
  </si>
  <si>
    <t>Coma, M.; Vilchez-Vargas, R.; Roume, H.; Jauregui, R.; Pieper, D.H.; Rabaey, K. Product Diversity Linked to Substrate Usage in Chain Elongation by Mixed-Culture Fermentation. Environ Sci Technol 2016, 50, 6467-6476, doi:10.1021/acs.est.5b06021.</t>
  </si>
  <si>
    <t>Identifying substrate for CE in yellow water fermentation</t>
  </si>
  <si>
    <t>34.2 gCOD/L</t>
  </si>
  <si>
    <t>30.1 gCOD/L</t>
  </si>
  <si>
    <t>6.6 gCOD/L</t>
  </si>
  <si>
    <t>Zhu, X.; Tao, Y.; Liang, C.; Li, X.; Wei, N.; Zhang, W.; Zhou, Y.; Yang, Y.; Bo, T. The synthesis of n-caproate from lactate: a new efficient process for medium-chain carboxylates production. Sci Rep 2015, 5, 14360, doi:10.1038/srep14360.</t>
  </si>
  <si>
    <t>Grootscholten, T.I.M.; Kinsky dal Borgo, F.; Hamelers, H.V.M.; Buisman, C.J.N. Promoting chain elongation in mixed culture acidification reactors by addition of ethanol. Biomass and Bioenergy 2013, 48, 10-16, doi:10.1016/j.biombioe.2012.11.019.</t>
  </si>
  <si>
    <t>OFMS</t>
  </si>
  <si>
    <t>Organic fraction of municipal solid waste</t>
  </si>
  <si>
    <t>not applicable / not available</t>
  </si>
  <si>
    <t>pretreated inoculum</t>
  </si>
  <si>
    <t>Washed AD digestate (potato wastewater granular sludge) - Pretreated</t>
  </si>
  <si>
    <t>22.4 gCOD/L</t>
  </si>
  <si>
    <t>19.8 gCOD/L</t>
  </si>
  <si>
    <t>24.0 gCOD/L</t>
  </si>
  <si>
    <t>0.4 +- 0.1 g/L</t>
  </si>
  <si>
    <t>1.5 +-0.1g/L</t>
  </si>
  <si>
    <t>0.4+-0.0 g/L</t>
  </si>
  <si>
    <t>Hollister, E.B.; Forrest, A.K.; Wilkinson, H.H.; Ebbole, D.J.; Malfatti, S.A.; Tringe, S.G.; Holtzapple, M.T.; Gentry, T.J. Structure and dynamics of the microbial communities underlying the carboxylate platform for biofuel production. Appl Microbiol Biotechnol 2010, 88, 389-399, doi:10.1007/s00253-010-2789-7.</t>
  </si>
  <si>
    <t>Polypropylene centrifuge bottles</t>
  </si>
  <si>
    <t>rolled, steering apparatus</t>
  </si>
  <si>
    <t>N2 flushed at start, venting apparatus</t>
  </si>
  <si>
    <t>Nzeteu, C.O.; Trego, A.C.; Abram, F.; O'Flaherty, V. Reproducible, high-yielding, biological caproate production from food waste using a single-phase anaerobic reactor system. Biotechnol Biofuels 2018, 11, 108, doi:10.1186/s13068-018-1101-4.</t>
  </si>
  <si>
    <t xml:space="preserve">NA </t>
  </si>
  <si>
    <t>graphs available</t>
  </si>
  <si>
    <t>Reddy, M.V.; Mohan, S.V.; Chang, Y.C. Sustainable production of medium chain fatty acids (MCFA) with an enriched mixed bacterial culture: microbial characterization using molecular methods. Sustainable Energy &amp; Fuels 2018, 2, 372-380, doi:10.1039/c7se00467b.</t>
  </si>
  <si>
    <t>Effects of substrate, electron donor and methane inhibition on CE</t>
  </si>
  <si>
    <t xml:space="preserve">2 mL </t>
  </si>
  <si>
    <t>Reddy, M.V.; Hayashi, S.; Choi, D.; Cho, H.; Chang, Y.C. Short chain and medium chain fatty acids production using food waste under non-augmented and bio-augmented conditions. Journal of Cleaner Production 2018, 176, 645-653, doi:10.1016/j.jclepro.2017.12.166.</t>
  </si>
  <si>
    <t>MMC</t>
  </si>
  <si>
    <t>mixed microbial culture</t>
  </si>
  <si>
    <t>Yes</t>
  </si>
  <si>
    <t>FW</t>
  </si>
  <si>
    <t>Food waste</t>
  </si>
  <si>
    <t>acidic pH suggested as cause for limited methanogenesis</t>
  </si>
  <si>
    <t xml:space="preserve">Values estimated from graphs </t>
  </si>
  <si>
    <t>graph available</t>
  </si>
  <si>
    <t>Could be derived from graph</t>
  </si>
  <si>
    <t>Steinbusch, K.J.J.; Hamelers, H.V.M.; Plugge, C.M.; Buisman, C.J.N. Biological formation of caproate and caprylate from acetate: fuel and chemical production from low grade biomass. Energy Environ. Sci. 2011, 4, 216-224, doi:10.1039/c0ee00282h.</t>
  </si>
  <si>
    <t>10gCOD/L (started with 8.98gCOD/L C6)</t>
  </si>
  <si>
    <t>Kucek, L.A.; Spirito, C.M.; Angenent, L.T. High n-caprylate productivities and specificities from dilute ethanol and acetate: chain elongation with microbiomes to upgrade products from syngas fermentation. Energy &amp; Environmental Science 2016, 9, 3482-3494, doi:10.1039/c6ee01487a.</t>
  </si>
  <si>
    <t>TS</t>
  </si>
  <si>
    <t>total solids</t>
  </si>
  <si>
    <t>+-</t>
  </si>
  <si>
    <t>approx., estimation</t>
  </si>
  <si>
    <t xml:space="preserve"> +-6.8</t>
  </si>
  <si>
    <t>NA (enriched inoc, low pH)</t>
  </si>
  <si>
    <t>Gameiro, T.; Lopes, M.; Marinho, R.; Vergine, P.; Nadais, H.; Capela, I. Hydrolytic-Acidogenic Fermentation of Organic Solid Waste for Volatile Fatty Acids Production at Different Solids Concentrations and Alkalinity Addition. Water, Air, &amp; Soil Pollution 2016, 227, doi:10.1007/s11270-016-3086-6.</t>
  </si>
  <si>
    <t>Earliest report of C6 production from ethanol in MMC</t>
  </si>
  <si>
    <t>Yesil, H.; Tugtas, A.E.; Bayrakdar, A.; Calli, B. Anaerobic fermentation of organic solid wastes: volatile fatty acid production and separation. Water Sci Technol 2014, 69, 2132-2138, doi:10.2166/wst.2014.132.</t>
  </si>
  <si>
    <t>2.5 to 3 gC6/kg solid wasste</t>
  </si>
  <si>
    <t>Silva, F.C.; Serafim, L.S.; Nadais, H.; Arroja, L.; Capelaa, I. Acidogenic fermentation towards valorisation of organic waste streams into volatile fatty acids. Chem. Biochem. Eng. Q. 2013, 27, 467-476.</t>
  </si>
  <si>
    <t>Vergine, P.; Sousa, F.; Lopes, M.; Silva, F.; Gameiro, T.; Nadais, H.; Capela, I. Synthetic soft drink wastewater suitability for the production of volatile fatty acids. Process Biochemistry 2015, 50, 1308-1312, doi:10.1016/j.procbio.2015.04.007.</t>
  </si>
  <si>
    <t>none (low pH suggested)</t>
  </si>
  <si>
    <t>Bolaji, I.O.; Dionisi, D. Acidogenic fermentation of vegetable and salad waste for chemicals production: Effect of pH buffer and retention time. Journal of Environmental Chemical Engineering 2017, 5, 5933-5943, doi:10.1016/j.jece.2017.11.001.</t>
  </si>
  <si>
    <t>F/M</t>
  </si>
  <si>
    <t>MCF</t>
  </si>
  <si>
    <t>Mixed culture fermentation</t>
  </si>
  <si>
    <t>feed-to-microbial ratio</t>
  </si>
  <si>
    <t>Abbreviations</t>
  </si>
  <si>
    <t>Colour code</t>
  </si>
  <si>
    <t>15.10 g/L (max at d4)</t>
  </si>
  <si>
    <t>30.19g/L (d10)</t>
  </si>
  <si>
    <t>Jankowska, E.; Chwialkowska, J.; Stodolny, M.; Oleskowicz-Popiel, P. Effect of pH and retention time on volatile fatty acids production during mixed culture fermentation. Bioresour Technol 2015, 190, 274-280, doi:10.1016/j.biortech.2015.04.096.</t>
  </si>
  <si>
    <t>Liang, S.; Wan, C. Carboxylic acid production from brewer's spent grain via mixed culture fermentation. Bioresour Technol 2015, 182, 179-183, doi:10.1016/j.biortech.2015.01.082.</t>
  </si>
  <si>
    <t>Brewer's spent grain (BSG)</t>
  </si>
  <si>
    <t>WWTP</t>
  </si>
  <si>
    <t>Wastewater treatment plant</t>
  </si>
  <si>
    <t>Unmodified, brewing air lock</t>
  </si>
  <si>
    <t>Xiong, B.; Richard, T.L.; Kumar, M. Integrated acidogenic digestion and carboxylic acid separation by nanofiltration membranes for the lignocellulosic carboxylate platform. Journal of Membrane Science 2015, 489, 275-283, doi:10.1016/j.memsci.2015.04.022.</t>
  </si>
  <si>
    <t>Chen, W.S.; Ye, Y.; Steinbusch, K.J.J.; Strik, D.P.B.T.B.; Buisman, C.J.N. Methanol as an alternative electron donor in chain elongation for butyrate and caproate formation. Biomass and Bioenergy 2016, 93, 201-208, doi:10.1016/j.biombioe.2016.07.008.</t>
  </si>
  <si>
    <t>Hegner, R.; Koch, C.; Riechert, V.; Harnisch, F. Microbiome-based carboxylic acids production: from serum bottles to bioreactors. RSC Advances 2017, 7, 15362-15371, doi:10.1039/c6ra28259h.</t>
  </si>
  <si>
    <t>Urban, C.; Xu, J.; Sträuber, H.; dos Santos Dantas, T.R.; Mühlenberg, J.; Härtig, C.; Angenent, L.T.; Harnisch, F. Production of drop-in fuels from biomass at high selectivity by combined microbial and electrochemical conversion. Energy &amp; Environmental Science 2017, 10, 2231-2244, doi:10.1039/c7ee01303e.</t>
  </si>
  <si>
    <t>Kannengiesser, J.; Sakaguchi-Soder, K.; Mrukwia, T.; Jager, J.; Schebek, L. Extraction of medium chain fatty acids from organic municipal waste and subsequent production of bio-based fuels. Waste Manag 2016, 47, 78-83, doi:10.1016/j.wasman.2015.05.030.</t>
  </si>
  <si>
    <t>Amorim, N.C.S.; Amorim, E.L.C.; Kato, M.T.; Florencio, L.; Gavazza, S. The effect of methanogenesis inhibition, inoculum and substrate concentration on hydrogen and carboxylic acids production from cassava wastewater. Biodegradation 2018, 29, 41-58, doi:10.1007/s10532-017-9812-y.</t>
  </si>
  <si>
    <t>40 to 60</t>
  </si>
  <si>
    <t>+-2000mg/L (max at day20)</t>
  </si>
  <si>
    <t>+-2000mg/L (max at day35 max)</t>
  </si>
  <si>
    <t>+- 1500mg/L (max at day 60)</t>
  </si>
  <si>
    <t xml:space="preserve">Better H2 production using heat treatment </t>
  </si>
  <si>
    <t>Daily N2 flush after sampling, venting apparatus</t>
  </si>
  <si>
    <t>Lonkar, S.; Fu, Z.; Holtzapple, M. Optimum alcohol concentration for chain elongation in mixed-culture fermentation of cellulosic substrate. Biotechnol Bioeng 2016, 113, 2597-2604, doi:10.1002/bit.26024.</t>
  </si>
  <si>
    <t>Bechamp, A. Lettre de M.A. Bechamp a M. Dumas. Gallica Bibliothèque de Météo-France 1867.</t>
  </si>
  <si>
    <t>Perimenis, A.; Nicolay, T.; Leclercq, M.; Gerin, P.A. Comparison of the acidogenic and methanogenic potential of agroindustrial residues. Waste Manag 2018, 72, 178-185, doi:10.1016/j.wasman.2017.11.033.</t>
  </si>
  <si>
    <t>4.5-5.5</t>
  </si>
  <si>
    <t>4.5-5.6</t>
  </si>
  <si>
    <t>4.5-5.7</t>
  </si>
  <si>
    <t>4.5-5.8</t>
  </si>
  <si>
    <t>4.5-5.9</t>
  </si>
  <si>
    <t>4.5-5.10</t>
  </si>
  <si>
    <t>0.56 gCOD/gCODsubstrate</t>
  </si>
  <si>
    <t>0.42 gCOD/gCODsubstrate</t>
  </si>
  <si>
    <t>0.25 gCOD/gCODsubstrate</t>
  </si>
  <si>
    <t>0.24 gCOD/gCODsubstrate</t>
  </si>
  <si>
    <t>0.26 gCOD/gCODsubstrate</t>
  </si>
  <si>
    <t>Weimer, P.J.; Nerdahl, M.; Brandl, D.J. Production of medium-chain volatile fatty acids by mixed ruminal microorganisms is enhanced by ethanol in co-culture with Clostridium kluyveri. Bioresour Technol 2015, 175, 97-101, doi:10.1016/j.biortech.2014.10.054.</t>
  </si>
  <si>
    <t xml:space="preserve">5.97 gCOD/L </t>
  </si>
  <si>
    <t xml:space="preserve">8.57 gCOD/L </t>
  </si>
  <si>
    <t xml:space="preserve">7.77 gCOD/L </t>
  </si>
  <si>
    <t xml:space="preserve">22.56 gCOD/L </t>
  </si>
  <si>
    <t xml:space="preserve">4.84 gCOD/L </t>
  </si>
  <si>
    <t xml:space="preserve">17.30 gCOD/L </t>
  </si>
  <si>
    <t xml:space="preserve">10.16 gCOD/L </t>
  </si>
  <si>
    <t xml:space="preserve">22.76 gCOD/L </t>
  </si>
  <si>
    <t xml:space="preserve">5.86 gCOD/L </t>
  </si>
  <si>
    <t xml:space="preserve">11.25 gCOD/L </t>
  </si>
  <si>
    <t>Sträuber, H.; Schröder, M.; Sabine Kleinsteuber, S. Metabolic and microbial community dynamics during the hydrolytic and acidogenic fermentation in a leach-bed process. Energy, Sustainability and Society 2012, 2.</t>
  </si>
  <si>
    <t>Jankowska, E.; Chwialkowska, J.; Stodolny, M.; Oleskowicz-Popiel, P. Volatile fatty acids production during mixed culture fermentation – The impact of substrate complexity and pH. Chemical Engineering Journal 2017, 326, 901-910, doi:10.1016/j.cej.2017.06.021.</t>
  </si>
  <si>
    <t xml:space="preserve">40 mL </t>
  </si>
  <si>
    <t>0.50 g/gsCOD</t>
  </si>
  <si>
    <t>0.61 g/gSCOD</t>
  </si>
  <si>
    <t>0.45 g/gSCOD</t>
  </si>
  <si>
    <t>0.60 g/gsCOD</t>
  </si>
  <si>
    <t>0.37 g/gsCOD</t>
  </si>
  <si>
    <t>0.26 g/gsCOD</t>
  </si>
  <si>
    <t>0.78 g/gsCOD</t>
  </si>
  <si>
    <t>0.71 g/gsCOD</t>
  </si>
  <si>
    <t>also tVFA and composition available at day 5 and 10</t>
  </si>
  <si>
    <t>0.30 g/gsCOD</t>
  </si>
  <si>
    <t>0.46 g/gsCOD</t>
  </si>
  <si>
    <t>0.81 g/gsCOD</t>
  </si>
  <si>
    <t>0.52 g/gsCOD</t>
  </si>
  <si>
    <t>Zhang, F.; Ding, J.; Zhang, Y.; Chen, M.; Ding, Z.W.; van Loosdrecht, M.C.; Zeng, R.J. Fatty acids production from hydrogen and carbon dioxide by mixed culture in the membrane biofilm reactor. Water Res 2013, 47, 6122-6129, doi:10.1016/j.watres.2013.07.033.</t>
  </si>
  <si>
    <t>Barker, H.A. The production of caproic and butyric acids by the methane fermentation of ethyl alcohol. Laboratory of Microbiology, Technical University, Delft, Holland. 1937.</t>
  </si>
  <si>
    <t>Production of C6 and C4 from ethanol by MMC</t>
  </si>
  <si>
    <t>less than 2.4% of carbon balance lost</t>
  </si>
  <si>
    <t>21.1g/L (max)</t>
  </si>
  <si>
    <t>14.4g/L (max)</t>
  </si>
  <si>
    <t>N2 flush at start</t>
  </si>
  <si>
    <t>Liu, Y.; He, P.; Shao, L.; Zhang, H.; Lu, F. Significant enhancement by biochar of caproate production via chain elongation. Water Res 2017, 119, 150-159, doi:10.1016/j.watres.2017.04.050.</t>
  </si>
  <si>
    <t>Extraction</t>
  </si>
  <si>
    <t>Part of multiple step system</t>
  </si>
  <si>
    <t>Operation time</t>
  </si>
  <si>
    <t>Total carboxylic ?</t>
  </si>
  <si>
    <t>MCCAs</t>
  </si>
  <si>
    <t>C6 rate</t>
  </si>
  <si>
    <t>C8  rate</t>
  </si>
  <si>
    <t>gCOD/Ld</t>
  </si>
  <si>
    <t>pH effect and MMC composition</t>
  </si>
  <si>
    <t>approx 0.5</t>
  </si>
  <si>
    <t>Acetate (50mM), ethanol (50mM), H2</t>
  </si>
  <si>
    <t>if Ethanol &lt;0.1g/L, addition to obtain 2.5-3g/L ethanol</t>
  </si>
  <si>
    <t>Granular sludge from UASB treating brewery wastewater</t>
  </si>
  <si>
    <t>NaOH or HCl</t>
  </si>
  <si>
    <t>Continuous flushing of medium with H2 (200mL/h)</t>
  </si>
  <si>
    <t>0.12 g/L</t>
  </si>
  <si>
    <t>nd</t>
  </si>
  <si>
    <t>3.9 mmolC/l/d</t>
  </si>
  <si>
    <t>Redox potential monitored</t>
  </si>
  <si>
    <t>8.27 g/L</t>
  </si>
  <si>
    <t>0.318 g/L</t>
  </si>
  <si>
    <t>25.6mmolC/L/d</t>
  </si>
  <si>
    <t>2.98 mmolC/L/d</t>
  </si>
  <si>
    <t>max capacity of C6 production by pit liquor microbiome from lactic acid</t>
  </si>
  <si>
    <t>glass bioreactor with carbon felts to immobilize microbiome</t>
  </si>
  <si>
    <t>synhtetic substrate + lactic (20g/L) followed by spikes</t>
  </si>
  <si>
    <t>if lactic acid exhausted, lactate added (2 supplementations)</t>
  </si>
  <si>
    <t>enriched in-house inoculum adapted to yellow water, from pit-muc inoc</t>
  </si>
  <si>
    <t>50mL inoc with 950mL</t>
  </si>
  <si>
    <t>5 M HCl or 2 M NaOH</t>
  </si>
  <si>
    <t>10.99g/L</t>
  </si>
  <si>
    <t>H2 consumption from headspace</t>
  </si>
  <si>
    <t>synhtetic substrate + first lactic spike around 20g/L</t>
  </si>
  <si>
    <t>23.41g/L</t>
  </si>
  <si>
    <t>synhtetic substrate + second lactic spike around 20g/L</t>
  </si>
  <si>
    <t>23g/L</t>
  </si>
  <si>
    <t>minimum methane in headspace</t>
  </si>
  <si>
    <t>OLR</t>
  </si>
  <si>
    <t>HRT/ SRT</t>
  </si>
  <si>
    <t>C C6</t>
  </si>
  <si>
    <t>C C7</t>
  </si>
  <si>
    <t xml:space="preserve">C C8 </t>
  </si>
  <si>
    <t>r C6</t>
  </si>
  <si>
    <t>r C7</t>
  </si>
  <si>
    <t>r C8</t>
  </si>
  <si>
    <t>r C9</t>
  </si>
  <si>
    <t>gCOD C6/L/d</t>
  </si>
  <si>
    <t>gCOD C7/L/d</t>
  </si>
  <si>
    <t>gCOD C8/L/d</t>
  </si>
  <si>
    <t>gCOD C9/L/d</t>
  </si>
  <si>
    <t>sCSTR</t>
  </si>
  <si>
    <t>SBR - 24h</t>
  </si>
  <si>
    <t>Food waste - simulated</t>
  </si>
  <si>
    <t>in-house poultry slaugtherhouse waste AD</t>
  </si>
  <si>
    <t>5.0-6.0</t>
  </si>
  <si>
    <t>1:1:1 NaHCO3:K2HPO4:Na2HPO4 (weight)</t>
  </si>
  <si>
    <t>sludge AD WWTP</t>
  </si>
  <si>
    <t>VFA production from FW changing HRT, OLR and T</t>
  </si>
  <si>
    <t>Food waste - cafetaria</t>
  </si>
  <si>
    <t>9gTSfw/l/d</t>
  </si>
  <si>
    <t>3N KOH</t>
  </si>
  <si>
    <t>Mixer</t>
  </si>
  <si>
    <t xml:space="preserve">23-24g/L </t>
  </si>
  <si>
    <t>0.52-0.97g/L</t>
  </si>
  <si>
    <t>13gTSfw/l/d</t>
  </si>
  <si>
    <t>28.9-30.0 g/L</t>
  </si>
  <si>
    <t>2.29-3.65 g/L</t>
  </si>
  <si>
    <t>19.3-20.3g/L</t>
  </si>
  <si>
    <t>4.3-5.0g/L</t>
  </si>
  <si>
    <t>15.0-18.0</t>
  </si>
  <si>
    <t>1.70-2.0</t>
  </si>
  <si>
    <t>Effect of HRT and OLR on VFA production from cheese whey and sludge</t>
  </si>
  <si>
    <t>Cheese whey</t>
  </si>
  <si>
    <t>3.6 gCOD/L/d</t>
  </si>
  <si>
    <t>5.2 -&gt; 5.1</t>
  </si>
  <si>
    <t>18% HCl</t>
  </si>
  <si>
    <t>Mechanical stirrer</t>
  </si>
  <si>
    <t>Low pH 5.2</t>
  </si>
  <si>
    <t>&lt;1</t>
  </si>
  <si>
    <t>5.99 gCOD/L/d</t>
  </si>
  <si>
    <t>4.4 -&gt; 3.5</t>
  </si>
  <si>
    <t>9 gCOD/L/d</t>
  </si>
  <si>
    <t>3.4 -&gt; 3.4</t>
  </si>
  <si>
    <t>17.98 gCOD/L/d</t>
  </si>
  <si>
    <t>3.4 -&gt; 3.6</t>
  </si>
  <si>
    <t>71.92 gCOD/L/d</t>
  </si>
  <si>
    <t>3.7 -&gt; 3.8</t>
  </si>
  <si>
    <t>&lt;2</t>
  </si>
  <si>
    <t>1:1 mixture of primary sludge and waste activated sludge</t>
  </si>
  <si>
    <t>3.99 gCOD/L/d</t>
  </si>
  <si>
    <t>5.2 -&gt; 5.8</t>
  </si>
  <si>
    <t>&lt;1.6</t>
  </si>
  <si>
    <t>6.66 gCOD/L/d</t>
  </si>
  <si>
    <t>5.9 -&gt; 5.4</t>
  </si>
  <si>
    <t>10.00 gCOD/L/d</t>
  </si>
  <si>
    <t>4.9 -&gt; 5.3</t>
  </si>
  <si>
    <t>19.97 gCOD/L/d</t>
  </si>
  <si>
    <t>5.9 -&gt; 5.7</t>
  </si>
  <si>
    <t>79.90 gCOD/L/d</t>
  </si>
  <si>
    <t>6.0 -&gt; 5.9</t>
  </si>
  <si>
    <t>glucose solution  (4g/L)</t>
  </si>
  <si>
    <t>0.24 gCOD/L/d</t>
  </si>
  <si>
    <t>5.2 -&gt; 4.9</t>
  </si>
  <si>
    <t>0.40 gCOD/L/d</t>
  </si>
  <si>
    <t>5.0 -&gt; 4.8</t>
  </si>
  <si>
    <t>0.61 gCOD/L/d</t>
  </si>
  <si>
    <t>4.8 -&gt; 4.5</t>
  </si>
  <si>
    <t>1.21 gCOD/L/d</t>
  </si>
  <si>
    <t>4.4 -&gt; 4.0</t>
  </si>
  <si>
    <t>4.95 gCOD/L/d</t>
  </si>
  <si>
    <t>4.0 -&gt; 3.9</t>
  </si>
  <si>
    <t>Paper fines and industrial biosludge in MixAlco: experiment and mathematical modelling</t>
  </si>
  <si>
    <t>STR- countercurrent fermentation: avery 2 days liquid/solid transfer</t>
  </si>
  <si>
    <t>SBR -4stage countercurrent</t>
  </si>
  <si>
    <t>4 fermenters in countercurrent fermentation</t>
  </si>
  <si>
    <t>1 x4</t>
  </si>
  <si>
    <t>Paper fines and dried biosludge from WWT 80/20 + 1g/L urea for N source</t>
  </si>
  <si>
    <t>11.6 gVS/L/d</t>
  </si>
  <si>
    <t>Rumen fluid, swamp material or compost</t>
  </si>
  <si>
    <t>Rotarty shaker</t>
  </si>
  <si>
    <t>N2 pruge after every reactor opening (each 2-3 days)</t>
  </si>
  <si>
    <t>19.6+-2.5 g/L</t>
  </si>
  <si>
    <t>4+-1.3%</t>
  </si>
  <si>
    <t>1+-0.2%</t>
  </si>
  <si>
    <t>STR- countercurrent fermentation: avery 2days liquid/solid transfer</t>
  </si>
  <si>
    <t>11.8 gVS/L/d</t>
  </si>
  <si>
    <t>17.8 +- 2.0 g/L</t>
  </si>
  <si>
    <t>8 +- 2.9%</t>
  </si>
  <si>
    <t>2+-0.6%</t>
  </si>
  <si>
    <t>Paper fines and dried biosludge from WWT 80/20 + 0.5g/L urea for N source</t>
  </si>
  <si>
    <t>3.9 gVS/L/d</t>
  </si>
  <si>
    <t>16.8 +- 2.9g/</t>
  </si>
  <si>
    <t>11 +- 2.4%</t>
  </si>
  <si>
    <t>2+-0.4%</t>
  </si>
  <si>
    <t>STR- countercurrent fermentation: avery 3days liquid/solid transfer</t>
  </si>
  <si>
    <t>Paper fines and dried biosludge from WWT 80/20 + 0.7g/L urea for N source</t>
  </si>
  <si>
    <t>2.0 gVS/L/d</t>
  </si>
  <si>
    <t>20.2 +- 2g/L</t>
  </si>
  <si>
    <t>9 +- 2.3%</t>
  </si>
  <si>
    <t>3+-1.5%</t>
  </si>
  <si>
    <t>1.9 gVS/L/d</t>
  </si>
  <si>
    <t>0.01gCH4/L/d</t>
  </si>
  <si>
    <t>19.5+- 1.4g/L</t>
  </si>
  <si>
    <t>12.0+-3.9%</t>
  </si>
  <si>
    <t>3.5+-1.1%</t>
  </si>
  <si>
    <t>Paper fines and dried biosludge from WWT 40/60 + 0.75g/L urea for N source</t>
  </si>
  <si>
    <t>7.5gVS/L/d</t>
  </si>
  <si>
    <t>0.042gCH4/L/d</t>
  </si>
  <si>
    <t>18.7+-2.3g/l</t>
  </si>
  <si>
    <t>10+-3.7%</t>
  </si>
  <si>
    <t>Paper fines and dried biosludge from WWT 40/60 + 0.5g/L urea for N source</t>
  </si>
  <si>
    <t>20.4+-2.0g/l</t>
  </si>
  <si>
    <t>9+-1.6%</t>
  </si>
  <si>
    <t>20.4+-1.9g/L</t>
  </si>
  <si>
    <t>8+-2.1%</t>
  </si>
  <si>
    <t>1+-1.0%</t>
  </si>
  <si>
    <t>3.4gVS/L/d</t>
  </si>
  <si>
    <t>0.42gCH4/L/d</t>
  </si>
  <si>
    <t>16.4+-3.2g/L</t>
  </si>
  <si>
    <t>9+-3.7%</t>
  </si>
  <si>
    <t>1+-0.3%</t>
  </si>
  <si>
    <t>0.021gCH4/L/d</t>
  </si>
  <si>
    <t>17.7+-2.3g/L</t>
  </si>
  <si>
    <t>4+-2.1%</t>
  </si>
  <si>
    <t>5.4gVS/L/d</t>
  </si>
  <si>
    <t>0.029gCH4/L/d</t>
  </si>
  <si>
    <t>17.0+-2.6g/L</t>
  </si>
  <si>
    <t>11+-2.9%</t>
  </si>
  <si>
    <t>1+-0.4%</t>
  </si>
  <si>
    <t>0.054gCH4/L/d</t>
  </si>
  <si>
    <t>16.7+-2.6g/L</t>
  </si>
  <si>
    <t>10+-3.5%</t>
  </si>
  <si>
    <t>Paper fines and dried biosludge from WWT 40/60 + 1g/L urea for N source</t>
  </si>
  <si>
    <t>3.1gVS/L/d</t>
  </si>
  <si>
    <t>19.5+-2.5g/L</t>
  </si>
  <si>
    <t>11+-3.2%</t>
  </si>
  <si>
    <t>1+-0.8%</t>
  </si>
  <si>
    <t>12.4gVS/L/d</t>
  </si>
  <si>
    <t>29.9+-3.0g/L</t>
  </si>
  <si>
    <t>11+-1.5%</t>
  </si>
  <si>
    <t>1+-0.7%</t>
  </si>
  <si>
    <t>2.6gVS/L/d</t>
  </si>
  <si>
    <t>0.02gCH4/L/d</t>
  </si>
  <si>
    <t>16.8+-1.4g/L</t>
  </si>
  <si>
    <t>18.0+-1.4%</t>
  </si>
  <si>
    <t>3.3+-0.3%</t>
  </si>
  <si>
    <t xml:space="preserve">Effect of pH buffer and SRT on vegetable and salad waste </t>
  </si>
  <si>
    <t>5 to 7.5</t>
  </si>
  <si>
    <t>0.6 M NaHCO3</t>
  </si>
  <si>
    <t>12gCOD/L</t>
  </si>
  <si>
    <t>2.3g/L</t>
  </si>
  <si>
    <t>14gCOD/L</t>
  </si>
  <si>
    <t>2.1g/L</t>
  </si>
  <si>
    <t>8.3gCOD/L</t>
  </si>
  <si>
    <t>CH4 neglible, H2 prod</t>
  </si>
  <si>
    <t>19gCOD/L</t>
  </si>
  <si>
    <t>VFA production from Cheese whey powder: effect HRT and OLR</t>
  </si>
  <si>
    <t>UA Packed bed (ceramic support, glass column)</t>
  </si>
  <si>
    <t>UR with biomass retention</t>
  </si>
  <si>
    <t>Cheese whey powder diluted in water (15g/L lactose)</t>
  </si>
  <si>
    <t>Acclimated anaerobic acidogenic consortium processing substrate with high VFA</t>
  </si>
  <si>
    <t>20%v/v</t>
  </si>
  <si>
    <t>10M NaOH</t>
  </si>
  <si>
    <t>Recirculation</t>
  </si>
  <si>
    <t>low pH and high OLR</t>
  </si>
  <si>
    <t>11.18 +-0.61g/L</t>
  </si>
  <si>
    <t>0.51+0.21g/L</t>
  </si>
  <si>
    <t>from previous run (HRT 6 days)</t>
  </si>
  <si>
    <t>continued</t>
  </si>
  <si>
    <t>9.27+-0.35g/L</t>
  </si>
  <si>
    <t>1.27+-0.37g/L</t>
  </si>
  <si>
    <t>Cheese whey powder diluted in water (25g/L lactose)</t>
  </si>
  <si>
    <t>from previous run (HRT 4 adys and 15g/L lactose)</t>
  </si>
  <si>
    <t>16.65+-0.53g/L7</t>
  </si>
  <si>
    <t>4.03+-0.41g/L</t>
  </si>
  <si>
    <t>PHA</t>
  </si>
  <si>
    <t>Linking VFA and MCCA production to electrodialysis and PHA fermentation</t>
  </si>
  <si>
    <t>In-house enriched culture using same substrate</t>
  </si>
  <si>
    <t>from previous run Domingos 2016</t>
  </si>
  <si>
    <t>12.55 +- 1.10g/L</t>
  </si>
  <si>
    <t>4.13+-0.56g/L</t>
  </si>
  <si>
    <t>3.12+-0.94g/L</t>
  </si>
  <si>
    <t>Methanol as electron donor</t>
  </si>
  <si>
    <t>UAB (not packed)</t>
  </si>
  <si>
    <t>UR</t>
  </si>
  <si>
    <t>100mM C2 and 200 mM methanol and 240mL CO2/day</t>
  </si>
  <si>
    <t>Recirculation 150mL/min</t>
  </si>
  <si>
    <t>CH4 as byproduct</t>
  </si>
  <si>
    <t>1.5g/l/d (C4)</t>
  </si>
  <si>
    <t>naOH</t>
  </si>
  <si>
    <t>Lessons learned from AD: extraction, pH control, ethanol supp</t>
  </si>
  <si>
    <t>SBRs</t>
  </si>
  <si>
    <t>SBR (UR) - 48h</t>
  </si>
  <si>
    <t>Enriched in-house culture</t>
  </si>
  <si>
    <t>5M NaOH or HCl</t>
  </si>
  <si>
    <t>Biogas recirculation</t>
  </si>
  <si>
    <t>pertraction</t>
  </si>
  <si>
    <t>600-477</t>
  </si>
  <si>
    <t>Dilute ethanol from syngas fermentation to C6 with microbiome: pH change and ethanol</t>
  </si>
  <si>
    <t>UAF: porcelain berl saddles</t>
  </si>
  <si>
    <t>syngas fermentation effluent (11.4g/L etoh and 2.3g/L C2) with extra trace metals, vitamins and yeasts etc…</t>
  </si>
  <si>
    <t>100% v/v</t>
  </si>
  <si>
    <t>0.5M KOH or HCl</t>
  </si>
  <si>
    <t>CO3-2 added</t>
  </si>
  <si>
    <t>Recirculation 22.7mL/min</t>
  </si>
  <si>
    <t>80%methane in headspace</t>
  </si>
  <si>
    <t>20-40%Ch4 headspace</t>
  </si>
  <si>
    <t>28.3g/L</t>
  </si>
  <si>
    <t>1.0g/L</t>
  </si>
  <si>
    <t>Selective product toxicity Clostridium group IV - supporting community</t>
  </si>
  <si>
    <t>Thin stillage and beer</t>
  </si>
  <si>
    <t>ethanol/lactic acid</t>
  </si>
  <si>
    <t>10% v/v</t>
  </si>
  <si>
    <t>SBR - 48h</t>
  </si>
  <si>
    <t>N (pretreatment of substrate)</t>
  </si>
  <si>
    <t>Dilute-acid pretreated  corn fiber: cellulosic hydrolysate</t>
  </si>
  <si>
    <t>Mixture of sheep rumen content, thermophilic WWTP AD digestate, thermophilic in-house AD wheat straw digestate</t>
  </si>
  <si>
    <t>20% v/v</t>
  </si>
  <si>
    <t>5 M HCl or NaOH</t>
  </si>
  <si>
    <t>Biogas recirculation every hour</t>
  </si>
  <si>
    <t>CH4 at start but below LOD after day 125</t>
  </si>
  <si>
    <t>0.644gCOD/L/d</t>
  </si>
  <si>
    <t>0.662gCOD/L/d</t>
  </si>
  <si>
    <t>0.744gCOD/l/d</t>
  </si>
  <si>
    <t>0.06gCOD/l/d</t>
  </si>
  <si>
    <t>0.54gCOD/l/d</t>
  </si>
  <si>
    <t>Dilute-alkali pretreated  corn fiber: cellulosic hydrolysate</t>
  </si>
  <si>
    <t>0.481gCOD/L/d</t>
  </si>
  <si>
    <t>0.511gCOD/L/d</t>
  </si>
  <si>
    <t>0.586gCOD/l/d</t>
  </si>
  <si>
    <t>0.09gCOD/l/d</t>
  </si>
  <si>
    <t>0.590gCOD/L/d</t>
  </si>
  <si>
    <t>hot-water pretreated  corn fiber: cellulosic hydrolysate</t>
  </si>
  <si>
    <t>CH4 at start but below LOD after day 97</t>
  </si>
  <si>
    <t>0.352gCOD/L/d</t>
  </si>
  <si>
    <t>0.395gCOD/l/d</t>
  </si>
  <si>
    <t>0.440gCOD/l/d</t>
  </si>
  <si>
    <t>0.12gCOD/l/d</t>
  </si>
  <si>
    <t>0.273gCOD/l/d</t>
  </si>
  <si>
    <t>non pretreated  corn fiber: cellulosic hydrolysate</t>
  </si>
  <si>
    <t>Oxygen exposure 5 min at start up</t>
  </si>
  <si>
    <t>0.6995gCOD/L/d</t>
  </si>
  <si>
    <t>0.1gCOD/l/d</t>
  </si>
  <si>
    <t>0.689gCOD/L/d</t>
  </si>
  <si>
    <t>0.06gcOD/L/d</t>
  </si>
  <si>
    <t xml:space="preserve">C4 selectivity depending on H2, CO2 and substrate concentrations </t>
  </si>
  <si>
    <t>CSTR</t>
  </si>
  <si>
    <t>2M NaOH</t>
  </si>
  <si>
    <t>in-situ extraction drives CE by membrane electrolysis: electrofermentation</t>
  </si>
  <si>
    <t>Y: electrochemical membrane electrolysis</t>
  </si>
  <si>
    <t>Stillage</t>
  </si>
  <si>
    <t>none (native thin stillage microbiome)</t>
  </si>
  <si>
    <t>2 M H2SO4 or 2 M NaOH</t>
  </si>
  <si>
    <t>1.9+-0.5gCOD/L/d</t>
  </si>
  <si>
    <t>3+-2%</t>
  </si>
  <si>
    <t>10.4+-1.1gCOD/L/d</t>
  </si>
  <si>
    <t>11+-6%</t>
  </si>
  <si>
    <t>Upgrading dilute ethanol to MCCA</t>
  </si>
  <si>
    <t>Y: in-line pertraction</t>
  </si>
  <si>
    <t>diluted beer from corn ethanol industry</t>
  </si>
  <si>
    <t>Recirculation biogas</t>
  </si>
  <si>
    <t>hydrogentorophic methane production</t>
  </si>
  <si>
    <t>76.5 mmol C /l/d</t>
  </si>
  <si>
    <t>Y: in-line pertraction increased rate</t>
  </si>
  <si>
    <t>108.3 mmol C /l/d</t>
  </si>
  <si>
    <t>C6 from yellow water by pit liquor microbiome: acclimation</t>
  </si>
  <si>
    <t>SBRs (upflow)</t>
  </si>
  <si>
    <t>SBR (UR) - 67.2h</t>
  </si>
  <si>
    <t>yellow water</t>
  </si>
  <si>
    <t>pit mud (fermentation to produce chinese strong-flavoured liquor)</t>
  </si>
  <si>
    <t>20g of pit mud inoculum</t>
  </si>
  <si>
    <t>5M HCl or 2 M NaOH</t>
  </si>
  <si>
    <t>feedstock boiled and N2 flushed</t>
  </si>
  <si>
    <t>approx 23 g/L</t>
  </si>
  <si>
    <t>stable C6 production from acid whey in UASB</t>
  </si>
  <si>
    <t>UASB</t>
  </si>
  <si>
    <t>acid whey from quark industry</t>
  </si>
  <si>
    <t>5g/L TS (after 48h degasification)</t>
  </si>
  <si>
    <t xml:space="preserve">no methane </t>
  </si>
  <si>
    <t>13.16+-5.60mMC/d (C6,C7,C8)</t>
  </si>
  <si>
    <t>12.65+-5.67 mMC/d</t>
  </si>
  <si>
    <t>35.03+-7.72mMC/d (C6,C7,C8)</t>
  </si>
  <si>
    <t>34.03+-7.72mMC/d</t>
  </si>
  <si>
    <t>66.72+-15.38mMC/d (C6,C7,C8)</t>
  </si>
  <si>
    <t>65.52+-15.76mMC/d</t>
  </si>
  <si>
    <t>122.4+-30.21mMC/d (C6,C7,C8)</t>
  </si>
  <si>
    <t>119.95+-30.68mMC/d</t>
  </si>
  <si>
    <t>MCCAs from  acid whey via lactic acid</t>
  </si>
  <si>
    <t>UAF</t>
  </si>
  <si>
    <t>acid whey from greek yoghurt industry: rich in lactose, sucrose and lactic acid</t>
  </si>
  <si>
    <t>0.5M HCl</t>
  </si>
  <si>
    <t xml:space="preserve">Recirculation </t>
  </si>
  <si>
    <t>Y: 2-phased thermophilic lactic acid + mesophilic MCCA</t>
  </si>
  <si>
    <t>diluted lactic acid-rich pre-fermented acid whey from greek yoghurt industry</t>
  </si>
  <si>
    <t>Recirculation, 0.26 L/d flow rate</t>
  </si>
  <si>
    <t>104mmol C L-1 d-1 C6-C9</t>
  </si>
  <si>
    <t>72.2 +- 1.32 mmol C L-1 d-1</t>
  </si>
  <si>
    <t>11+-0.42  mmolC L-1 d-1</t>
  </si>
  <si>
    <t>19.6+-0.26 mmolC L-1 d-1</t>
  </si>
  <si>
    <t>1.03+-0.02 mmol C L-1d-1</t>
  </si>
  <si>
    <t>Recirculation, 0.31 L/d flow rate</t>
  </si>
  <si>
    <t>65.5+-2.57 mmol C L-1 d-1</t>
  </si>
  <si>
    <t>10.3-0.22 mmolC L-1 d-1</t>
  </si>
  <si>
    <t>19.7 +- 0.2 mmolC L-1 d-1</t>
  </si>
  <si>
    <t>1.02 +-0.01 mmol C L-1d-1</t>
  </si>
  <si>
    <t>MCCAs from lactic acid-rich pre-fermented acid whey</t>
  </si>
  <si>
    <t>Recirculation, 0.15 L/d flow rate</t>
  </si>
  <si>
    <t>81.2+-4.52 mmol C L-1 d-1</t>
  </si>
  <si>
    <t>14.3 +- 0.04mmolC L-1 d-1</t>
  </si>
  <si>
    <t>14.0 +- 1.05 mmolC L-1 d-1</t>
  </si>
  <si>
    <t>1.39 +- 0.01 mmol C L-1d-1</t>
  </si>
  <si>
    <t>Production of MCCAs with subsequent Kolbe electrochemical conversion to alkanes (2 independent studies) - from Agler and Ge 2015</t>
  </si>
  <si>
    <t>Y: pertraction + kolbe electrolysis</t>
  </si>
  <si>
    <t>Corn beer</t>
  </si>
  <si>
    <t>0.002L/gCOD fed</t>
  </si>
  <si>
    <t>4.496gCOD/l/d</t>
  </si>
  <si>
    <t>C6 production from grass in multiple stages</t>
  </si>
  <si>
    <t>Y: 2-phased "leach bed" lactic acid + MCCA, followed with electrolysis extraction and kolbe</t>
  </si>
  <si>
    <t>grass silage</t>
  </si>
  <si>
    <t>25 mL cf and washed 3x redissolved in 10mL water</t>
  </si>
  <si>
    <t>5.5-6.3</t>
  </si>
  <si>
    <t>Flushed with N2 daily after sampling and feed</t>
  </si>
  <si>
    <t>4.09 +- 0.54 g/L</t>
  </si>
  <si>
    <t>SBR - biomass retention</t>
  </si>
  <si>
    <t>Y: additional test from SBR main experiment</t>
  </si>
  <si>
    <t>0.99 +- 0.02 g/L/h</t>
  </si>
  <si>
    <t>BATCH</t>
  </si>
  <si>
    <t>grass silage chain elongation broth + 20g/L lactic acid addition (total of 25g lactate/L)</t>
  </si>
  <si>
    <t>10.92 +- 0.62 g/L</t>
  </si>
  <si>
    <t>Long-term CE from yeast fermentation beer with extraction  - phase 1 start up</t>
  </si>
  <si>
    <t>SBR - 48h cycle</t>
  </si>
  <si>
    <t>Y: pertraction, small modules</t>
  </si>
  <si>
    <t>Y: Yeast ethanol fermentation before</t>
  </si>
  <si>
    <t>0.15 mL yeast-fermentation beer in 1 mL feed (diluted with tap water )</t>
  </si>
  <si>
    <t>15 / 20.6</t>
  </si>
  <si>
    <t>intermittent mixing with biogas 1min per hour</t>
  </si>
  <si>
    <t>low methane producion</t>
  </si>
  <si>
    <t>3.06 gCOD/L/d</t>
  </si>
  <si>
    <t>Long-term CE from yeast fermentation beer with extraction  - phase 2 premature OLR increase</t>
  </si>
  <si>
    <t>12 / 18.9</t>
  </si>
  <si>
    <t>3.26 gCOD/L/d</t>
  </si>
  <si>
    <t>Long-term CE from yeast fermentation beer with extraction  - phase 3.1 extraction problem</t>
  </si>
  <si>
    <t>Y: pertraction, cracked module</t>
  </si>
  <si>
    <t>15 / 25.8</t>
  </si>
  <si>
    <t>Long-term CE from yeast fermentation beer with extraction  - phase 3.2 extraction problem</t>
  </si>
  <si>
    <t>20 / 19.4</t>
  </si>
  <si>
    <t>Long-term CE from yeast fermentation beer with extraction  - phase 3.3 extraction problem</t>
  </si>
  <si>
    <t>15 / 17.2</t>
  </si>
  <si>
    <t>Long-term CE from yeast fermentation beer with extraction  - phase 4.1 extraction</t>
  </si>
  <si>
    <t>Y: pertraction, large module</t>
  </si>
  <si>
    <t>12 / 18.0</t>
  </si>
  <si>
    <t>Long-term CE from yeast fermentation beer with extraction  - phase 4.2 extraction</t>
  </si>
  <si>
    <t>10 / 19.9</t>
  </si>
  <si>
    <t>Long-term CE from yeast fermentation beer with extraction  - phase 4.3 extraction</t>
  </si>
  <si>
    <t>8 / 17.9</t>
  </si>
  <si>
    <t>Long-term CE from yeast fermentation beer with extraction  - phase 4.4 extraction</t>
  </si>
  <si>
    <t>0.21 mL yeast-fermentation beer in 1 mL feed (diluted with tap water )</t>
  </si>
  <si>
    <t>10 / 23.5</t>
  </si>
  <si>
    <t>Long-term CE from yeast fermentation beer with extraction  - phase 5.1 improved C6</t>
  </si>
  <si>
    <t>Y: pertraction, extraction optimization</t>
  </si>
  <si>
    <t>0.34 mL yeast-fermentation beer in 1 mL feed (diluted with tap water )</t>
  </si>
  <si>
    <t>15 / 18.0</t>
  </si>
  <si>
    <t>4.10 gCOD/L/d</t>
  </si>
  <si>
    <t>Long-term CE from yeast fermentation beer with extraction  - phase 5.2 improved C6</t>
  </si>
  <si>
    <t>0.38 mL yeast-fermentation beer in 1 mL feed (diluted with tap water )</t>
  </si>
  <si>
    <t>15 / 15.5</t>
  </si>
  <si>
    <t>3.96 gCOD/L/d</t>
  </si>
  <si>
    <t>Long-term CE from yeast fermentation beer with extraction  - phase 5.3 improved C6</t>
  </si>
  <si>
    <t>0.26 mL yeast-fermentation beer in 1 mL feed (diluted with tap water )</t>
  </si>
  <si>
    <t>15 / 23.3</t>
  </si>
  <si>
    <t>4.48 gCOD/L/d</t>
  </si>
  <si>
    <t>Long-term CE from yeast fermentation beer with extraction  - phase 5.4 improved C6</t>
  </si>
  <si>
    <t>0.28 mL yeast-fermentation beer in 1 mL feed (diluted with tap water )</t>
  </si>
  <si>
    <t>15 / 26.3</t>
  </si>
  <si>
    <t>7.52 gCOD/L/d</t>
  </si>
  <si>
    <t>C6 production and H2 formation in MMC -modelling and thermodynamics from experimental study 1</t>
  </si>
  <si>
    <t>UFBR: activated carbon pellet</t>
  </si>
  <si>
    <t>20g/L glucose, buffer and nutrients</t>
  </si>
  <si>
    <t>heat and acid/alkali treated AD sludge</t>
  </si>
  <si>
    <t>45gVSS/L</t>
  </si>
  <si>
    <t>drop from 8.5 to 5.25</t>
  </si>
  <si>
    <t>4g/L NaHCO3</t>
  </si>
  <si>
    <t>low HRT</t>
  </si>
  <si>
    <t>C6 production and H2 formation in MMC -modelling and thermodynamics from experimental study 2</t>
  </si>
  <si>
    <t>C6 production and H2 formation in MMC -modelling and thermodynamics from experimental study 3</t>
  </si>
  <si>
    <t>5mM</t>
  </si>
  <si>
    <t>C6 production and H2 formation in MMC -modelling and thermodynamics from experimental study 4</t>
  </si>
  <si>
    <t>C6 production and H2 formation in MMC -modelling and thermodynamics from experimental study 5</t>
  </si>
  <si>
    <t>0.1% methane</t>
  </si>
  <si>
    <t>15mM</t>
  </si>
  <si>
    <t>C6 production and H2 formation in MMC -modelling and thermodynamics from experimental study 6</t>
  </si>
  <si>
    <t>7mM</t>
  </si>
  <si>
    <t>C6 from acidified food waste and ethanol</t>
  </si>
  <si>
    <t>CSTR with in-situ settler</t>
  </si>
  <si>
    <t>CSTR with biomass retention</t>
  </si>
  <si>
    <t>Y: first acidification of FW in batch</t>
  </si>
  <si>
    <t>Acidified diluted FW (18days batch pH 5.5) + 32.2 g/L ethanol</t>
  </si>
  <si>
    <t>4 / x</t>
  </si>
  <si>
    <t>stirrer</t>
  </si>
  <si>
    <t>12.8 mmolCH4/L/d</t>
  </si>
  <si>
    <t>CO2 loading: 1 L CO2 /L/d</t>
  </si>
  <si>
    <t>23.4 +- 1 g/L</t>
  </si>
  <si>
    <t>4.3+-1.7 mmol/L</t>
  </si>
  <si>
    <t>4.7+-1.0mmol/L</t>
  </si>
  <si>
    <t>5.5 +- 0.4 g/L/d</t>
  </si>
  <si>
    <t>1.1 +-0.4 mmol/L/d</t>
  </si>
  <si>
    <t>1.2 +- 0.3 mmol/L/d</t>
  </si>
  <si>
    <t>1 / x</t>
  </si>
  <si>
    <t>43.8 mmolCH4/L/d</t>
  </si>
  <si>
    <t>7.1 +- 0.9 g/L</t>
  </si>
  <si>
    <t>0.6 +- 0.1 mmol/L</t>
  </si>
  <si>
    <t>0.5 +- 0.1 mmol/L</t>
  </si>
  <si>
    <t>5.6 +- 0.9 g/L/d</t>
  </si>
  <si>
    <t>0.6+-0.1 mmol/L/d</t>
  </si>
  <si>
    <t>0.5+-0.1 mmol/L/d</t>
  </si>
  <si>
    <t>23.2 +- 1.9 g/L</t>
  </si>
  <si>
    <t>UAF for MCCA production from ethanol and C2 - reducing HRT phase 1</t>
  </si>
  <si>
    <t>UAF, polyurethane cubes</t>
  </si>
  <si>
    <t>synthetic medium containing 20.7g/L/d ethanol and 9g/L/d c2 + 1g/Lyeast extract</t>
  </si>
  <si>
    <t>6.5-7.2</t>
  </si>
  <si>
    <t>NaOH to medium</t>
  </si>
  <si>
    <t>4.0 g/L K2CO3</t>
  </si>
  <si>
    <t>upflow</t>
  </si>
  <si>
    <t>&lt;0.1% methane</t>
  </si>
  <si>
    <t>CO2 flow: 4.8 l/d</t>
  </si>
  <si>
    <t>19.3g/L/d</t>
  </si>
  <si>
    <t>12 g/L</t>
  </si>
  <si>
    <t>UAF for MCCA production from ethanol and C2 - reducing HRT phase 2</t>
  </si>
  <si>
    <t>synthetic medium containing 41.4g/L/d ethanol and 18g/L/d c2 + 1g/Lyeast extract</t>
  </si>
  <si>
    <t>27.3 g/L/d</t>
  </si>
  <si>
    <t>8.7 g/L</t>
  </si>
  <si>
    <t>0.4 g/L</t>
  </si>
  <si>
    <t>UAF for MCCA production from ethanol and C2 - reducing HRT phase 3</t>
  </si>
  <si>
    <t>synthetic medium containing 41.4g/L/d ethanol and 18g/L/d c2 + 2g/Lyeast extract</t>
  </si>
  <si>
    <t>35.7 g/L/d</t>
  </si>
  <si>
    <t>11.3 g/L</t>
  </si>
  <si>
    <t>0.6 g/L</t>
  </si>
  <si>
    <t>synthetic medium containing 82.8g/L/d ethanol and 36g/L/d c2 + 2g/Lyeast extract</t>
  </si>
  <si>
    <t>54 g/L/d</t>
  </si>
  <si>
    <t>0.3 g/L</t>
  </si>
  <si>
    <t>Wine lees as substrate for CE with in-line pertraction - phase 2 (2)</t>
  </si>
  <si>
    <t>Upflow anaerobic bioreactor: semi-continuous, biomass retention with glass spheres</t>
  </si>
  <si>
    <t>Diluted wine lees (settled yeast from wine fermentation)</t>
  </si>
  <si>
    <t>Recycling rate of fermentation broth 9L/d</t>
  </si>
  <si>
    <t>2% CH4</t>
  </si>
  <si>
    <t>Wine lees as substrate for CE with in-line pertraction - phase 2 (4)</t>
  </si>
  <si>
    <t>Recycling rate of fermentation broth 323L/d</t>
  </si>
  <si>
    <t>3.9 gCOD/L/d</t>
  </si>
  <si>
    <t>1.6 +-0.2</t>
  </si>
  <si>
    <t>0.6 +-0</t>
  </si>
  <si>
    <t>1.7 +-0.1</t>
  </si>
  <si>
    <t>Wine lees as substrate for CE with in-line pertraction - phase 2 (5)</t>
  </si>
  <si>
    <t>Upflow anaerobic bioreactor: continuous, biomass retention with glass spheres</t>
  </si>
  <si>
    <t>Recycling rate of fermentation broth 228L/d</t>
  </si>
  <si>
    <t>1.8+-0.2</t>
  </si>
  <si>
    <t>0.5+-0.1</t>
  </si>
  <si>
    <t>1.2+-0.2</t>
  </si>
  <si>
    <t>Wine lees as substrate for CE with in-line pertraction - phase 3 (6)</t>
  </si>
  <si>
    <t>1.3+-0.1</t>
  </si>
  <si>
    <t>0.6+-0</t>
  </si>
  <si>
    <t>1.1+-0</t>
  </si>
  <si>
    <t>Wine lees as substrate for CE with in-line pertraction - phase 3 (8)</t>
  </si>
  <si>
    <t>6.9 gCOD/L/d</t>
  </si>
  <si>
    <t>4.1 +-0.2</t>
  </si>
  <si>
    <t>0.3+-0</t>
  </si>
  <si>
    <t>2.5+-0.1</t>
  </si>
  <si>
    <t>Wine lees as substrate for CE with in-line pertraction - phase 3 (9)</t>
  </si>
  <si>
    <t>0% CH4</t>
  </si>
  <si>
    <t>3.6+-0.1</t>
  </si>
  <si>
    <t>0.2+-0</t>
  </si>
  <si>
    <t>1.9+-0.1</t>
  </si>
  <si>
    <t>MCCA from OFMSW in 2 stage system - phase 1</t>
  </si>
  <si>
    <t>Upflow anaerobic bioreactor</t>
  </si>
  <si>
    <t>Y: first acidification of OFMSW in batch</t>
  </si>
  <si>
    <t>Acidified OFMSW (leachate 40 L batch 35C 7d) + ethanol</t>
  </si>
  <si>
    <t>Y and N</t>
  </si>
  <si>
    <t>5M NaoH</t>
  </si>
  <si>
    <t>Recycling</t>
  </si>
  <si>
    <t>Gaseous CO2 bubbled from bottom of reactor 1l/h</t>
  </si>
  <si>
    <t>low</t>
  </si>
  <si>
    <t>MCCA from OFMSW in 2 stage system - phase 2</t>
  </si>
  <si>
    <t>Gaseous CO2 bubbled from bottom of reactor 0.1 l/H</t>
  </si>
  <si>
    <t>unstable</t>
  </si>
  <si>
    <t>MCCA from OFMSW in 2 stage system - phase 3</t>
  </si>
  <si>
    <t>Acidified OFMSW (leachate 40 L batch 35C 7d) + ethanol 18.4g/L</t>
  </si>
  <si>
    <t>28.1 gMCFA /L/d</t>
  </si>
  <si>
    <t>12.6 g/L</t>
  </si>
  <si>
    <t>0.4g/L</t>
  </si>
  <si>
    <t xml:space="preserve">Comparing 2 different inocula for H2 production </t>
  </si>
  <si>
    <t>sucrose-rich (10g/L) synthetic wastewater</t>
  </si>
  <si>
    <t>20gvss/L</t>
  </si>
  <si>
    <t>NaHCO3 in influent</t>
  </si>
  <si>
    <t>3.215 +- 0.165 g/L</t>
  </si>
  <si>
    <t>40 +- 2.6 %</t>
  </si>
  <si>
    <t>3.336 +- 0.173 g/L</t>
  </si>
  <si>
    <t>54.8 +- 3.2 %</t>
  </si>
  <si>
    <t>3.021 +- 0.144 g/L</t>
  </si>
  <si>
    <t>55.8 +- 2.9%</t>
  </si>
  <si>
    <t>3.147 +- 0.184 g/L</t>
  </si>
  <si>
    <t>9.6 +- 1.1 %</t>
  </si>
  <si>
    <t>3.239 +- 0.201g/L</t>
  </si>
  <si>
    <t>10.0+-0.3%</t>
  </si>
  <si>
    <t>4.047 +- 0.195 g/L</t>
  </si>
  <si>
    <t>11.3 +- 0.5%</t>
  </si>
  <si>
    <t xml:space="preserve">methane produced </t>
  </si>
  <si>
    <t>2.836 +- 0.216 g/L</t>
  </si>
  <si>
    <t>12.9 +- 1.1 %</t>
  </si>
  <si>
    <t>Heat treated AD sludge</t>
  </si>
  <si>
    <t>treated inoc</t>
  </si>
  <si>
    <t>2.091 +- 0.156 g/L</t>
  </si>
  <si>
    <t>8.0 +- 1.5 %</t>
  </si>
  <si>
    <t>3.014 +- 0.163 g/L</t>
  </si>
  <si>
    <t>6.9 +- 0.2 %</t>
  </si>
  <si>
    <t>4.041 +- 0.146 g/L</t>
  </si>
  <si>
    <t>5.7 +- 0.3 %</t>
  </si>
  <si>
    <t>3.915 +- 0.135 g/L</t>
  </si>
  <si>
    <t>3.3 +- 0.2 %</t>
  </si>
  <si>
    <t>4.018 +- 0.21 g/L</t>
  </si>
  <si>
    <t>4.0 +- 0.1 %</t>
  </si>
  <si>
    <t>4.230 +- 0.197 g/L</t>
  </si>
  <si>
    <t>3.3 +- 0.2%</t>
  </si>
  <si>
    <t>5.680 +- 0.225 g/L</t>
  </si>
  <si>
    <t>4.1 +- 0.3 %</t>
  </si>
  <si>
    <t>UAF for MCCA production from ethanol and C2 phase 1</t>
  </si>
  <si>
    <t>synthetic medium containing 13g/L/d ethanol and 8.5g/L/d c2 + 1g/Lyeast extract</t>
  </si>
  <si>
    <t>6.5-7.0</t>
  </si>
  <si>
    <t>recirculation 2.5L/h</t>
  </si>
  <si>
    <t>low HRT + enriched inoc</t>
  </si>
  <si>
    <t>&lt; 0.1% methane</t>
  </si>
  <si>
    <t>8 g/L</t>
  </si>
  <si>
    <t>11.3 gC6/L/d</t>
  </si>
  <si>
    <t>UAF for MCCA production from ethanol and C2 phase 2</t>
  </si>
  <si>
    <t>synthetic medium containing 19.5g/L/d ethanol and 8.5g/L/d c2 + 1g/Lyeast extract</t>
  </si>
  <si>
    <t>10.7g/L</t>
  </si>
  <si>
    <t>0.5 g/L</t>
  </si>
  <si>
    <t>15.1 gC6/L/d</t>
  </si>
  <si>
    <t>UAF for MCCA production from ethanol and C2 phase 3</t>
  </si>
  <si>
    <t>synthetic medium containing 26g/L/d ethanol and 8.5g/L/d c2 + 1g/Lyeast extract</t>
  </si>
  <si>
    <t>11.1 g/L</t>
  </si>
  <si>
    <t>15.7 gC6/L/d</t>
  </si>
  <si>
    <t>C8 from dilute ethanol and C2</t>
  </si>
  <si>
    <t>Syntehtic medium containing ethanol and C2 (6gCOD ethanol : gCOD C2) + 1.6 gCOD/L (1.25g/L) yeast extract</t>
  </si>
  <si>
    <t>0.5 M HCl</t>
  </si>
  <si>
    <t>recirculation (0.18-0.44 L/d)</t>
  </si>
  <si>
    <t>0.8+-0.5</t>
  </si>
  <si>
    <t>&lt;0.05</t>
  </si>
  <si>
    <t>0.5+-0.3</t>
  </si>
  <si>
    <t>0.19+-0.07</t>
  </si>
  <si>
    <t>0.3+-0.1</t>
  </si>
  <si>
    <t>0.03+-0.09</t>
  </si>
  <si>
    <t>0.05+-0.12</t>
  </si>
  <si>
    <t>0.6+-0.3</t>
  </si>
  <si>
    <t>0.23+-0.12</t>
  </si>
  <si>
    <t>0.21+-0.14</t>
  </si>
  <si>
    <t>0.1+-0</t>
  </si>
  <si>
    <t>Syntehtic medium containing ethanol and C2 (15 gCOD ethanol : gCOD C2) + 1.6 gCOD/L (1.25g/L) yeast extract</t>
  </si>
  <si>
    <t>1.03+-0.33</t>
  </si>
  <si>
    <t>0.76+-0.16</t>
  </si>
  <si>
    <t>0.2+-0.1</t>
  </si>
  <si>
    <t>0.07+-0.02</t>
  </si>
  <si>
    <t>0.03+-0.02</t>
  </si>
  <si>
    <t>0.8+-0.1</t>
  </si>
  <si>
    <t>0.09+-0.02</t>
  </si>
  <si>
    <t>0.04+-0.02</t>
  </si>
  <si>
    <t>2.2+-0.2</t>
  </si>
  <si>
    <t>2.3+-0.4</t>
  </si>
  <si>
    <t>0.06+-0.04</t>
  </si>
  <si>
    <t>0.4+-0.1</t>
  </si>
  <si>
    <t>10.6+-0.3</t>
  </si>
  <si>
    <t>0.08+-0.03</t>
  </si>
  <si>
    <t>0.18+-0.3</t>
  </si>
  <si>
    <t>1.7+-0.3</t>
  </si>
  <si>
    <t>11.2+-1.5</t>
  </si>
  <si>
    <t>0.28+-0.06</t>
  </si>
  <si>
    <t>0.34+-0.08</t>
  </si>
  <si>
    <t>19.4+-1.1</t>
  </si>
  <si>
    <t>approx. 3000 ppm methane</t>
  </si>
  <si>
    <t>1.21+-0.11</t>
  </si>
  <si>
    <t>0.69+-0.1</t>
  </si>
  <si>
    <t>7.5+-0.3</t>
  </si>
  <si>
    <t>13.2+-0.8</t>
  </si>
  <si>
    <t>C6 from lactic - period 4 - start up with continuous feeding</t>
  </si>
  <si>
    <t>Synthetic medium containing C4 and lactic acid (2.3+-0.4g/L/d) with yeast extract (1.25g/L) and nutrients</t>
  </si>
  <si>
    <t>recirculation 0.37L/d</t>
  </si>
  <si>
    <t>&lt;0.02</t>
  </si>
  <si>
    <t>0+-0</t>
  </si>
  <si>
    <t>C6 from lactic - period 5 - start up with continuous feeding</t>
  </si>
  <si>
    <t>Synthetic medium containing C4 and lactic acid (2.0 +- 0.2+-3.7g/L/d) with yeast extract (1.25g/L) and nutrients</t>
  </si>
  <si>
    <t>0.15+-0.09</t>
  </si>
  <si>
    <t>0.1+-0.1</t>
  </si>
  <si>
    <t>C6 from lactic - period 6 - start up with continuous feeding</t>
  </si>
  <si>
    <t>Synthetic medium containing C4 and lactic acid (2.6+-0.4g/L/d) with yeast extract (1.25g/L) and nutrients</t>
  </si>
  <si>
    <t>0.91+-0.94</t>
  </si>
  <si>
    <t>0.6+-0.6</t>
  </si>
  <si>
    <t>C6 from lactic - period 7 - high C6</t>
  </si>
  <si>
    <t>0.2+-0.3</t>
  </si>
  <si>
    <t>1+-0.2</t>
  </si>
  <si>
    <t>C6 from lactic - period 8 - high C6</t>
  </si>
  <si>
    <t>Synthetic medium containing C4 and lactic acid (2.9+-0.2g/L/d) with yeast extract (1.25g/L) and nutrients</t>
  </si>
  <si>
    <t>0.05+-0.01</t>
  </si>
  <si>
    <t>1.3 +-0.1</t>
  </si>
  <si>
    <t>C6 from lactic - period 9 - high C6</t>
  </si>
  <si>
    <t>Synthetic medium containing C4 and lactic acid (4.5+-0.4g/L/d) with yeast extract (1.25g/L) and nutrients</t>
  </si>
  <si>
    <t>0.04+-0.01</t>
  </si>
  <si>
    <t>2.4+-0.1</t>
  </si>
  <si>
    <t>C6 from lactic - period 10 - high C6</t>
  </si>
  <si>
    <t>Synthetic medium containing C4 and lactic acid (4.4+-0.4g/L/d) with yeast extract (1.25g/L) and nutrients</t>
  </si>
  <si>
    <t>0.06 +-0.2</t>
  </si>
  <si>
    <t>3.8+-0.5</t>
  </si>
  <si>
    <t>C6 from lactic - period 11 - high C6</t>
  </si>
  <si>
    <t>Synthetic medium containing C4 and lactic acid (6.1+-0.9g/L/d) with yeast extract (1.25g/L) and nutrients</t>
  </si>
  <si>
    <t>0.32+-0.3</t>
  </si>
  <si>
    <t>3.3+-0.8</t>
  </si>
  <si>
    <t>C6 from lactic - period 12 - high C6</t>
  </si>
  <si>
    <t>Synthetic medium containing C4 and lactic acid (9.1+-0.9g/L/d)with yeast extract (1.25g/L) and nutrients</t>
  </si>
  <si>
    <t>0.06+-0.05</t>
  </si>
  <si>
    <t>6.9+-0.8</t>
  </si>
  <si>
    <t>C6 from lactic - period 13 - high C6</t>
  </si>
  <si>
    <t>Synthetic medium containing C4 and lactic acid (16.2 +- 3.1g/L/d) with yeast extract (1.25g/L) and nutrients</t>
  </si>
  <si>
    <t>0.05+-0.03</t>
  </si>
  <si>
    <t>3+-0.6</t>
  </si>
  <si>
    <t>C6 from lactic - period 14 - post lactic overloading</t>
  </si>
  <si>
    <t>Synthetic medium containing C4 and lactic acid (10.1 +- 1g/L/d) with yeast extract (1.25g/L) and nutrients</t>
  </si>
  <si>
    <t>4.2+-1</t>
  </si>
  <si>
    <t>C6 from lactic - period 15 - post lactic overloading</t>
  </si>
  <si>
    <t>Synthetic medium containing C4 and lactic acid (10.1+-0.5g/L/d)with yeast extract (1.25g/L) and nutrients</t>
  </si>
  <si>
    <t>1.5+-0.5</t>
  </si>
  <si>
    <t>Granule formation in chain elongation reactor</t>
  </si>
  <si>
    <t>Synthetic medium containing 7.7g/L C3, 32.5g/L/d etoh and yeast extract and CO2</t>
  </si>
  <si>
    <t>mixer</t>
  </si>
  <si>
    <t>CO2 2.5 L/L/d</t>
  </si>
  <si>
    <t>7.4+-0.2g/L</t>
  </si>
  <si>
    <t>1.2+-0.1g/L</t>
  </si>
  <si>
    <t>0.2 +-0.1 g/L</t>
  </si>
  <si>
    <t>10.8+-0.5g/L/d</t>
  </si>
  <si>
    <t>0.3+-0.1g/L/d</t>
  </si>
  <si>
    <t>effect of CO2 loading rate on chain elongation and EEO - medium CO2</t>
  </si>
  <si>
    <t>CO2 1 L/L/d + 16.3g/L/d ethanol  + 7.7g/L C3</t>
  </si>
  <si>
    <t>CO2 1 L/L/d</t>
  </si>
  <si>
    <t>4.6+-0.6g/L/d</t>
  </si>
  <si>
    <t>1.7+-0.3g/L/d</t>
  </si>
  <si>
    <t>effect of CO2 loading rate on chain elongation and EEO - low CO2</t>
  </si>
  <si>
    <t>CO2 0.5 L/L/d +  16.3g/L/d ethanol  + 7.7g/L C3</t>
  </si>
  <si>
    <t>CO2 0.5 L/L/d</t>
  </si>
  <si>
    <t>2.9+-0.2g/L/d</t>
  </si>
  <si>
    <t>1.2+-0.2g/L/d</t>
  </si>
  <si>
    <t>effect of CO2 loading rate on chain elongation and EEO - no CO2</t>
  </si>
  <si>
    <t>CO2 0 L/L/d +  16.3g/L/d ethanol  + 7.7g/L C3</t>
  </si>
  <si>
    <t>CO2 0 L/L/d</t>
  </si>
  <si>
    <t>Effect of biochar (20g/L, produced from pine by charring) on product toxicity  - control no biochar</t>
  </si>
  <si>
    <t>Upflow blanket filter</t>
  </si>
  <si>
    <t>50mM/d ethanol and 16.7mM/d C2</t>
  </si>
  <si>
    <t>C8 selectivity when increasing ethanol:c2 ratio to upgrade syngas fermentation effluent</t>
  </si>
  <si>
    <t>N (Y)</t>
  </si>
  <si>
    <t>200+-9.42 mM EtOH, 25.7+-1.75 mM C2 (syngas fermentation effluent) with extra trace metals, vitamins and yeasts etc…</t>
  </si>
  <si>
    <t>Recirculation 130 L/d + 0.6L/d substrate</t>
  </si>
  <si>
    <t>4.21+-0.23</t>
  </si>
  <si>
    <t>12.8+-1.16</t>
  </si>
  <si>
    <t>289+-3.64 mM EtOH, 1.58+-0.33 mM C2 (syngas fermentation effluent) with extra trace metals, vitamins and yeasts etc…</t>
  </si>
  <si>
    <t>1.83+-0.15</t>
  </si>
  <si>
    <t>10.8+-1.03</t>
  </si>
  <si>
    <t>282+-5.21 mM EtOH, 25+-3.01 mM C2 (syngas fermentation effluent) with extra trace metals, vitamins and yeasts etc…</t>
  </si>
  <si>
    <t>4.72+-0.54</t>
  </si>
  <si>
    <t>9.2+-1.69</t>
  </si>
  <si>
    <t>282+-10.5 mM EtOH, 63.4 +- 3.35 mM C2 (syngas fermentation effluent) with extra trace metals, vitamins and yeasts etc…</t>
  </si>
  <si>
    <t>9.93+-0.48</t>
  </si>
  <si>
    <t>6.67+-0.64</t>
  </si>
  <si>
    <t>223+-10.65 mM EtOH, 94.1+-4.74 mM C2 (syngas fermentation effluent) with extra trace metals, vitamins and yeasts etc…</t>
  </si>
  <si>
    <t>7.22+-0.96</t>
  </si>
  <si>
    <t>4.52+-0.98</t>
  </si>
  <si>
    <t>216+-5.26 mM EtOH, 112+-3.41 mM C2 (syngas fermentation effluent) with extra trace metals, vitamins and yeasts etc…</t>
  </si>
  <si>
    <t>7.11+-0.77</t>
  </si>
  <si>
    <t>4.7+-0.8</t>
  </si>
  <si>
    <t>178+-4.53 mM EtOH, 146+-6.24 mM C2 (syngas fermentation effluent) with extra trace metals, vitamins and yeasts etc…</t>
  </si>
  <si>
    <t>0.09+-0</t>
  </si>
  <si>
    <t>218+-9.68 mM EtOH, 64.6+-6.1 mM C2 (syngas fermentation effluent) with extra trace metals, vitamins and yeasts etc…</t>
  </si>
  <si>
    <t>2.06+-0.21</t>
  </si>
  <si>
    <t>2.54+-0.39</t>
  </si>
  <si>
    <t>245+-11.92 mM EtOH, 56.4+-3.55 mM C2 (syngas fermentation effluent) with extra trace metals, vitamins and yeasts etc…</t>
  </si>
  <si>
    <t>0.54+-0.03</t>
  </si>
  <si>
    <t>0.07+-0.01</t>
  </si>
  <si>
    <t>221+-17.14 mM EtOH, na C2 (syngas fermentation effluent) with extra trace metals, vitamins and yeasts etc…</t>
  </si>
  <si>
    <t>3.92+-0.04</t>
  </si>
  <si>
    <t>3.94+-1.23</t>
  </si>
  <si>
    <t>287+-6.08 mM EtOH, 318 +- 0.42 mM C2 (syngas fermentation effluent) with extra trace metals, vitamins and yeasts etc…</t>
  </si>
  <si>
    <t>2.6+-0.49</t>
  </si>
  <si>
    <t>1.21+-0.52</t>
  </si>
  <si>
    <t>MCCA production from stillage</t>
  </si>
  <si>
    <t>CSTR: 75mL/day flow</t>
  </si>
  <si>
    <t>Switchgrass-derived stillage</t>
  </si>
  <si>
    <t>AD sludge from acidogenic fermenter</t>
  </si>
  <si>
    <t>Vented headspace: produced gas released to atmosphere</t>
  </si>
  <si>
    <t>5M KOH</t>
  </si>
  <si>
    <t>18.7 gCOD/L</t>
  </si>
  <si>
    <t>CSTR: 25mL/day flow</t>
  </si>
  <si>
    <t>2.39gCOD/l</t>
  </si>
  <si>
    <t>2.6 g/l/d</t>
  </si>
  <si>
    <t>0.27 g/l/d</t>
  </si>
  <si>
    <t>General</t>
  </si>
  <si>
    <t>organic loading rate</t>
  </si>
  <si>
    <t>Biomass concentration at inoculation</t>
  </si>
  <si>
    <t>pH control</t>
  </si>
  <si>
    <t>Rate ( r)</t>
  </si>
  <si>
    <t>Effect of inoculum and stirring on H2 production</t>
  </si>
  <si>
    <t>Gómez, X.; Cuetos, M.J.; Prieto, J.I.; Morán, A. Bio-hydrogen production from waste fermentation: Mixing and static conditions. Renewable Energy 2009, 34, 970-975, doi:10.1016/j.renene.2008.08.011.</t>
  </si>
  <si>
    <t>6% TS</t>
  </si>
  <si>
    <t>3% TS</t>
  </si>
  <si>
    <t>+-4g/L (day 16)</t>
  </si>
  <si>
    <t>+-2g/L (day 16)</t>
  </si>
  <si>
    <t>+-3g/L (day 36)</t>
  </si>
  <si>
    <t>+-11g/L (day 26)</t>
  </si>
  <si>
    <t>+-3.5g/L (day 23)</t>
  </si>
  <si>
    <t>+-1.6g/L (day 18)</t>
  </si>
  <si>
    <t>Lim, S.J.; Kim, B.J.; Jeong, C.M.; Choi, J.D.; Ahn, Y.H.; Chang, H.N. Anaerobic organic acid production of food waste in once-a-day feeding and drawing-off bioreactor. Bioresour Technol 2008, 99, 7866-7874, doi:10.1016/j.biortech.2007.06.028.</t>
  </si>
  <si>
    <t>AD</t>
  </si>
  <si>
    <t>anaerobic digestion</t>
  </si>
  <si>
    <t>Jankowska, E.; Duber, A.; Chwialkowska, J.; Stodolny, M.; Oleskowicz-Popiel, P. Conversion of organic waste into volatile fatty acids – The influence of process operating parameters. Chemical Engineering Journal 2018, 345, 395-403, doi:10.1016/j.cej.2018.03.180.</t>
  </si>
  <si>
    <t>Domke, S.B.; Aiello-Mazzarri, C.; Holtzapple, M.T. Mixed acid fermentation of paper fines and industrial biosludge. Bioresource Technology 2004, 91, 41-51, doi:10.1016/s0960-8524(03)00156-1.</t>
  </si>
  <si>
    <t>Biogas produced</t>
  </si>
  <si>
    <t>No methane produced</t>
  </si>
  <si>
    <t>no methane produced?</t>
  </si>
  <si>
    <t>Domingos, J.M.B.; Martinez, G.A.; Scoma, A.; Fraraccio, S.; Kerckhof, F.-M.; Boon, N.; Reis, M.A.M.; Fava, F.; Bertin, L. Effect of Operational Parameters in the Continuous Anaerobic Fermentation of Cheese Whey on Titers, Yields, Productivities, and Microbial Community Structures. ACS Sustainable Chemistry &amp; Engineering 2016, 5, 1400-1407, doi:10.1021/acssuschemeng.6b01901.</t>
  </si>
  <si>
    <t>Domingos, J.M.B.; Puccio, S.; Martinez, G.A.; Amaral, N.; Reis, M.A.M.; Bandini, S.; Fava, F.; Bertin, L. Cheese whey integrated valorisation: Production, concentration and exploitation of carboxylic acids for the production of polyhydroxyalkanoates by a fed-batch culture. Chemical Engineering Journal 2018, 336, 47-53, doi:10.1016/j.cej.2017.11.024.</t>
  </si>
  <si>
    <t>polyhydroxy alkanoates</t>
  </si>
  <si>
    <t>volatile fatty acids</t>
  </si>
  <si>
    <t>MCCA</t>
  </si>
  <si>
    <t>medium chain carboxylic acids</t>
  </si>
  <si>
    <t>Upflow reactor</t>
  </si>
  <si>
    <t>UA</t>
  </si>
  <si>
    <t>Upflow anaerobic</t>
  </si>
  <si>
    <t>Y: ex situ</t>
  </si>
  <si>
    <t>Y: + electrodialysis and PHA fermentation</t>
  </si>
  <si>
    <t>Continuous supply of CO2</t>
  </si>
  <si>
    <t>Agler, M.T.; Spirito, C.M.; Usack, J.G.; Werner, J.J.; Angenent, L.T. Development of a highly specific and productive process for n-caproic acid production: applying lessons from methanogenic microbiomes. Water Sci Technol 2014, 69, 62-68, doi:10.2166/wst.2013.549.</t>
  </si>
  <si>
    <t>Y: in line</t>
  </si>
  <si>
    <t>treated dilute acid pretreated corn fiber or ethanol beer with ethanol addition of 1.52g/l/d from day 428</t>
  </si>
  <si>
    <t>treated dilute acid pretreated corn fiber or ethanol beer with ethanol addition of 1.52g ethanol/l/d from day 428</t>
  </si>
  <si>
    <r>
      <rPr>
        <b/>
        <sz val="11"/>
        <color theme="1"/>
        <rFont val="Calibri"/>
        <family val="2"/>
      </rPr>
      <t>°</t>
    </r>
    <r>
      <rPr>
        <b/>
        <sz val="9.35"/>
        <color theme="1"/>
        <rFont val="Calibri"/>
        <family val="2"/>
      </rPr>
      <t>C</t>
    </r>
  </si>
  <si>
    <t xml:space="preserve">low pH and C4 </t>
  </si>
  <si>
    <t>NA - no air intrusion when effluent extraction</t>
  </si>
  <si>
    <t>3.8 gCOD/L/d</t>
  </si>
  <si>
    <t>3.2g/L (max)</t>
  </si>
  <si>
    <t>8.1g/L (max)</t>
  </si>
  <si>
    <t>9g/L (max)</t>
  </si>
  <si>
    <t xml:space="preserve">Synthetic/Complex </t>
  </si>
  <si>
    <t>Vasudevan, D.; Richter, H.; Angenent, L.T. Upgrading dilute ethanol from syngas fermentation to n-caproate with reactor microbiomes. Bioresour Technol 2014, 151, 378-382, doi:10.1016/j.biortech.2013.09.105.</t>
  </si>
  <si>
    <t>semi-continuous stirred tank reactor</t>
  </si>
  <si>
    <t>Andersen, S.J.; De Groof, V.; Khor, W.C.; Roume, H.; Props, R.; Coma, M.; Rabaey, K. A Clostridium Group IV Species Dominates and Suppresses a Mixed Culture Fermentation by Tolerance to Medium Chain Fatty Acids Products. Front Bioeng Biotechnol 2017, 5, 8, doi:10.3389/fbioe.2017.00008.</t>
  </si>
  <si>
    <t>C4 from pretreated corn fibre - different HRT, different pH</t>
  </si>
  <si>
    <t>Agler, M.T.; Werner, J.J.; Iten, L.B.; Dekker, A.; Cotta, M.A.; Dien, B.S.; Angenent, L.T. Shaping reactor microbiomes to produce the fuel precursor n-butyrate from pretreated cellulosic hydrolysates. Environ Sci Technol 2012, 46, 10229-10238, doi:10.1021/es302352c.</t>
  </si>
  <si>
    <t>10 - 6</t>
  </si>
  <si>
    <t>23 - 10</t>
  </si>
  <si>
    <t xml:space="preserve">CH4 produced </t>
  </si>
  <si>
    <t>LOD</t>
  </si>
  <si>
    <t>Limit of detection</t>
  </si>
  <si>
    <t>Washed AD digestate (potato wastewater granular sludge)</t>
  </si>
  <si>
    <t>Inoculum pretreatment</t>
  </si>
  <si>
    <t>N2 flush at start - kept at 1 bar</t>
  </si>
  <si>
    <t>Graph available</t>
  </si>
  <si>
    <t>C4 main product</t>
  </si>
  <si>
    <t>Other notes</t>
  </si>
  <si>
    <t>Other</t>
  </si>
  <si>
    <t xml:space="preserve">Other </t>
  </si>
  <si>
    <t>Andersen, S.J.; Candry, P.; Basadre, T.; Khor, W.C.; Roume, H.; Hernandez-Sanabria, E.; Coma, M.; Rabaey, K. Electrolytic extraction drives volatile fatty acid chain elongation through lactic acid and replaces chemical pH control in thin stillage fermentation. Biotechnol Biofuels 2015, 8, 221, doi:10.1186/s13068-015-0396-7.</t>
  </si>
  <si>
    <t>Agler, M.T.; Spirito, C.M.; Usack, J.G.; Werner, J.J.; Angenent, L.T. Chain elongation with reactor microbiomes: upgrading dilute ethanol to medium-chain carboxylates. Energy &amp; Environmental Science 2012, 5, doi:10.1039/c2ee22101b.</t>
  </si>
  <si>
    <t>VFA available</t>
  </si>
  <si>
    <t>Duber, A.; Jaroszynski, L.; Zagrodnik, R.; Chwialkowska, J.; Juzwa, W.; Ciesielski, S.; Oleskowicz-Popiel, P. Exploiting the real wastewater potential for resource recovery – n-caproate production from acid whey. Green Chemistry 2018, 20, 3790-3803, doi:10.1039/c8gc01759j.</t>
  </si>
  <si>
    <t>Xu, J.; Hao, J.; Guzman, J.J.L.; Spirito, C.M.; Harroff, L.A.; Angenent, L.T. Temperature-Phased Conversion of Acid Whey Waste Into Medium-Chain Carboxylic Acids via Lactic Acid: No External e-Donor. Joule 2018, 2, 280-295, doi:10.1016/j.joule.2017.11.008.</t>
  </si>
  <si>
    <t>Enriched in-house culture -pretreated</t>
  </si>
  <si>
    <t>0.13gCOD/l/d CH4</t>
  </si>
  <si>
    <t>0.07gCOD/L/d CH4</t>
  </si>
  <si>
    <t>0.02gCOD/L/d CH4</t>
  </si>
  <si>
    <t>Khor, W.C.; Andersen, S.; Vervaeren, H.; Rabaey, K. Electricity-assisted production of caproic acid from grass. Biotechnol Biofuels 2017, 10, 180, doi:10.1186/s13068-017-0863-4.</t>
  </si>
  <si>
    <t>Ge, S.; Usack, J.G.; Spirito, C.M.; Angenent, L.T. Long-Term n-Caproic Acid Production from Yeast-Fermentation Beer in an Anaerobic Bioreactor with Continuous Product Extraction. Environ Sci Technol 2015, 49, 8012-8021, doi:10.1021/acs.est.5b00238.</t>
  </si>
  <si>
    <t>6.29 g/L (max on day 124)</t>
  </si>
  <si>
    <t>trace</t>
  </si>
  <si>
    <t>Ding, H.B.; Tan, G.Y.; Wang, J.Y. Caproate formation in mixed-culture fermentative hydrogen production. Bioresour Technol 2010, 101, 9550-9559, doi:10.1016/j.biortech.2010.07.056.</t>
  </si>
  <si>
    <t>Roghair, M.; Liu, Y.; Strik, D.; Weusthuis, R.A.; Bruins, M.E.; Buisman, C.J.N. Development of an Effective Chain Elongation Process From Acidified Food Waste and Ethanol Into n-Caproate. Front Bioeng Biotechnol 2018, 6, 50, doi:10.3389/fbioe.2018.00050.</t>
  </si>
  <si>
    <t>Data available</t>
  </si>
  <si>
    <t>Grootscholten, T.I.; Steinbusch, K.J.; Hamelers, H.V.; Buisman, C.J. Improving medium chain fatty acid productivity using chain elongation by reducing the hydraulic retention time in an upflow anaerobic filter. Bioresour Technol 2013, 136, 735-738, doi:10.1016/j.biortech.2013.02.114.</t>
  </si>
  <si>
    <t>Kucek, L.A.; Xu, J.; Nguyen, M.; Angenent, L.T. Waste Conversion into n-Caprylate and n-Caproate: Resource Recovery from Wine Lees Using Anaerobic Reactor Microbiomes and In-line Extraction. Front Microbiol 2016, 7, 1892, doi:10.3389/fmicb.2016.01892.</t>
  </si>
  <si>
    <t>Grootscholten, T.I.M.; Strik, D.P.B.T.B.; Steinbusch, K.J.J.; Buisman, C.J.N.; Hamelers, H.V.M. Two-stage medium chain fatty acid (MCFA) production from municipal solid waste and ethanol. Applied Energy 2014, 116, 223-229, doi:10.1016/j.apenergy.2013.11.061.</t>
  </si>
  <si>
    <t>CH4 produced (low H2 led to excessive ethanol oxidation)</t>
  </si>
  <si>
    <t>5% CH4</t>
  </si>
  <si>
    <t>11% CH4</t>
  </si>
  <si>
    <t>19% CH4</t>
  </si>
  <si>
    <t>Wang, Y.; Mu, Y.; Yu, H. Comparative performance of two upflow anaerobic biohydrogen-producing reactors seeded with different sludges. International Journal of Hydrogen Energy 2007, 32, 1086-1094, doi:10.1016/j.ijhydene.2006.07.016.</t>
  </si>
  <si>
    <t>no methane  produced</t>
  </si>
  <si>
    <t>Grootscholten, T.I.; Steinbusch, K.J.; Hamelers, H.V.; Buisman, C.J. Chain elongation of acetate and ethanol in an upflow anaerobic filter for high rate MCFA production. Bioresour Technol 2013, 135, 440-445, doi:10.1016/j.biortech.2012.10.165.</t>
  </si>
  <si>
    <t>Kucek, L.A.; Nguyen, M.; Angenent, L.T. Conversion of L-lactate into n-caproate by a continuously fed reactor microbiome. Water Res 2016, 93, 163-171, doi:10.1016/j.watres.2016.02.018.</t>
  </si>
  <si>
    <t>Roghair, M.; Strik, D.P.B.T.B.; Steinbusch, K.J.J.; Weusthuis, R.A.; Bruins, M.E.; Buisman, C.J.N. Granular sludge formation and characterization in a chain elongation process. Process Biochemistry 2016, 51, 1594-1598, doi:10.1016/j.procbio.2016.06.012.</t>
  </si>
  <si>
    <t>Roghair, M.; Hoogstad, T.; Strik, D.; Plugge, C.M.; Timmers, P.H.A.; Weusthuis, R.A.; Bruins, M.E.; Buisman, C.J.N. Controlling Ethanol Use in Chain Elongation by CO2 Loading Rate. Environ Sci Technol 2018, 52, 1496-1505, doi:10.1021/acs.est.7b04904.</t>
  </si>
  <si>
    <t>effect of CO2 loading rate on chain elongation and excessive ethanol oxidation (EEO) - medium CO2</t>
  </si>
  <si>
    <t>No steady state</t>
  </si>
  <si>
    <t>26.8 +- 2.6 mM</t>
  </si>
  <si>
    <t>8.8+- 1.4mM</t>
  </si>
  <si>
    <t>0.7+-0.1 mM</t>
  </si>
  <si>
    <t>18.6+-1.8mM</t>
  </si>
  <si>
    <t>6.6+-0.7 mM</t>
  </si>
  <si>
    <t>0.6 +- 0.2mM</t>
  </si>
  <si>
    <t>0.11+-0.07g/L/d</t>
  </si>
  <si>
    <t>0.14+-0.04g/L/d</t>
  </si>
  <si>
    <t>2:1 inoculum to substrate ratio (VS)</t>
  </si>
  <si>
    <t>2 M KOH</t>
  </si>
  <si>
    <t>recirculation</t>
  </si>
  <si>
    <t>approx 0.21g/L</t>
  </si>
  <si>
    <t>approx. 0.12g/L</t>
  </si>
  <si>
    <t>Graphs available</t>
  </si>
  <si>
    <t>Spirito, C.M.; Marzilli, A.M.; Angenent, L.T. Higher Substrate Ratios of Ethanol to Acetate Steered Chain Elongation toward n-Caprylate in a Bioreactor with Product Extraction. Environ Sci Technol 2018, 52, 13438-13447, doi:10.1021/acs.est.8b03856.</t>
  </si>
  <si>
    <t>16.5+-3.6% CH4 in biogas</t>
  </si>
  <si>
    <t>20+-1.4 in 0.55+-0.06mL/d biogas</t>
  </si>
  <si>
    <t>17.6%CH4 in 0.33+-0.06mL/d biogas</t>
  </si>
  <si>
    <t>21.3+-3.8%CH4 in 0.31+-0.06mL/d biogas</t>
  </si>
  <si>
    <t>21.7 +- 0.2%CH4 in 0.35+-0.05mL/d biogas</t>
  </si>
  <si>
    <t>32.2%CH4 in 0.27+-0.02mL/d biogas</t>
  </si>
  <si>
    <t>22.7+-1.3%CH4 in 0.40+-0.02 mL/d biogas</t>
  </si>
  <si>
    <t>19.8+-4.5%CH4 in 1.22+-0.06mL/d biogas</t>
  </si>
  <si>
    <t>47.2%CH4 in 1.19+-0.03mL/d biogas</t>
  </si>
  <si>
    <t>56.9%CH4 in 1.66+-0.27mL/d biogas</t>
  </si>
  <si>
    <t>25.6+-2.8%CH4 in 2.74+-0.04mL/d biogas</t>
  </si>
  <si>
    <t>4.5+-0.2mM</t>
  </si>
  <si>
    <t>2.9+-0.4mM</t>
  </si>
  <si>
    <t>2.8+-0.2mM</t>
  </si>
  <si>
    <t>2.5+-0.2mM</t>
  </si>
  <si>
    <t>0.9+-0.1mM</t>
  </si>
  <si>
    <t>0.5+-0mM</t>
  </si>
  <si>
    <t>0.4+-0.0mM</t>
  </si>
  <si>
    <t>2.5+-0.1mM</t>
  </si>
  <si>
    <t>0.3+-0mM</t>
  </si>
  <si>
    <t>0.6+-0.2mM</t>
  </si>
  <si>
    <t>1.5+-0.1mM</t>
  </si>
  <si>
    <t>1.4+-0.1mM</t>
  </si>
  <si>
    <t>0.3+0.1mM</t>
  </si>
  <si>
    <t>0.2+-0mM</t>
  </si>
  <si>
    <t>Scarborough, M.J.; Lynch, G.; Dickson, M.; McGee, M.; Donohue, T.J.; Noguera, D.R. Increasing the economic value of lignocellulosic stillage through medium-chain fatty acid production. Biotechnol Biofuels 2018, 11, 200, doi:10.1186/s13068-018-1193-x.</t>
  </si>
  <si>
    <t>ref</t>
  </si>
  <si>
    <t>target</t>
  </si>
  <si>
    <t>fermentation cycle (h)</t>
  </si>
  <si>
    <t>Substrate</t>
  </si>
  <si>
    <t>Class</t>
  </si>
  <si>
    <t>pH</t>
  </si>
  <si>
    <t>OLR (gcod/L/d)</t>
  </si>
  <si>
    <t>HRT (d)</t>
  </si>
  <si>
    <t>CH4 inhib</t>
  </si>
  <si>
    <t>C6 (gcod/L)</t>
  </si>
  <si>
    <t>C7 (gCOD/L)</t>
  </si>
  <si>
    <t>C8 (gCOD/L)</t>
  </si>
  <si>
    <t>C6 (gCOD/L/d)</t>
  </si>
  <si>
    <t>C7 (gCOD/L/d)</t>
  </si>
  <si>
    <t>C8 (gCOD/L/d)</t>
  </si>
  <si>
    <t>C9 (gCOD/L/d)</t>
  </si>
  <si>
    <t>Sum</t>
  </si>
  <si>
    <t>Cellulosic</t>
  </si>
  <si>
    <t>Cafetaria food waste</t>
  </si>
  <si>
    <t xml:space="preserve">MCCA from food waste - 1/5 dilution of leachate - increased recirculation </t>
  </si>
  <si>
    <t>Restaurant food waste</t>
  </si>
  <si>
    <t>Y (corrected at start of cycle)</t>
  </si>
  <si>
    <t>Effect of inoculum - slaugtherhouse waste AD sludge</t>
  </si>
  <si>
    <t>Simulated food waste</t>
  </si>
  <si>
    <t>Lactic acid rich</t>
  </si>
  <si>
    <t>continuous</t>
  </si>
  <si>
    <t>3.4-6</t>
  </si>
  <si>
    <t>C6 from yellow water by pit liquor microbiome</t>
  </si>
  <si>
    <t>SBR (with upflow)</t>
  </si>
  <si>
    <t>diluted yellow water (lactic acid rich, 2-3 month fermented wheat, sorghum and corn)</t>
  </si>
  <si>
    <t>Lactic acid rich + extraction</t>
  </si>
  <si>
    <t>Thin stillage and beer mixture from yest-fermentation of corn to ethanol</t>
  </si>
  <si>
    <t>Ethanol rich</t>
  </si>
  <si>
    <t>Ethanol rich + extraction</t>
  </si>
  <si>
    <t>Thin stillage</t>
  </si>
  <si>
    <t>SBR with biomass retention</t>
  </si>
  <si>
    <t>yeast-fermentation beer diluted with tap water</t>
  </si>
  <si>
    <t>Acidified/prefermented diluted FW  + 32.2 g/L ethanol</t>
  </si>
  <si>
    <t>Ethanol supplemented</t>
  </si>
  <si>
    <t>Acidified/prefermented OFMSW + 18.4g/L ethanol</t>
  </si>
  <si>
    <t>Synthetic - ethanol</t>
  </si>
  <si>
    <t>6.5-7.5</t>
  </si>
  <si>
    <t xml:space="preserve">C6 production and H2 formation in MMC -modelling and thermodynamics from experimental </t>
  </si>
  <si>
    <t>Syntehtic - ethanol</t>
  </si>
  <si>
    <t>8-5.25</t>
  </si>
  <si>
    <t>Synthetic - lactic acid</t>
  </si>
  <si>
    <t>Synthetic - sugar</t>
  </si>
  <si>
    <t>C4 from pretreated corn fibre - different HRT, different pH - THERMOPHILIC</t>
  </si>
  <si>
    <t>Complex feedstock, MMC, SBRs -&gt; taken from overview parameter spreadsheet (all mesophilic i.e. 30-45C unless stated otherwise) + Maximum values reached per study - Synthetic feedstock included to represent highest reached production rates</t>
  </si>
  <si>
    <t>Reference</t>
  </si>
  <si>
    <t>Fisgativa 2016</t>
  </si>
  <si>
    <r>
      <t xml:space="preserve">Fisgativa, H.; Tremier, A.; Dabert, P. Characterizing the variability of food waste quality: A need for efficient valorisation through anaerobic digestion. </t>
    </r>
    <r>
      <rPr>
        <i/>
        <sz val="10"/>
        <color rgb="FF000000"/>
        <rFont val="Palatino Linotype"/>
        <family val="1"/>
      </rPr>
      <t xml:space="preserve">Waste Manag </t>
    </r>
    <r>
      <rPr>
        <b/>
        <sz val="10"/>
        <color rgb="FF000000"/>
        <rFont val="Palatino Linotype"/>
        <family val="1"/>
      </rPr>
      <t>2016</t>
    </r>
    <r>
      <rPr>
        <sz val="10"/>
        <color rgb="FF000000"/>
        <rFont val="Palatino Linotype"/>
        <family val="1"/>
      </rPr>
      <t xml:space="preserve">, </t>
    </r>
    <r>
      <rPr>
        <i/>
        <sz val="10"/>
        <color rgb="FF000000"/>
        <rFont val="Palatino Linotype"/>
        <family val="1"/>
      </rPr>
      <t>50</t>
    </r>
    <r>
      <rPr>
        <sz val="10"/>
        <color rgb="FF000000"/>
        <rFont val="Palatino Linotype"/>
        <family val="1"/>
      </rPr>
      <t>, 264-274, doi:10.1016/j.wasman.2016.01.041.</t>
    </r>
  </si>
  <si>
    <t>LBR - semi-continuous (feeding every 7d)</t>
  </si>
  <si>
    <t>Food waste - Restaurant FW (homogenized and frozen)</t>
  </si>
  <si>
    <t>Lactic</t>
  </si>
  <si>
    <t>-/14days</t>
  </si>
  <si>
    <t>-/7days</t>
  </si>
  <si>
    <t>Anaerobic granular sludge from full-scale AD</t>
  </si>
  <si>
    <t>Previous period</t>
  </si>
  <si>
    <t>Previous phase</t>
  </si>
  <si>
    <t>Previous phase + bio-augmentation with enriched in cellulose, hemicellulose, protein and fat degrading</t>
  </si>
  <si>
    <t>Sequential LBR food waste fermentation for MCCA - 6period 2, phase 5</t>
  </si>
  <si>
    <t>Sequential LBR food waste fermentation for C6- period 2, phase 5</t>
  </si>
  <si>
    <t xml:space="preserve">Sequential LBR food waste fermentation for C6 - start, period 1 </t>
  </si>
  <si>
    <t>Sequential LBR food waste fermentation for C6 - period 2, phase 1</t>
  </si>
  <si>
    <t>Sequential LBR food waste fermentation for C6  - period 2, phase 2</t>
  </si>
  <si>
    <t>Sequential LBR food waste fermentation for C6 - period 2, phase 3</t>
  </si>
  <si>
    <t>Sequential LBR food waste fermentation for C6 - period 2, phase 4</t>
  </si>
  <si>
    <t>0.25 (inoc/FW VS) every 14days, previous batch inoc + leachate dil 1/4</t>
  </si>
  <si>
    <t>0.25 (inoc/FW VS) every 14days, previous batch inoc + leachate dil 1/15</t>
  </si>
  <si>
    <t>0.25 (inoc/FW VS) every 14days, previous batch inoc + leachate dil 1/15 and 1/2 at day 2 leachate replaced</t>
  </si>
  <si>
    <t>7 every 14days</t>
  </si>
  <si>
    <t>40g NaHCO3 added start and every 14d</t>
  </si>
  <si>
    <t>7 every 7days</t>
  </si>
  <si>
    <t>40g NaHCO3 added start and every 7d</t>
  </si>
  <si>
    <t>recirculation 1h/day at 20mL/min</t>
  </si>
  <si>
    <t>recirculation 1h/dayx4 at 20mL/min</t>
  </si>
  <si>
    <t>long exposure to high carboxylate concentrations during fermentation</t>
  </si>
  <si>
    <t>40.94+-2.77gCOD/L</t>
  </si>
  <si>
    <t>11.7+8.6%</t>
  </si>
  <si>
    <t>33.28+-4.35gCOD/L</t>
  </si>
  <si>
    <t>38.3+-4.3%</t>
  </si>
  <si>
    <t>64.64+-6.09gCOD/L</t>
  </si>
  <si>
    <t>27.2+-2.6%</t>
  </si>
  <si>
    <t>73.54+-1.86gCOD/L</t>
  </si>
  <si>
    <t>29.7+-0.4%</t>
  </si>
  <si>
    <t>46.48+-2.62gCOD/L</t>
  </si>
  <si>
    <t>13.4+-5.8%</t>
  </si>
  <si>
    <t>66.52+-6.17gCOD/L</t>
  </si>
  <si>
    <t>6.7+-3.1%</t>
  </si>
  <si>
    <t>24.7+-7.29gCOD/L</t>
  </si>
  <si>
    <t>Lactic acid rich (+lactic acid supplemented)</t>
  </si>
  <si>
    <t>Ref - mesophilic (30-45C) + no pH control during batch or extraction</t>
  </si>
  <si>
    <t>inoculum type</t>
  </si>
  <si>
    <t>Substrate synthetic/complex</t>
  </si>
  <si>
    <t>Substrate type</t>
  </si>
  <si>
    <t>Load substrate (gCOD/L)</t>
  </si>
  <si>
    <t>C6 gCOD/L</t>
  </si>
  <si>
    <t>C8 gCOD/L</t>
  </si>
  <si>
    <t>MCCA gCOD/L</t>
  </si>
  <si>
    <t>MCCA Y (%)</t>
  </si>
  <si>
    <t>MCCA Y per day</t>
  </si>
  <si>
    <t>Supplemented - ethanol</t>
  </si>
  <si>
    <t>washed and soaked in potassium phosphate buffer at pH 5 and heat treated (boiled for 15 min)</t>
  </si>
  <si>
    <t>AD sludge pretreated</t>
  </si>
  <si>
    <t xml:space="preserve">Diff COD load and CO2 and H2 </t>
  </si>
  <si>
    <t>Acid and heat preatreatment</t>
  </si>
  <si>
    <t>N (degasification)</t>
  </si>
  <si>
    <t>N (washed)</t>
  </si>
  <si>
    <t>in-house enriched</t>
  </si>
  <si>
    <t>Synthetic - H2</t>
  </si>
  <si>
    <t>2g TVS/L</t>
  </si>
  <si>
    <t>feedstock</t>
  </si>
  <si>
    <t>Leach-bed</t>
  </si>
  <si>
    <t>Batch experiments with microbiome from continuous reactor: varied EtOh/C2 ratio - C8/C14</t>
  </si>
  <si>
    <t>Batch experiments with microbiome from continuous reactor: varied EtOh/C2 ratio - C8/C7</t>
  </si>
  <si>
    <t>Batch experiments with microbiome from continuous reactor: varied EtOh/C2 ratio - C8/C11</t>
  </si>
  <si>
    <t>Batch experiments with microbiome from continuous reactor: varied EtOh/C2 ratio - C8/C15</t>
  </si>
  <si>
    <t>Batch experiments with microbiome from continuous reactor: varied EtOh/C2 ratio - C8/C12</t>
  </si>
  <si>
    <t>Batch experiments with microbiome from continuous reactor: varied EtOh/C2 ratio - C8/C16</t>
  </si>
  <si>
    <t>Batch experiments with microbiome from continuous reactor: varied EtOh/C2 ratio - C8/C8</t>
  </si>
  <si>
    <t>Batch experiments with microbiome from continuous reactor: varied EtOh/C2 ratio - C8/C10</t>
  </si>
  <si>
    <t>Batch experiments with microbiome from continuous reactor: varied EtOh/C2 ratio - C8/C17</t>
  </si>
  <si>
    <t>Batch experiments with microbiome from continuous reactor: varied EtOh/C2 ratio - C8/C13</t>
  </si>
  <si>
    <t>Batch experiments with microbiome from continuous reactor: varied EtOh/C2 ratio - C8/C9</t>
  </si>
  <si>
    <t>2 mL of enriched culture</t>
  </si>
  <si>
    <t>Effects of substrate, electron donor and methane inhibition on MCCA</t>
  </si>
  <si>
    <t>identifying substrate for CE in yellow water fermentation</t>
  </si>
  <si>
    <t>in-house enriched and bio-augmented</t>
  </si>
  <si>
    <t>Ruminal microflora and bio-augmented</t>
  </si>
  <si>
    <t>Inoculum pretreatment (Y/N)</t>
  </si>
  <si>
    <t>Product</t>
  </si>
  <si>
    <t>general</t>
  </si>
  <si>
    <t>detail</t>
  </si>
  <si>
    <t>HRT</t>
  </si>
  <si>
    <t>SRT</t>
  </si>
  <si>
    <t>Synthetic/ Complex medium</t>
  </si>
  <si>
    <t>MCCA Y</t>
  </si>
  <si>
    <t>gCOD/L/d</t>
  </si>
  <si>
    <t>C4 from pretreated corn fibre (3) - different HRT, different pH</t>
  </si>
  <si>
    <t>continuous stirred tank reactor</t>
  </si>
  <si>
    <t>VSS</t>
  </si>
  <si>
    <t>volatile suspended solids</t>
  </si>
  <si>
    <t>VS</t>
  </si>
  <si>
    <t>Volatile solids</t>
  </si>
  <si>
    <t>TSS</t>
  </si>
  <si>
    <t>total suspended solids</t>
  </si>
  <si>
    <t>COD</t>
  </si>
  <si>
    <t>chemical oxygen demand</t>
  </si>
  <si>
    <t>Concentration ( C)</t>
  </si>
  <si>
    <t>This data repository has been used for the review paper: "Medium chain carboxylic acids from complex organic feedstock by mixed culture fermentation" by V. De Groof, M. Coma, T. Arnot, D. Leak, A. Lanham</t>
  </si>
  <si>
    <t>Authors: Vicky De Groof, Marta Coma, Tom Arnot, David Leak, Ana Lanham</t>
  </si>
  <si>
    <t>This dataset was used to generate Figure 3 in the review paper referenced in "Read me"tab</t>
  </si>
  <si>
    <t>This dataset was used to generate Figure 4 in the review paper referenced in "Read me"tab</t>
  </si>
  <si>
    <t>This dataset was used to generate Figure 5 in the review paper referenced in "Read me"tab</t>
  </si>
  <si>
    <t>OLR and MCCA production rate</t>
  </si>
  <si>
    <t>Effect of inoculum type</t>
  </si>
  <si>
    <t>Effect of HRT and extraction</t>
  </si>
  <si>
    <t>Dataset on experimental data available in the literature on "Medium chain carboxylic acids from complex organic feedstock by mixed culture fermentation"</t>
  </si>
  <si>
    <t>Review paper published in MDPI Molecules: Special Issue "Chemicals from Food Supply Chain By-Products and Waste Streams"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</si>
</sst>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4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9.35"/>
      <color theme="1"/>
      <name val="Calibri"/>
      <family val="2"/>
    </font>
    <font>
      <b/>
      <sz val="11"/>
      <name val="Calibri"/>
      <family val="2"/>
      <scheme val="minor"/>
    </font>
    <font>
      <sz val="10"/>
      <color rgb="FF000000"/>
      <name val="Palatino Linotype"/>
      <family val="1"/>
    </font>
    <font>
      <i/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1"/>
      <color theme="5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9DBF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Fill="1"/>
    <xf numFmtId="164" fontId="0" fillId="0" borderId="0" xfId="0" applyNumberFormat="1"/>
    <xf numFmtId="0" fontId="0" fillId="3" borderId="0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5" xfId="0" applyFill="1" applyBorder="1"/>
    <xf numFmtId="0" fontId="2" fillId="0" borderId="0" xfId="0" applyFont="1"/>
    <xf numFmtId="0" fontId="0" fillId="0" borderId="0" xfId="0" applyFill="1" applyBorder="1"/>
    <xf numFmtId="0" fontId="10" fillId="3" borderId="3" xfId="0" applyFont="1" applyFill="1" applyBorder="1"/>
    <xf numFmtId="0" fontId="0" fillId="2" borderId="0" xfId="0" applyFill="1" applyAlignment="1">
      <alignment horizontal="left"/>
    </xf>
    <xf numFmtId="0" fontId="0" fillId="2" borderId="0" xfId="0" quotePrefix="1" applyFill="1" applyAlignment="1">
      <alignment horizontal="left"/>
    </xf>
    <xf numFmtId="0" fontId="0" fillId="4" borderId="0" xfId="0" quotePrefix="1" applyFill="1" applyAlignment="1">
      <alignment horizontal="left"/>
    </xf>
    <xf numFmtId="2" fontId="0" fillId="4" borderId="0" xfId="0" applyNumberFormat="1" applyFill="1" applyAlignment="1">
      <alignment horizontal="left"/>
    </xf>
    <xf numFmtId="0" fontId="0" fillId="3" borderId="0" xfId="0" quotePrefix="1" applyFill="1" applyAlignment="1">
      <alignment horizontal="left"/>
    </xf>
    <xf numFmtId="2" fontId="0" fillId="3" borderId="0" xfId="0" applyNumberFormat="1" applyFill="1" applyAlignment="1">
      <alignment horizontal="left"/>
    </xf>
    <xf numFmtId="0" fontId="8" fillId="3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9" fontId="8" fillId="4" borderId="0" xfId="0" applyNumberFormat="1" applyFont="1" applyFill="1" applyAlignment="1">
      <alignment horizontal="left"/>
    </xf>
    <xf numFmtId="10" fontId="8" fillId="4" borderId="0" xfId="0" applyNumberFormat="1" applyFont="1" applyFill="1" applyAlignment="1">
      <alignment horizontal="left"/>
    </xf>
    <xf numFmtId="14" fontId="0" fillId="3" borderId="0" xfId="0" applyNumberFormat="1" applyFill="1" applyAlignment="1">
      <alignment horizontal="left"/>
    </xf>
    <xf numFmtId="14" fontId="0" fillId="4" borderId="0" xfId="0" applyNumberFormat="1" applyFill="1" applyAlignment="1">
      <alignment horizontal="left"/>
    </xf>
    <xf numFmtId="10" fontId="8" fillId="4" borderId="0" xfId="0" quotePrefix="1" applyNumberFormat="1" applyFont="1" applyFill="1" applyAlignment="1">
      <alignment horizontal="left"/>
    </xf>
    <xf numFmtId="9" fontId="8" fillId="4" borderId="0" xfId="0" quotePrefix="1" applyNumberFormat="1" applyFont="1" applyFill="1" applyAlignment="1">
      <alignment horizontal="left"/>
    </xf>
    <xf numFmtId="0" fontId="8" fillId="4" borderId="0" xfId="0" quotePrefix="1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10" fillId="3" borderId="0" xfId="0" quotePrefix="1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11" fillId="4" borderId="0" xfId="0" applyFont="1" applyFill="1" applyAlignment="1">
      <alignment horizontal="left"/>
    </xf>
    <xf numFmtId="2" fontId="11" fillId="3" borderId="0" xfId="0" applyNumberFormat="1" applyFont="1" applyFill="1" applyAlignment="1">
      <alignment horizontal="left"/>
    </xf>
    <xf numFmtId="1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3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164" fontId="0" fillId="4" borderId="2" xfId="0" applyNumberFormat="1" applyFill="1" applyBorder="1" applyAlignment="1">
      <alignment horizontal="left"/>
    </xf>
    <xf numFmtId="0" fontId="0" fillId="3" borderId="0" xfId="0" applyNumberFormat="1" applyFill="1" applyBorder="1" applyAlignment="1">
      <alignment horizontal="left"/>
    </xf>
    <xf numFmtId="0" fontId="0" fillId="0" borderId="1" xfId="0" applyBorder="1"/>
    <xf numFmtId="0" fontId="0" fillId="3" borderId="2" xfId="0" applyFill="1" applyBorder="1" applyAlignment="1">
      <alignment horizontal="right"/>
    </xf>
    <xf numFmtId="0" fontId="2" fillId="3" borderId="0" xfId="0" applyFont="1" applyFill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2" fontId="0" fillId="3" borderId="2" xfId="0" applyNumberFormat="1" applyFill="1" applyBorder="1" applyAlignment="1">
      <alignment horizontal="left"/>
    </xf>
    <xf numFmtId="2" fontId="0" fillId="4" borderId="2" xfId="0" applyNumberForma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Fill="1" applyBorder="1"/>
    <xf numFmtId="0" fontId="0" fillId="0" borderId="1" xfId="0" applyFill="1" applyBorder="1"/>
    <xf numFmtId="0" fontId="0" fillId="0" borderId="0" xfId="0" applyFill="1" applyBorder="1" applyAlignment="1">
      <alignment horizontal="righ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right"/>
    </xf>
    <xf numFmtId="0" fontId="10" fillId="4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5" fillId="3" borderId="0" xfId="0" quotePrefix="1" applyFont="1" applyFill="1" applyAlignment="1">
      <alignment horizontal="left"/>
    </xf>
    <xf numFmtId="9" fontId="10" fillId="4" borderId="0" xfId="0" applyNumberFormat="1" applyFont="1" applyFill="1" applyAlignment="1">
      <alignment horizontal="left"/>
    </xf>
    <xf numFmtId="0" fontId="0" fillId="3" borderId="6" xfId="0" applyFill="1" applyBorder="1"/>
    <xf numFmtId="0" fontId="0" fillId="3" borderId="7" xfId="0" applyFill="1" applyBorder="1"/>
    <xf numFmtId="0" fontId="2" fillId="3" borderId="8" xfId="0" applyFont="1" applyFill="1" applyBorder="1"/>
    <xf numFmtId="0" fontId="10" fillId="3" borderId="6" xfId="0" applyFont="1" applyFill="1" applyBorder="1" applyAlignment="1"/>
    <xf numFmtId="0" fontId="10" fillId="3" borderId="6" xfId="0" applyFont="1" applyFill="1" applyBorder="1" applyAlignment="1">
      <alignment horizontal="center"/>
    </xf>
    <xf numFmtId="10" fontId="10" fillId="4" borderId="0" xfId="0" quotePrefix="1" applyNumberFormat="1" applyFont="1" applyFill="1" applyAlignment="1">
      <alignment horizontal="left"/>
    </xf>
    <xf numFmtId="9" fontId="10" fillId="4" borderId="0" xfId="0" quotePrefix="1" applyNumberFormat="1" applyFont="1" applyFill="1" applyAlignment="1">
      <alignment horizontal="left"/>
    </xf>
    <xf numFmtId="0" fontId="10" fillId="4" borderId="0" xfId="0" quotePrefix="1" applyFont="1" applyFill="1" applyAlignment="1">
      <alignment horizontal="left"/>
    </xf>
    <xf numFmtId="2" fontId="11" fillId="4" borderId="0" xfId="0" applyNumberFormat="1" applyFont="1" applyFill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4" borderId="0" xfId="0" applyFill="1"/>
    <xf numFmtId="0" fontId="2" fillId="3" borderId="0" xfId="0" applyFont="1" applyFill="1"/>
    <xf numFmtId="0" fontId="2" fillId="3" borderId="0" xfId="0" applyFont="1" applyFill="1" applyBorder="1"/>
    <xf numFmtId="0" fontId="2" fillId="3" borderId="2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right"/>
    </xf>
    <xf numFmtId="0" fontId="2" fillId="3" borderId="3" xfId="0" applyFont="1" applyFill="1" applyBorder="1"/>
    <xf numFmtId="0" fontId="0" fillId="0" borderId="3" xfId="0" applyBorder="1"/>
    <xf numFmtId="0" fontId="2" fillId="3" borderId="0" xfId="0" applyFont="1" applyFill="1" applyBorder="1" applyAlignment="1"/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left" wrapText="1"/>
    </xf>
    <xf numFmtId="0" fontId="0" fillId="4" borderId="0" xfId="0" quotePrefix="1" applyFill="1" applyBorder="1" applyAlignment="1">
      <alignment horizontal="left"/>
    </xf>
    <xf numFmtId="0" fontId="0" fillId="4" borderId="0" xfId="0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0" fontId="10" fillId="4" borderId="0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9" fontId="0" fillId="3" borderId="0" xfId="0" applyNumberForma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horizontal="left"/>
    </xf>
    <xf numFmtId="0" fontId="0" fillId="4" borderId="9" xfId="0" applyNumberFormat="1" applyFill="1" applyBorder="1" applyAlignment="1">
      <alignment horizontal="left"/>
    </xf>
    <xf numFmtId="2" fontId="0" fillId="3" borderId="9" xfId="0" applyNumberFormat="1" applyFill="1" applyBorder="1" applyAlignment="1">
      <alignment horizontal="left"/>
    </xf>
    <xf numFmtId="2" fontId="0" fillId="4" borderId="9" xfId="0" applyNumberFormat="1" applyFill="1" applyBorder="1" applyAlignment="1">
      <alignment horizontal="left"/>
    </xf>
    <xf numFmtId="0" fontId="0" fillId="0" borderId="9" xfId="0" applyBorder="1"/>
    <xf numFmtId="0" fontId="2" fillId="3" borderId="0" xfId="0" applyFont="1" applyFill="1" applyAlignment="1"/>
    <xf numFmtId="2" fontId="0" fillId="4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8" fillId="4" borderId="0" xfId="0" applyFont="1" applyFill="1" applyBorder="1" applyAlignment="1">
      <alignment horizontal="left"/>
    </xf>
    <xf numFmtId="2" fontId="10" fillId="4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49" fontId="0" fillId="3" borderId="2" xfId="0" applyNumberFormat="1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2" fillId="3" borderId="11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left"/>
    </xf>
    <xf numFmtId="0" fontId="15" fillId="4" borderId="11" xfId="0" quotePrefix="1" applyFont="1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4" borderId="11" xfId="0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9" fontId="0" fillId="4" borderId="11" xfId="0" applyNumberFormat="1" applyFill="1" applyBorder="1" applyAlignment="1">
      <alignment horizontal="left"/>
    </xf>
    <xf numFmtId="0" fontId="11" fillId="3" borderId="11" xfId="0" applyFont="1" applyFill="1" applyBorder="1" applyAlignment="1">
      <alignment horizontal="left"/>
    </xf>
    <xf numFmtId="0" fontId="0" fillId="0" borderId="11" xfId="0" applyBorder="1"/>
    <xf numFmtId="0" fontId="2" fillId="3" borderId="12" xfId="0" applyFont="1" applyFill="1" applyBorder="1" applyAlignment="1">
      <alignment horizontal="left" wrapText="1"/>
    </xf>
    <xf numFmtId="0" fontId="2" fillId="3" borderId="12" xfId="0" applyFont="1" applyFill="1" applyBorder="1" applyAlignment="1">
      <alignment horizontal="left"/>
    </xf>
    <xf numFmtId="0" fontId="0" fillId="4" borderId="12" xfId="0" quotePrefix="1" applyFill="1" applyBorder="1" applyAlignment="1">
      <alignment horizontal="left"/>
    </xf>
    <xf numFmtId="0" fontId="0" fillId="4" borderId="12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15" fillId="4" borderId="12" xfId="0" applyFont="1" applyFill="1" applyBorder="1" applyAlignment="1">
      <alignment horizontal="left"/>
    </xf>
    <xf numFmtId="0" fontId="10" fillId="4" borderId="12" xfId="0" applyFont="1" applyFill="1" applyBorder="1" applyAlignment="1">
      <alignment horizontal="left"/>
    </xf>
    <xf numFmtId="0" fontId="0" fillId="0" borderId="12" xfId="0" applyBorder="1"/>
    <xf numFmtId="0" fontId="2" fillId="3" borderId="12" xfId="0" applyFont="1" applyFill="1" applyBorder="1" applyAlignment="1"/>
    <xf numFmtId="2" fontId="0" fillId="4" borderId="12" xfId="0" applyNumberFormat="1" applyFill="1" applyBorder="1" applyAlignment="1">
      <alignment horizontal="left"/>
    </xf>
    <xf numFmtId="2" fontId="0" fillId="3" borderId="12" xfId="0" applyNumberFormat="1" applyFill="1" applyBorder="1" applyAlignment="1">
      <alignment horizontal="left"/>
    </xf>
    <xf numFmtId="2" fontId="10" fillId="4" borderId="12" xfId="0" applyNumberFormat="1" applyFont="1" applyFill="1" applyBorder="1" applyAlignment="1">
      <alignment horizontal="left"/>
    </xf>
    <xf numFmtId="165" fontId="0" fillId="4" borderId="2" xfId="0" applyNumberFormat="1" applyFill="1" applyBorder="1" applyAlignment="1">
      <alignment horizontal="left"/>
    </xf>
    <xf numFmtId="165" fontId="0" fillId="3" borderId="2" xfId="0" applyNumberFormat="1" applyFill="1" applyBorder="1" applyAlignment="1">
      <alignment horizontal="left"/>
    </xf>
    <xf numFmtId="165" fontId="10" fillId="4" borderId="2" xfId="0" applyNumberFormat="1" applyFont="1" applyFill="1" applyBorder="1" applyAlignment="1">
      <alignment horizontal="left"/>
    </xf>
    <xf numFmtId="2" fontId="10" fillId="3" borderId="12" xfId="0" applyNumberFormat="1" applyFont="1" applyFill="1" applyBorder="1" applyAlignment="1">
      <alignment horizontal="left"/>
    </xf>
    <xf numFmtId="0" fontId="14" fillId="3" borderId="0" xfId="0" applyFont="1" applyFill="1" applyAlignment="1">
      <alignment horizontal="left"/>
    </xf>
    <xf numFmtId="165" fontId="0" fillId="3" borderId="9" xfId="0" applyNumberFormat="1" applyFill="1" applyBorder="1" applyAlignment="1">
      <alignment horizontal="left"/>
    </xf>
    <xf numFmtId="0" fontId="18" fillId="0" borderId="0" xfId="0" applyFont="1"/>
    <xf numFmtId="2" fontId="0" fillId="0" borderId="0" xfId="0" applyNumberFormat="1"/>
    <xf numFmtId="0" fontId="0" fillId="0" borderId="0" xfId="0" applyFill="1" applyBorder="1" applyAlignment="1">
      <alignment horizontal="left"/>
    </xf>
    <xf numFmtId="2" fontId="0" fillId="0" borderId="0" xfId="0" applyNumberFormat="1" applyFill="1"/>
    <xf numFmtId="164" fontId="0" fillId="0" borderId="0" xfId="0" applyNumberFormat="1" applyFill="1"/>
    <xf numFmtId="0" fontId="0" fillId="3" borderId="1" xfId="0" applyFill="1" applyBorder="1"/>
    <xf numFmtId="0" fontId="0" fillId="3" borderId="0" xfId="0" applyFill="1" applyAlignment="1"/>
    <xf numFmtId="164" fontId="0" fillId="3" borderId="0" xfId="0" applyNumberFormat="1" applyFill="1"/>
    <xf numFmtId="164" fontId="2" fillId="3" borderId="0" xfId="0" applyNumberFormat="1" applyFont="1" applyFill="1"/>
    <xf numFmtId="2" fontId="2" fillId="3" borderId="0" xfId="0" applyNumberFormat="1" applyFont="1" applyFill="1"/>
    <xf numFmtId="0" fontId="2" fillId="3" borderId="1" xfId="0" applyFont="1" applyFill="1" applyBorder="1"/>
    <xf numFmtId="0" fontId="0" fillId="0" borderId="0" xfId="0" applyFill="1" applyBorder="1" applyAlignment="1"/>
    <xf numFmtId="0" fontId="0" fillId="3" borderId="0" xfId="0" quotePrefix="1" applyFill="1"/>
    <xf numFmtId="0" fontId="0" fillId="3" borderId="9" xfId="0" quotePrefix="1" applyFill="1" applyBorder="1"/>
    <xf numFmtId="0" fontId="0" fillId="3" borderId="12" xfId="0" applyFill="1" applyBorder="1"/>
    <xf numFmtId="164" fontId="0" fillId="3" borderId="0" xfId="0" applyNumberFormat="1" applyFill="1" applyAlignment="1">
      <alignment horizontal="left"/>
    </xf>
    <xf numFmtId="0" fontId="10" fillId="3" borderId="0" xfId="0" applyFont="1" applyFill="1"/>
    <xf numFmtId="0" fontId="0" fillId="5" borderId="0" xfId="0" applyFill="1" applyAlignment="1">
      <alignment horizontal="left"/>
    </xf>
    <xf numFmtId="2" fontId="0" fillId="5" borderId="0" xfId="0" applyNumberFormat="1" applyFill="1" applyBorder="1" applyAlignment="1">
      <alignment horizontal="left"/>
    </xf>
    <xf numFmtId="0" fontId="0" fillId="5" borderId="0" xfId="0" applyFill="1" applyBorder="1" applyAlignment="1">
      <alignment horizontal="left"/>
    </xf>
    <xf numFmtId="2" fontId="0" fillId="5" borderId="0" xfId="0" applyNumberFormat="1" applyFill="1" applyAlignment="1">
      <alignment horizontal="left"/>
    </xf>
    <xf numFmtId="164" fontId="0" fillId="5" borderId="0" xfId="0" applyNumberFormat="1" applyFill="1" applyAlignment="1">
      <alignment horizontal="left"/>
    </xf>
    <xf numFmtId="0" fontId="0" fillId="5" borderId="0" xfId="0" applyFill="1"/>
    <xf numFmtId="0" fontId="0" fillId="6" borderId="0" xfId="0" applyFill="1" applyAlignment="1">
      <alignment horizontal="left"/>
    </xf>
    <xf numFmtId="0" fontId="0" fillId="6" borderId="0" xfId="0" applyFill="1" applyBorder="1" applyAlignment="1">
      <alignment horizontal="left"/>
    </xf>
    <xf numFmtId="2" fontId="0" fillId="6" borderId="0" xfId="0" applyNumberFormat="1" applyFill="1" applyAlignment="1">
      <alignment horizontal="left"/>
    </xf>
    <xf numFmtId="164" fontId="0" fillId="6" borderId="0" xfId="0" applyNumberFormat="1" applyFill="1" applyAlignment="1">
      <alignment horizontal="left"/>
    </xf>
    <xf numFmtId="0" fontId="0" fillId="6" borderId="0" xfId="0" applyFill="1"/>
    <xf numFmtId="164" fontId="11" fillId="6" borderId="0" xfId="0" applyNumberFormat="1" applyFont="1" applyFill="1" applyAlignment="1">
      <alignment horizontal="left"/>
    </xf>
    <xf numFmtId="0" fontId="0" fillId="7" borderId="0" xfId="0" applyFill="1" applyAlignment="1">
      <alignment horizontal="left"/>
    </xf>
    <xf numFmtId="0" fontId="0" fillId="7" borderId="0" xfId="0" applyFill="1" applyBorder="1" applyAlignment="1">
      <alignment horizontal="left"/>
    </xf>
    <xf numFmtId="2" fontId="0" fillId="7" borderId="0" xfId="0" applyNumberFormat="1" applyFill="1" applyAlignment="1">
      <alignment horizontal="left"/>
    </xf>
    <xf numFmtId="164" fontId="0" fillId="7" borderId="0" xfId="0" applyNumberFormat="1" applyFill="1" applyAlignment="1">
      <alignment horizontal="left"/>
    </xf>
    <xf numFmtId="0" fontId="0" fillId="7" borderId="0" xfId="0" applyFill="1"/>
    <xf numFmtId="164" fontId="10" fillId="7" borderId="0" xfId="0" applyNumberFormat="1" applyFont="1" applyFill="1" applyAlignment="1">
      <alignment horizontal="left"/>
    </xf>
    <xf numFmtId="0" fontId="0" fillId="8" borderId="0" xfId="0" applyFill="1" applyAlignment="1">
      <alignment horizontal="left"/>
    </xf>
    <xf numFmtId="0" fontId="0" fillId="8" borderId="0" xfId="0" applyFill="1" applyBorder="1" applyAlignment="1">
      <alignment horizontal="left"/>
    </xf>
    <xf numFmtId="2" fontId="0" fillId="8" borderId="0" xfId="0" applyNumberFormat="1" applyFill="1" applyAlignment="1">
      <alignment horizontal="left"/>
    </xf>
    <xf numFmtId="164" fontId="0" fillId="8" borderId="0" xfId="0" applyNumberFormat="1" applyFill="1" applyAlignment="1">
      <alignment horizontal="left"/>
    </xf>
    <xf numFmtId="0" fontId="0" fillId="8" borderId="0" xfId="0" applyFill="1"/>
    <xf numFmtId="2" fontId="10" fillId="8" borderId="0" xfId="0" applyNumberFormat="1" applyFont="1" applyFill="1" applyBorder="1" applyAlignment="1">
      <alignment horizontal="left"/>
    </xf>
    <xf numFmtId="0" fontId="10" fillId="8" borderId="0" xfId="0" applyFont="1" applyFill="1" applyBorder="1" applyAlignment="1">
      <alignment horizontal="left"/>
    </xf>
    <xf numFmtId="0" fontId="10" fillId="8" borderId="0" xfId="0" applyFont="1" applyFill="1" applyAlignment="1">
      <alignment horizontal="left"/>
    </xf>
    <xf numFmtId="164" fontId="21" fillId="8" borderId="0" xfId="0" applyNumberFormat="1" applyFont="1" applyFill="1" applyBorder="1" applyAlignment="1">
      <alignment horizontal="left"/>
    </xf>
    <xf numFmtId="0" fontId="0" fillId="8" borderId="2" xfId="0" applyFill="1" applyBorder="1" applyAlignment="1">
      <alignment horizontal="left"/>
    </xf>
    <xf numFmtId="0" fontId="0" fillId="9" borderId="0" xfId="0" applyFill="1" applyAlignment="1">
      <alignment horizontal="left"/>
    </xf>
    <xf numFmtId="0" fontId="0" fillId="9" borderId="0" xfId="0" applyFill="1" applyBorder="1" applyAlignment="1">
      <alignment horizontal="left"/>
    </xf>
    <xf numFmtId="2" fontId="0" fillId="9" borderId="0" xfId="0" applyNumberFormat="1" applyFill="1" applyAlignment="1">
      <alignment horizontal="left"/>
    </xf>
    <xf numFmtId="164" fontId="0" fillId="9" borderId="0" xfId="0" applyNumberFormat="1" applyFill="1" applyAlignment="1">
      <alignment horizontal="left"/>
    </xf>
    <xf numFmtId="0" fontId="0" fillId="9" borderId="2" xfId="0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0" fillId="10" borderId="0" xfId="0" applyFill="1" applyBorder="1"/>
    <xf numFmtId="14" fontId="0" fillId="9" borderId="0" xfId="0" applyNumberFormat="1" applyFill="1" applyBorder="1" applyAlignment="1">
      <alignment horizontal="left"/>
    </xf>
    <xf numFmtId="2" fontId="0" fillId="9" borderId="0" xfId="0" applyNumberFormat="1" applyFill="1" applyBorder="1" applyAlignment="1">
      <alignment horizontal="left"/>
    </xf>
    <xf numFmtId="0" fontId="0" fillId="9" borderId="0" xfId="0" applyFill="1" applyBorder="1"/>
    <xf numFmtId="0" fontId="0" fillId="6" borderId="0" xfId="0" applyFill="1" applyBorder="1"/>
    <xf numFmtId="0" fontId="15" fillId="9" borderId="0" xfId="0" applyFont="1" applyFill="1" applyBorder="1" applyAlignment="1">
      <alignment horizontal="left"/>
    </xf>
    <xf numFmtId="0" fontId="0" fillId="11" borderId="0" xfId="0" applyFill="1" applyBorder="1" applyAlignment="1">
      <alignment horizontal="left"/>
    </xf>
    <xf numFmtId="0" fontId="15" fillId="11" borderId="0" xfId="0" applyFont="1" applyFill="1" applyBorder="1" applyAlignment="1">
      <alignment horizontal="left"/>
    </xf>
    <xf numFmtId="0" fontId="0" fillId="11" borderId="0" xfId="0" applyFill="1" applyBorder="1"/>
    <xf numFmtId="2" fontId="0" fillId="7" borderId="0" xfId="0" applyNumberFormat="1" applyFill="1" applyBorder="1" applyAlignment="1">
      <alignment horizontal="left"/>
    </xf>
    <xf numFmtId="0" fontId="0" fillId="7" borderId="0" xfId="0" applyFill="1" applyBorder="1"/>
    <xf numFmtId="164" fontId="0" fillId="6" borderId="0" xfId="0" applyNumberFormat="1" applyFill="1" applyBorder="1" applyAlignment="1">
      <alignment horizontal="left"/>
    </xf>
    <xf numFmtId="0" fontId="0" fillId="12" borderId="0" xfId="0" applyFill="1" applyBorder="1" applyAlignment="1">
      <alignment horizontal="left"/>
    </xf>
    <xf numFmtId="2" fontId="0" fillId="12" borderId="0" xfId="0" applyNumberFormat="1" applyFill="1" applyBorder="1" applyAlignment="1">
      <alignment horizontal="left"/>
    </xf>
    <xf numFmtId="0" fontId="0" fillId="12" borderId="0" xfId="0" applyFill="1" applyBorder="1"/>
    <xf numFmtId="0" fontId="0" fillId="13" borderId="0" xfId="0" applyFill="1" applyBorder="1" applyAlignment="1">
      <alignment horizontal="left"/>
    </xf>
    <xf numFmtId="2" fontId="0" fillId="13" borderId="0" xfId="0" applyNumberFormat="1" applyFill="1" applyBorder="1" applyAlignment="1">
      <alignment horizontal="left"/>
    </xf>
    <xf numFmtId="0" fontId="0" fillId="13" borderId="0" xfId="0" applyFill="1" applyBorder="1"/>
    <xf numFmtId="2" fontId="0" fillId="0" borderId="0" xfId="0" applyNumberFormat="1" applyFill="1" applyAlignment="1">
      <alignment horizontal="left"/>
    </xf>
    <xf numFmtId="0" fontId="0" fillId="5" borderId="0" xfId="0" applyFill="1" applyBorder="1"/>
    <xf numFmtId="0" fontId="0" fillId="10" borderId="2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11" borderId="2" xfId="0" applyFill="1" applyBorder="1" applyAlignment="1">
      <alignment horizontal="left"/>
    </xf>
    <xf numFmtId="0" fontId="0" fillId="7" borderId="2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12" borderId="2" xfId="0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2" borderId="0" xfId="0" applyFill="1" applyBorder="1"/>
    <xf numFmtId="2" fontId="1" fillId="3" borderId="0" xfId="0" applyNumberFormat="1" applyFont="1" applyFill="1" applyBorder="1" applyAlignment="1">
      <alignment horizontal="left"/>
    </xf>
    <xf numFmtId="2" fontId="10" fillId="3" borderId="0" xfId="0" applyNumberFormat="1" applyFont="1" applyFill="1" applyBorder="1" applyAlignment="1">
      <alignment horizontal="left"/>
    </xf>
    <xf numFmtId="0" fontId="2" fillId="3" borderId="0" xfId="0" applyFont="1" applyFill="1" applyAlignment="1">
      <alignment vertical="center"/>
    </xf>
    <xf numFmtId="0" fontId="6" fillId="3" borderId="0" xfId="0" applyFont="1" applyFill="1" applyAlignment="1">
      <alignment wrapText="1"/>
    </xf>
    <xf numFmtId="0" fontId="0" fillId="3" borderId="0" xfId="0" applyFill="1" applyAlignment="1">
      <alignment vertical="center" wrapText="1"/>
    </xf>
    <xf numFmtId="0" fontId="10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 wrapText="1"/>
    </xf>
    <xf numFmtId="0" fontId="9" fillId="3" borderId="0" xfId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6" fillId="3" borderId="0" xfId="0" applyFont="1" applyFill="1" applyBorder="1" applyAlignment="1">
      <alignment vertical="center" wrapText="1"/>
    </xf>
    <xf numFmtId="0" fontId="10" fillId="3" borderId="4" xfId="0" applyFont="1" applyFill="1" applyBorder="1"/>
    <xf numFmtId="0" fontId="0" fillId="3" borderId="0" xfId="0" applyFill="1" applyAlignment="1">
      <alignment wrapText="1"/>
    </xf>
    <xf numFmtId="0" fontId="8" fillId="3" borderId="0" xfId="0" applyFont="1" applyFill="1"/>
    <xf numFmtId="0" fontId="2" fillId="3" borderId="0" xfId="0" applyFont="1" applyFill="1" applyAlignment="1">
      <alignment vertical="center" wrapText="1"/>
    </xf>
    <xf numFmtId="0" fontId="2" fillId="3" borderId="0" xfId="0" applyFont="1" applyFill="1" applyBorder="1" applyAlignment="1">
      <alignment horizontal="left"/>
    </xf>
    <xf numFmtId="0" fontId="22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 wrapText="1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22" fillId="3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MCCA C ifo</a:t>
            </a:r>
            <a:r>
              <a:rPr lang="en-GB" baseline="0"/>
              <a:t> inoculum type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'Effect of inoculum type'!$E$2</c:f>
              <c:strCache>
                <c:ptCount val="1"/>
                <c:pt idx="0">
                  <c:v>inoculum type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'Effect of inoculum type'!$F$3:$F$109</c:f>
              <c:numCache>
                <c:formatCode>General</c:formatCode>
                <c:ptCount val="10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5</c:v>
                </c:pt>
                <c:pt idx="103">
                  <c:v>6</c:v>
                </c:pt>
                <c:pt idx="104">
                  <c:v>6</c:v>
                </c:pt>
                <c:pt idx="105">
                  <c:v>7</c:v>
                </c:pt>
                <c:pt idx="106">
                  <c:v>7</c:v>
                </c:pt>
              </c:numCache>
            </c:numRef>
          </c:xVal>
          <c:yVal>
            <c:numRef>
              <c:f>'Effect of inoculum type'!$R$3:$R$109</c:f>
              <c:numCache>
                <c:formatCode>General</c:formatCode>
                <c:ptCount val="107"/>
                <c:pt idx="0">
                  <c:v>2.8600000000000003</c:v>
                </c:pt>
                <c:pt idx="1">
                  <c:v>0.8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0.6</c:v>
                </c:pt>
                <c:pt idx="6">
                  <c:v>0.5</c:v>
                </c:pt>
                <c:pt idx="7">
                  <c:v>0.3</c:v>
                </c:pt>
                <c:pt idx="8">
                  <c:v>0.05</c:v>
                </c:pt>
                <c:pt idx="9">
                  <c:v>0.04</c:v>
                </c:pt>
                <c:pt idx="10">
                  <c:v>12.6</c:v>
                </c:pt>
                <c:pt idx="11">
                  <c:v>2.6399999999999997</c:v>
                </c:pt>
                <c:pt idx="12">
                  <c:v>0</c:v>
                </c:pt>
                <c:pt idx="13">
                  <c:v>1.2000000000000002</c:v>
                </c:pt>
                <c:pt idx="14">
                  <c:v>0</c:v>
                </c:pt>
                <c:pt idx="15">
                  <c:v>0</c:v>
                </c:pt>
                <c:pt idx="16">
                  <c:v>6.62</c:v>
                </c:pt>
                <c:pt idx="17">
                  <c:v>1.99</c:v>
                </c:pt>
                <c:pt idx="18">
                  <c:v>0.27806896551724136</c:v>
                </c:pt>
                <c:pt idx="19">
                  <c:v>0.27111724137931037</c:v>
                </c:pt>
                <c:pt idx="20">
                  <c:v>0.26813793103448275</c:v>
                </c:pt>
                <c:pt idx="21">
                  <c:v>0.26515862068965518</c:v>
                </c:pt>
                <c:pt idx="22">
                  <c:v>0.20822068965517243</c:v>
                </c:pt>
                <c:pt idx="23">
                  <c:v>0.18460689655172413</c:v>
                </c:pt>
                <c:pt idx="24">
                  <c:v>0.1774344827586207</c:v>
                </c:pt>
                <c:pt idx="25">
                  <c:v>0.16496551724137934</c:v>
                </c:pt>
                <c:pt idx="26">
                  <c:v>0.15894068965517244</c:v>
                </c:pt>
                <c:pt idx="27">
                  <c:v>0.15840000000000001</c:v>
                </c:pt>
                <c:pt idx="28">
                  <c:v>0.15095172413793104</c:v>
                </c:pt>
                <c:pt idx="29">
                  <c:v>0.13704827586206897</c:v>
                </c:pt>
                <c:pt idx="30">
                  <c:v>0.12579310344827585</c:v>
                </c:pt>
                <c:pt idx="31">
                  <c:v>9.9266206896551717E-2</c:v>
                </c:pt>
                <c:pt idx="32">
                  <c:v>9.3903448275862084E-2</c:v>
                </c:pt>
                <c:pt idx="33">
                  <c:v>7.4019310344827588E-2</c:v>
                </c:pt>
                <c:pt idx="34">
                  <c:v>4.6896551724137932E-2</c:v>
                </c:pt>
                <c:pt idx="35">
                  <c:v>3.5608275862068967E-2</c:v>
                </c:pt>
                <c:pt idx="36">
                  <c:v>2.2951724137931038E-2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0.98588816976127336</c:v>
                </c:pt>
                <c:pt idx="42">
                  <c:v>0.31911724137931036</c:v>
                </c:pt>
                <c:pt idx="43">
                  <c:v>0.11387586206896552</c:v>
                </c:pt>
                <c:pt idx="44">
                  <c:v>0.11387586206896552</c:v>
                </c:pt>
                <c:pt idx="45">
                  <c:v>0.11387586206896552</c:v>
                </c:pt>
                <c:pt idx="46">
                  <c:v>0</c:v>
                </c:pt>
                <c:pt idx="47">
                  <c:v>0.16463448275862069</c:v>
                </c:pt>
                <c:pt idx="48">
                  <c:v>8.2317241379310346E-2</c:v>
                </c:pt>
                <c:pt idx="49">
                  <c:v>0</c:v>
                </c:pt>
                <c:pt idx="50">
                  <c:v>0.11762758620689655</c:v>
                </c:pt>
                <c:pt idx="51">
                  <c:v>0.11762758620689655</c:v>
                </c:pt>
                <c:pt idx="52">
                  <c:v>0</c:v>
                </c:pt>
                <c:pt idx="53">
                  <c:v>0.1144</c:v>
                </c:pt>
                <c:pt idx="54">
                  <c:v>0.22707000000000002</c:v>
                </c:pt>
                <c:pt idx="55">
                  <c:v>0.33740000000000003</c:v>
                </c:pt>
                <c:pt idx="56">
                  <c:v>0.311</c:v>
                </c:pt>
                <c:pt idx="57">
                  <c:v>3.02</c:v>
                </c:pt>
                <c:pt idx="58">
                  <c:v>0.92</c:v>
                </c:pt>
                <c:pt idx="59">
                  <c:v>1.92</c:v>
                </c:pt>
                <c:pt idx="60">
                  <c:v>1.0112000000000001</c:v>
                </c:pt>
                <c:pt idx="61">
                  <c:v>0.752</c:v>
                </c:pt>
                <c:pt idx="62">
                  <c:v>0.39199999999999996</c:v>
                </c:pt>
                <c:pt idx="63">
                  <c:v>0.34770000000000001</c:v>
                </c:pt>
                <c:pt idx="64">
                  <c:v>0.33110000000000001</c:v>
                </c:pt>
                <c:pt idx="65">
                  <c:v>1.103448275862069</c:v>
                </c:pt>
                <c:pt idx="66">
                  <c:v>1.6551724137931034</c:v>
                </c:pt>
                <c:pt idx="67">
                  <c:v>1.6551724137931034</c:v>
                </c:pt>
                <c:pt idx="68">
                  <c:v>4.4137931034482758</c:v>
                </c:pt>
                <c:pt idx="69">
                  <c:v>4.4137931034482758</c:v>
                </c:pt>
                <c:pt idx="70">
                  <c:v>3.3103448275862069</c:v>
                </c:pt>
                <c:pt idx="71">
                  <c:v>0.44137931034482764</c:v>
                </c:pt>
                <c:pt idx="72">
                  <c:v>0.44137931034482764</c:v>
                </c:pt>
                <c:pt idx="73">
                  <c:v>2.2068965517241379</c:v>
                </c:pt>
                <c:pt idx="74">
                  <c:v>3.9724137931034482</c:v>
                </c:pt>
                <c:pt idx="75">
                  <c:v>3.7517241379310344</c:v>
                </c:pt>
                <c:pt idx="76">
                  <c:v>7.18</c:v>
                </c:pt>
                <c:pt idx="77">
                  <c:v>24.91</c:v>
                </c:pt>
                <c:pt idx="78">
                  <c:v>23.04</c:v>
                </c:pt>
                <c:pt idx="79">
                  <c:v>22.84</c:v>
                </c:pt>
                <c:pt idx="80">
                  <c:v>2.2600000000000002</c:v>
                </c:pt>
                <c:pt idx="81">
                  <c:v>2.19</c:v>
                </c:pt>
                <c:pt idx="82">
                  <c:v>2.19</c:v>
                </c:pt>
                <c:pt idx="83">
                  <c:v>2.19</c:v>
                </c:pt>
                <c:pt idx="84">
                  <c:v>2.1100000000000003</c:v>
                </c:pt>
                <c:pt idx="85">
                  <c:v>1.87</c:v>
                </c:pt>
                <c:pt idx="86">
                  <c:v>1.6400000000000001</c:v>
                </c:pt>
                <c:pt idx="87">
                  <c:v>1.5499999999999998</c:v>
                </c:pt>
                <c:pt idx="88">
                  <c:v>1.53</c:v>
                </c:pt>
                <c:pt idx="89">
                  <c:v>0.62</c:v>
                </c:pt>
                <c:pt idx="90">
                  <c:v>0.55999999999999994</c:v>
                </c:pt>
                <c:pt idx="91">
                  <c:v>0.5</c:v>
                </c:pt>
                <c:pt idx="92">
                  <c:v>10</c:v>
                </c:pt>
                <c:pt idx="93">
                  <c:v>0</c:v>
                </c:pt>
                <c:pt idx="94">
                  <c:v>19.490000000000002</c:v>
                </c:pt>
                <c:pt idx="95">
                  <c:v>8.5</c:v>
                </c:pt>
                <c:pt idx="96">
                  <c:v>1.96</c:v>
                </c:pt>
                <c:pt idx="97">
                  <c:v>6.3500000000000005</c:v>
                </c:pt>
                <c:pt idx="98">
                  <c:v>28.54</c:v>
                </c:pt>
                <c:pt idx="99">
                  <c:v>2.65</c:v>
                </c:pt>
                <c:pt idx="100">
                  <c:v>27.67</c:v>
                </c:pt>
                <c:pt idx="101">
                  <c:v>0</c:v>
                </c:pt>
                <c:pt idx="102">
                  <c:v>18.073999999999998</c:v>
                </c:pt>
                <c:pt idx="103">
                  <c:v>1.9456</c:v>
                </c:pt>
                <c:pt idx="104">
                  <c:v>0.15359999999999999</c:v>
                </c:pt>
                <c:pt idx="105">
                  <c:v>8.4992000000000001</c:v>
                </c:pt>
                <c:pt idx="106">
                  <c:v>6.9119999999999999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14-41B6-820C-EDBE3ECDE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365168"/>
        <c:axId val="303366000"/>
      </c:scatterChart>
      <c:valAx>
        <c:axId val="303365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66000"/>
        <c:crosses val="autoZero"/>
        <c:crossBetween val="midCat"/>
      </c:valAx>
      <c:valAx>
        <c:axId val="30336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65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Organic load ifo</a:t>
            </a:r>
            <a:r>
              <a:rPr lang="en-GB" baseline="0"/>
              <a:t> inoculum type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'Effect of inoculum type'!$E$2</c:f>
              <c:strCache>
                <c:ptCount val="1"/>
                <c:pt idx="0">
                  <c:v>inoculum type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'Effect of inoculum type'!$F$3:$F$109</c:f>
              <c:numCache>
                <c:formatCode>General</c:formatCode>
                <c:ptCount val="10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5</c:v>
                </c:pt>
                <c:pt idx="103">
                  <c:v>6</c:v>
                </c:pt>
                <c:pt idx="104">
                  <c:v>6</c:v>
                </c:pt>
                <c:pt idx="105">
                  <c:v>7</c:v>
                </c:pt>
                <c:pt idx="106">
                  <c:v>7</c:v>
                </c:pt>
              </c:numCache>
            </c:numRef>
          </c:xVal>
          <c:yVal>
            <c:numRef>
              <c:f>'Effect of inoculum type'!$O$3:$O$109</c:f>
              <c:numCache>
                <c:formatCode>General</c:formatCode>
                <c:ptCount val="107"/>
                <c:pt idx="0">
                  <c:v>73.87</c:v>
                </c:pt>
                <c:pt idx="1">
                  <c:v>8</c:v>
                </c:pt>
                <c:pt idx="2">
                  <c:v>23</c:v>
                </c:pt>
                <c:pt idx="3">
                  <c:v>13.5</c:v>
                </c:pt>
                <c:pt idx="4">
                  <c:v>23</c:v>
                </c:pt>
                <c:pt idx="5">
                  <c:v>13.5</c:v>
                </c:pt>
                <c:pt idx="6">
                  <c:v>13.5</c:v>
                </c:pt>
                <c:pt idx="7">
                  <c:v>8</c:v>
                </c:pt>
                <c:pt idx="8">
                  <c:v>23</c:v>
                </c:pt>
                <c:pt idx="9">
                  <c:v>8</c:v>
                </c:pt>
                <c:pt idx="10">
                  <c:v>60.72</c:v>
                </c:pt>
                <c:pt idx="11">
                  <c:v>60.41</c:v>
                </c:pt>
                <c:pt idx="12">
                  <c:v>80.97</c:v>
                </c:pt>
                <c:pt idx="13">
                  <c:v>59.64</c:v>
                </c:pt>
                <c:pt idx="14">
                  <c:v>80.569999999999993</c:v>
                </c:pt>
                <c:pt idx="15">
                  <c:v>82.84</c:v>
                </c:pt>
                <c:pt idx="16">
                  <c:v>56.76</c:v>
                </c:pt>
                <c:pt idx="17">
                  <c:v>56.76</c:v>
                </c:pt>
                <c:pt idx="18">
                  <c:v>0.34300000000000003</c:v>
                </c:pt>
                <c:pt idx="19">
                  <c:v>0.34300000000000003</c:v>
                </c:pt>
                <c:pt idx="20">
                  <c:v>0.34300000000000003</c:v>
                </c:pt>
                <c:pt idx="21">
                  <c:v>0.34300000000000003</c:v>
                </c:pt>
                <c:pt idx="22">
                  <c:v>0.34300000000000003</c:v>
                </c:pt>
                <c:pt idx="23">
                  <c:v>0.34300000000000003</c:v>
                </c:pt>
                <c:pt idx="24">
                  <c:v>0.34300000000000003</c:v>
                </c:pt>
                <c:pt idx="25">
                  <c:v>0.34300000000000003</c:v>
                </c:pt>
                <c:pt idx="26">
                  <c:v>0.34300000000000003</c:v>
                </c:pt>
                <c:pt idx="27">
                  <c:v>0.34300000000000003</c:v>
                </c:pt>
                <c:pt idx="28">
                  <c:v>0.34300000000000003</c:v>
                </c:pt>
                <c:pt idx="29">
                  <c:v>0.34300000000000003</c:v>
                </c:pt>
                <c:pt idx="30">
                  <c:v>0.34300000000000003</c:v>
                </c:pt>
                <c:pt idx="31">
                  <c:v>0.34300000000000003</c:v>
                </c:pt>
                <c:pt idx="32">
                  <c:v>0.34300000000000003</c:v>
                </c:pt>
                <c:pt idx="33">
                  <c:v>0.34300000000000003</c:v>
                </c:pt>
                <c:pt idx="34">
                  <c:v>0.34300000000000003</c:v>
                </c:pt>
                <c:pt idx="35">
                  <c:v>0.34300000000000003</c:v>
                </c:pt>
                <c:pt idx="36">
                  <c:v>0.34300000000000003</c:v>
                </c:pt>
                <c:pt idx="37">
                  <c:v>0.34300000000000003</c:v>
                </c:pt>
                <c:pt idx="38">
                  <c:v>0.34300000000000003</c:v>
                </c:pt>
                <c:pt idx="39">
                  <c:v>0.34300000000000003</c:v>
                </c:pt>
                <c:pt idx="40">
                  <c:v>0.34300000000000003</c:v>
                </c:pt>
                <c:pt idx="41">
                  <c:v>7.23</c:v>
                </c:pt>
                <c:pt idx="42">
                  <c:v>7.23</c:v>
                </c:pt>
                <c:pt idx="43">
                  <c:v>5.16</c:v>
                </c:pt>
                <c:pt idx="44">
                  <c:v>5.16</c:v>
                </c:pt>
                <c:pt idx="45">
                  <c:v>5.16</c:v>
                </c:pt>
                <c:pt idx="46">
                  <c:v>7.23</c:v>
                </c:pt>
                <c:pt idx="47">
                  <c:v>3.73</c:v>
                </c:pt>
                <c:pt idx="48">
                  <c:v>3.73</c:v>
                </c:pt>
                <c:pt idx="49">
                  <c:v>3.73</c:v>
                </c:pt>
                <c:pt idx="50">
                  <c:v>5.33</c:v>
                </c:pt>
                <c:pt idx="51">
                  <c:v>5.33</c:v>
                </c:pt>
                <c:pt idx="52">
                  <c:v>5.33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8.8000000000000007</c:v>
                </c:pt>
                <c:pt idx="58">
                  <c:v>8.8000000000000007</c:v>
                </c:pt>
                <c:pt idx="59">
                  <c:v>3.2</c:v>
                </c:pt>
                <c:pt idx="60">
                  <c:v>10</c:v>
                </c:pt>
                <c:pt idx="61">
                  <c:v>16.100000000000001</c:v>
                </c:pt>
                <c:pt idx="62">
                  <c:v>10</c:v>
                </c:pt>
                <c:pt idx="63">
                  <c:v>10</c:v>
                </c:pt>
                <c:pt idx="64">
                  <c:v>16.100000000000001</c:v>
                </c:pt>
                <c:pt idx="65">
                  <c:v>10</c:v>
                </c:pt>
                <c:pt idx="66">
                  <c:v>20</c:v>
                </c:pt>
                <c:pt idx="67">
                  <c:v>40</c:v>
                </c:pt>
                <c:pt idx="68">
                  <c:v>10</c:v>
                </c:pt>
                <c:pt idx="69">
                  <c:v>20</c:v>
                </c:pt>
                <c:pt idx="70">
                  <c:v>40</c:v>
                </c:pt>
                <c:pt idx="71">
                  <c:v>10</c:v>
                </c:pt>
                <c:pt idx="72">
                  <c:v>20</c:v>
                </c:pt>
                <c:pt idx="73">
                  <c:v>40</c:v>
                </c:pt>
                <c:pt idx="74">
                  <c:v>81.400000000000006</c:v>
                </c:pt>
                <c:pt idx="75">
                  <c:v>81.400000000000006</c:v>
                </c:pt>
                <c:pt idx="76">
                  <c:v>81.400000000000006</c:v>
                </c:pt>
                <c:pt idx="77">
                  <c:v>55.263999999999996</c:v>
                </c:pt>
                <c:pt idx="78">
                  <c:v>51.872</c:v>
                </c:pt>
                <c:pt idx="79">
                  <c:v>50.289999999999992</c:v>
                </c:pt>
                <c:pt idx="80">
                  <c:v>4.5</c:v>
                </c:pt>
                <c:pt idx="81">
                  <c:v>10.299999999999999</c:v>
                </c:pt>
                <c:pt idx="82">
                  <c:v>10.299999999999999</c:v>
                </c:pt>
                <c:pt idx="83">
                  <c:v>10.299999999999999</c:v>
                </c:pt>
                <c:pt idx="84">
                  <c:v>20.599999999999998</c:v>
                </c:pt>
                <c:pt idx="85">
                  <c:v>19.899999999999999</c:v>
                </c:pt>
                <c:pt idx="86">
                  <c:v>11.2</c:v>
                </c:pt>
                <c:pt idx="87">
                  <c:v>4.0999999999999996</c:v>
                </c:pt>
                <c:pt idx="88">
                  <c:v>9.9</c:v>
                </c:pt>
                <c:pt idx="89">
                  <c:v>29.5</c:v>
                </c:pt>
                <c:pt idx="90">
                  <c:v>30.900000000000002</c:v>
                </c:pt>
                <c:pt idx="91">
                  <c:v>13.899999999999999</c:v>
                </c:pt>
                <c:pt idx="92">
                  <c:v>19.34</c:v>
                </c:pt>
                <c:pt idx="93">
                  <c:v>53.426000000000002</c:v>
                </c:pt>
                <c:pt idx="94">
                  <c:v>71.716999999999999</c:v>
                </c:pt>
                <c:pt idx="95">
                  <c:v>76.343000000000004</c:v>
                </c:pt>
                <c:pt idx="96">
                  <c:v>69.391000000000005</c:v>
                </c:pt>
                <c:pt idx="97">
                  <c:v>73.87</c:v>
                </c:pt>
                <c:pt idx="98">
                  <c:v>48.505999999999993</c:v>
                </c:pt>
                <c:pt idx="99">
                  <c:v>57.2</c:v>
                </c:pt>
                <c:pt idx="100">
                  <c:v>32</c:v>
                </c:pt>
                <c:pt idx="101">
                  <c:v>10.97</c:v>
                </c:pt>
                <c:pt idx="102">
                  <c:v>73.87</c:v>
                </c:pt>
                <c:pt idx="103">
                  <c:v>25.248999999999999</c:v>
                </c:pt>
                <c:pt idx="104">
                  <c:v>25.248999999999999</c:v>
                </c:pt>
                <c:pt idx="105">
                  <c:v>25.248999999999999</c:v>
                </c:pt>
                <c:pt idx="106">
                  <c:v>25.248999999999999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D4-4F10-866D-7B8DD522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365168"/>
        <c:axId val="303366000"/>
      </c:scatterChart>
      <c:valAx>
        <c:axId val="303365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66000"/>
        <c:crosses val="autoZero"/>
        <c:crossBetween val="midCat"/>
      </c:valAx>
      <c:valAx>
        <c:axId val="30336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65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MCCA C ifo</a:t>
            </a:r>
            <a:r>
              <a:rPr lang="en-GB" baseline="0"/>
              <a:t> inoculum type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'Effect of inoculum type'!$E$2</c:f>
              <c:strCache>
                <c:ptCount val="1"/>
                <c:pt idx="0">
                  <c:v>inoculum type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'Effect of inoculum type'!$F$3:$F$109</c:f>
              <c:numCache>
                <c:formatCode>General</c:formatCode>
                <c:ptCount val="10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5</c:v>
                </c:pt>
                <c:pt idx="103">
                  <c:v>6</c:v>
                </c:pt>
                <c:pt idx="104">
                  <c:v>6</c:v>
                </c:pt>
                <c:pt idx="105">
                  <c:v>7</c:v>
                </c:pt>
                <c:pt idx="106">
                  <c:v>7</c:v>
                </c:pt>
              </c:numCache>
            </c:numRef>
          </c:xVal>
          <c:yVal>
            <c:numRef>
              <c:f>'Effect of inoculum type'!$S$3:$S$109</c:f>
              <c:numCache>
                <c:formatCode>General</c:formatCode>
                <c:ptCount val="107"/>
                <c:pt idx="0">
                  <c:v>3.8716664410450796E-2</c:v>
                </c:pt>
                <c:pt idx="1">
                  <c:v>0.1</c:v>
                </c:pt>
                <c:pt idx="2">
                  <c:v>3.043478260869565E-2</c:v>
                </c:pt>
                <c:pt idx="3">
                  <c:v>5.185185185185185E-2</c:v>
                </c:pt>
                <c:pt idx="4">
                  <c:v>3.043478260869565E-2</c:v>
                </c:pt>
                <c:pt idx="5">
                  <c:v>4.4444444444444446E-2</c:v>
                </c:pt>
                <c:pt idx="6">
                  <c:v>3.7037037037037035E-2</c:v>
                </c:pt>
                <c:pt idx="7">
                  <c:v>3.7499999999999999E-2</c:v>
                </c:pt>
                <c:pt idx="8">
                  <c:v>2.1739130434782609E-3</c:v>
                </c:pt>
                <c:pt idx="9">
                  <c:v>5.0000000000000001E-3</c:v>
                </c:pt>
                <c:pt idx="10">
                  <c:v>0.2075098814229249</c:v>
                </c:pt>
                <c:pt idx="11">
                  <c:v>4.3701373944711137E-2</c:v>
                </c:pt>
                <c:pt idx="12">
                  <c:v>0</c:v>
                </c:pt>
                <c:pt idx="13">
                  <c:v>2.0120724346076462E-2</c:v>
                </c:pt>
                <c:pt idx="14">
                  <c:v>0</c:v>
                </c:pt>
                <c:pt idx="15">
                  <c:v>0</c:v>
                </c:pt>
                <c:pt idx="16">
                  <c:v>0.11663143058491897</c:v>
                </c:pt>
                <c:pt idx="17">
                  <c:v>3.5059901338971106E-2</c:v>
                </c:pt>
                <c:pt idx="18">
                  <c:v>0.81069669247009135</c:v>
                </c:pt>
                <c:pt idx="19">
                  <c:v>0.79042927515833916</c:v>
                </c:pt>
                <c:pt idx="20">
                  <c:v>0.78174323916758814</c:v>
                </c:pt>
                <c:pt idx="21">
                  <c:v>0.77305720317683724</c:v>
                </c:pt>
                <c:pt idx="22">
                  <c:v>0.60705740424248522</c:v>
                </c:pt>
                <c:pt idx="23">
                  <c:v>0.53821252638986627</c:v>
                </c:pt>
                <c:pt idx="24">
                  <c:v>0.517301699004725</c:v>
                </c:pt>
                <c:pt idx="25">
                  <c:v>0.48094902985824878</c:v>
                </c:pt>
                <c:pt idx="26">
                  <c:v>0.46338393485473012</c:v>
                </c:pt>
                <c:pt idx="27">
                  <c:v>0.46180758017492712</c:v>
                </c:pt>
                <c:pt idx="28">
                  <c:v>0.44009249019804964</c:v>
                </c:pt>
                <c:pt idx="29">
                  <c:v>0.39955765557454509</c:v>
                </c:pt>
                <c:pt idx="30">
                  <c:v>0.36674374183170799</c:v>
                </c:pt>
                <c:pt idx="31">
                  <c:v>0.28940585101035482</c:v>
                </c:pt>
                <c:pt idx="32">
                  <c:v>0.27377098622700313</c:v>
                </c:pt>
                <c:pt idx="33">
                  <c:v>0.21579973861465768</c:v>
                </c:pt>
                <c:pt idx="34">
                  <c:v>0.13672464059515432</c:v>
                </c:pt>
                <c:pt idx="35">
                  <c:v>0.10381421534130893</c:v>
                </c:pt>
                <c:pt idx="36">
                  <c:v>6.6914647632452001E-2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0.1363607427055703</c:v>
                </c:pt>
                <c:pt idx="42">
                  <c:v>4.4137931034482755E-2</c:v>
                </c:pt>
                <c:pt idx="43">
                  <c:v>2.2068965517241381E-2</c:v>
                </c:pt>
                <c:pt idx="44">
                  <c:v>2.2068965517241381E-2</c:v>
                </c:pt>
                <c:pt idx="45">
                  <c:v>2.2068965517241381E-2</c:v>
                </c:pt>
                <c:pt idx="46">
                  <c:v>0</c:v>
                </c:pt>
                <c:pt idx="47">
                  <c:v>4.4137931034482762E-2</c:v>
                </c:pt>
                <c:pt idx="48">
                  <c:v>2.2068965517241381E-2</c:v>
                </c:pt>
                <c:pt idx="49">
                  <c:v>0</c:v>
                </c:pt>
                <c:pt idx="50">
                  <c:v>2.2068965517241378E-2</c:v>
                </c:pt>
                <c:pt idx="51">
                  <c:v>2.2068965517241378E-2</c:v>
                </c:pt>
                <c:pt idx="52">
                  <c:v>0</c:v>
                </c:pt>
                <c:pt idx="53">
                  <c:v>1.43E-2</c:v>
                </c:pt>
                <c:pt idx="54">
                  <c:v>2.8383750000000003E-2</c:v>
                </c:pt>
                <c:pt idx="55">
                  <c:v>4.2175000000000004E-2</c:v>
                </c:pt>
                <c:pt idx="56">
                  <c:v>3.8875E-2</c:v>
                </c:pt>
                <c:pt idx="57">
                  <c:v>0.34318181818181814</c:v>
                </c:pt>
                <c:pt idx="58">
                  <c:v>0.10454545454545454</c:v>
                </c:pt>
                <c:pt idx="59">
                  <c:v>0.6</c:v>
                </c:pt>
                <c:pt idx="60">
                  <c:v>0.10112000000000002</c:v>
                </c:pt>
                <c:pt idx="61">
                  <c:v>4.6708074534161488E-2</c:v>
                </c:pt>
                <c:pt idx="62">
                  <c:v>3.9199999999999999E-2</c:v>
                </c:pt>
                <c:pt idx="63">
                  <c:v>3.4770000000000002E-2</c:v>
                </c:pt>
                <c:pt idx="64">
                  <c:v>2.0565217391304347E-2</c:v>
                </c:pt>
                <c:pt idx="65">
                  <c:v>0.1103448275862069</c:v>
                </c:pt>
                <c:pt idx="66">
                  <c:v>8.2758620689655171E-2</c:v>
                </c:pt>
                <c:pt idx="67">
                  <c:v>4.1379310344827586E-2</c:v>
                </c:pt>
                <c:pt idx="68">
                  <c:v>0.44137931034482758</c:v>
                </c:pt>
                <c:pt idx="69">
                  <c:v>0.22068965517241379</c:v>
                </c:pt>
                <c:pt idx="70">
                  <c:v>8.2758620689655171E-2</c:v>
                </c:pt>
                <c:pt idx="71">
                  <c:v>4.4137931034482762E-2</c:v>
                </c:pt>
                <c:pt idx="72">
                  <c:v>2.2068965517241381E-2</c:v>
                </c:pt>
                <c:pt idx="73">
                  <c:v>5.5172413793103448E-2</c:v>
                </c:pt>
                <c:pt idx="74">
                  <c:v>4.8801152249428111E-2</c:v>
                </c:pt>
                <c:pt idx="75">
                  <c:v>4.6089977124459877E-2</c:v>
                </c:pt>
                <c:pt idx="76">
                  <c:v>8.8206388206388195E-2</c:v>
                </c:pt>
                <c:pt idx="77">
                  <c:v>0.45074551244933414</c:v>
                </c:pt>
                <c:pt idx="78">
                  <c:v>0.44417026526835285</c:v>
                </c:pt>
                <c:pt idx="79">
                  <c:v>0.45416583813879507</c:v>
                </c:pt>
                <c:pt idx="80">
                  <c:v>0.50222222222222224</c:v>
                </c:pt>
                <c:pt idx="81">
                  <c:v>0.212621359223301</c:v>
                </c:pt>
                <c:pt idx="82">
                  <c:v>0.212621359223301</c:v>
                </c:pt>
                <c:pt idx="83">
                  <c:v>0.212621359223301</c:v>
                </c:pt>
                <c:pt idx="84">
                  <c:v>0.10242718446601945</c:v>
                </c:pt>
                <c:pt idx="85">
                  <c:v>9.3969849246231169E-2</c:v>
                </c:pt>
                <c:pt idx="86">
                  <c:v>0.14642857142857144</c:v>
                </c:pt>
                <c:pt idx="87">
                  <c:v>0.37804878048780488</c:v>
                </c:pt>
                <c:pt idx="88">
                  <c:v>0.15454545454545454</c:v>
                </c:pt>
                <c:pt idx="89">
                  <c:v>2.1016949152542371E-2</c:v>
                </c:pt>
                <c:pt idx="90">
                  <c:v>1.8122977346278313E-2</c:v>
                </c:pt>
                <c:pt idx="91">
                  <c:v>3.5971223021582739E-2</c:v>
                </c:pt>
                <c:pt idx="92">
                  <c:v>0.51706308169596693</c:v>
                </c:pt>
                <c:pt idx="93">
                  <c:v>0</c:v>
                </c:pt>
                <c:pt idx="94">
                  <c:v>0.27176262253022299</c:v>
                </c:pt>
                <c:pt idx="95">
                  <c:v>0.11133961201419908</c:v>
                </c:pt>
                <c:pt idx="96">
                  <c:v>2.8245737919903154E-2</c:v>
                </c:pt>
                <c:pt idx="97">
                  <c:v>8.5961824827399488E-2</c:v>
                </c:pt>
                <c:pt idx="98">
                  <c:v>0.58838081886776905</c:v>
                </c:pt>
                <c:pt idx="99">
                  <c:v>4.6328671328671328E-2</c:v>
                </c:pt>
                <c:pt idx="100">
                  <c:v>0.86468750000000005</c:v>
                </c:pt>
                <c:pt idx="101">
                  <c:v>0</c:v>
                </c:pt>
                <c:pt idx="102">
                  <c:v>0.24467307431975088</c:v>
                </c:pt>
                <c:pt idx="103">
                  <c:v>7.7056517089785739E-2</c:v>
                </c:pt>
                <c:pt idx="104">
                  <c:v>6.0834092439304528E-3</c:v>
                </c:pt>
                <c:pt idx="105">
                  <c:v>0.33661531149748508</c:v>
                </c:pt>
                <c:pt idx="106">
                  <c:v>0.27375341597687036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EC-4A5B-A570-BA71C5E26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365168"/>
        <c:axId val="303366000"/>
      </c:scatterChart>
      <c:valAx>
        <c:axId val="303365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66000"/>
        <c:crosses val="autoZero"/>
        <c:crossBetween val="midCat"/>
      </c:valAx>
      <c:valAx>
        <c:axId val="30336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65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2128899</xdr:colOff>
      <xdr:row>125</xdr:row>
      <xdr:rowOff>145967</xdr:rowOff>
    </xdr:from>
    <xdr:to>
      <xdr:col>4</xdr:col>
      <xdr:colOff>3463635</xdr:colOff>
      <xdr:row>140</xdr:row>
      <xdr:rowOff>31667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2194461</xdr:colOff>
      <xdr:row>141</xdr:row>
      <xdr:rowOff>0</xdr:rowOff>
    </xdr:from>
    <xdr:to>
      <xdr:col>4</xdr:col>
      <xdr:colOff>3567545</xdr:colOff>
      <xdr:row>155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2095500</xdr:colOff>
      <xdr:row>111</xdr:row>
      <xdr:rowOff>0</xdr:rowOff>
    </xdr:from>
    <xdr:to>
      <xdr:col>4</xdr:col>
      <xdr:colOff>3430236</xdr:colOff>
      <xdr:row>125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.lanham@bath.ac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zoomScale="115" zoomScaleNormal="115" workbookViewId="0">
      <selection activeCell="E27" sqref="E27"/>
    </sheetView>
  </sheetViews>
  <sheetFormatPr defaultRowHeight="15" x14ac:dyDescent="0.25"/>
  <cols>
    <col min="1" max="1" width="29.7109375" customWidth="1"/>
    <col min="2" max="2" width="14.7109375" customWidth="1"/>
    <col min="6" max="6" width="9.85546875" bestFit="1" customWidth="1"/>
    <col min="12" max="12" width="16.42578125" customWidth="1"/>
    <col min="16" max="16" width="11.140625" bestFit="1" customWidth="1"/>
    <col min="17" max="17" width="9.85546875" bestFit="1" customWidth="1"/>
    <col min="22" max="22" width="12" bestFit="1" customWidth="1"/>
  </cols>
  <sheetData>
    <row r="1" spans="1:23" x14ac:dyDescent="0.25">
      <c r="A1" s="94" t="s">
        <v>1858</v>
      </c>
      <c r="B1" s="13"/>
      <c r="C1" s="13"/>
      <c r="D1" s="13"/>
      <c r="E1" s="13"/>
      <c r="F1" s="13"/>
      <c r="G1" s="13"/>
      <c r="H1" s="13"/>
      <c r="I1" s="13"/>
      <c r="J1" s="1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x14ac:dyDescent="0.25">
      <c r="A2" s="250" t="s">
        <v>1851</v>
      </c>
      <c r="B2" s="13"/>
      <c r="C2" s="13"/>
      <c r="D2" s="13"/>
      <c r="E2" s="13"/>
      <c r="F2" s="13"/>
      <c r="G2" s="13"/>
      <c r="H2" s="13"/>
      <c r="I2" s="13"/>
      <c r="J2" s="1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" x14ac:dyDescent="0.25">
      <c r="A3" s="250" t="s">
        <v>16</v>
      </c>
      <c r="B3" s="251"/>
      <c r="C3" s="251"/>
      <c r="D3" s="252" t="s">
        <v>17</v>
      </c>
      <c r="E3" s="251"/>
      <c r="F3" s="251"/>
      <c r="G3" s="251"/>
      <c r="H3" s="251"/>
      <c r="I3" s="25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3" x14ac:dyDescent="0.25">
      <c r="A4" s="268" t="s">
        <v>1850</v>
      </c>
      <c r="B4" s="269"/>
      <c r="C4" s="269"/>
      <c r="D4" s="269"/>
      <c r="E4" s="269"/>
      <c r="F4" s="269"/>
      <c r="G4" s="269"/>
      <c r="H4" s="269"/>
      <c r="I4" s="269"/>
      <c r="J4" s="1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3" x14ac:dyDescent="0.25">
      <c r="A5" s="248" t="s">
        <v>1859</v>
      </c>
      <c r="B5" s="249"/>
      <c r="C5" s="249"/>
      <c r="D5" s="249"/>
      <c r="E5" s="249"/>
      <c r="F5" s="249"/>
      <c r="G5" s="249"/>
      <c r="H5" s="249"/>
      <c r="I5" s="249"/>
      <c r="J5" s="1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3" x14ac:dyDescent="0.25">
      <c r="A6" s="253"/>
      <c r="B6" s="254"/>
      <c r="C6" s="254"/>
      <c r="D6" s="254"/>
      <c r="E6" s="254"/>
      <c r="F6" s="254"/>
      <c r="G6" s="254"/>
      <c r="H6" s="254"/>
      <c r="I6" s="25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3" x14ac:dyDescent="0.25">
      <c r="A7" s="245" t="s">
        <v>18</v>
      </c>
      <c r="B7" s="246"/>
      <c r="C7" s="246"/>
      <c r="D7" s="246"/>
      <c r="E7" s="246"/>
      <c r="F7" s="246"/>
      <c r="G7" s="246"/>
      <c r="H7" s="246"/>
      <c r="I7" s="246"/>
      <c r="J7" s="3"/>
      <c r="K7" s="3"/>
      <c r="L7" s="93" t="s">
        <v>602</v>
      </c>
      <c r="M7" s="3"/>
      <c r="N7" s="3"/>
      <c r="O7" s="3"/>
      <c r="P7" s="3"/>
      <c r="Q7" s="13"/>
      <c r="R7" s="94"/>
      <c r="S7" s="13"/>
      <c r="T7" s="13"/>
      <c r="U7" s="13"/>
      <c r="V7" s="13"/>
    </row>
    <row r="8" spans="1:23" ht="15" customHeight="1" x14ac:dyDescent="0.25">
      <c r="A8" s="247" t="s">
        <v>598</v>
      </c>
      <c r="B8" s="169" t="s">
        <v>599</v>
      </c>
      <c r="C8" s="169"/>
      <c r="D8" s="169"/>
      <c r="E8" s="169"/>
      <c r="F8" s="169"/>
      <c r="G8" s="169"/>
      <c r="H8" s="169"/>
      <c r="I8" s="169"/>
      <c r="J8" s="3"/>
      <c r="K8" s="3"/>
      <c r="L8" s="81" t="s">
        <v>603</v>
      </c>
      <c r="M8" s="82" t="s">
        <v>604</v>
      </c>
      <c r="N8" s="81" t="s">
        <v>605</v>
      </c>
      <c r="O8" s="81" t="s">
        <v>606</v>
      </c>
      <c r="P8" s="81" t="s">
        <v>607</v>
      </c>
      <c r="Q8" s="81" t="s">
        <v>100</v>
      </c>
      <c r="R8" s="83" t="s">
        <v>658</v>
      </c>
      <c r="S8" s="84"/>
      <c r="T8" s="84"/>
      <c r="U8" s="84"/>
      <c r="V8" s="85"/>
    </row>
    <row r="9" spans="1:23" x14ac:dyDescent="0.25">
      <c r="A9" s="247" t="s">
        <v>596</v>
      </c>
      <c r="B9" s="169" t="s">
        <v>600</v>
      </c>
      <c r="C9" s="169"/>
      <c r="D9" s="169"/>
      <c r="E9" s="169"/>
      <c r="F9" s="169"/>
      <c r="G9" s="169"/>
      <c r="H9" s="169"/>
      <c r="I9" s="169"/>
      <c r="J9" s="3"/>
      <c r="K9" s="3"/>
      <c r="L9" s="15"/>
      <c r="M9" s="16"/>
      <c r="N9" s="15"/>
      <c r="O9" s="15" t="s">
        <v>608</v>
      </c>
      <c r="P9" s="15" t="s">
        <v>609</v>
      </c>
      <c r="Q9" s="15" t="s">
        <v>610</v>
      </c>
      <c r="R9" s="255" t="s">
        <v>654</v>
      </c>
      <c r="S9" s="19" t="s">
        <v>655</v>
      </c>
      <c r="T9" s="19" t="s">
        <v>656</v>
      </c>
      <c r="U9" s="19" t="s">
        <v>54</v>
      </c>
      <c r="V9" s="19" t="s">
        <v>657</v>
      </c>
    </row>
    <row r="10" spans="1:23" x14ac:dyDescent="0.25">
      <c r="A10" s="247" t="s">
        <v>597</v>
      </c>
      <c r="B10" s="169" t="s">
        <v>601</v>
      </c>
      <c r="C10" s="169"/>
      <c r="D10" s="169"/>
      <c r="E10" s="169"/>
      <c r="F10" s="169"/>
      <c r="G10" s="169"/>
      <c r="H10" s="169"/>
      <c r="I10" s="169"/>
      <c r="J10" s="3"/>
      <c r="K10" s="3"/>
      <c r="L10" s="13" t="s">
        <v>611</v>
      </c>
      <c r="M10" s="14"/>
      <c r="N10" s="3"/>
      <c r="O10" s="3"/>
      <c r="P10" s="3"/>
      <c r="Q10" s="13"/>
      <c r="R10" s="168"/>
      <c r="S10" s="13"/>
      <c r="T10" s="13"/>
      <c r="U10" s="13"/>
      <c r="V10" s="13"/>
    </row>
    <row r="11" spans="1:23" x14ac:dyDescent="0.25">
      <c r="A11" s="247" t="s">
        <v>1855</v>
      </c>
      <c r="B11" s="169" t="s">
        <v>1852</v>
      </c>
      <c r="C11" s="169"/>
      <c r="D11" s="169"/>
      <c r="E11" s="169"/>
      <c r="F11" s="169"/>
      <c r="G11" s="169"/>
      <c r="H11" s="169"/>
      <c r="I11" s="169"/>
      <c r="J11" s="3"/>
      <c r="K11" s="3"/>
      <c r="L11" s="13" t="s">
        <v>612</v>
      </c>
      <c r="M11" s="14" t="s">
        <v>613</v>
      </c>
      <c r="N11" s="3" t="s">
        <v>613</v>
      </c>
      <c r="O11" s="3">
        <v>16</v>
      </c>
      <c r="P11" s="3">
        <v>2</v>
      </c>
      <c r="Q11" s="13">
        <v>1</v>
      </c>
      <c r="R11" s="168">
        <v>1</v>
      </c>
      <c r="S11" s="13">
        <f>R11/O11</f>
        <v>6.25E-2</v>
      </c>
      <c r="T11" s="13">
        <f>R11/O11*Q11*12</f>
        <v>0.75</v>
      </c>
      <c r="U11" s="13">
        <f>R11/O11*P11*32</f>
        <v>4</v>
      </c>
      <c r="V11" s="13">
        <f>R11/O11*Q11</f>
        <v>6.25E-2</v>
      </c>
    </row>
    <row r="12" spans="1:23" x14ac:dyDescent="0.25">
      <c r="A12" s="247" t="s">
        <v>1856</v>
      </c>
      <c r="B12" s="169" t="s">
        <v>1853</v>
      </c>
      <c r="C12" s="169"/>
      <c r="D12" s="169"/>
      <c r="E12" s="169"/>
      <c r="F12" s="169"/>
      <c r="G12" s="169"/>
      <c r="H12" s="169"/>
      <c r="I12" s="169"/>
      <c r="J12" s="3"/>
      <c r="K12" s="3"/>
      <c r="L12" s="13" t="s">
        <v>614</v>
      </c>
      <c r="M12" s="14" t="s">
        <v>615</v>
      </c>
      <c r="N12" s="3" t="s">
        <v>615</v>
      </c>
      <c r="O12" s="3">
        <v>44</v>
      </c>
      <c r="P12" s="3">
        <v>0</v>
      </c>
      <c r="Q12" s="13">
        <v>1</v>
      </c>
      <c r="R12" s="168">
        <v>1</v>
      </c>
      <c r="S12" s="13">
        <f t="shared" ref="S12:S28" si="0">R12/O12</f>
        <v>2.2727272727272728E-2</v>
      </c>
      <c r="T12" s="13">
        <f t="shared" ref="T12:T29" si="1">R12/O12*Q12*12</f>
        <v>0.27272727272727271</v>
      </c>
      <c r="U12" s="13">
        <f t="shared" ref="U12:U29" si="2">R12/O12*P12*32</f>
        <v>0</v>
      </c>
      <c r="V12" s="13">
        <f t="shared" ref="V12:V13" si="3">R12/O12*Q12</f>
        <v>2.2727272727272728E-2</v>
      </c>
    </row>
    <row r="13" spans="1:23" x14ac:dyDescent="0.25">
      <c r="A13" s="247" t="s">
        <v>1857</v>
      </c>
      <c r="B13" s="169" t="s">
        <v>1853</v>
      </c>
      <c r="C13" s="169"/>
      <c r="D13" s="169"/>
      <c r="E13" s="169"/>
      <c r="F13" s="169"/>
      <c r="G13" s="169"/>
      <c r="H13" s="169"/>
      <c r="I13" s="169"/>
      <c r="J13" s="3"/>
      <c r="K13" s="3"/>
      <c r="L13" s="13" t="s">
        <v>616</v>
      </c>
      <c r="M13" s="14" t="s">
        <v>216</v>
      </c>
      <c r="N13" s="3" t="s">
        <v>216</v>
      </c>
      <c r="O13" s="3">
        <v>2</v>
      </c>
      <c r="P13" s="3">
        <v>0.5</v>
      </c>
      <c r="Q13" s="13">
        <v>0</v>
      </c>
      <c r="R13" s="168">
        <v>1</v>
      </c>
      <c r="S13" s="13">
        <f t="shared" si="0"/>
        <v>0.5</v>
      </c>
      <c r="T13" s="13">
        <f t="shared" si="1"/>
        <v>0</v>
      </c>
      <c r="U13" s="13">
        <f t="shared" si="2"/>
        <v>8</v>
      </c>
      <c r="V13" s="13">
        <f t="shared" si="3"/>
        <v>0</v>
      </c>
    </row>
    <row r="14" spans="1:23" x14ac:dyDescent="0.25">
      <c r="A14" s="247"/>
      <c r="B14" s="169"/>
      <c r="C14" s="169"/>
      <c r="D14" s="169"/>
      <c r="E14" s="169"/>
      <c r="F14" s="169"/>
      <c r="G14" s="169"/>
      <c r="H14" s="169"/>
      <c r="I14" s="169"/>
      <c r="J14" s="3"/>
      <c r="K14" s="3"/>
      <c r="L14" s="13" t="s">
        <v>55</v>
      </c>
      <c r="M14" s="14"/>
      <c r="N14" s="3"/>
      <c r="O14" s="3"/>
      <c r="P14" s="3"/>
      <c r="Q14" s="13"/>
      <c r="R14" s="168"/>
      <c r="S14" s="13"/>
      <c r="T14" s="13"/>
      <c r="U14" s="13"/>
      <c r="V14" s="13"/>
    </row>
    <row r="15" spans="1:23" ht="15" customHeight="1" x14ac:dyDescent="0.25">
      <c r="A15" s="93" t="s">
        <v>755</v>
      </c>
      <c r="B15" s="3"/>
      <c r="C15" s="256"/>
      <c r="D15" s="256"/>
      <c r="E15" s="256"/>
      <c r="F15" s="256"/>
      <c r="G15" s="256"/>
      <c r="H15" s="256"/>
      <c r="I15" s="256"/>
      <c r="J15" s="3"/>
      <c r="K15" s="3"/>
      <c r="L15" s="13" t="s">
        <v>617</v>
      </c>
      <c r="M15" s="14" t="s">
        <v>618</v>
      </c>
      <c r="N15" s="3" t="s">
        <v>619</v>
      </c>
      <c r="O15" s="3">
        <v>46</v>
      </c>
      <c r="P15" s="3">
        <v>1</v>
      </c>
      <c r="Q15" s="13">
        <v>1</v>
      </c>
      <c r="R15" s="168">
        <v>1</v>
      </c>
      <c r="S15" s="13">
        <f t="shared" ref="S15" si="4">R15/O15</f>
        <v>2.1739130434782608E-2</v>
      </c>
      <c r="T15" s="13">
        <f>R15/O15*Q15*12</f>
        <v>0.2608695652173913</v>
      </c>
      <c r="U15" s="13">
        <f>R15/O15*P15*32</f>
        <v>0.69565217391304346</v>
      </c>
      <c r="V15" s="13">
        <f>R15/O15*Q15</f>
        <v>2.1739130434782608E-2</v>
      </c>
      <c r="W15" s="18"/>
    </row>
    <row r="16" spans="1:23" x14ac:dyDescent="0.25">
      <c r="A16" s="257" t="s">
        <v>730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13" t="s">
        <v>620</v>
      </c>
      <c r="M16" s="14" t="s">
        <v>621</v>
      </c>
      <c r="N16" s="3" t="s">
        <v>622</v>
      </c>
      <c r="O16" s="3">
        <v>60</v>
      </c>
      <c r="P16" s="3">
        <v>2</v>
      </c>
      <c r="Q16" s="13">
        <v>2</v>
      </c>
      <c r="R16" s="168">
        <v>1</v>
      </c>
      <c r="S16" s="13">
        <f t="shared" si="0"/>
        <v>1.6666666666666666E-2</v>
      </c>
      <c r="T16" s="13">
        <f t="shared" si="1"/>
        <v>0.4</v>
      </c>
      <c r="U16" s="13">
        <f>R16/O16*P16*32</f>
        <v>1.0666666666666667</v>
      </c>
      <c r="V16" s="13">
        <f t="shared" ref="V16:V29" si="5">R16/O16*Q16</f>
        <v>3.3333333333333333E-2</v>
      </c>
      <c r="W16" s="18"/>
    </row>
    <row r="17" spans="1:23" x14ac:dyDescent="0.25">
      <c r="A17" s="247"/>
      <c r="B17" s="3"/>
      <c r="C17" s="3"/>
      <c r="D17" s="3"/>
      <c r="E17" s="3"/>
      <c r="F17" s="3"/>
      <c r="G17" s="3"/>
      <c r="H17" s="3"/>
      <c r="I17" s="3"/>
      <c r="J17" s="3"/>
      <c r="K17" s="3"/>
      <c r="L17" s="13" t="s">
        <v>623</v>
      </c>
      <c r="M17" s="14" t="s">
        <v>624</v>
      </c>
      <c r="N17" s="3" t="s">
        <v>625</v>
      </c>
      <c r="O17" s="3">
        <v>74</v>
      </c>
      <c r="P17" s="3">
        <v>3.5</v>
      </c>
      <c r="Q17" s="13">
        <v>3</v>
      </c>
      <c r="R17" s="168">
        <v>1</v>
      </c>
      <c r="S17" s="13">
        <f t="shared" si="0"/>
        <v>1.3513513513513514E-2</v>
      </c>
      <c r="T17" s="13">
        <f t="shared" si="1"/>
        <v>0.48648648648648651</v>
      </c>
      <c r="U17" s="13">
        <f t="shared" si="2"/>
        <v>1.5135135135135136</v>
      </c>
      <c r="V17" s="13">
        <f t="shared" si="5"/>
        <v>4.0540540540540543E-2</v>
      </c>
      <c r="W17" s="18"/>
    </row>
    <row r="18" spans="1:23" x14ac:dyDescent="0.25">
      <c r="A18" s="258" t="s">
        <v>754</v>
      </c>
      <c r="B18" s="169"/>
      <c r="C18" s="3"/>
      <c r="D18" s="3"/>
      <c r="E18" s="3"/>
      <c r="F18" s="3"/>
      <c r="G18" s="3"/>
      <c r="H18" s="3"/>
      <c r="I18" s="3"/>
      <c r="J18" s="3"/>
      <c r="K18" s="3"/>
      <c r="L18" s="13" t="s">
        <v>626</v>
      </c>
      <c r="M18" s="14" t="s">
        <v>627</v>
      </c>
      <c r="N18" s="3" t="s">
        <v>628</v>
      </c>
      <c r="O18" s="3">
        <v>88</v>
      </c>
      <c r="P18" s="3">
        <v>5</v>
      </c>
      <c r="Q18" s="13">
        <v>4</v>
      </c>
      <c r="R18" s="168">
        <v>1</v>
      </c>
      <c r="S18" s="13">
        <f t="shared" si="0"/>
        <v>1.1363636363636364E-2</v>
      </c>
      <c r="T18" s="13">
        <f t="shared" si="1"/>
        <v>0.54545454545454541</v>
      </c>
      <c r="U18" s="13">
        <f t="shared" si="2"/>
        <v>1.8181818181818183</v>
      </c>
      <c r="V18" s="13">
        <f t="shared" si="5"/>
        <v>4.5454545454545456E-2</v>
      </c>
      <c r="W18" s="18"/>
    </row>
    <row r="19" spans="1:23" x14ac:dyDescent="0.25">
      <c r="A19" s="175" t="s">
        <v>738</v>
      </c>
      <c r="B19" s="3" t="s">
        <v>739</v>
      </c>
      <c r="C19" s="3"/>
      <c r="D19" s="3"/>
      <c r="E19" s="3"/>
      <c r="F19" s="3"/>
      <c r="G19" s="3"/>
      <c r="H19" s="3"/>
      <c r="I19" s="3"/>
      <c r="J19" s="3"/>
      <c r="K19" s="3"/>
      <c r="L19" s="13" t="s">
        <v>629</v>
      </c>
      <c r="M19" s="14" t="s">
        <v>630</v>
      </c>
      <c r="N19" s="3" t="s">
        <v>631</v>
      </c>
      <c r="O19" s="3">
        <v>102</v>
      </c>
      <c r="P19" s="3">
        <v>6.5</v>
      </c>
      <c r="Q19" s="13">
        <v>5</v>
      </c>
      <c r="R19" s="168">
        <v>1</v>
      </c>
      <c r="S19" s="13">
        <f t="shared" si="0"/>
        <v>9.8039215686274508E-3</v>
      </c>
      <c r="T19" s="13">
        <f t="shared" si="1"/>
        <v>0.58823529411764708</v>
      </c>
      <c r="U19" s="13">
        <f t="shared" si="2"/>
        <v>2.0392156862745097</v>
      </c>
      <c r="V19" s="13">
        <f t="shared" si="5"/>
        <v>4.9019607843137254E-2</v>
      </c>
      <c r="W19" s="18"/>
    </row>
    <row r="20" spans="1:23" x14ac:dyDescent="0.25">
      <c r="A20" s="3" t="s">
        <v>1579</v>
      </c>
      <c r="B20" s="3" t="s">
        <v>1580</v>
      </c>
      <c r="C20" s="3"/>
      <c r="D20" s="3"/>
      <c r="E20" s="3"/>
      <c r="F20" s="3"/>
      <c r="G20" s="3"/>
      <c r="H20" s="3"/>
      <c r="I20" s="3"/>
      <c r="J20" s="3"/>
      <c r="K20" s="3"/>
      <c r="L20" s="13" t="s">
        <v>632</v>
      </c>
      <c r="M20" s="14" t="s">
        <v>42</v>
      </c>
      <c r="N20" s="3" t="s">
        <v>633</v>
      </c>
      <c r="O20" s="3">
        <v>116</v>
      </c>
      <c r="P20" s="3">
        <v>8</v>
      </c>
      <c r="Q20" s="13">
        <v>6</v>
      </c>
      <c r="R20" s="168">
        <v>1</v>
      </c>
      <c r="S20" s="13">
        <f t="shared" si="0"/>
        <v>8.6206896551724137E-3</v>
      </c>
      <c r="T20" s="13">
        <f t="shared" si="1"/>
        <v>0.62068965517241381</v>
      </c>
      <c r="U20" s="13">
        <f t="shared" si="2"/>
        <v>2.2068965517241379</v>
      </c>
      <c r="V20" s="13">
        <f t="shared" si="5"/>
        <v>5.1724137931034482E-2</v>
      </c>
      <c r="W20" s="18"/>
    </row>
    <row r="21" spans="1:23" x14ac:dyDescent="0.25">
      <c r="A21" s="3" t="s">
        <v>6</v>
      </c>
      <c r="B21" s="3" t="s">
        <v>7</v>
      </c>
      <c r="C21" s="3"/>
      <c r="D21" s="3"/>
      <c r="E21" s="3"/>
      <c r="F21" s="3"/>
      <c r="G21" s="3"/>
      <c r="H21" s="3"/>
      <c r="I21" s="3"/>
      <c r="J21" s="3"/>
      <c r="K21" s="3"/>
      <c r="L21" s="13" t="s">
        <v>634</v>
      </c>
      <c r="M21" s="14" t="s">
        <v>43</v>
      </c>
      <c r="N21" s="3" t="s">
        <v>635</v>
      </c>
      <c r="O21" s="3">
        <v>130</v>
      </c>
      <c r="P21" s="3">
        <v>9.5</v>
      </c>
      <c r="Q21" s="13">
        <v>7</v>
      </c>
      <c r="R21" s="168">
        <v>1</v>
      </c>
      <c r="S21" s="13">
        <f t="shared" si="0"/>
        <v>7.6923076923076927E-3</v>
      </c>
      <c r="T21" s="13">
        <f t="shared" si="1"/>
        <v>0.64615384615384619</v>
      </c>
      <c r="U21" s="13">
        <f>R21/O21*P21*32</f>
        <v>2.3384615384615386</v>
      </c>
      <c r="V21" s="13">
        <f t="shared" si="5"/>
        <v>5.3846153846153849E-2</v>
      </c>
      <c r="W21" s="18"/>
    </row>
    <row r="22" spans="1:23" x14ac:dyDescent="0.25">
      <c r="A22" s="3" t="s">
        <v>2</v>
      </c>
      <c r="B22" s="3" t="s">
        <v>3</v>
      </c>
      <c r="C22" s="3"/>
      <c r="D22" s="3"/>
      <c r="E22" s="3"/>
      <c r="F22" s="3"/>
      <c r="G22" s="3"/>
      <c r="H22" s="3"/>
      <c r="I22" s="3"/>
      <c r="J22" s="3"/>
      <c r="K22" s="3"/>
      <c r="L22" s="13" t="s">
        <v>636</v>
      </c>
      <c r="M22" s="14" t="s">
        <v>45</v>
      </c>
      <c r="N22" s="3" t="s">
        <v>637</v>
      </c>
      <c r="O22" s="3">
        <v>144</v>
      </c>
      <c r="P22" s="3">
        <v>11</v>
      </c>
      <c r="Q22" s="13">
        <v>8</v>
      </c>
      <c r="R22" s="168">
        <v>1</v>
      </c>
      <c r="S22" s="13">
        <f t="shared" si="0"/>
        <v>6.9444444444444441E-3</v>
      </c>
      <c r="T22" s="13">
        <f t="shared" si="1"/>
        <v>0.66666666666666663</v>
      </c>
      <c r="U22" s="13">
        <f t="shared" si="2"/>
        <v>2.4444444444444442</v>
      </c>
      <c r="V22" s="13">
        <f t="shared" si="5"/>
        <v>5.5555555555555552E-2</v>
      </c>
      <c r="W22" s="18"/>
    </row>
    <row r="23" spans="1:23" x14ac:dyDescent="0.25">
      <c r="A23" s="3" t="s">
        <v>8</v>
      </c>
      <c r="B23" s="3" t="s">
        <v>9</v>
      </c>
      <c r="C23" s="3"/>
      <c r="D23" s="3"/>
      <c r="E23" s="3"/>
      <c r="F23" s="3"/>
      <c r="G23" s="3"/>
      <c r="H23" s="3"/>
      <c r="I23" s="3"/>
      <c r="J23" s="3"/>
      <c r="K23" s="3"/>
      <c r="L23" s="13" t="s">
        <v>638</v>
      </c>
      <c r="M23" s="14" t="s">
        <v>639</v>
      </c>
      <c r="N23" s="3" t="s">
        <v>640</v>
      </c>
      <c r="O23" s="3">
        <v>158</v>
      </c>
      <c r="P23" s="3">
        <v>12.5</v>
      </c>
      <c r="Q23" s="13">
        <v>9</v>
      </c>
      <c r="R23" s="168">
        <v>1</v>
      </c>
      <c r="S23" s="13">
        <f t="shared" si="0"/>
        <v>6.3291139240506328E-3</v>
      </c>
      <c r="T23" s="13">
        <f t="shared" si="1"/>
        <v>0.68354430379746833</v>
      </c>
      <c r="U23" s="13">
        <f t="shared" si="2"/>
        <v>2.5316455696202533</v>
      </c>
      <c r="V23" s="13">
        <f t="shared" si="5"/>
        <v>5.6962025316455694E-2</v>
      </c>
      <c r="W23" s="18"/>
    </row>
    <row r="24" spans="1:23" x14ac:dyDescent="0.25">
      <c r="A24" s="3" t="s">
        <v>10</v>
      </c>
      <c r="B24" s="3" t="s">
        <v>11</v>
      </c>
      <c r="C24" s="3"/>
      <c r="D24" s="3"/>
      <c r="E24" s="3"/>
      <c r="F24" s="3"/>
      <c r="G24" s="3"/>
      <c r="H24" s="3"/>
      <c r="I24" s="3"/>
      <c r="J24" s="3"/>
      <c r="K24" s="3"/>
      <c r="L24" s="13" t="s">
        <v>641</v>
      </c>
      <c r="M24" s="14"/>
      <c r="N24" s="3"/>
      <c r="O24" s="3"/>
      <c r="P24" s="3"/>
      <c r="Q24" s="13"/>
      <c r="R24" s="168"/>
      <c r="S24" s="13"/>
      <c r="T24" s="13"/>
      <c r="U24" s="13"/>
      <c r="V24" s="13"/>
      <c r="W24" s="18"/>
    </row>
    <row r="25" spans="1:23" x14ac:dyDescent="0.25">
      <c r="A25" s="3" t="s">
        <v>1847</v>
      </c>
      <c r="B25" s="3" t="s">
        <v>1848</v>
      </c>
      <c r="C25" s="3"/>
      <c r="D25" s="3"/>
      <c r="E25" s="3"/>
      <c r="F25" s="3"/>
      <c r="G25" s="3"/>
      <c r="H25" s="3"/>
      <c r="I25" s="3"/>
      <c r="J25" s="3"/>
      <c r="K25" s="3"/>
      <c r="L25" s="13" t="s">
        <v>115</v>
      </c>
      <c r="M25" s="14" t="s">
        <v>642</v>
      </c>
      <c r="N25" s="3" t="s">
        <v>643</v>
      </c>
      <c r="O25" s="3">
        <v>90</v>
      </c>
      <c r="P25" s="3">
        <v>3</v>
      </c>
      <c r="Q25" s="13">
        <v>3</v>
      </c>
      <c r="R25" s="168">
        <v>1</v>
      </c>
      <c r="S25" s="13">
        <f t="shared" si="0"/>
        <v>1.1111111111111112E-2</v>
      </c>
      <c r="T25" s="13">
        <f t="shared" si="1"/>
        <v>0.4</v>
      </c>
      <c r="U25" s="13">
        <f t="shared" si="2"/>
        <v>1.0666666666666667</v>
      </c>
      <c r="V25" s="13">
        <f t="shared" si="5"/>
        <v>3.3333333333333333E-2</v>
      </c>
      <c r="W25" s="18"/>
    </row>
    <row r="26" spans="1:23" x14ac:dyDescent="0.25">
      <c r="A26" s="3" t="s">
        <v>1111</v>
      </c>
      <c r="B26" s="3" t="s">
        <v>1840</v>
      </c>
      <c r="C26" s="3"/>
      <c r="D26" s="3"/>
      <c r="E26" s="3"/>
      <c r="F26" s="3"/>
      <c r="G26" s="3"/>
      <c r="H26" s="3"/>
      <c r="I26" s="3"/>
      <c r="J26" s="3"/>
      <c r="K26" s="3"/>
      <c r="L26" s="13" t="s">
        <v>123</v>
      </c>
      <c r="M26" s="14" t="s">
        <v>644</v>
      </c>
      <c r="N26" s="3" t="s">
        <v>645</v>
      </c>
      <c r="O26" s="3">
        <v>46</v>
      </c>
      <c r="P26" s="3">
        <v>3.5</v>
      </c>
      <c r="Q26" s="13">
        <v>2</v>
      </c>
      <c r="R26" s="168">
        <v>1</v>
      </c>
      <c r="S26" s="13">
        <f t="shared" si="0"/>
        <v>2.1739130434782608E-2</v>
      </c>
      <c r="T26" s="13">
        <f t="shared" si="1"/>
        <v>0.52173913043478259</v>
      </c>
      <c r="U26" s="13">
        <f t="shared" si="2"/>
        <v>2.4347826086956523</v>
      </c>
      <c r="V26" s="13">
        <f t="shared" si="5"/>
        <v>4.3478260869565216E-2</v>
      </c>
      <c r="W26" s="18"/>
    </row>
    <row r="27" spans="1:23" x14ac:dyDescent="0.25">
      <c r="A27" s="175" t="s">
        <v>750</v>
      </c>
      <c r="B27" s="3" t="s">
        <v>753</v>
      </c>
      <c r="C27" s="3"/>
      <c r="D27" s="3"/>
      <c r="E27" s="3"/>
      <c r="F27" s="3"/>
      <c r="G27" s="3"/>
      <c r="H27" s="3"/>
      <c r="I27" s="3"/>
      <c r="J27" s="3"/>
      <c r="K27" s="3"/>
      <c r="L27" s="13" t="s">
        <v>543</v>
      </c>
      <c r="M27" s="14" t="s">
        <v>646</v>
      </c>
      <c r="N27" s="3" t="s">
        <v>647</v>
      </c>
      <c r="O27" s="3">
        <v>180</v>
      </c>
      <c r="P27" s="3">
        <v>6</v>
      </c>
      <c r="Q27" s="13">
        <v>6</v>
      </c>
      <c r="R27" s="168">
        <v>1</v>
      </c>
      <c r="S27" s="13">
        <f t="shared" si="0"/>
        <v>5.5555555555555558E-3</v>
      </c>
      <c r="T27" s="13">
        <f t="shared" si="1"/>
        <v>0.4</v>
      </c>
      <c r="U27" s="13">
        <f t="shared" si="2"/>
        <v>1.0666666666666667</v>
      </c>
      <c r="V27" s="13">
        <f t="shared" si="5"/>
        <v>3.3333333333333333E-2</v>
      </c>
      <c r="W27" s="18"/>
    </row>
    <row r="28" spans="1:23" x14ac:dyDescent="0.25">
      <c r="A28" s="3" t="s">
        <v>727</v>
      </c>
      <c r="B28" s="3" t="s">
        <v>728</v>
      </c>
      <c r="C28" s="3"/>
      <c r="D28" s="3"/>
      <c r="E28" s="3"/>
      <c r="F28" s="3"/>
      <c r="G28" s="3"/>
      <c r="H28" s="3"/>
      <c r="I28" s="3"/>
      <c r="J28" s="3"/>
      <c r="K28" s="3"/>
      <c r="L28" s="13" t="s">
        <v>648</v>
      </c>
      <c r="M28" s="14" t="s">
        <v>649</v>
      </c>
      <c r="N28" s="3" t="s">
        <v>650</v>
      </c>
      <c r="O28" s="3">
        <v>92</v>
      </c>
      <c r="P28" s="3">
        <v>3.5</v>
      </c>
      <c r="Q28" s="13">
        <v>3</v>
      </c>
      <c r="R28" s="168">
        <v>1</v>
      </c>
      <c r="S28" s="13">
        <f t="shared" si="0"/>
        <v>1.0869565217391304E-2</v>
      </c>
      <c r="T28" s="13">
        <f t="shared" si="1"/>
        <v>0.39130434782608692</v>
      </c>
      <c r="U28" s="13">
        <f t="shared" si="2"/>
        <v>1.2173913043478262</v>
      </c>
      <c r="V28" s="13">
        <f t="shared" si="5"/>
        <v>3.2608695652173912E-2</v>
      </c>
      <c r="W28" s="18"/>
    </row>
    <row r="29" spans="1:23" x14ac:dyDescent="0.25">
      <c r="A29" s="3" t="s">
        <v>14</v>
      </c>
      <c r="B29" s="3" t="s">
        <v>15</v>
      </c>
      <c r="C29" s="3"/>
      <c r="D29" s="3"/>
      <c r="E29" s="3"/>
      <c r="F29" s="3"/>
      <c r="G29" s="3"/>
      <c r="H29" s="3"/>
      <c r="I29" s="3"/>
      <c r="J29" s="3"/>
      <c r="K29" s="3"/>
      <c r="L29" s="13" t="s">
        <v>651</v>
      </c>
      <c r="M29" s="14" t="s">
        <v>652</v>
      </c>
      <c r="N29" s="3" t="s">
        <v>653</v>
      </c>
      <c r="O29" s="3">
        <v>342</v>
      </c>
      <c r="P29" s="3">
        <v>12</v>
      </c>
      <c r="Q29" s="13">
        <v>12</v>
      </c>
      <c r="R29" s="168">
        <v>1</v>
      </c>
      <c r="S29" s="13">
        <f>R29/O29</f>
        <v>2.9239766081871343E-3</v>
      </c>
      <c r="T29" s="13">
        <f t="shared" si="1"/>
        <v>0.42105263157894735</v>
      </c>
      <c r="U29" s="13">
        <f t="shared" si="2"/>
        <v>1.1228070175438596</v>
      </c>
      <c r="V29" s="13">
        <f t="shared" si="5"/>
        <v>3.5087719298245612E-2</v>
      </c>
      <c r="W29" s="18"/>
    </row>
    <row r="30" spans="1:23" x14ac:dyDescent="0.25">
      <c r="A30" s="3" t="s">
        <v>1618</v>
      </c>
      <c r="B30" s="3" t="s">
        <v>1619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18"/>
    </row>
    <row r="31" spans="1:23" x14ac:dyDescent="0.25">
      <c r="A31" s="3" t="s">
        <v>1590</v>
      </c>
      <c r="B31" s="3" t="s">
        <v>1591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18"/>
    </row>
    <row r="32" spans="1:23" x14ac:dyDescent="0.25">
      <c r="A32" s="175" t="s">
        <v>751</v>
      </c>
      <c r="B32" s="3" t="s">
        <v>752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18"/>
    </row>
    <row r="33" spans="1:23" x14ac:dyDescent="0.25">
      <c r="A33" s="3" t="s">
        <v>4</v>
      </c>
      <c r="B33" s="3" t="s">
        <v>5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18"/>
    </row>
    <row r="34" spans="1:23" x14ac:dyDescent="0.25">
      <c r="A34" s="3" t="s">
        <v>724</v>
      </c>
      <c r="B34" s="3" t="s">
        <v>725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18"/>
    </row>
    <row r="35" spans="1:23" x14ac:dyDescent="0.25">
      <c r="A35" s="3" t="s">
        <v>69</v>
      </c>
      <c r="B35" s="3" t="s">
        <v>426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18"/>
    </row>
    <row r="36" spans="1:23" x14ac:dyDescent="0.25">
      <c r="A36" s="3" t="s">
        <v>0</v>
      </c>
      <c r="B36" s="3" t="s">
        <v>704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18"/>
    </row>
    <row r="37" spans="1:23" x14ac:dyDescent="0.25">
      <c r="A37" s="3" t="s">
        <v>702</v>
      </c>
      <c r="B37" s="3" t="s">
        <v>703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18"/>
    </row>
    <row r="38" spans="1:23" x14ac:dyDescent="0.25">
      <c r="A38" s="3" t="s">
        <v>862</v>
      </c>
      <c r="B38" s="3" t="s">
        <v>1564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18"/>
    </row>
    <row r="39" spans="1:23" x14ac:dyDescent="0.25">
      <c r="A39" s="3" t="s">
        <v>1040</v>
      </c>
      <c r="B39" s="3" t="s">
        <v>1588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13"/>
      <c r="R39" s="13"/>
      <c r="S39" s="13"/>
      <c r="T39" s="13"/>
      <c r="U39" s="13"/>
      <c r="V39" s="13"/>
    </row>
    <row r="40" spans="1:23" x14ac:dyDescent="0.25">
      <c r="A40" s="3" t="s">
        <v>12</v>
      </c>
      <c r="B40" s="3" t="s">
        <v>13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3" x14ac:dyDescent="0.25">
      <c r="A41" s="3" t="s">
        <v>875</v>
      </c>
      <c r="B41" s="3" t="s">
        <v>1611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3" x14ac:dyDescent="0.25">
      <c r="A42" s="3" t="s">
        <v>71</v>
      </c>
      <c r="B42" s="3" t="s">
        <v>661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3" x14ac:dyDescent="0.25">
      <c r="A43" s="3" t="s">
        <v>736</v>
      </c>
      <c r="B43" s="3" t="s">
        <v>737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3" x14ac:dyDescent="0.25">
      <c r="A44" s="3" t="s">
        <v>1845</v>
      </c>
      <c r="B44" s="3" t="s">
        <v>1846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3" x14ac:dyDescent="0.25">
      <c r="A45" s="3" t="s">
        <v>1593</v>
      </c>
      <c r="B45" s="3" t="s">
        <v>1594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3" x14ac:dyDescent="0.25">
      <c r="A46" s="3" t="s">
        <v>470</v>
      </c>
      <c r="B46" s="3" t="s">
        <v>1337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3" x14ac:dyDescent="0.25">
      <c r="A47" s="3" t="s">
        <v>1049</v>
      </c>
      <c r="B47" s="3" t="s">
        <v>1592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3" x14ac:dyDescent="0.25">
      <c r="A48" s="3" t="s">
        <v>55</v>
      </c>
      <c r="B48" s="3" t="s">
        <v>1589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25">
      <c r="A49" s="3" t="s">
        <v>1843</v>
      </c>
      <c r="B49" s="3" t="s">
        <v>1844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25">
      <c r="A50" s="3" t="s">
        <v>1841</v>
      </c>
      <c r="B50" s="3" t="s">
        <v>1842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25">
      <c r="A51" s="3" t="s">
        <v>761</v>
      </c>
      <c r="B51" s="3" t="s">
        <v>762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25">
      <c r="A52" s="3" t="s">
        <v>64</v>
      </c>
      <c r="B52" s="3" t="s">
        <v>726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</sheetData>
  <sortState ref="A19:B52">
    <sortCondition ref="A19"/>
  </sortState>
  <hyperlinks>
    <hyperlink ref="D3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89"/>
  <sheetViews>
    <sheetView tabSelected="1" zoomScale="85" zoomScaleNormal="85" workbookViewId="0">
      <pane xSplit="1" ySplit="3" topLeftCell="U4" activePane="bottomRight" state="frozen"/>
      <selection pane="topRight" activeCell="B1" sqref="B1"/>
      <selection pane="bottomLeft" activeCell="A4" sqref="A4"/>
      <selection pane="bottomRight" activeCell="W18" sqref="W18"/>
    </sheetView>
  </sheetViews>
  <sheetFormatPr defaultRowHeight="15" x14ac:dyDescent="0.25"/>
  <cols>
    <col min="1" max="1" width="22" customWidth="1"/>
    <col min="2" max="2" width="14" style="52" bestFit="1" customWidth="1"/>
    <col min="3" max="3" width="75.5703125" style="53" customWidth="1"/>
    <col min="4" max="4" width="49.28515625" style="61" customWidth="1"/>
    <col min="5" max="6" width="16.28515625" style="52" customWidth="1"/>
    <col min="7" max="7" width="15.7109375" style="53" bestFit="1" customWidth="1"/>
    <col min="8" max="8" width="19.28515625" bestFit="1" customWidth="1"/>
    <col min="9" max="9" width="122.85546875" bestFit="1" customWidth="1"/>
    <col min="10" max="10" width="34.42578125" bestFit="1" customWidth="1"/>
    <col min="11" max="11" width="28.85546875" style="53" customWidth="1"/>
    <col min="12" max="12" width="11.5703125" customWidth="1"/>
    <col min="13" max="13" width="78.28515625" bestFit="1" customWidth="1"/>
    <col min="14" max="14" width="35.85546875" style="53" customWidth="1"/>
    <col min="15" max="15" width="16.42578125" bestFit="1" customWidth="1"/>
    <col min="16" max="16" width="19.140625" customWidth="1"/>
    <col min="17" max="17" width="9.140625" customWidth="1"/>
    <col min="18" max="18" width="12.7109375" bestFit="1" customWidth="1"/>
    <col min="19" max="19" width="21.7109375" bestFit="1" customWidth="1"/>
    <col min="20" max="20" width="11.42578125" bestFit="1" customWidth="1"/>
    <col min="21" max="21" width="30.85546875" style="53" bestFit="1" customWidth="1"/>
    <col min="22" max="22" width="75.85546875" bestFit="1" customWidth="1"/>
    <col min="23" max="23" width="61" style="53" bestFit="1" customWidth="1"/>
    <col min="24" max="24" width="61.85546875" style="53" customWidth="1"/>
    <col min="25" max="25" width="26" bestFit="1" customWidth="1"/>
    <col min="26" max="26" width="28.7109375" style="1" customWidth="1"/>
    <col min="27" max="27" width="17.85546875" style="1" customWidth="1"/>
    <col min="28" max="28" width="20" style="1" bestFit="1" customWidth="1"/>
    <col min="29" max="29" width="13.5703125" style="1" bestFit="1" customWidth="1"/>
    <col min="30" max="30" width="11.5703125" style="69" bestFit="1" customWidth="1"/>
    <col min="31" max="31" width="16.85546875" bestFit="1" customWidth="1"/>
    <col min="32" max="32" width="16.85546875" customWidth="1"/>
  </cols>
  <sheetData>
    <row r="1" spans="1:34" x14ac:dyDescent="0.25">
      <c r="A1" s="64" t="s">
        <v>19</v>
      </c>
      <c r="B1" s="261" t="s">
        <v>20</v>
      </c>
      <c r="C1" s="263"/>
      <c r="D1" s="262" t="s">
        <v>21</v>
      </c>
      <c r="E1" s="261"/>
      <c r="F1" s="261"/>
      <c r="G1" s="263"/>
      <c r="H1" s="262" t="s">
        <v>669</v>
      </c>
      <c r="I1" s="261"/>
      <c r="J1" s="261"/>
      <c r="K1" s="65"/>
      <c r="L1" s="262" t="s">
        <v>25</v>
      </c>
      <c r="M1" s="261"/>
      <c r="N1" s="263"/>
      <c r="O1" s="262" t="s">
        <v>670</v>
      </c>
      <c r="P1" s="261"/>
      <c r="Q1" s="261"/>
      <c r="R1" s="261"/>
      <c r="S1" s="261"/>
      <c r="T1" s="261"/>
      <c r="U1" s="263"/>
      <c r="V1" s="261" t="s">
        <v>31</v>
      </c>
      <c r="W1" s="261"/>
      <c r="X1" s="65" t="s">
        <v>32</v>
      </c>
      <c r="Y1" s="262" t="s">
        <v>33</v>
      </c>
      <c r="Z1" s="261"/>
      <c r="AA1" s="261"/>
      <c r="AB1" s="261"/>
      <c r="AC1" s="261"/>
      <c r="AD1" s="263"/>
      <c r="AE1" s="64" t="s">
        <v>34</v>
      </c>
      <c r="AF1" s="64"/>
      <c r="AG1" s="64" t="s">
        <v>1625</v>
      </c>
    </row>
    <row r="2" spans="1:34" x14ac:dyDescent="0.25">
      <c r="A2" s="96" t="s">
        <v>665</v>
      </c>
      <c r="B2" s="64" t="s">
        <v>659</v>
      </c>
      <c r="C2" s="65" t="s">
        <v>662</v>
      </c>
      <c r="D2" s="66" t="s">
        <v>663</v>
      </c>
      <c r="E2" s="64" t="s">
        <v>22</v>
      </c>
      <c r="F2" s="64" t="s">
        <v>23</v>
      </c>
      <c r="G2" s="65" t="s">
        <v>24</v>
      </c>
      <c r="H2" s="64" t="s">
        <v>37</v>
      </c>
      <c r="I2" s="64" t="s">
        <v>668</v>
      </c>
      <c r="J2" s="64" t="s">
        <v>39</v>
      </c>
      <c r="K2" s="65" t="s">
        <v>40</v>
      </c>
      <c r="L2" s="64" t="s">
        <v>41</v>
      </c>
      <c r="M2" s="64" t="s">
        <v>38</v>
      </c>
      <c r="N2" s="65" t="s">
        <v>26</v>
      </c>
      <c r="O2" s="64" t="s">
        <v>666</v>
      </c>
      <c r="P2" s="261" t="s">
        <v>27</v>
      </c>
      <c r="Q2" s="261"/>
      <c r="R2" s="261"/>
      <c r="S2" s="64" t="s">
        <v>28</v>
      </c>
      <c r="T2" s="64" t="s">
        <v>29</v>
      </c>
      <c r="U2" s="65" t="s">
        <v>30</v>
      </c>
      <c r="V2" s="64" t="s">
        <v>51</v>
      </c>
      <c r="W2" s="65" t="s">
        <v>52</v>
      </c>
      <c r="X2" s="65"/>
      <c r="Y2" s="64" t="s">
        <v>667</v>
      </c>
      <c r="Z2" s="64" t="s">
        <v>42</v>
      </c>
      <c r="AA2" s="64" t="s">
        <v>43</v>
      </c>
      <c r="AB2" s="64" t="s">
        <v>44</v>
      </c>
      <c r="AC2" s="64" t="s">
        <v>42</v>
      </c>
      <c r="AD2" s="65" t="s">
        <v>45</v>
      </c>
      <c r="AE2" s="13"/>
      <c r="AF2" s="64"/>
      <c r="AG2" s="64"/>
    </row>
    <row r="3" spans="1:34" x14ac:dyDescent="0.25">
      <c r="A3" s="97" t="s">
        <v>664</v>
      </c>
      <c r="B3" s="98"/>
      <c r="C3" s="99"/>
      <c r="D3" s="100"/>
      <c r="E3" s="98" t="s">
        <v>35</v>
      </c>
      <c r="F3" s="98" t="s">
        <v>35</v>
      </c>
      <c r="G3" s="99" t="s">
        <v>36</v>
      </c>
      <c r="H3" s="98"/>
      <c r="I3" s="98"/>
      <c r="J3" s="98"/>
      <c r="K3" s="99" t="s">
        <v>53</v>
      </c>
      <c r="L3" s="98"/>
      <c r="M3" s="98"/>
      <c r="N3" s="99" t="s">
        <v>53</v>
      </c>
      <c r="O3" s="161" t="s">
        <v>1602</v>
      </c>
      <c r="P3" s="98" t="s">
        <v>47</v>
      </c>
      <c r="Q3" s="98" t="s">
        <v>48</v>
      </c>
      <c r="R3" s="98" t="s">
        <v>49</v>
      </c>
      <c r="S3" s="98"/>
      <c r="T3" s="98" t="s">
        <v>50</v>
      </c>
      <c r="U3" s="99"/>
      <c r="V3" s="98"/>
      <c r="W3" s="99"/>
      <c r="X3" s="99"/>
      <c r="Y3" s="98"/>
      <c r="Z3" s="98" t="s">
        <v>53</v>
      </c>
      <c r="AA3" s="98" t="s">
        <v>53</v>
      </c>
      <c r="AB3" s="98" t="s">
        <v>53</v>
      </c>
      <c r="AC3" s="98" t="s">
        <v>54</v>
      </c>
      <c r="AD3" s="99" t="s">
        <v>54</v>
      </c>
      <c r="AE3" s="98" t="s">
        <v>46</v>
      </c>
      <c r="AF3" s="98"/>
      <c r="AG3" s="98"/>
    </row>
    <row r="4" spans="1:34" s="3" customFormat="1" x14ac:dyDescent="0.25">
      <c r="A4" s="4" t="s">
        <v>672</v>
      </c>
      <c r="B4" s="42" t="s">
        <v>55</v>
      </c>
      <c r="C4" s="43" t="s">
        <v>56</v>
      </c>
      <c r="D4" s="54" t="s">
        <v>86</v>
      </c>
      <c r="E4" s="42">
        <v>0.15</v>
      </c>
      <c r="F4" s="42">
        <v>7.4999999999999997E-2</v>
      </c>
      <c r="G4" s="43" t="s">
        <v>1</v>
      </c>
      <c r="H4" s="4" t="s">
        <v>57</v>
      </c>
      <c r="I4" s="4" t="s">
        <v>58</v>
      </c>
      <c r="J4" s="4" t="s">
        <v>59</v>
      </c>
      <c r="K4" s="43" t="s">
        <v>1</v>
      </c>
      <c r="L4" s="4" t="s">
        <v>60</v>
      </c>
      <c r="M4" s="4" t="s">
        <v>61</v>
      </c>
      <c r="N4" s="43" t="s">
        <v>62</v>
      </c>
      <c r="O4" s="4">
        <v>55</v>
      </c>
      <c r="P4" s="4" t="s">
        <v>63</v>
      </c>
      <c r="Q4" s="4">
        <v>5.5</v>
      </c>
      <c r="R4" s="4" t="s">
        <v>64</v>
      </c>
      <c r="S4" s="4" t="s">
        <v>65</v>
      </c>
      <c r="T4" s="4" t="s">
        <v>0</v>
      </c>
      <c r="U4" s="43" t="s">
        <v>1</v>
      </c>
      <c r="V4" s="4" t="s">
        <v>66</v>
      </c>
      <c r="W4" s="43" t="s">
        <v>67</v>
      </c>
      <c r="X4" s="43" t="s">
        <v>68</v>
      </c>
      <c r="Y4" s="4" t="s">
        <v>0</v>
      </c>
      <c r="Z4" s="4" t="s">
        <v>0</v>
      </c>
      <c r="AA4" s="4" t="s">
        <v>0</v>
      </c>
      <c r="AB4" s="4" t="s">
        <v>0</v>
      </c>
      <c r="AC4" s="4" t="s">
        <v>0</v>
      </c>
      <c r="AD4" s="43" t="s">
        <v>0</v>
      </c>
      <c r="AE4" s="4" t="s">
        <v>69</v>
      </c>
      <c r="AF4" s="4"/>
      <c r="AG4" s="4" t="s">
        <v>70</v>
      </c>
    </row>
    <row r="5" spans="1:34" x14ac:dyDescent="0.25">
      <c r="A5" s="20" t="s">
        <v>671</v>
      </c>
      <c r="B5" s="44" t="s">
        <v>55</v>
      </c>
      <c r="C5" s="45" t="s">
        <v>660</v>
      </c>
      <c r="D5" s="55" t="s">
        <v>71</v>
      </c>
      <c r="E5" s="44">
        <v>5</v>
      </c>
      <c r="F5" s="44">
        <v>0.75</v>
      </c>
      <c r="G5" s="45">
        <v>30</v>
      </c>
      <c r="H5" s="20" t="s">
        <v>72</v>
      </c>
      <c r="I5" s="20" t="s">
        <v>73</v>
      </c>
      <c r="J5" s="20" t="s">
        <v>74</v>
      </c>
      <c r="K5" s="45" t="s">
        <v>75</v>
      </c>
      <c r="L5" s="20" t="s">
        <v>60</v>
      </c>
      <c r="M5" s="20" t="s">
        <v>706</v>
      </c>
      <c r="N5" s="45" t="s">
        <v>76</v>
      </c>
      <c r="O5" s="20">
        <v>30</v>
      </c>
      <c r="P5" s="20" t="s">
        <v>0</v>
      </c>
      <c r="Q5" s="20" t="s">
        <v>0</v>
      </c>
      <c r="R5" s="20" t="s">
        <v>64</v>
      </c>
      <c r="S5" s="20" t="s">
        <v>0</v>
      </c>
      <c r="T5" s="20" t="s">
        <v>0</v>
      </c>
      <c r="U5" s="45" t="s">
        <v>686</v>
      </c>
      <c r="V5" s="20" t="s">
        <v>705</v>
      </c>
      <c r="W5" s="45" t="s">
        <v>1584</v>
      </c>
      <c r="X5" s="45" t="s">
        <v>78</v>
      </c>
      <c r="Y5" s="20">
        <v>7.2</v>
      </c>
      <c r="Z5" s="21">
        <v>0.8</v>
      </c>
      <c r="AA5" s="21" t="s">
        <v>0</v>
      </c>
      <c r="AB5" s="20" t="s">
        <v>0</v>
      </c>
      <c r="AC5" s="20">
        <f t="shared" ref="AC5:AC13" si="0">Z5</f>
        <v>0.8</v>
      </c>
      <c r="AD5" s="45" t="s">
        <v>1</v>
      </c>
      <c r="AE5" s="20" t="s">
        <v>69</v>
      </c>
      <c r="AF5" s="20"/>
      <c r="AG5" s="20"/>
    </row>
    <row r="6" spans="1:34" x14ac:dyDescent="0.25">
      <c r="A6" s="20" t="s">
        <v>671</v>
      </c>
      <c r="B6" s="44" t="s">
        <v>55</v>
      </c>
      <c r="C6" s="45" t="s">
        <v>660</v>
      </c>
      <c r="D6" s="55" t="s">
        <v>71</v>
      </c>
      <c r="E6" s="44">
        <v>5</v>
      </c>
      <c r="F6" s="44">
        <v>0.75</v>
      </c>
      <c r="G6" s="45">
        <v>30</v>
      </c>
      <c r="H6" s="20" t="s">
        <v>72</v>
      </c>
      <c r="I6" s="20" t="s">
        <v>73</v>
      </c>
      <c r="J6" s="20" t="s">
        <v>74</v>
      </c>
      <c r="K6" s="45" t="s">
        <v>79</v>
      </c>
      <c r="L6" s="20" t="s">
        <v>60</v>
      </c>
      <c r="M6" s="20" t="s">
        <v>706</v>
      </c>
      <c r="N6" s="45" t="s">
        <v>76</v>
      </c>
      <c r="O6" s="20">
        <v>30</v>
      </c>
      <c r="P6" s="20" t="s">
        <v>0</v>
      </c>
      <c r="Q6" s="20" t="s">
        <v>0</v>
      </c>
      <c r="R6" s="20" t="s">
        <v>64</v>
      </c>
      <c r="S6" s="20" t="s">
        <v>0</v>
      </c>
      <c r="T6" s="20" t="s">
        <v>0</v>
      </c>
      <c r="U6" s="45" t="s">
        <v>686</v>
      </c>
      <c r="V6" s="20" t="s">
        <v>705</v>
      </c>
      <c r="W6" s="45" t="s">
        <v>1584</v>
      </c>
      <c r="X6" s="45" t="s">
        <v>78</v>
      </c>
      <c r="Y6" s="20">
        <v>6.8</v>
      </c>
      <c r="Z6" s="21">
        <v>0.6</v>
      </c>
      <c r="AA6" s="21" t="s">
        <v>0</v>
      </c>
      <c r="AB6" s="20" t="s">
        <v>0</v>
      </c>
      <c r="AC6" s="20">
        <f t="shared" si="0"/>
        <v>0.6</v>
      </c>
      <c r="AD6" s="45" t="s">
        <v>1</v>
      </c>
      <c r="AE6" s="20" t="s">
        <v>69</v>
      </c>
      <c r="AF6" s="20"/>
      <c r="AG6" s="20"/>
    </row>
    <row r="7" spans="1:34" x14ac:dyDescent="0.25">
      <c r="A7" s="20" t="s">
        <v>671</v>
      </c>
      <c r="B7" s="44" t="s">
        <v>55</v>
      </c>
      <c r="C7" s="45" t="s">
        <v>660</v>
      </c>
      <c r="D7" s="55" t="s">
        <v>71</v>
      </c>
      <c r="E7" s="44">
        <v>5</v>
      </c>
      <c r="F7" s="44">
        <v>0.75</v>
      </c>
      <c r="G7" s="45">
        <v>30</v>
      </c>
      <c r="H7" s="20" t="s">
        <v>72</v>
      </c>
      <c r="I7" s="20" t="s">
        <v>73</v>
      </c>
      <c r="J7" s="20" t="s">
        <v>74</v>
      </c>
      <c r="K7" s="45" t="s">
        <v>80</v>
      </c>
      <c r="L7" s="20" t="s">
        <v>60</v>
      </c>
      <c r="M7" s="20" t="s">
        <v>706</v>
      </c>
      <c r="N7" s="45" t="s">
        <v>76</v>
      </c>
      <c r="O7" s="20">
        <v>30</v>
      </c>
      <c r="P7" s="20" t="s">
        <v>0</v>
      </c>
      <c r="Q7" s="20" t="s">
        <v>0</v>
      </c>
      <c r="R7" s="20" t="s">
        <v>64</v>
      </c>
      <c r="S7" s="20" t="s">
        <v>0</v>
      </c>
      <c r="T7" s="20" t="s">
        <v>0</v>
      </c>
      <c r="U7" s="45" t="s">
        <v>686</v>
      </c>
      <c r="V7" s="20" t="s">
        <v>705</v>
      </c>
      <c r="W7" s="45" t="s">
        <v>1584</v>
      </c>
      <c r="X7" s="45" t="s">
        <v>78</v>
      </c>
      <c r="Y7" s="20">
        <v>15</v>
      </c>
      <c r="Z7" s="21">
        <v>0.7</v>
      </c>
      <c r="AA7" s="21" t="s">
        <v>0</v>
      </c>
      <c r="AB7" s="20" t="s">
        <v>0</v>
      </c>
      <c r="AC7" s="20">
        <f t="shared" si="0"/>
        <v>0.7</v>
      </c>
      <c r="AD7" s="45" t="s">
        <v>1</v>
      </c>
      <c r="AE7" s="20" t="s">
        <v>69</v>
      </c>
      <c r="AF7" s="20"/>
      <c r="AG7" s="20"/>
    </row>
    <row r="8" spans="1:34" x14ac:dyDescent="0.25">
      <c r="A8" s="20" t="s">
        <v>671</v>
      </c>
      <c r="B8" s="44" t="s">
        <v>55</v>
      </c>
      <c r="C8" s="45" t="s">
        <v>660</v>
      </c>
      <c r="D8" s="55" t="s">
        <v>71</v>
      </c>
      <c r="E8" s="44">
        <v>5</v>
      </c>
      <c r="F8" s="44">
        <v>0.75</v>
      </c>
      <c r="G8" s="45">
        <v>30</v>
      </c>
      <c r="H8" s="20" t="s">
        <v>72</v>
      </c>
      <c r="I8" s="20" t="s">
        <v>81</v>
      </c>
      <c r="J8" s="20" t="s">
        <v>74</v>
      </c>
      <c r="K8" s="45" t="s">
        <v>75</v>
      </c>
      <c r="L8" s="20" t="s">
        <v>60</v>
      </c>
      <c r="M8" s="20" t="s">
        <v>706</v>
      </c>
      <c r="N8" s="45" t="s">
        <v>76</v>
      </c>
      <c r="O8" s="20">
        <v>30</v>
      </c>
      <c r="P8" s="20" t="s">
        <v>0</v>
      </c>
      <c r="Q8" s="20" t="s">
        <v>0</v>
      </c>
      <c r="R8" s="20" t="s">
        <v>64</v>
      </c>
      <c r="S8" s="20" t="s">
        <v>0</v>
      </c>
      <c r="T8" s="20" t="s">
        <v>0</v>
      </c>
      <c r="U8" s="45" t="s">
        <v>686</v>
      </c>
      <c r="V8" s="20" t="s">
        <v>705</v>
      </c>
      <c r="W8" s="45" t="s">
        <v>1584</v>
      </c>
      <c r="X8" s="45" t="s">
        <v>82</v>
      </c>
      <c r="Y8" s="20">
        <v>5.4</v>
      </c>
      <c r="Z8" s="21">
        <v>0.3</v>
      </c>
      <c r="AA8" s="21" t="s">
        <v>0</v>
      </c>
      <c r="AB8" s="20" t="s">
        <v>0</v>
      </c>
      <c r="AC8" s="20">
        <f t="shared" si="0"/>
        <v>0.3</v>
      </c>
      <c r="AD8" s="45" t="s">
        <v>1</v>
      </c>
      <c r="AE8" s="20" t="s">
        <v>69</v>
      </c>
      <c r="AF8" s="20"/>
      <c r="AG8" s="20"/>
    </row>
    <row r="9" spans="1:34" x14ac:dyDescent="0.25">
      <c r="A9" s="20" t="s">
        <v>671</v>
      </c>
      <c r="B9" s="44" t="s">
        <v>55</v>
      </c>
      <c r="C9" s="45" t="s">
        <v>660</v>
      </c>
      <c r="D9" s="55" t="s">
        <v>71</v>
      </c>
      <c r="E9" s="44">
        <v>5</v>
      </c>
      <c r="F9" s="44">
        <v>0.75</v>
      </c>
      <c r="G9" s="45">
        <v>30</v>
      </c>
      <c r="H9" s="20" t="s">
        <v>72</v>
      </c>
      <c r="I9" s="20" t="s">
        <v>81</v>
      </c>
      <c r="J9" s="20" t="s">
        <v>74</v>
      </c>
      <c r="K9" s="45" t="s">
        <v>79</v>
      </c>
      <c r="L9" s="20" t="s">
        <v>60</v>
      </c>
      <c r="M9" s="20" t="s">
        <v>706</v>
      </c>
      <c r="N9" s="45" t="s">
        <v>76</v>
      </c>
      <c r="O9" s="20">
        <v>30</v>
      </c>
      <c r="P9" s="20" t="s">
        <v>0</v>
      </c>
      <c r="Q9" s="20" t="s">
        <v>0</v>
      </c>
      <c r="R9" s="20" t="s">
        <v>64</v>
      </c>
      <c r="S9" s="20" t="s">
        <v>0</v>
      </c>
      <c r="T9" s="20" t="s">
        <v>0</v>
      </c>
      <c r="U9" s="45" t="s">
        <v>686</v>
      </c>
      <c r="V9" s="20" t="s">
        <v>705</v>
      </c>
      <c r="W9" s="45" t="s">
        <v>1584</v>
      </c>
      <c r="X9" s="45" t="s">
        <v>82</v>
      </c>
      <c r="Y9" s="20">
        <v>6.8</v>
      </c>
      <c r="Z9" s="21">
        <v>0.7</v>
      </c>
      <c r="AA9" s="21" t="s">
        <v>0</v>
      </c>
      <c r="AB9" s="20" t="s">
        <v>0</v>
      </c>
      <c r="AC9" s="20">
        <f t="shared" si="0"/>
        <v>0.7</v>
      </c>
      <c r="AD9" s="45" t="s">
        <v>1</v>
      </c>
      <c r="AE9" s="20" t="s">
        <v>69</v>
      </c>
      <c r="AF9" s="20"/>
      <c r="AG9" s="20"/>
    </row>
    <row r="10" spans="1:34" x14ac:dyDescent="0.25">
      <c r="A10" s="20" t="s">
        <v>671</v>
      </c>
      <c r="B10" s="44" t="s">
        <v>55</v>
      </c>
      <c r="C10" s="45" t="s">
        <v>660</v>
      </c>
      <c r="D10" s="55" t="s">
        <v>71</v>
      </c>
      <c r="E10" s="44">
        <v>5</v>
      </c>
      <c r="F10" s="44">
        <v>0.75</v>
      </c>
      <c r="G10" s="45">
        <v>30</v>
      </c>
      <c r="H10" s="20" t="s">
        <v>72</v>
      </c>
      <c r="I10" s="20" t="s">
        <v>81</v>
      </c>
      <c r="J10" s="20" t="s">
        <v>74</v>
      </c>
      <c r="K10" s="45" t="s">
        <v>80</v>
      </c>
      <c r="L10" s="20" t="s">
        <v>60</v>
      </c>
      <c r="M10" s="20" t="s">
        <v>706</v>
      </c>
      <c r="N10" s="45" t="s">
        <v>76</v>
      </c>
      <c r="O10" s="20">
        <v>30</v>
      </c>
      <c r="P10" s="20" t="s">
        <v>0</v>
      </c>
      <c r="Q10" s="20" t="s">
        <v>0</v>
      </c>
      <c r="R10" s="20" t="s">
        <v>64</v>
      </c>
      <c r="S10" s="20" t="s">
        <v>0</v>
      </c>
      <c r="T10" s="20" t="s">
        <v>0</v>
      </c>
      <c r="U10" s="45" t="s">
        <v>686</v>
      </c>
      <c r="V10" s="20" t="s">
        <v>705</v>
      </c>
      <c r="W10" s="45" t="s">
        <v>1584</v>
      </c>
      <c r="X10" s="45" t="s">
        <v>82</v>
      </c>
      <c r="Y10" s="20">
        <v>14</v>
      </c>
      <c r="Z10" s="21">
        <v>0.7</v>
      </c>
      <c r="AA10" s="21" t="s">
        <v>0</v>
      </c>
      <c r="AB10" s="20" t="s">
        <v>0</v>
      </c>
      <c r="AC10" s="20">
        <f t="shared" si="0"/>
        <v>0.7</v>
      </c>
      <c r="AD10" s="45" t="s">
        <v>1</v>
      </c>
      <c r="AE10" s="20" t="s">
        <v>69</v>
      </c>
      <c r="AF10" s="20"/>
      <c r="AG10" s="20"/>
    </row>
    <row r="11" spans="1:34" x14ac:dyDescent="0.25">
      <c r="A11" s="20" t="s">
        <v>671</v>
      </c>
      <c r="B11" s="44" t="s">
        <v>55</v>
      </c>
      <c r="C11" s="45" t="s">
        <v>660</v>
      </c>
      <c r="D11" s="55" t="s">
        <v>71</v>
      </c>
      <c r="E11" s="44">
        <v>5</v>
      </c>
      <c r="F11" s="44">
        <v>0.75</v>
      </c>
      <c r="G11" s="45">
        <v>30</v>
      </c>
      <c r="H11" s="20" t="s">
        <v>72</v>
      </c>
      <c r="I11" s="20" t="s">
        <v>83</v>
      </c>
      <c r="J11" s="20" t="s">
        <v>74</v>
      </c>
      <c r="K11" s="45" t="s">
        <v>75</v>
      </c>
      <c r="L11" s="20" t="s">
        <v>60</v>
      </c>
      <c r="M11" s="20" t="s">
        <v>706</v>
      </c>
      <c r="N11" s="45" t="s">
        <v>76</v>
      </c>
      <c r="O11" s="20">
        <v>30</v>
      </c>
      <c r="P11" s="20" t="s">
        <v>0</v>
      </c>
      <c r="Q11" s="20" t="s">
        <v>0</v>
      </c>
      <c r="R11" s="20" t="s">
        <v>64</v>
      </c>
      <c r="S11" s="20" t="s">
        <v>0</v>
      </c>
      <c r="T11" s="20" t="s">
        <v>0</v>
      </c>
      <c r="U11" s="45" t="s">
        <v>686</v>
      </c>
      <c r="V11" s="20" t="s">
        <v>705</v>
      </c>
      <c r="W11" s="45" t="s">
        <v>1584</v>
      </c>
      <c r="X11" s="45" t="s">
        <v>84</v>
      </c>
      <c r="Y11" s="20">
        <v>4.9000000000000004</v>
      </c>
      <c r="Z11" s="21">
        <v>0.04</v>
      </c>
      <c r="AA11" s="21" t="s">
        <v>0</v>
      </c>
      <c r="AB11" s="20" t="s">
        <v>0</v>
      </c>
      <c r="AC11" s="20">
        <f t="shared" si="0"/>
        <v>0.04</v>
      </c>
      <c r="AD11" s="45" t="s">
        <v>1</v>
      </c>
      <c r="AE11" s="20" t="s">
        <v>69</v>
      </c>
      <c r="AF11" s="20"/>
      <c r="AG11" s="20"/>
    </row>
    <row r="12" spans="1:34" x14ac:dyDescent="0.25">
      <c r="A12" s="20" t="s">
        <v>671</v>
      </c>
      <c r="B12" s="44" t="s">
        <v>55</v>
      </c>
      <c r="C12" s="45" t="s">
        <v>660</v>
      </c>
      <c r="D12" s="55" t="s">
        <v>71</v>
      </c>
      <c r="E12" s="44">
        <v>5</v>
      </c>
      <c r="F12" s="44">
        <v>0.75</v>
      </c>
      <c r="G12" s="45">
        <v>30</v>
      </c>
      <c r="H12" s="20" t="s">
        <v>72</v>
      </c>
      <c r="I12" s="20" t="s">
        <v>83</v>
      </c>
      <c r="J12" s="20" t="s">
        <v>74</v>
      </c>
      <c r="K12" s="45" t="s">
        <v>79</v>
      </c>
      <c r="L12" s="20" t="s">
        <v>60</v>
      </c>
      <c r="M12" s="20" t="s">
        <v>706</v>
      </c>
      <c r="N12" s="45" t="s">
        <v>76</v>
      </c>
      <c r="O12" s="20">
        <v>30</v>
      </c>
      <c r="P12" s="20" t="s">
        <v>0</v>
      </c>
      <c r="Q12" s="20" t="s">
        <v>0</v>
      </c>
      <c r="R12" s="20" t="s">
        <v>64</v>
      </c>
      <c r="S12" s="20" t="s">
        <v>0</v>
      </c>
      <c r="T12" s="20" t="s">
        <v>0</v>
      </c>
      <c r="U12" s="45" t="s">
        <v>686</v>
      </c>
      <c r="V12" s="20" t="s">
        <v>705</v>
      </c>
      <c r="W12" s="45" t="s">
        <v>1584</v>
      </c>
      <c r="X12" s="45" t="s">
        <v>84</v>
      </c>
      <c r="Y12" s="20">
        <v>5</v>
      </c>
      <c r="Z12" s="21">
        <v>0.5</v>
      </c>
      <c r="AA12" s="21" t="s">
        <v>0</v>
      </c>
      <c r="AB12" s="20" t="s">
        <v>0</v>
      </c>
      <c r="AC12" s="20">
        <f t="shared" si="0"/>
        <v>0.5</v>
      </c>
      <c r="AD12" s="45" t="s">
        <v>1</v>
      </c>
      <c r="AE12" s="20" t="s">
        <v>69</v>
      </c>
      <c r="AF12" s="20"/>
      <c r="AG12" s="20"/>
    </row>
    <row r="13" spans="1:34" x14ac:dyDescent="0.25">
      <c r="A13" s="20" t="s">
        <v>671</v>
      </c>
      <c r="B13" s="44" t="s">
        <v>55</v>
      </c>
      <c r="C13" s="45" t="s">
        <v>660</v>
      </c>
      <c r="D13" s="55" t="s">
        <v>71</v>
      </c>
      <c r="E13" s="44">
        <v>5</v>
      </c>
      <c r="F13" s="44">
        <v>0.75</v>
      </c>
      <c r="G13" s="45">
        <v>30</v>
      </c>
      <c r="H13" s="20" t="s">
        <v>72</v>
      </c>
      <c r="I13" s="20" t="s">
        <v>83</v>
      </c>
      <c r="J13" s="20" t="s">
        <v>74</v>
      </c>
      <c r="K13" s="45" t="s">
        <v>687</v>
      </c>
      <c r="L13" s="20" t="s">
        <v>60</v>
      </c>
      <c r="M13" s="20" t="s">
        <v>706</v>
      </c>
      <c r="N13" s="45" t="s">
        <v>76</v>
      </c>
      <c r="O13" s="20">
        <v>30</v>
      </c>
      <c r="P13" s="20" t="s">
        <v>0</v>
      </c>
      <c r="Q13" s="20" t="s">
        <v>0</v>
      </c>
      <c r="R13" s="20" t="s">
        <v>64</v>
      </c>
      <c r="S13" s="20" t="s">
        <v>0</v>
      </c>
      <c r="T13" s="20" t="s">
        <v>0</v>
      </c>
      <c r="U13" s="45" t="s">
        <v>686</v>
      </c>
      <c r="V13" s="20" t="s">
        <v>705</v>
      </c>
      <c r="W13" s="45" t="s">
        <v>1584</v>
      </c>
      <c r="X13" s="45" t="s">
        <v>84</v>
      </c>
      <c r="Y13" s="20">
        <v>14</v>
      </c>
      <c r="Z13" s="21">
        <v>0.05</v>
      </c>
      <c r="AA13" s="21" t="s">
        <v>0</v>
      </c>
      <c r="AB13" s="20" t="s">
        <v>0</v>
      </c>
      <c r="AC13" s="20">
        <f t="shared" si="0"/>
        <v>0.05</v>
      </c>
      <c r="AD13" s="45" t="s">
        <v>1</v>
      </c>
      <c r="AE13" s="20" t="s">
        <v>69</v>
      </c>
      <c r="AF13" s="20"/>
      <c r="AG13" s="20"/>
    </row>
    <row r="14" spans="1:34" x14ac:dyDescent="0.25">
      <c r="A14" s="4" t="s">
        <v>695</v>
      </c>
      <c r="B14" s="42" t="s">
        <v>2</v>
      </c>
      <c r="C14" s="43" t="s">
        <v>85</v>
      </c>
      <c r="D14" s="54" t="s">
        <v>86</v>
      </c>
      <c r="E14" s="42">
        <v>0.125</v>
      </c>
      <c r="F14" s="42">
        <v>0.04</v>
      </c>
      <c r="G14" s="43">
        <v>9</v>
      </c>
      <c r="H14" s="4" t="s">
        <v>57</v>
      </c>
      <c r="I14" s="4" t="s">
        <v>673</v>
      </c>
      <c r="J14" s="4" t="s">
        <v>59</v>
      </c>
      <c r="K14" s="43" t="s">
        <v>1</v>
      </c>
      <c r="L14" s="4" t="s">
        <v>60</v>
      </c>
      <c r="M14" s="4" t="s">
        <v>87</v>
      </c>
      <c r="N14" s="43" t="s">
        <v>88</v>
      </c>
      <c r="O14" s="4">
        <v>35</v>
      </c>
      <c r="P14" s="4">
        <v>5.5</v>
      </c>
      <c r="Q14" s="4"/>
      <c r="R14" s="4" t="s">
        <v>69</v>
      </c>
      <c r="S14" s="4" t="s">
        <v>684</v>
      </c>
      <c r="T14" s="4" t="s">
        <v>0</v>
      </c>
      <c r="U14" s="43" t="s">
        <v>685</v>
      </c>
      <c r="V14" s="4" t="s">
        <v>90</v>
      </c>
      <c r="W14" s="43" t="s">
        <v>1584</v>
      </c>
      <c r="X14" s="43" t="s">
        <v>1</v>
      </c>
      <c r="Y14" s="4" t="s">
        <v>1</v>
      </c>
      <c r="Z14" s="4" t="s">
        <v>91</v>
      </c>
      <c r="AA14" s="4">
        <v>0</v>
      </c>
      <c r="AB14" s="4">
        <v>0</v>
      </c>
      <c r="AC14" s="4">
        <v>0.15</v>
      </c>
      <c r="AD14" s="43">
        <v>0</v>
      </c>
      <c r="AE14" s="4" t="s">
        <v>64</v>
      </c>
      <c r="AF14" s="4"/>
      <c r="AG14" s="4"/>
      <c r="AH14" s="3"/>
    </row>
    <row r="15" spans="1:34" x14ac:dyDescent="0.25">
      <c r="A15" s="4" t="s">
        <v>695</v>
      </c>
      <c r="B15" s="42" t="s">
        <v>2</v>
      </c>
      <c r="C15" s="43" t="s">
        <v>85</v>
      </c>
      <c r="D15" s="54" t="s">
        <v>86</v>
      </c>
      <c r="E15" s="42">
        <v>0.125</v>
      </c>
      <c r="F15" s="42">
        <v>0.04</v>
      </c>
      <c r="G15" s="43">
        <v>9</v>
      </c>
      <c r="H15" s="4" t="s">
        <v>57</v>
      </c>
      <c r="I15" s="4" t="s">
        <v>674</v>
      </c>
      <c r="J15" s="4" t="s">
        <v>59</v>
      </c>
      <c r="K15" s="43" t="s">
        <v>1</v>
      </c>
      <c r="L15" s="4" t="s">
        <v>60</v>
      </c>
      <c r="M15" s="4" t="s">
        <v>87</v>
      </c>
      <c r="N15" s="43" t="s">
        <v>88</v>
      </c>
      <c r="O15" s="4">
        <v>35</v>
      </c>
      <c r="P15" s="4">
        <v>5.5</v>
      </c>
      <c r="Q15" s="4"/>
      <c r="R15" s="4" t="s">
        <v>69</v>
      </c>
      <c r="S15" s="4" t="s">
        <v>684</v>
      </c>
      <c r="T15" s="4" t="s">
        <v>0</v>
      </c>
      <c r="U15" s="43" t="s">
        <v>685</v>
      </c>
      <c r="V15" s="4" t="s">
        <v>90</v>
      </c>
      <c r="W15" s="43" t="s">
        <v>1584</v>
      </c>
      <c r="X15" s="43" t="s">
        <v>1</v>
      </c>
      <c r="Y15" s="4" t="s">
        <v>1</v>
      </c>
      <c r="Z15" s="4" t="s">
        <v>92</v>
      </c>
      <c r="AA15" s="4">
        <v>0</v>
      </c>
      <c r="AB15" s="4">
        <v>0</v>
      </c>
      <c r="AC15" s="4">
        <v>6.35</v>
      </c>
      <c r="AD15" s="43">
        <v>0</v>
      </c>
      <c r="AE15" s="4" t="s">
        <v>64</v>
      </c>
      <c r="AF15" s="4"/>
      <c r="AG15" s="4"/>
      <c r="AH15" s="3"/>
    </row>
    <row r="16" spans="1:34" x14ac:dyDescent="0.25">
      <c r="A16" s="4" t="s">
        <v>695</v>
      </c>
      <c r="B16" s="42" t="s">
        <v>2</v>
      </c>
      <c r="C16" s="43" t="s">
        <v>85</v>
      </c>
      <c r="D16" s="54" t="s">
        <v>86</v>
      </c>
      <c r="E16" s="42">
        <v>0.125</v>
      </c>
      <c r="F16" s="42">
        <v>0.04</v>
      </c>
      <c r="G16" s="43">
        <v>9</v>
      </c>
      <c r="H16" s="4" t="s">
        <v>57</v>
      </c>
      <c r="I16" s="4" t="s">
        <v>675</v>
      </c>
      <c r="J16" s="4" t="s">
        <v>59</v>
      </c>
      <c r="K16" s="43" t="s">
        <v>1</v>
      </c>
      <c r="L16" s="4" t="s">
        <v>60</v>
      </c>
      <c r="M16" s="4" t="s">
        <v>87</v>
      </c>
      <c r="N16" s="43" t="s">
        <v>88</v>
      </c>
      <c r="O16" s="4">
        <v>35</v>
      </c>
      <c r="P16" s="4">
        <v>5.5</v>
      </c>
      <c r="Q16" s="4"/>
      <c r="R16" s="4" t="s">
        <v>69</v>
      </c>
      <c r="S16" s="4" t="s">
        <v>684</v>
      </c>
      <c r="T16" s="4" t="s">
        <v>0</v>
      </c>
      <c r="U16" s="43" t="s">
        <v>685</v>
      </c>
      <c r="V16" s="4" t="s">
        <v>90</v>
      </c>
      <c r="W16" s="43" t="s">
        <v>1584</v>
      </c>
      <c r="X16" s="43" t="s">
        <v>1</v>
      </c>
      <c r="Y16" s="4" t="s">
        <v>1</v>
      </c>
      <c r="Z16" s="4" t="s">
        <v>93</v>
      </c>
      <c r="AA16" s="4">
        <v>0</v>
      </c>
      <c r="AB16" s="4">
        <v>0</v>
      </c>
      <c r="AC16" s="4">
        <v>3.17</v>
      </c>
      <c r="AD16" s="43">
        <v>0</v>
      </c>
      <c r="AE16" s="4" t="s">
        <v>64</v>
      </c>
      <c r="AF16" s="4"/>
      <c r="AG16" s="4"/>
      <c r="AH16" s="3"/>
    </row>
    <row r="17" spans="1:42" x14ac:dyDescent="0.25">
      <c r="A17" s="4" t="s">
        <v>695</v>
      </c>
      <c r="B17" s="42" t="s">
        <v>2</v>
      </c>
      <c r="C17" s="43" t="s">
        <v>85</v>
      </c>
      <c r="D17" s="54" t="s">
        <v>86</v>
      </c>
      <c r="E17" s="42">
        <v>0.125</v>
      </c>
      <c r="F17" s="42">
        <v>0.04</v>
      </c>
      <c r="G17" s="43">
        <v>9</v>
      </c>
      <c r="H17" s="4" t="s">
        <v>57</v>
      </c>
      <c r="I17" s="4" t="s">
        <v>676</v>
      </c>
      <c r="J17" s="4" t="s">
        <v>59</v>
      </c>
      <c r="K17" s="43" t="s">
        <v>1</v>
      </c>
      <c r="L17" s="4" t="s">
        <v>60</v>
      </c>
      <c r="M17" s="4" t="s">
        <v>87</v>
      </c>
      <c r="N17" s="43" t="s">
        <v>88</v>
      </c>
      <c r="O17" s="4">
        <v>35</v>
      </c>
      <c r="P17" s="4">
        <v>5.5</v>
      </c>
      <c r="Q17" s="4"/>
      <c r="R17" s="4" t="s">
        <v>69</v>
      </c>
      <c r="S17" s="4" t="s">
        <v>684</v>
      </c>
      <c r="T17" s="4" t="s">
        <v>0</v>
      </c>
      <c r="U17" s="43" t="s">
        <v>685</v>
      </c>
      <c r="V17" s="4" t="s">
        <v>90</v>
      </c>
      <c r="W17" s="43" t="s">
        <v>1584</v>
      </c>
      <c r="X17" s="43" t="s">
        <v>1</v>
      </c>
      <c r="Y17" s="4" t="s">
        <v>1</v>
      </c>
      <c r="Z17" s="4" t="s">
        <v>94</v>
      </c>
      <c r="AA17" s="4">
        <v>0</v>
      </c>
      <c r="AB17" s="4">
        <v>0</v>
      </c>
      <c r="AC17" s="4">
        <v>3.07</v>
      </c>
      <c r="AD17" s="43">
        <v>0</v>
      </c>
      <c r="AE17" s="4" t="s">
        <v>64</v>
      </c>
      <c r="AF17" s="4"/>
      <c r="AG17" s="4"/>
      <c r="AH17" s="3"/>
    </row>
    <row r="18" spans="1:42" x14ac:dyDescent="0.25">
      <c r="A18" s="4" t="s">
        <v>695</v>
      </c>
      <c r="B18" s="42" t="s">
        <v>2</v>
      </c>
      <c r="C18" s="43" t="s">
        <v>85</v>
      </c>
      <c r="D18" s="54" t="s">
        <v>86</v>
      </c>
      <c r="E18" s="42">
        <v>0.125</v>
      </c>
      <c r="F18" s="42">
        <v>0.04</v>
      </c>
      <c r="G18" s="43">
        <v>9</v>
      </c>
      <c r="H18" s="4" t="s">
        <v>57</v>
      </c>
      <c r="I18" s="4" t="s">
        <v>677</v>
      </c>
      <c r="J18" s="4" t="s">
        <v>59</v>
      </c>
      <c r="K18" s="43" t="s">
        <v>1</v>
      </c>
      <c r="L18" s="4" t="s">
        <v>60</v>
      </c>
      <c r="M18" s="4" t="s">
        <v>87</v>
      </c>
      <c r="N18" s="43" t="s">
        <v>88</v>
      </c>
      <c r="O18" s="4">
        <v>35</v>
      </c>
      <c r="P18" s="4">
        <v>5.5</v>
      </c>
      <c r="Q18" s="4"/>
      <c r="R18" s="4" t="s">
        <v>69</v>
      </c>
      <c r="S18" s="4" t="s">
        <v>684</v>
      </c>
      <c r="T18" s="4" t="s">
        <v>0</v>
      </c>
      <c r="U18" s="43" t="s">
        <v>685</v>
      </c>
      <c r="V18" s="4" t="s">
        <v>90</v>
      </c>
      <c r="W18" s="43" t="s">
        <v>1584</v>
      </c>
      <c r="X18" s="43" t="s">
        <v>1</v>
      </c>
      <c r="Y18" s="4" t="s">
        <v>1</v>
      </c>
      <c r="Z18" s="4">
        <v>0</v>
      </c>
      <c r="AA18" s="4">
        <v>0</v>
      </c>
      <c r="AB18" s="4">
        <v>0</v>
      </c>
      <c r="AC18" s="4">
        <v>0</v>
      </c>
      <c r="AD18" s="43">
        <v>0</v>
      </c>
      <c r="AE18" s="4" t="s">
        <v>64</v>
      </c>
      <c r="AF18" s="4"/>
      <c r="AG18" s="4"/>
      <c r="AH18" s="3"/>
    </row>
    <row r="19" spans="1:42" x14ac:dyDescent="0.25">
      <c r="A19" s="4" t="s">
        <v>695</v>
      </c>
      <c r="B19" s="42" t="s">
        <v>2</v>
      </c>
      <c r="C19" s="43" t="s">
        <v>85</v>
      </c>
      <c r="D19" s="54" t="s">
        <v>86</v>
      </c>
      <c r="E19" s="42">
        <v>0.125</v>
      </c>
      <c r="F19" s="42">
        <v>0.04</v>
      </c>
      <c r="G19" s="43">
        <v>9</v>
      </c>
      <c r="H19" s="4" t="s">
        <v>57</v>
      </c>
      <c r="I19" s="4" t="s">
        <v>678</v>
      </c>
      <c r="J19" s="4" t="s">
        <v>59</v>
      </c>
      <c r="K19" s="43" t="s">
        <v>1</v>
      </c>
      <c r="L19" s="4" t="s">
        <v>60</v>
      </c>
      <c r="M19" s="4" t="s">
        <v>87</v>
      </c>
      <c r="N19" s="43" t="s">
        <v>88</v>
      </c>
      <c r="O19" s="4">
        <v>35</v>
      </c>
      <c r="P19" s="4">
        <v>5.5</v>
      </c>
      <c r="Q19" s="4"/>
      <c r="R19" s="4" t="s">
        <v>69</v>
      </c>
      <c r="S19" s="4" t="s">
        <v>684</v>
      </c>
      <c r="T19" s="4" t="s">
        <v>0</v>
      </c>
      <c r="U19" s="43" t="s">
        <v>685</v>
      </c>
      <c r="V19" s="4" t="s">
        <v>90</v>
      </c>
      <c r="W19" s="43" t="s">
        <v>1584</v>
      </c>
      <c r="X19" s="43" t="s">
        <v>1</v>
      </c>
      <c r="Y19" s="4" t="s">
        <v>1</v>
      </c>
      <c r="Z19" s="4">
        <v>0</v>
      </c>
      <c r="AA19" s="4">
        <v>0</v>
      </c>
      <c r="AB19" s="4">
        <v>0</v>
      </c>
      <c r="AC19" s="4">
        <v>0</v>
      </c>
      <c r="AD19" s="43">
        <v>0</v>
      </c>
      <c r="AE19" s="4" t="s">
        <v>64</v>
      </c>
      <c r="AF19" s="4"/>
      <c r="AG19" s="4"/>
      <c r="AH19" s="3"/>
    </row>
    <row r="20" spans="1:42" x14ac:dyDescent="0.25">
      <c r="A20" s="4" t="s">
        <v>695</v>
      </c>
      <c r="B20" s="42" t="s">
        <v>2</v>
      </c>
      <c r="C20" s="43" t="s">
        <v>85</v>
      </c>
      <c r="D20" s="54" t="s">
        <v>86</v>
      </c>
      <c r="E20" s="42">
        <v>0.125</v>
      </c>
      <c r="F20" s="42">
        <v>0.04</v>
      </c>
      <c r="G20" s="43">
        <v>9</v>
      </c>
      <c r="H20" s="4" t="s">
        <v>57</v>
      </c>
      <c r="I20" s="4" t="s">
        <v>679</v>
      </c>
      <c r="J20" s="4" t="s">
        <v>59</v>
      </c>
      <c r="K20" s="43" t="s">
        <v>1</v>
      </c>
      <c r="L20" s="4" t="s">
        <v>60</v>
      </c>
      <c r="M20" s="4" t="s">
        <v>87</v>
      </c>
      <c r="N20" s="43" t="s">
        <v>88</v>
      </c>
      <c r="O20" s="4">
        <v>35</v>
      </c>
      <c r="P20" s="4">
        <v>5.5</v>
      </c>
      <c r="Q20" s="4"/>
      <c r="R20" s="4" t="s">
        <v>69</v>
      </c>
      <c r="S20" s="4" t="s">
        <v>684</v>
      </c>
      <c r="T20" s="4" t="s">
        <v>0</v>
      </c>
      <c r="U20" s="43" t="s">
        <v>685</v>
      </c>
      <c r="V20" s="4" t="s">
        <v>90</v>
      </c>
      <c r="W20" s="43" t="s">
        <v>1584</v>
      </c>
      <c r="X20" s="43" t="s">
        <v>1</v>
      </c>
      <c r="Y20" s="4" t="s">
        <v>1</v>
      </c>
      <c r="Z20" s="4">
        <v>0</v>
      </c>
      <c r="AA20" s="4">
        <v>0</v>
      </c>
      <c r="AB20" s="4">
        <v>0</v>
      </c>
      <c r="AC20" s="4">
        <v>0</v>
      </c>
      <c r="AD20" s="43">
        <v>0</v>
      </c>
      <c r="AE20" s="4" t="s">
        <v>64</v>
      </c>
      <c r="AF20" s="4"/>
      <c r="AG20" s="4"/>
      <c r="AH20" s="3"/>
    </row>
    <row r="21" spans="1:42" x14ac:dyDescent="0.25">
      <c r="A21" s="4" t="s">
        <v>695</v>
      </c>
      <c r="B21" s="42" t="s">
        <v>2</v>
      </c>
      <c r="C21" s="43" t="s">
        <v>85</v>
      </c>
      <c r="D21" s="54" t="s">
        <v>86</v>
      </c>
      <c r="E21" s="42">
        <v>0.125</v>
      </c>
      <c r="F21" s="42">
        <v>0.04</v>
      </c>
      <c r="G21" s="43">
        <v>9</v>
      </c>
      <c r="H21" s="4" t="s">
        <v>57</v>
      </c>
      <c r="I21" s="4" t="s">
        <v>680</v>
      </c>
      <c r="J21" s="4" t="s">
        <v>95</v>
      </c>
      <c r="K21" s="43" t="s">
        <v>1</v>
      </c>
      <c r="L21" s="4" t="s">
        <v>60</v>
      </c>
      <c r="M21" s="4" t="s">
        <v>87</v>
      </c>
      <c r="N21" s="43" t="s">
        <v>88</v>
      </c>
      <c r="O21" s="4">
        <v>35</v>
      </c>
      <c r="P21" s="4">
        <v>5.5</v>
      </c>
      <c r="Q21" s="4"/>
      <c r="R21" s="4" t="s">
        <v>69</v>
      </c>
      <c r="S21" s="4" t="s">
        <v>684</v>
      </c>
      <c r="T21" s="4" t="s">
        <v>0</v>
      </c>
      <c r="U21" s="43" t="s">
        <v>685</v>
      </c>
      <c r="V21" s="4" t="s">
        <v>90</v>
      </c>
      <c r="W21" s="43" t="s">
        <v>1584</v>
      </c>
      <c r="X21" s="43" t="s">
        <v>1</v>
      </c>
      <c r="Y21" s="4" t="s">
        <v>1</v>
      </c>
      <c r="Z21" s="4" t="s">
        <v>96</v>
      </c>
      <c r="AA21" s="4">
        <v>0</v>
      </c>
      <c r="AB21" s="4">
        <v>0</v>
      </c>
      <c r="AC21" s="4">
        <v>0.44</v>
      </c>
      <c r="AD21" s="43">
        <v>0</v>
      </c>
      <c r="AE21" s="4" t="s">
        <v>64</v>
      </c>
      <c r="AF21" s="4"/>
      <c r="AG21" s="4"/>
      <c r="AH21" s="3"/>
    </row>
    <row r="22" spans="1:42" x14ac:dyDescent="0.25">
      <c r="A22" s="4" t="s">
        <v>695</v>
      </c>
      <c r="B22" s="42" t="s">
        <v>2</v>
      </c>
      <c r="C22" s="43" t="s">
        <v>85</v>
      </c>
      <c r="D22" s="54" t="s">
        <v>86</v>
      </c>
      <c r="E22" s="42">
        <v>0.125</v>
      </c>
      <c r="F22" s="42">
        <v>0.04</v>
      </c>
      <c r="G22" s="43">
        <v>9</v>
      </c>
      <c r="H22" s="4" t="s">
        <v>57</v>
      </c>
      <c r="I22" s="4" t="s">
        <v>681</v>
      </c>
      <c r="J22" s="4" t="s">
        <v>59</v>
      </c>
      <c r="K22" s="43" t="s">
        <v>1</v>
      </c>
      <c r="L22" s="4" t="s">
        <v>60</v>
      </c>
      <c r="M22" s="4" t="s">
        <v>87</v>
      </c>
      <c r="N22" s="43" t="s">
        <v>88</v>
      </c>
      <c r="O22" s="4">
        <v>35</v>
      </c>
      <c r="P22" s="4">
        <v>5.5</v>
      </c>
      <c r="Q22" s="4"/>
      <c r="R22" s="4" t="s">
        <v>69</v>
      </c>
      <c r="S22" s="4" t="s">
        <v>684</v>
      </c>
      <c r="T22" s="4" t="s">
        <v>0</v>
      </c>
      <c r="U22" s="43" t="s">
        <v>685</v>
      </c>
      <c r="V22" s="4" t="s">
        <v>90</v>
      </c>
      <c r="W22" s="43" t="s">
        <v>1584</v>
      </c>
      <c r="X22" s="43" t="s">
        <v>1</v>
      </c>
      <c r="Y22" s="4" t="s">
        <v>1</v>
      </c>
      <c r="Z22" s="4" t="s">
        <v>97</v>
      </c>
      <c r="AA22" s="4">
        <v>0</v>
      </c>
      <c r="AB22" s="4">
        <v>0</v>
      </c>
      <c r="AC22" s="4">
        <v>6.25</v>
      </c>
      <c r="AD22" s="43">
        <v>0</v>
      </c>
      <c r="AE22" s="4" t="s">
        <v>64</v>
      </c>
      <c r="AF22" s="4"/>
      <c r="AG22" s="4"/>
      <c r="AH22" s="3"/>
    </row>
    <row r="23" spans="1:42" x14ac:dyDescent="0.25">
      <c r="A23" s="4" t="s">
        <v>695</v>
      </c>
      <c r="B23" s="42" t="s">
        <v>2</v>
      </c>
      <c r="C23" s="43" t="s">
        <v>85</v>
      </c>
      <c r="D23" s="54" t="s">
        <v>86</v>
      </c>
      <c r="E23" s="42">
        <v>0.125</v>
      </c>
      <c r="F23" s="42">
        <v>0.04</v>
      </c>
      <c r="G23" s="43">
        <v>9</v>
      </c>
      <c r="H23" s="4" t="s">
        <v>57</v>
      </c>
      <c r="I23" s="4" t="s">
        <v>682</v>
      </c>
      <c r="J23" s="4" t="s">
        <v>98</v>
      </c>
      <c r="K23" s="43" t="s">
        <v>1</v>
      </c>
      <c r="L23" s="4" t="s">
        <v>60</v>
      </c>
      <c r="M23" s="4" t="s">
        <v>87</v>
      </c>
      <c r="N23" s="43" t="s">
        <v>88</v>
      </c>
      <c r="O23" s="4">
        <v>35</v>
      </c>
      <c r="P23" s="4">
        <v>5.5</v>
      </c>
      <c r="Q23" s="4"/>
      <c r="R23" s="4" t="s">
        <v>69</v>
      </c>
      <c r="S23" s="4" t="s">
        <v>684</v>
      </c>
      <c r="T23" s="4" t="s">
        <v>0</v>
      </c>
      <c r="U23" s="43" t="s">
        <v>685</v>
      </c>
      <c r="V23" s="4" t="s">
        <v>90</v>
      </c>
      <c r="W23" s="43" t="s">
        <v>1584</v>
      </c>
      <c r="X23" s="43" t="s">
        <v>1</v>
      </c>
      <c r="Y23" s="4" t="s">
        <v>1</v>
      </c>
      <c r="Z23" s="4" t="s">
        <v>99</v>
      </c>
      <c r="AA23" s="4">
        <v>0</v>
      </c>
      <c r="AB23" s="4">
        <v>0</v>
      </c>
      <c r="AC23" s="4">
        <v>2.0499999999999998</v>
      </c>
      <c r="AD23" s="43">
        <v>0</v>
      </c>
      <c r="AE23" s="4" t="s">
        <v>64</v>
      </c>
      <c r="AF23" s="4"/>
      <c r="AG23" s="4"/>
      <c r="AH23" s="3"/>
    </row>
    <row r="24" spans="1:42" x14ac:dyDescent="0.25">
      <c r="A24" s="4" t="s">
        <v>695</v>
      </c>
      <c r="B24" s="42" t="s">
        <v>100</v>
      </c>
      <c r="C24" s="43" t="s">
        <v>85</v>
      </c>
      <c r="D24" s="54" t="s">
        <v>86</v>
      </c>
      <c r="E24" s="42">
        <v>0.125</v>
      </c>
      <c r="F24" s="42">
        <v>0.04</v>
      </c>
      <c r="G24" s="43">
        <v>9</v>
      </c>
      <c r="H24" s="4" t="s">
        <v>57</v>
      </c>
      <c r="I24" s="4" t="s">
        <v>683</v>
      </c>
      <c r="J24" s="4" t="s">
        <v>101</v>
      </c>
      <c r="K24" s="43" t="s">
        <v>1</v>
      </c>
      <c r="L24" s="4" t="s">
        <v>60</v>
      </c>
      <c r="M24" s="4" t="s">
        <v>87</v>
      </c>
      <c r="N24" s="43" t="s">
        <v>88</v>
      </c>
      <c r="O24" s="4">
        <v>35</v>
      </c>
      <c r="P24" s="4">
        <v>5.5</v>
      </c>
      <c r="Q24" s="4"/>
      <c r="R24" s="4" t="s">
        <v>69</v>
      </c>
      <c r="S24" s="4" t="s">
        <v>684</v>
      </c>
      <c r="T24" s="4" t="s">
        <v>0</v>
      </c>
      <c r="U24" s="43" t="s">
        <v>685</v>
      </c>
      <c r="V24" s="4" t="s">
        <v>90</v>
      </c>
      <c r="W24" s="43" t="s">
        <v>1584</v>
      </c>
      <c r="X24" s="43" t="s">
        <v>1</v>
      </c>
      <c r="Y24" s="35" t="s">
        <v>1</v>
      </c>
      <c r="Z24" s="35" t="s">
        <v>102</v>
      </c>
      <c r="AA24" s="4">
        <v>0</v>
      </c>
      <c r="AB24" s="4">
        <v>0</v>
      </c>
      <c r="AC24" s="4">
        <v>0.26</v>
      </c>
      <c r="AD24" s="43">
        <v>0</v>
      </c>
      <c r="AE24" s="4" t="s">
        <v>64</v>
      </c>
      <c r="AF24" s="4"/>
      <c r="AG24" s="4"/>
      <c r="AH24" s="3"/>
    </row>
    <row r="25" spans="1:42" x14ac:dyDescent="0.25">
      <c r="A25" s="8" t="s">
        <v>694</v>
      </c>
      <c r="B25" s="46" t="s">
        <v>55</v>
      </c>
      <c r="C25" s="47" t="s">
        <v>103</v>
      </c>
      <c r="D25" s="57" t="s">
        <v>86</v>
      </c>
      <c r="E25" s="46">
        <v>0.5</v>
      </c>
      <c r="F25" s="46">
        <v>0.4</v>
      </c>
      <c r="G25" s="47">
        <v>7</v>
      </c>
      <c r="H25" s="8" t="s">
        <v>72</v>
      </c>
      <c r="I25" s="8" t="s">
        <v>104</v>
      </c>
      <c r="J25" s="8" t="s">
        <v>1</v>
      </c>
      <c r="K25" s="47" t="s">
        <v>105</v>
      </c>
      <c r="L25" s="8" t="s">
        <v>60</v>
      </c>
      <c r="M25" s="8" t="s">
        <v>106</v>
      </c>
      <c r="N25" s="47" t="s">
        <v>107</v>
      </c>
      <c r="O25" s="8">
        <v>35</v>
      </c>
      <c r="P25" s="8" t="s">
        <v>108</v>
      </c>
      <c r="Q25" s="8"/>
      <c r="R25" s="8" t="s">
        <v>69</v>
      </c>
      <c r="S25" s="8" t="s">
        <v>89</v>
      </c>
      <c r="T25" s="8" t="s">
        <v>0</v>
      </c>
      <c r="U25" s="47" t="s">
        <v>109</v>
      </c>
      <c r="V25" s="8" t="s">
        <v>110</v>
      </c>
      <c r="W25" s="47" t="s">
        <v>111</v>
      </c>
      <c r="X25" s="47" t="s">
        <v>1</v>
      </c>
      <c r="Y25" s="76" t="s">
        <v>719</v>
      </c>
      <c r="Z25" s="76" t="s">
        <v>254</v>
      </c>
      <c r="AA25" s="76">
        <v>0</v>
      </c>
      <c r="AB25" s="8">
        <v>0</v>
      </c>
      <c r="AC25" s="8" t="s">
        <v>0</v>
      </c>
      <c r="AD25" s="47" t="s">
        <v>0</v>
      </c>
      <c r="AE25" s="8" t="s">
        <v>69</v>
      </c>
      <c r="AF25" s="8"/>
      <c r="AG25" s="8"/>
    </row>
    <row r="26" spans="1:42" x14ac:dyDescent="0.25">
      <c r="A26" s="8" t="s">
        <v>694</v>
      </c>
      <c r="B26" s="46" t="s">
        <v>55</v>
      </c>
      <c r="C26" s="47" t="s">
        <v>103</v>
      </c>
      <c r="D26" s="57" t="s">
        <v>86</v>
      </c>
      <c r="E26" s="46">
        <v>0.5</v>
      </c>
      <c r="F26" s="46">
        <v>0.4</v>
      </c>
      <c r="G26" s="47">
        <v>7</v>
      </c>
      <c r="H26" s="8" t="s">
        <v>72</v>
      </c>
      <c r="I26" s="8" t="s">
        <v>104</v>
      </c>
      <c r="J26" s="8" t="s">
        <v>1</v>
      </c>
      <c r="K26" s="47" t="s">
        <v>112</v>
      </c>
      <c r="L26" s="8" t="s">
        <v>60</v>
      </c>
      <c r="M26" s="8" t="s">
        <v>106</v>
      </c>
      <c r="N26" s="47" t="s">
        <v>107</v>
      </c>
      <c r="O26" s="8">
        <v>35</v>
      </c>
      <c r="P26" s="8" t="s">
        <v>689</v>
      </c>
      <c r="Q26" s="8"/>
      <c r="R26" s="8" t="s">
        <v>69</v>
      </c>
      <c r="S26" s="8" t="s">
        <v>89</v>
      </c>
      <c r="T26" s="8" t="s">
        <v>0</v>
      </c>
      <c r="U26" s="47" t="s">
        <v>109</v>
      </c>
      <c r="V26" s="8" t="s">
        <v>110</v>
      </c>
      <c r="W26" s="47" t="s">
        <v>111</v>
      </c>
      <c r="X26" s="47" t="s">
        <v>1</v>
      </c>
      <c r="Y26" s="76" t="s">
        <v>719</v>
      </c>
      <c r="Z26" s="76" t="s">
        <v>254</v>
      </c>
      <c r="AA26" s="76">
        <v>0</v>
      </c>
      <c r="AB26" s="8">
        <v>0</v>
      </c>
      <c r="AC26" s="8" t="s">
        <v>0</v>
      </c>
      <c r="AD26" s="47" t="s">
        <v>0</v>
      </c>
      <c r="AE26" s="8" t="s">
        <v>69</v>
      </c>
      <c r="AF26" s="8"/>
      <c r="AG26" s="8"/>
    </row>
    <row r="27" spans="1:42" x14ac:dyDescent="0.25">
      <c r="A27" s="8" t="s">
        <v>694</v>
      </c>
      <c r="B27" s="46" t="s">
        <v>55</v>
      </c>
      <c r="C27" s="47" t="s">
        <v>103</v>
      </c>
      <c r="D27" s="57" t="s">
        <v>86</v>
      </c>
      <c r="E27" s="46">
        <v>0.5</v>
      </c>
      <c r="F27" s="46">
        <v>0.4</v>
      </c>
      <c r="G27" s="47">
        <v>7</v>
      </c>
      <c r="H27" s="8" t="s">
        <v>72</v>
      </c>
      <c r="I27" s="8" t="s">
        <v>688</v>
      </c>
      <c r="J27" s="8" t="s">
        <v>123</v>
      </c>
      <c r="K27" s="47" t="s">
        <v>105</v>
      </c>
      <c r="L27" s="8" t="s">
        <v>60</v>
      </c>
      <c r="M27" s="8" t="s">
        <v>106</v>
      </c>
      <c r="N27" s="47" t="s">
        <v>107</v>
      </c>
      <c r="O27" s="8">
        <v>35</v>
      </c>
      <c r="P27" s="8" t="s">
        <v>690</v>
      </c>
      <c r="Q27" s="8"/>
      <c r="R27" s="8" t="s">
        <v>69</v>
      </c>
      <c r="S27" s="8" t="s">
        <v>89</v>
      </c>
      <c r="T27" s="8" t="s">
        <v>0</v>
      </c>
      <c r="U27" s="47" t="s">
        <v>109</v>
      </c>
      <c r="V27" s="8" t="s">
        <v>110</v>
      </c>
      <c r="W27" s="47" t="s">
        <v>111</v>
      </c>
      <c r="X27" s="47" t="s">
        <v>1</v>
      </c>
      <c r="Y27" s="76" t="s">
        <v>719</v>
      </c>
      <c r="Z27" s="76" t="s">
        <v>254</v>
      </c>
      <c r="AA27" s="76">
        <v>0</v>
      </c>
      <c r="AB27" s="8">
        <v>0</v>
      </c>
      <c r="AC27" s="8" t="s">
        <v>0</v>
      </c>
      <c r="AD27" s="47" t="s">
        <v>0</v>
      </c>
      <c r="AE27" s="8" t="s">
        <v>69</v>
      </c>
      <c r="AF27" s="8"/>
      <c r="AG27" s="8"/>
    </row>
    <row r="28" spans="1:42" x14ac:dyDescent="0.25">
      <c r="A28" s="4" t="s">
        <v>700</v>
      </c>
      <c r="B28" s="42" t="s">
        <v>2</v>
      </c>
      <c r="C28" s="43" t="s">
        <v>696</v>
      </c>
      <c r="D28" s="54" t="s">
        <v>113</v>
      </c>
      <c r="E28" s="42">
        <v>1</v>
      </c>
      <c r="F28" s="42">
        <v>1</v>
      </c>
      <c r="G28" s="43">
        <v>5</v>
      </c>
      <c r="H28" s="4" t="s">
        <v>72</v>
      </c>
      <c r="I28" s="4" t="s">
        <v>114</v>
      </c>
      <c r="J28" s="4" t="s">
        <v>115</v>
      </c>
      <c r="K28" s="43">
        <f>(102.93+122.96+16.64)/5</f>
        <v>48.505999999999993</v>
      </c>
      <c r="L28" s="4" t="s">
        <v>60</v>
      </c>
      <c r="M28" s="4" t="s">
        <v>692</v>
      </c>
      <c r="N28" s="43" t="s">
        <v>116</v>
      </c>
      <c r="O28" s="4">
        <v>30</v>
      </c>
      <c r="P28" s="4" t="s">
        <v>693</v>
      </c>
      <c r="Q28" s="4" t="s">
        <v>693</v>
      </c>
      <c r="R28" s="4" t="s">
        <v>64</v>
      </c>
      <c r="S28" s="4" t="s">
        <v>117</v>
      </c>
      <c r="T28" s="4" t="s">
        <v>0</v>
      </c>
      <c r="U28" s="43" t="s">
        <v>77</v>
      </c>
      <c r="V28" s="4" t="s">
        <v>0</v>
      </c>
      <c r="W28" s="43" t="s">
        <v>118</v>
      </c>
      <c r="X28" s="43" t="s">
        <v>119</v>
      </c>
      <c r="Y28" s="4" t="s">
        <v>697</v>
      </c>
      <c r="Z28" s="4" t="s">
        <v>120</v>
      </c>
      <c r="AA28" s="4" t="s">
        <v>0</v>
      </c>
      <c r="AB28" s="4" t="s">
        <v>0</v>
      </c>
      <c r="AC28" s="4">
        <v>28.54</v>
      </c>
      <c r="AD28" s="43" t="s">
        <v>0</v>
      </c>
      <c r="AE28" s="4" t="s">
        <v>64</v>
      </c>
      <c r="AF28" s="4"/>
      <c r="AG28" s="4"/>
      <c r="AH28" s="6"/>
      <c r="AI28" s="6"/>
      <c r="AJ28" s="6"/>
      <c r="AK28" s="6"/>
      <c r="AL28" s="6"/>
      <c r="AM28" s="6"/>
      <c r="AN28" s="6"/>
      <c r="AO28" s="6"/>
      <c r="AP28" s="7"/>
    </row>
    <row r="29" spans="1:42" x14ac:dyDescent="0.25">
      <c r="A29" s="4" t="s">
        <v>700</v>
      </c>
      <c r="B29" s="42" t="s">
        <v>2</v>
      </c>
      <c r="C29" s="43" t="s">
        <v>696</v>
      </c>
      <c r="D29" s="54" t="s">
        <v>113</v>
      </c>
      <c r="E29" s="42">
        <v>1</v>
      </c>
      <c r="F29" s="42">
        <v>1</v>
      </c>
      <c r="G29" s="43">
        <v>14</v>
      </c>
      <c r="H29" s="4" t="s">
        <v>121</v>
      </c>
      <c r="I29" s="4" t="s">
        <v>122</v>
      </c>
      <c r="J29" s="4" t="s">
        <v>123</v>
      </c>
      <c r="K29" s="43">
        <f>48.7+8.5</f>
        <v>57.2</v>
      </c>
      <c r="L29" s="4" t="s">
        <v>60</v>
      </c>
      <c r="M29" s="4" t="s">
        <v>692</v>
      </c>
      <c r="N29" s="43" t="s">
        <v>116</v>
      </c>
      <c r="O29" s="4">
        <v>30</v>
      </c>
      <c r="P29" s="4" t="s">
        <v>693</v>
      </c>
      <c r="Q29" s="4" t="s">
        <v>693</v>
      </c>
      <c r="R29" s="4" t="s">
        <v>64</v>
      </c>
      <c r="S29" s="4" t="s">
        <v>117</v>
      </c>
      <c r="T29" s="4" t="s">
        <v>0</v>
      </c>
      <c r="U29" s="43" t="s">
        <v>77</v>
      </c>
      <c r="V29" s="4" t="s">
        <v>0</v>
      </c>
      <c r="W29" s="43" t="s">
        <v>118</v>
      </c>
      <c r="X29" s="43" t="s">
        <v>119</v>
      </c>
      <c r="Y29" s="4" t="s">
        <v>0</v>
      </c>
      <c r="Z29" s="4" t="s">
        <v>124</v>
      </c>
      <c r="AA29" s="4" t="s">
        <v>0</v>
      </c>
      <c r="AB29" s="4" t="s">
        <v>0</v>
      </c>
      <c r="AC29" s="4">
        <v>2.65</v>
      </c>
      <c r="AD29" s="43" t="s">
        <v>0</v>
      </c>
      <c r="AE29" s="4" t="s">
        <v>64</v>
      </c>
      <c r="AF29" s="4"/>
      <c r="AG29" s="4" t="s">
        <v>125</v>
      </c>
      <c r="AH29" s="6"/>
      <c r="AI29" s="6"/>
      <c r="AJ29" s="6"/>
      <c r="AK29" s="6"/>
      <c r="AL29" s="6"/>
      <c r="AM29" s="6"/>
      <c r="AN29" s="6"/>
      <c r="AO29" s="6"/>
      <c r="AP29" s="7"/>
    </row>
    <row r="30" spans="1:42" x14ac:dyDescent="0.25">
      <c r="A30" s="4" t="s">
        <v>700</v>
      </c>
      <c r="B30" s="42" t="s">
        <v>2</v>
      </c>
      <c r="C30" s="43" t="s">
        <v>696</v>
      </c>
      <c r="D30" s="54" t="s">
        <v>113</v>
      </c>
      <c r="E30" s="42">
        <v>1</v>
      </c>
      <c r="F30" s="42">
        <v>1</v>
      </c>
      <c r="G30" s="43">
        <v>5</v>
      </c>
      <c r="H30" s="4" t="s">
        <v>121</v>
      </c>
      <c r="I30" s="4" t="s">
        <v>126</v>
      </c>
      <c r="J30" s="4" t="s">
        <v>0</v>
      </c>
      <c r="K30" s="43">
        <v>10.97</v>
      </c>
      <c r="L30" s="4" t="s">
        <v>60</v>
      </c>
      <c r="M30" s="4" t="s">
        <v>692</v>
      </c>
      <c r="N30" s="43" t="s">
        <v>116</v>
      </c>
      <c r="O30" s="4">
        <v>30</v>
      </c>
      <c r="P30" s="4" t="s">
        <v>693</v>
      </c>
      <c r="Q30" s="4" t="s">
        <v>693</v>
      </c>
      <c r="R30" s="4" t="s">
        <v>64</v>
      </c>
      <c r="S30" s="4" t="s">
        <v>117</v>
      </c>
      <c r="T30" s="4" t="s">
        <v>0</v>
      </c>
      <c r="U30" s="43" t="s">
        <v>77</v>
      </c>
      <c r="V30" s="4" t="s">
        <v>0</v>
      </c>
      <c r="W30" s="43" t="s">
        <v>118</v>
      </c>
      <c r="X30" s="43" t="s">
        <v>119</v>
      </c>
      <c r="Y30" s="4" t="s">
        <v>699</v>
      </c>
      <c r="Z30" s="7">
        <v>0</v>
      </c>
      <c r="AA30" s="7" t="s">
        <v>0</v>
      </c>
      <c r="AB30" s="4" t="s">
        <v>0</v>
      </c>
      <c r="AC30" s="4">
        <v>0</v>
      </c>
      <c r="AD30" s="43" t="s">
        <v>0</v>
      </c>
      <c r="AE30" s="4" t="s">
        <v>64</v>
      </c>
      <c r="AF30" s="4"/>
      <c r="AG30" s="4"/>
      <c r="AH30" s="6"/>
      <c r="AI30" s="6"/>
      <c r="AJ30" s="6"/>
      <c r="AK30" s="6"/>
      <c r="AL30" s="6"/>
      <c r="AM30" s="6"/>
      <c r="AN30" s="6"/>
      <c r="AO30" s="6"/>
      <c r="AP30" s="7"/>
    </row>
    <row r="31" spans="1:42" x14ac:dyDescent="0.25">
      <c r="A31" s="4" t="s">
        <v>700</v>
      </c>
      <c r="B31" s="42" t="s">
        <v>2</v>
      </c>
      <c r="C31" s="43" t="s">
        <v>696</v>
      </c>
      <c r="D31" s="54" t="s">
        <v>113</v>
      </c>
      <c r="E31" s="42">
        <v>1</v>
      </c>
      <c r="F31" s="42">
        <v>1</v>
      </c>
      <c r="G31" s="43">
        <v>5</v>
      </c>
      <c r="H31" s="4" t="s">
        <v>121</v>
      </c>
      <c r="I31" s="4" t="s">
        <v>127</v>
      </c>
      <c r="J31" s="4" t="s">
        <v>115</v>
      </c>
      <c r="K31" s="43">
        <v>32</v>
      </c>
      <c r="L31" s="4" t="s">
        <v>60</v>
      </c>
      <c r="M31" s="4" t="s">
        <v>692</v>
      </c>
      <c r="N31" s="43" t="s">
        <v>116</v>
      </c>
      <c r="O31" s="4">
        <v>30</v>
      </c>
      <c r="P31" s="4" t="s">
        <v>693</v>
      </c>
      <c r="Q31" s="4" t="s">
        <v>693</v>
      </c>
      <c r="R31" s="4" t="s">
        <v>64</v>
      </c>
      <c r="S31" s="4" t="s">
        <v>117</v>
      </c>
      <c r="T31" s="4" t="s">
        <v>0</v>
      </c>
      <c r="U31" s="43" t="s">
        <v>77</v>
      </c>
      <c r="V31" s="4" t="s">
        <v>0</v>
      </c>
      <c r="W31" s="43" t="s">
        <v>118</v>
      </c>
      <c r="X31" s="43" t="s">
        <v>119</v>
      </c>
      <c r="Y31" s="4" t="s">
        <v>698</v>
      </c>
      <c r="Z31" s="4" t="s">
        <v>128</v>
      </c>
      <c r="AA31" s="4" t="s">
        <v>0</v>
      </c>
      <c r="AB31" s="4" t="s">
        <v>0</v>
      </c>
      <c r="AC31" s="4">
        <v>27.67</v>
      </c>
      <c r="AD31" s="43" t="s">
        <v>0</v>
      </c>
      <c r="AE31" s="4" t="s">
        <v>64</v>
      </c>
      <c r="AF31" s="4"/>
      <c r="AG31" s="4"/>
      <c r="AH31" s="6"/>
      <c r="AI31" s="6"/>
      <c r="AJ31" s="6"/>
      <c r="AK31" s="6"/>
      <c r="AL31" s="6"/>
      <c r="AM31" s="6"/>
      <c r="AN31" s="6"/>
      <c r="AO31" s="6"/>
      <c r="AP31" s="7"/>
    </row>
    <row r="32" spans="1:42" x14ac:dyDescent="0.25">
      <c r="A32" s="8" t="s">
        <v>701</v>
      </c>
      <c r="B32" s="46" t="s">
        <v>2</v>
      </c>
      <c r="C32" s="47" t="s">
        <v>129</v>
      </c>
      <c r="D32" s="57" t="s">
        <v>14</v>
      </c>
      <c r="E32" s="46">
        <v>5</v>
      </c>
      <c r="F32" s="46" t="s">
        <v>130</v>
      </c>
      <c r="G32" s="47">
        <v>35</v>
      </c>
      <c r="H32" s="8" t="s">
        <v>72</v>
      </c>
      <c r="I32" s="8" t="s">
        <v>131</v>
      </c>
      <c r="J32" s="8" t="s">
        <v>59</v>
      </c>
      <c r="K32" s="47" t="s">
        <v>132</v>
      </c>
      <c r="L32" s="8" t="s">
        <v>69</v>
      </c>
      <c r="M32" s="8" t="s">
        <v>133</v>
      </c>
      <c r="N32" s="47" t="s">
        <v>0</v>
      </c>
      <c r="O32" s="8">
        <v>30</v>
      </c>
      <c r="P32" s="8" t="s">
        <v>0</v>
      </c>
      <c r="Q32" s="8" t="s">
        <v>0</v>
      </c>
      <c r="R32" s="8" t="s">
        <v>69</v>
      </c>
      <c r="S32" s="8" t="s">
        <v>0</v>
      </c>
      <c r="T32" s="8" t="s">
        <v>0</v>
      </c>
      <c r="U32" s="47" t="s">
        <v>134</v>
      </c>
      <c r="V32" s="8" t="s">
        <v>0</v>
      </c>
      <c r="W32" s="47" t="s">
        <v>135</v>
      </c>
      <c r="X32" s="47" t="s">
        <v>136</v>
      </c>
      <c r="Y32" s="8" t="s">
        <v>707</v>
      </c>
      <c r="Z32" s="22" t="s">
        <v>137</v>
      </c>
      <c r="AA32" s="22" t="s">
        <v>710</v>
      </c>
      <c r="AB32" s="8" t="s">
        <v>0</v>
      </c>
      <c r="AC32" s="23">
        <f>1.8*32*8/116</f>
        <v>3.9724137931034482</v>
      </c>
      <c r="AD32" s="47" t="s">
        <v>0</v>
      </c>
      <c r="AE32" s="8" t="s">
        <v>69</v>
      </c>
      <c r="AF32" s="8"/>
      <c r="AG32" s="8"/>
      <c r="AH32" s="2"/>
    </row>
    <row r="33" spans="1:34" x14ac:dyDescent="0.25">
      <c r="A33" s="8" t="s">
        <v>701</v>
      </c>
      <c r="B33" s="46" t="s">
        <v>2</v>
      </c>
      <c r="C33" s="47" t="s">
        <v>129</v>
      </c>
      <c r="D33" s="57" t="s">
        <v>14</v>
      </c>
      <c r="E33" s="46">
        <v>5</v>
      </c>
      <c r="F33" s="46" t="s">
        <v>130</v>
      </c>
      <c r="G33" s="47">
        <v>28</v>
      </c>
      <c r="H33" s="8" t="s">
        <v>72</v>
      </c>
      <c r="I33" s="8" t="s">
        <v>138</v>
      </c>
      <c r="J33" s="8" t="s">
        <v>59</v>
      </c>
      <c r="K33" s="47" t="s">
        <v>132</v>
      </c>
      <c r="L33" s="8" t="s">
        <v>69</v>
      </c>
      <c r="M33" s="8" t="s">
        <v>133</v>
      </c>
      <c r="N33" s="47" t="s">
        <v>0</v>
      </c>
      <c r="O33" s="8">
        <v>30</v>
      </c>
      <c r="P33" s="8" t="s">
        <v>0</v>
      </c>
      <c r="Q33" s="8" t="s">
        <v>0</v>
      </c>
      <c r="R33" s="8" t="s">
        <v>69</v>
      </c>
      <c r="S33" s="8" t="s">
        <v>0</v>
      </c>
      <c r="T33" s="8" t="s">
        <v>0</v>
      </c>
      <c r="U33" s="47" t="s">
        <v>134</v>
      </c>
      <c r="V33" s="8" t="s">
        <v>0</v>
      </c>
      <c r="W33" s="47" t="s">
        <v>135</v>
      </c>
      <c r="X33" s="47" t="s">
        <v>136</v>
      </c>
      <c r="Y33" s="8" t="s">
        <v>708</v>
      </c>
      <c r="Z33" s="22" t="s">
        <v>139</v>
      </c>
      <c r="AA33" s="22" t="s">
        <v>711</v>
      </c>
      <c r="AB33" s="22" t="s">
        <v>140</v>
      </c>
      <c r="AC33" s="23">
        <v>5.96</v>
      </c>
      <c r="AD33" s="47">
        <v>1.22</v>
      </c>
      <c r="AE33" s="8" t="s">
        <v>69</v>
      </c>
      <c r="AF33" s="8"/>
      <c r="AG33" s="8"/>
      <c r="AH33" s="2"/>
    </row>
    <row r="34" spans="1:34" x14ac:dyDescent="0.25">
      <c r="A34" s="8" t="s">
        <v>701</v>
      </c>
      <c r="B34" s="46" t="s">
        <v>2</v>
      </c>
      <c r="C34" s="47" t="s">
        <v>129</v>
      </c>
      <c r="D34" s="57" t="s">
        <v>14</v>
      </c>
      <c r="E34" s="46">
        <v>5</v>
      </c>
      <c r="F34" s="46" t="s">
        <v>130</v>
      </c>
      <c r="G34" s="47">
        <v>28</v>
      </c>
      <c r="H34" s="8" t="s">
        <v>72</v>
      </c>
      <c r="I34" s="8" t="s">
        <v>141</v>
      </c>
      <c r="J34" s="8" t="s">
        <v>59</v>
      </c>
      <c r="K34" s="47" t="s">
        <v>132</v>
      </c>
      <c r="L34" s="8" t="s">
        <v>69</v>
      </c>
      <c r="M34" s="8" t="s">
        <v>133</v>
      </c>
      <c r="N34" s="47" t="s">
        <v>0</v>
      </c>
      <c r="O34" s="8">
        <v>30</v>
      </c>
      <c r="P34" s="8" t="s">
        <v>0</v>
      </c>
      <c r="Q34" s="8" t="s">
        <v>0</v>
      </c>
      <c r="R34" s="8" t="s">
        <v>69</v>
      </c>
      <c r="S34" s="8" t="s">
        <v>0</v>
      </c>
      <c r="T34" s="8" t="s">
        <v>0</v>
      </c>
      <c r="U34" s="47" t="s">
        <v>134</v>
      </c>
      <c r="V34" s="8" t="s">
        <v>0</v>
      </c>
      <c r="W34" s="47" t="s">
        <v>135</v>
      </c>
      <c r="X34" s="47" t="s">
        <v>136</v>
      </c>
      <c r="Y34" s="8" t="s">
        <v>709</v>
      </c>
      <c r="Z34" s="22" t="s">
        <v>142</v>
      </c>
      <c r="AA34" s="22" t="s">
        <v>712</v>
      </c>
      <c r="AB34" s="22" t="s">
        <v>143</v>
      </c>
      <c r="AC34" s="23">
        <f>1.7*8*32/116</f>
        <v>3.7517241379310344</v>
      </c>
      <c r="AD34" s="47">
        <v>0</v>
      </c>
      <c r="AE34" s="8" t="s">
        <v>69</v>
      </c>
      <c r="AF34" s="8"/>
      <c r="AG34" s="8"/>
      <c r="AH34" s="2"/>
    </row>
    <row r="35" spans="1:34" x14ac:dyDescent="0.25">
      <c r="A35" s="4" t="s">
        <v>713</v>
      </c>
      <c r="B35" s="42" t="s">
        <v>55</v>
      </c>
      <c r="C35" s="43" t="s">
        <v>144</v>
      </c>
      <c r="D35" s="54" t="s">
        <v>714</v>
      </c>
      <c r="E35" s="42">
        <v>1</v>
      </c>
      <c r="F35" s="42">
        <v>0.4</v>
      </c>
      <c r="G35" s="43">
        <v>30</v>
      </c>
      <c r="H35" s="4" t="s">
        <v>72</v>
      </c>
      <c r="I35" s="4" t="s">
        <v>145</v>
      </c>
      <c r="J35" s="4" t="s">
        <v>0</v>
      </c>
      <c r="K35" s="43" t="s">
        <v>146</v>
      </c>
      <c r="L35" s="4" t="s">
        <v>60</v>
      </c>
      <c r="M35" s="4" t="s">
        <v>147</v>
      </c>
      <c r="N35" s="43" t="s">
        <v>116</v>
      </c>
      <c r="O35" s="4">
        <v>40</v>
      </c>
      <c r="P35" s="4" t="s">
        <v>0</v>
      </c>
      <c r="Q35" s="4" t="s">
        <v>0</v>
      </c>
      <c r="R35" s="4" t="s">
        <v>69</v>
      </c>
      <c r="S35" s="4" t="s">
        <v>148</v>
      </c>
      <c r="T35" s="4" t="s">
        <v>0</v>
      </c>
      <c r="U35" s="43" t="s">
        <v>715</v>
      </c>
      <c r="V35" s="4" t="s">
        <v>149</v>
      </c>
      <c r="W35" s="43" t="s">
        <v>0</v>
      </c>
      <c r="X35" s="43" t="s">
        <v>716</v>
      </c>
      <c r="Y35" s="4" t="s">
        <v>150</v>
      </c>
      <c r="Z35" s="4" t="s">
        <v>151</v>
      </c>
      <c r="AA35" s="4" t="s">
        <v>0</v>
      </c>
      <c r="AB35" s="4" t="s">
        <v>0</v>
      </c>
      <c r="AC35" s="4" t="s">
        <v>0</v>
      </c>
      <c r="AD35" s="43" t="s">
        <v>0</v>
      </c>
      <c r="AE35" s="4" t="s">
        <v>64</v>
      </c>
      <c r="AF35" s="4"/>
      <c r="AG35" s="4" t="s">
        <v>152</v>
      </c>
    </row>
    <row r="36" spans="1:34" x14ac:dyDescent="0.25">
      <c r="A36" s="4" t="s">
        <v>713</v>
      </c>
      <c r="B36" s="42" t="s">
        <v>55</v>
      </c>
      <c r="C36" s="43" t="s">
        <v>144</v>
      </c>
      <c r="D36" s="54" t="s">
        <v>714</v>
      </c>
      <c r="E36" s="42">
        <v>1</v>
      </c>
      <c r="F36" s="42">
        <v>0.4</v>
      </c>
      <c r="G36" s="43">
        <v>30</v>
      </c>
      <c r="H36" s="4" t="s">
        <v>72</v>
      </c>
      <c r="I36" s="4" t="s">
        <v>145</v>
      </c>
      <c r="J36" s="4" t="s">
        <v>0</v>
      </c>
      <c r="K36" s="43" t="s">
        <v>146</v>
      </c>
      <c r="L36" s="4" t="s">
        <v>60</v>
      </c>
      <c r="M36" s="4" t="s">
        <v>147</v>
      </c>
      <c r="N36" s="43" t="s">
        <v>116</v>
      </c>
      <c r="O36" s="4">
        <v>55</v>
      </c>
      <c r="P36" s="4" t="s">
        <v>0</v>
      </c>
      <c r="Q36" s="4" t="s">
        <v>0</v>
      </c>
      <c r="R36" s="4" t="s">
        <v>69</v>
      </c>
      <c r="S36" s="4" t="s">
        <v>148</v>
      </c>
      <c r="T36" s="4" t="s">
        <v>0</v>
      </c>
      <c r="U36" s="43" t="s">
        <v>715</v>
      </c>
      <c r="V36" s="4" t="s">
        <v>149</v>
      </c>
      <c r="W36" s="43" t="s">
        <v>0</v>
      </c>
      <c r="X36" s="43" t="s">
        <v>716</v>
      </c>
      <c r="Y36" s="4" t="s">
        <v>153</v>
      </c>
      <c r="Z36" s="4">
        <v>0</v>
      </c>
      <c r="AA36" s="4" t="s">
        <v>0</v>
      </c>
      <c r="AB36" s="4" t="s">
        <v>0</v>
      </c>
      <c r="AC36" s="4" t="s">
        <v>0</v>
      </c>
      <c r="AD36" s="43" t="s">
        <v>0</v>
      </c>
      <c r="AE36" s="4" t="s">
        <v>64</v>
      </c>
      <c r="AF36" s="4"/>
      <c r="AG36" s="4" t="s">
        <v>152</v>
      </c>
    </row>
    <row r="37" spans="1:34" x14ac:dyDescent="0.25">
      <c r="A37" s="8" t="s">
        <v>717</v>
      </c>
      <c r="B37" s="46" t="s">
        <v>55</v>
      </c>
      <c r="C37" s="47" t="s">
        <v>154</v>
      </c>
      <c r="D37" s="57" t="s">
        <v>86</v>
      </c>
      <c r="E37" s="46">
        <v>0.16</v>
      </c>
      <c r="F37" s="46">
        <v>3.6999999999999998E-2</v>
      </c>
      <c r="G37" s="47">
        <v>8</v>
      </c>
      <c r="H37" s="8" t="s">
        <v>72</v>
      </c>
      <c r="I37" s="8" t="s">
        <v>155</v>
      </c>
      <c r="J37" s="8" t="s">
        <v>156</v>
      </c>
      <c r="K37" s="47" t="s">
        <v>157</v>
      </c>
      <c r="L37" s="8" t="s">
        <v>60</v>
      </c>
      <c r="M37" s="8" t="s">
        <v>158</v>
      </c>
      <c r="N37" s="47" t="s">
        <v>0</v>
      </c>
      <c r="O37" s="8">
        <v>37</v>
      </c>
      <c r="P37" s="8">
        <v>7</v>
      </c>
      <c r="Q37" s="8" t="s">
        <v>0</v>
      </c>
      <c r="R37" s="8" t="s">
        <v>69</v>
      </c>
      <c r="S37" s="8" t="s">
        <v>159</v>
      </c>
      <c r="T37" s="8" t="s">
        <v>0</v>
      </c>
      <c r="U37" s="47" t="s">
        <v>718</v>
      </c>
      <c r="V37" s="8" t="s">
        <v>160</v>
      </c>
      <c r="W37" s="47" t="s">
        <v>1584</v>
      </c>
      <c r="X37" s="47" t="s">
        <v>0</v>
      </c>
      <c r="Y37" s="8" t="s">
        <v>719</v>
      </c>
      <c r="Z37" s="8" t="s">
        <v>734</v>
      </c>
      <c r="AA37" s="8" t="s">
        <v>732</v>
      </c>
      <c r="AB37" s="8" t="s">
        <v>0</v>
      </c>
      <c r="AC37" s="8">
        <v>10</v>
      </c>
      <c r="AD37" s="47" t="s">
        <v>0</v>
      </c>
      <c r="AE37" s="8" t="s">
        <v>64</v>
      </c>
      <c r="AF37" s="8"/>
      <c r="AG37" s="8"/>
    </row>
    <row r="38" spans="1:34" x14ac:dyDescent="0.25">
      <c r="A38" s="8" t="s">
        <v>717</v>
      </c>
      <c r="B38" s="46" t="s">
        <v>55</v>
      </c>
      <c r="C38" s="47" t="s">
        <v>154</v>
      </c>
      <c r="D38" s="57" t="s">
        <v>86</v>
      </c>
      <c r="E38" s="46">
        <v>0.16</v>
      </c>
      <c r="F38" s="46" t="s">
        <v>161</v>
      </c>
      <c r="G38" s="47">
        <v>8</v>
      </c>
      <c r="H38" s="8" t="s">
        <v>72</v>
      </c>
      <c r="I38" s="8" t="s">
        <v>162</v>
      </c>
      <c r="J38" s="8" t="s">
        <v>156</v>
      </c>
      <c r="K38" s="47" t="s">
        <v>163</v>
      </c>
      <c r="L38" s="8" t="s">
        <v>60</v>
      </c>
      <c r="M38" s="8" t="s">
        <v>158</v>
      </c>
      <c r="N38" s="47" t="s">
        <v>0</v>
      </c>
      <c r="O38" s="8">
        <v>37</v>
      </c>
      <c r="P38" s="8">
        <v>7</v>
      </c>
      <c r="Q38" s="8" t="s">
        <v>0</v>
      </c>
      <c r="R38" s="8" t="s">
        <v>69</v>
      </c>
      <c r="S38" s="8" t="s">
        <v>159</v>
      </c>
      <c r="T38" s="8" t="s">
        <v>0</v>
      </c>
      <c r="U38" s="47" t="s">
        <v>718</v>
      </c>
      <c r="V38" s="8" t="s">
        <v>160</v>
      </c>
      <c r="W38" s="47" t="s">
        <v>1584</v>
      </c>
      <c r="X38" s="47" t="s">
        <v>0</v>
      </c>
      <c r="Y38" s="8" t="s">
        <v>719</v>
      </c>
      <c r="Z38" s="8" t="s">
        <v>164</v>
      </c>
      <c r="AA38" s="8" t="s">
        <v>732</v>
      </c>
      <c r="AB38" s="8" t="s">
        <v>0</v>
      </c>
      <c r="AC38" s="8">
        <v>0</v>
      </c>
      <c r="AD38" s="47" t="s">
        <v>0</v>
      </c>
      <c r="AE38" s="8" t="s">
        <v>64</v>
      </c>
      <c r="AF38" s="8"/>
      <c r="AG38" s="8"/>
    </row>
    <row r="39" spans="1:34" x14ac:dyDescent="0.25">
      <c r="A39" s="8" t="s">
        <v>717</v>
      </c>
      <c r="B39" s="46" t="s">
        <v>55</v>
      </c>
      <c r="C39" s="47" t="s">
        <v>154</v>
      </c>
      <c r="D39" s="57" t="s">
        <v>86</v>
      </c>
      <c r="E39" s="46">
        <v>0.16</v>
      </c>
      <c r="F39" s="46">
        <v>3.6999999999999998E-2</v>
      </c>
      <c r="G39" s="47">
        <v>8</v>
      </c>
      <c r="H39" s="8" t="s">
        <v>72</v>
      </c>
      <c r="I39" s="8" t="s">
        <v>165</v>
      </c>
      <c r="J39" s="8" t="s">
        <v>156</v>
      </c>
      <c r="K39" s="47" t="s">
        <v>166</v>
      </c>
      <c r="L39" s="8" t="s">
        <v>60</v>
      </c>
      <c r="M39" s="8" t="s">
        <v>158</v>
      </c>
      <c r="N39" s="47" t="s">
        <v>0</v>
      </c>
      <c r="O39" s="8">
        <v>37</v>
      </c>
      <c r="P39" s="8">
        <v>7</v>
      </c>
      <c r="Q39" s="8" t="s">
        <v>0</v>
      </c>
      <c r="R39" s="8" t="s">
        <v>69</v>
      </c>
      <c r="S39" s="8" t="s">
        <v>159</v>
      </c>
      <c r="T39" s="8" t="s">
        <v>0</v>
      </c>
      <c r="U39" s="47" t="s">
        <v>718</v>
      </c>
      <c r="V39" s="8" t="s">
        <v>160</v>
      </c>
      <c r="W39" s="47" t="s">
        <v>1584</v>
      </c>
      <c r="X39" s="47" t="s">
        <v>167</v>
      </c>
      <c r="Y39" s="8" t="s">
        <v>719</v>
      </c>
      <c r="Z39" s="8" t="s">
        <v>168</v>
      </c>
      <c r="AA39" s="8" t="s">
        <v>732</v>
      </c>
      <c r="AB39" s="8" t="s">
        <v>0</v>
      </c>
      <c r="AC39" s="8">
        <v>23.16</v>
      </c>
      <c r="AD39" s="47" t="s">
        <v>0</v>
      </c>
      <c r="AE39" s="8" t="s">
        <v>64</v>
      </c>
      <c r="AF39" s="8"/>
      <c r="AG39" s="8"/>
    </row>
    <row r="40" spans="1:34" x14ac:dyDescent="0.25">
      <c r="A40" s="8" t="s">
        <v>717</v>
      </c>
      <c r="B40" s="46" t="s">
        <v>55</v>
      </c>
      <c r="C40" s="47" t="s">
        <v>154</v>
      </c>
      <c r="D40" s="57" t="s">
        <v>86</v>
      </c>
      <c r="E40" s="46">
        <v>0.16</v>
      </c>
      <c r="F40" s="46" t="s">
        <v>161</v>
      </c>
      <c r="G40" s="47">
        <v>8</v>
      </c>
      <c r="H40" s="8" t="s">
        <v>72</v>
      </c>
      <c r="I40" s="8" t="s">
        <v>169</v>
      </c>
      <c r="J40" s="8" t="s">
        <v>156</v>
      </c>
      <c r="K40" s="47" t="s">
        <v>170</v>
      </c>
      <c r="L40" s="8" t="s">
        <v>60</v>
      </c>
      <c r="M40" s="8" t="s">
        <v>158</v>
      </c>
      <c r="N40" s="47" t="s">
        <v>0</v>
      </c>
      <c r="O40" s="8">
        <v>37</v>
      </c>
      <c r="P40" s="8">
        <v>7</v>
      </c>
      <c r="Q40" s="8" t="s">
        <v>0</v>
      </c>
      <c r="R40" s="8" t="s">
        <v>69</v>
      </c>
      <c r="S40" s="8" t="s">
        <v>159</v>
      </c>
      <c r="T40" s="8" t="s">
        <v>0</v>
      </c>
      <c r="U40" s="47" t="s">
        <v>718</v>
      </c>
      <c r="V40" s="8" t="s">
        <v>160</v>
      </c>
      <c r="W40" s="47" t="s">
        <v>1584</v>
      </c>
      <c r="X40" s="47" t="s">
        <v>167</v>
      </c>
      <c r="Y40" s="8" t="s">
        <v>719</v>
      </c>
      <c r="Z40" s="8" t="s">
        <v>171</v>
      </c>
      <c r="AA40" s="8" t="s">
        <v>732</v>
      </c>
      <c r="AB40" s="8" t="s">
        <v>0</v>
      </c>
      <c r="AC40" s="8">
        <v>22.75</v>
      </c>
      <c r="AD40" s="47" t="s">
        <v>0</v>
      </c>
      <c r="AE40" s="8" t="s">
        <v>64</v>
      </c>
      <c r="AF40" s="8"/>
      <c r="AG40" s="8"/>
    </row>
    <row r="41" spans="1:34" x14ac:dyDescent="0.25">
      <c r="A41" s="4" t="s">
        <v>720</v>
      </c>
      <c r="B41" s="42" t="s">
        <v>2</v>
      </c>
      <c r="C41" s="43" t="s">
        <v>721</v>
      </c>
      <c r="D41" s="54" t="s">
        <v>86</v>
      </c>
      <c r="E41" s="42">
        <v>0.12</v>
      </c>
      <c r="F41" s="42">
        <v>0.04</v>
      </c>
      <c r="G41" s="43">
        <v>91</v>
      </c>
      <c r="H41" s="4" t="s">
        <v>57</v>
      </c>
      <c r="I41" s="4" t="s">
        <v>172</v>
      </c>
      <c r="J41" s="4" t="s">
        <v>59</v>
      </c>
      <c r="K41" s="43" t="s">
        <v>173</v>
      </c>
      <c r="L41" s="4" t="s">
        <v>60</v>
      </c>
      <c r="M41" s="4" t="s">
        <v>174</v>
      </c>
      <c r="N41" s="43" t="s">
        <v>722</v>
      </c>
      <c r="O41" s="4">
        <v>37</v>
      </c>
      <c r="P41" s="4">
        <v>7</v>
      </c>
      <c r="Q41" s="25">
        <v>5.48</v>
      </c>
      <c r="R41" s="4" t="s">
        <v>69</v>
      </c>
      <c r="S41" s="4" t="s">
        <v>159</v>
      </c>
      <c r="T41" s="4" t="s">
        <v>0</v>
      </c>
      <c r="U41" s="43" t="s">
        <v>175</v>
      </c>
      <c r="V41" s="4" t="s">
        <v>176</v>
      </c>
      <c r="W41" s="43" t="s">
        <v>177</v>
      </c>
      <c r="X41" s="43" t="s">
        <v>136</v>
      </c>
      <c r="Y41" s="4" t="s">
        <v>719</v>
      </c>
      <c r="Z41" s="4" t="s">
        <v>178</v>
      </c>
      <c r="AA41" s="4" t="s">
        <v>731</v>
      </c>
      <c r="AB41" s="4" t="s">
        <v>179</v>
      </c>
      <c r="AC41" s="4">
        <v>18.98</v>
      </c>
      <c r="AD41" s="43">
        <v>0.51</v>
      </c>
      <c r="AE41" s="4" t="s">
        <v>64</v>
      </c>
      <c r="AF41" s="4"/>
      <c r="AG41" s="4"/>
    </row>
    <row r="42" spans="1:34" x14ac:dyDescent="0.25">
      <c r="A42" s="4" t="s">
        <v>720</v>
      </c>
      <c r="B42" s="42" t="s">
        <v>2</v>
      </c>
      <c r="C42" s="43" t="s">
        <v>721</v>
      </c>
      <c r="D42" s="54" t="s">
        <v>86</v>
      </c>
      <c r="E42" s="42">
        <v>0.12</v>
      </c>
      <c r="F42" s="42">
        <v>0.04</v>
      </c>
      <c r="G42" s="43">
        <v>91</v>
      </c>
      <c r="H42" s="4" t="s">
        <v>57</v>
      </c>
      <c r="I42" s="4" t="s">
        <v>180</v>
      </c>
      <c r="J42" s="4" t="s">
        <v>59</v>
      </c>
      <c r="K42" s="43" t="s">
        <v>181</v>
      </c>
      <c r="L42" s="4" t="s">
        <v>60</v>
      </c>
      <c r="M42" s="4" t="s">
        <v>174</v>
      </c>
      <c r="N42" s="43" t="s">
        <v>722</v>
      </c>
      <c r="O42" s="4">
        <v>37</v>
      </c>
      <c r="P42" s="4">
        <v>7</v>
      </c>
      <c r="Q42" s="25">
        <v>5.17</v>
      </c>
      <c r="R42" s="4" t="s">
        <v>69</v>
      </c>
      <c r="S42" s="4" t="s">
        <v>159</v>
      </c>
      <c r="T42" s="4" t="s">
        <v>0</v>
      </c>
      <c r="U42" s="43" t="s">
        <v>175</v>
      </c>
      <c r="V42" s="4" t="s">
        <v>69</v>
      </c>
      <c r="W42" s="43" t="s">
        <v>182</v>
      </c>
      <c r="X42" s="43" t="s">
        <v>136</v>
      </c>
      <c r="Y42" s="4" t="s">
        <v>719</v>
      </c>
      <c r="Z42" s="4" t="s">
        <v>183</v>
      </c>
      <c r="AA42" s="4" t="s">
        <v>731</v>
      </c>
      <c r="AB42" s="4" t="s">
        <v>184</v>
      </c>
      <c r="AC42" s="4">
        <v>7.94</v>
      </c>
      <c r="AD42" s="43">
        <v>0.56000000000000005</v>
      </c>
      <c r="AE42" s="4" t="s">
        <v>64</v>
      </c>
      <c r="AF42" s="4"/>
      <c r="AG42" s="4"/>
    </row>
    <row r="43" spans="1:34" x14ac:dyDescent="0.25">
      <c r="A43" s="4" t="s">
        <v>720</v>
      </c>
      <c r="B43" s="42" t="s">
        <v>2</v>
      </c>
      <c r="C43" s="43" t="s">
        <v>721</v>
      </c>
      <c r="D43" s="54" t="s">
        <v>86</v>
      </c>
      <c r="E43" s="42">
        <v>0.12</v>
      </c>
      <c r="F43" s="42">
        <v>0.04</v>
      </c>
      <c r="G43" s="43">
        <v>91</v>
      </c>
      <c r="H43" s="4" t="s">
        <v>57</v>
      </c>
      <c r="I43" s="4" t="s">
        <v>185</v>
      </c>
      <c r="J43" s="4" t="s">
        <v>59</v>
      </c>
      <c r="K43" s="43" t="s">
        <v>186</v>
      </c>
      <c r="L43" s="4" t="s">
        <v>60</v>
      </c>
      <c r="M43" s="4" t="s">
        <v>174</v>
      </c>
      <c r="N43" s="43" t="s">
        <v>722</v>
      </c>
      <c r="O43" s="4">
        <v>37</v>
      </c>
      <c r="P43" s="4">
        <v>7</v>
      </c>
      <c r="Q43" s="25">
        <v>4.99</v>
      </c>
      <c r="R43" s="4" t="s">
        <v>69</v>
      </c>
      <c r="S43" s="4" t="s">
        <v>159</v>
      </c>
      <c r="T43" s="4" t="s">
        <v>0</v>
      </c>
      <c r="U43" s="43" t="s">
        <v>175</v>
      </c>
      <c r="V43" s="4" t="s">
        <v>69</v>
      </c>
      <c r="W43" s="43" t="s">
        <v>187</v>
      </c>
      <c r="X43" s="43" t="s">
        <v>136</v>
      </c>
      <c r="Y43" s="4" t="s">
        <v>719</v>
      </c>
      <c r="Z43" s="4" t="s">
        <v>188</v>
      </c>
      <c r="AA43" s="4" t="s">
        <v>731</v>
      </c>
      <c r="AB43" s="4" t="s">
        <v>189</v>
      </c>
      <c r="AC43" s="4">
        <v>4.59</v>
      </c>
      <c r="AD43" s="43">
        <v>0.46</v>
      </c>
      <c r="AE43" s="4" t="s">
        <v>64</v>
      </c>
      <c r="AF43" s="4"/>
      <c r="AG43" s="4"/>
    </row>
    <row r="44" spans="1:34" x14ac:dyDescent="0.25">
      <c r="A44" s="4" t="s">
        <v>720</v>
      </c>
      <c r="B44" s="42" t="s">
        <v>2</v>
      </c>
      <c r="C44" s="43" t="s">
        <v>721</v>
      </c>
      <c r="D44" s="54" t="s">
        <v>86</v>
      </c>
      <c r="E44" s="42">
        <v>0.12</v>
      </c>
      <c r="F44" s="42">
        <v>0.04</v>
      </c>
      <c r="G44" s="43">
        <v>91</v>
      </c>
      <c r="H44" s="4" t="s">
        <v>57</v>
      </c>
      <c r="I44" s="4" t="s">
        <v>190</v>
      </c>
      <c r="J44" s="4" t="s">
        <v>59</v>
      </c>
      <c r="K44" s="43" t="s">
        <v>191</v>
      </c>
      <c r="L44" s="4" t="s">
        <v>60</v>
      </c>
      <c r="M44" s="4" t="s">
        <v>174</v>
      </c>
      <c r="N44" s="43" t="s">
        <v>722</v>
      </c>
      <c r="O44" s="4">
        <v>37</v>
      </c>
      <c r="P44" s="4">
        <v>7</v>
      </c>
      <c r="Q44" s="25">
        <v>4.87</v>
      </c>
      <c r="R44" s="4" t="s">
        <v>69</v>
      </c>
      <c r="S44" s="4" t="s">
        <v>159</v>
      </c>
      <c r="T44" s="4" t="s">
        <v>0</v>
      </c>
      <c r="U44" s="43" t="s">
        <v>175</v>
      </c>
      <c r="V44" s="4" t="s">
        <v>69</v>
      </c>
      <c r="W44" s="43" t="s">
        <v>192</v>
      </c>
      <c r="X44" s="43" t="s">
        <v>136</v>
      </c>
      <c r="Y44" s="4" t="s">
        <v>719</v>
      </c>
      <c r="Z44" s="4" t="s">
        <v>193</v>
      </c>
      <c r="AA44" s="4" t="s">
        <v>731</v>
      </c>
      <c r="AB44" s="4">
        <v>0</v>
      </c>
      <c r="AC44" s="4">
        <v>1.96</v>
      </c>
      <c r="AD44" s="43">
        <v>0</v>
      </c>
      <c r="AE44" s="4" t="s">
        <v>64</v>
      </c>
      <c r="AF44" s="4"/>
      <c r="AG44" s="4"/>
    </row>
    <row r="45" spans="1:34" x14ac:dyDescent="0.25">
      <c r="A45" s="8" t="s">
        <v>723</v>
      </c>
      <c r="B45" s="46" t="s">
        <v>2</v>
      </c>
      <c r="C45" s="47" t="s">
        <v>194</v>
      </c>
      <c r="D45" s="57" t="s">
        <v>86</v>
      </c>
      <c r="E45" s="46">
        <v>0.12</v>
      </c>
      <c r="F45" s="46">
        <v>4.4999999999999998E-2</v>
      </c>
      <c r="G45" s="47">
        <v>91</v>
      </c>
      <c r="H45" s="8" t="s">
        <v>72</v>
      </c>
      <c r="I45" s="8" t="s">
        <v>195</v>
      </c>
      <c r="J45" s="8" t="s">
        <v>59</v>
      </c>
      <c r="K45" s="47" t="s">
        <v>196</v>
      </c>
      <c r="L45" s="8" t="s">
        <v>69</v>
      </c>
      <c r="M45" s="8" t="s">
        <v>197</v>
      </c>
      <c r="N45" s="47">
        <v>0</v>
      </c>
      <c r="O45" s="8">
        <v>37</v>
      </c>
      <c r="P45" s="8">
        <v>7</v>
      </c>
      <c r="Q45" s="8" t="s">
        <v>0</v>
      </c>
      <c r="R45" s="8" t="s">
        <v>69</v>
      </c>
      <c r="S45" s="8" t="s">
        <v>159</v>
      </c>
      <c r="T45" s="8" t="s">
        <v>0</v>
      </c>
      <c r="U45" s="47" t="s">
        <v>175</v>
      </c>
      <c r="V45" s="8" t="s">
        <v>729</v>
      </c>
      <c r="W45" s="47" t="s">
        <v>198</v>
      </c>
      <c r="X45" s="47" t="s">
        <v>136</v>
      </c>
      <c r="Y45" s="8" t="s">
        <v>719</v>
      </c>
      <c r="Z45" s="8" t="s">
        <v>199</v>
      </c>
      <c r="AA45" s="8" t="s">
        <v>731</v>
      </c>
      <c r="AB45" s="8" t="s">
        <v>199</v>
      </c>
      <c r="AC45" s="8"/>
      <c r="AD45" s="47">
        <v>0</v>
      </c>
      <c r="AE45" s="8" t="s">
        <v>64</v>
      </c>
      <c r="AF45" s="8"/>
      <c r="AG45" s="8"/>
    </row>
    <row r="46" spans="1:34" x14ac:dyDescent="0.25">
      <c r="A46" s="8" t="s">
        <v>723</v>
      </c>
      <c r="B46" s="46" t="s">
        <v>2</v>
      </c>
      <c r="C46" s="47" t="s">
        <v>194</v>
      </c>
      <c r="D46" s="57" t="s">
        <v>86</v>
      </c>
      <c r="E46" s="46">
        <v>0.12</v>
      </c>
      <c r="F46" s="46">
        <v>4.4999999999999998E-2</v>
      </c>
      <c r="G46" s="47">
        <v>91</v>
      </c>
      <c r="H46" s="8" t="s">
        <v>72</v>
      </c>
      <c r="I46" s="8" t="s">
        <v>195</v>
      </c>
      <c r="J46" s="8" t="s">
        <v>59</v>
      </c>
      <c r="K46" s="47" t="s">
        <v>196</v>
      </c>
      <c r="L46" s="8" t="s">
        <v>200</v>
      </c>
      <c r="M46" s="8" t="s">
        <v>201</v>
      </c>
      <c r="N46" s="47" t="s">
        <v>202</v>
      </c>
      <c r="O46" s="8">
        <v>37</v>
      </c>
      <c r="P46" s="8">
        <v>7</v>
      </c>
      <c r="Q46" s="8" t="s">
        <v>0</v>
      </c>
      <c r="R46" s="8" t="s">
        <v>69</v>
      </c>
      <c r="S46" s="8" t="s">
        <v>159</v>
      </c>
      <c r="T46" s="8" t="s">
        <v>0</v>
      </c>
      <c r="U46" s="47" t="s">
        <v>175</v>
      </c>
      <c r="V46" s="8" t="s">
        <v>729</v>
      </c>
      <c r="W46" s="47" t="s">
        <v>203</v>
      </c>
      <c r="X46" s="47" t="s">
        <v>136</v>
      </c>
      <c r="Y46" s="8" t="s">
        <v>719</v>
      </c>
      <c r="Z46" s="8" t="s">
        <v>204</v>
      </c>
      <c r="AA46" s="8" t="s">
        <v>731</v>
      </c>
      <c r="AB46" s="8" t="s">
        <v>205</v>
      </c>
      <c r="AC46" s="8">
        <v>2.4700000000000002</v>
      </c>
      <c r="AD46" s="47">
        <v>0.39</v>
      </c>
      <c r="AE46" s="8" t="s">
        <v>64</v>
      </c>
      <c r="AF46" s="8"/>
      <c r="AG46" s="8"/>
    </row>
    <row r="47" spans="1:34" x14ac:dyDescent="0.25">
      <c r="A47" s="8" t="s">
        <v>723</v>
      </c>
      <c r="B47" s="46" t="s">
        <v>2</v>
      </c>
      <c r="C47" s="47" t="s">
        <v>194</v>
      </c>
      <c r="D47" s="57" t="s">
        <v>86</v>
      </c>
      <c r="E47" s="46">
        <v>0.12</v>
      </c>
      <c r="F47" s="46">
        <v>4.4999999999999998E-2</v>
      </c>
      <c r="G47" s="47">
        <v>91</v>
      </c>
      <c r="H47" s="8" t="s">
        <v>72</v>
      </c>
      <c r="I47" s="8" t="s">
        <v>195</v>
      </c>
      <c r="J47" s="8" t="s">
        <v>59</v>
      </c>
      <c r="K47" s="47" t="s">
        <v>196</v>
      </c>
      <c r="L47" s="8" t="s">
        <v>60</v>
      </c>
      <c r="M47" s="8" t="s">
        <v>174</v>
      </c>
      <c r="N47" s="47" t="s">
        <v>202</v>
      </c>
      <c r="O47" s="8">
        <v>37</v>
      </c>
      <c r="P47" s="8">
        <v>7</v>
      </c>
      <c r="Q47" s="8" t="s">
        <v>0</v>
      </c>
      <c r="R47" s="8" t="s">
        <v>69</v>
      </c>
      <c r="S47" s="8" t="s">
        <v>159</v>
      </c>
      <c r="T47" s="8" t="s">
        <v>0</v>
      </c>
      <c r="U47" s="47" t="s">
        <v>175</v>
      </c>
      <c r="V47" s="8" t="s">
        <v>729</v>
      </c>
      <c r="W47" s="47" t="s">
        <v>206</v>
      </c>
      <c r="X47" s="47" t="s">
        <v>136</v>
      </c>
      <c r="Y47" s="8" t="s">
        <v>719</v>
      </c>
      <c r="Z47" s="8" t="s">
        <v>207</v>
      </c>
      <c r="AA47" s="8" t="s">
        <v>731</v>
      </c>
      <c r="AB47" s="8" t="s">
        <v>208</v>
      </c>
      <c r="AC47" s="8">
        <v>5.91</v>
      </c>
      <c r="AD47" s="47">
        <v>0.44</v>
      </c>
      <c r="AE47" s="8" t="s">
        <v>64</v>
      </c>
      <c r="AF47" s="8"/>
      <c r="AG47" s="8" t="s">
        <v>209</v>
      </c>
    </row>
    <row r="48" spans="1:34" x14ac:dyDescent="0.25">
      <c r="A48" s="8" t="s">
        <v>723</v>
      </c>
      <c r="B48" s="46" t="s">
        <v>2</v>
      </c>
      <c r="C48" s="47" t="s">
        <v>194</v>
      </c>
      <c r="D48" s="57" t="s">
        <v>86</v>
      </c>
      <c r="E48" s="46">
        <v>0.12</v>
      </c>
      <c r="F48" s="46">
        <v>4.4999999999999998E-2</v>
      </c>
      <c r="G48" s="47">
        <v>91</v>
      </c>
      <c r="H48" s="8" t="s">
        <v>72</v>
      </c>
      <c r="I48" s="8" t="s">
        <v>195</v>
      </c>
      <c r="J48" s="8" t="s">
        <v>59</v>
      </c>
      <c r="K48" s="47" t="s">
        <v>196</v>
      </c>
      <c r="L48" s="8" t="s">
        <v>60</v>
      </c>
      <c r="M48" s="8" t="s">
        <v>210</v>
      </c>
      <c r="N48" s="47" t="s">
        <v>202</v>
      </c>
      <c r="O48" s="8">
        <v>37</v>
      </c>
      <c r="P48" s="8">
        <v>7</v>
      </c>
      <c r="Q48" s="8" t="s">
        <v>0</v>
      </c>
      <c r="R48" s="8" t="s">
        <v>69</v>
      </c>
      <c r="S48" s="8" t="s">
        <v>159</v>
      </c>
      <c r="T48" s="8" t="s">
        <v>0</v>
      </c>
      <c r="U48" s="47" t="s">
        <v>175</v>
      </c>
      <c r="V48" s="8" t="s">
        <v>729</v>
      </c>
      <c r="W48" s="47" t="s">
        <v>206</v>
      </c>
      <c r="X48" s="47" t="s">
        <v>136</v>
      </c>
      <c r="Y48" s="8" t="s">
        <v>719</v>
      </c>
      <c r="Z48" s="8" t="s">
        <v>211</v>
      </c>
      <c r="AA48" s="8" t="s">
        <v>731</v>
      </c>
      <c r="AB48" s="8" t="s">
        <v>212</v>
      </c>
      <c r="AC48" s="8">
        <v>17.899999999999999</v>
      </c>
      <c r="AD48" s="47">
        <v>0.17399999999999999</v>
      </c>
      <c r="AE48" s="8" t="s">
        <v>64</v>
      </c>
      <c r="AF48" s="8"/>
      <c r="AG48" s="8" t="s">
        <v>213</v>
      </c>
    </row>
    <row r="49" spans="1:33" x14ac:dyDescent="0.25">
      <c r="A49" s="4" t="s">
        <v>733</v>
      </c>
      <c r="B49" s="42" t="s">
        <v>2</v>
      </c>
      <c r="C49" s="43" t="s">
        <v>214</v>
      </c>
      <c r="D49" s="54" t="s">
        <v>86</v>
      </c>
      <c r="E49" s="42">
        <v>0.125</v>
      </c>
      <c r="F49" s="42">
        <v>3.7499999999999999E-2</v>
      </c>
      <c r="G49" s="43">
        <v>105</v>
      </c>
      <c r="H49" s="4" t="s">
        <v>57</v>
      </c>
      <c r="I49" s="4" t="s">
        <v>215</v>
      </c>
      <c r="J49" s="4" t="s">
        <v>216</v>
      </c>
      <c r="K49" s="43" t="s">
        <v>217</v>
      </c>
      <c r="L49" s="4" t="s">
        <v>60</v>
      </c>
      <c r="M49" s="4" t="s">
        <v>218</v>
      </c>
      <c r="N49" s="43" t="s">
        <v>219</v>
      </c>
      <c r="O49" s="4">
        <v>30</v>
      </c>
      <c r="P49" s="4">
        <v>5.5</v>
      </c>
      <c r="Q49" s="4" t="s">
        <v>0</v>
      </c>
      <c r="R49" s="4" t="s">
        <v>220</v>
      </c>
      <c r="S49" s="4" t="s">
        <v>221</v>
      </c>
      <c r="T49" s="4" t="s">
        <v>0</v>
      </c>
      <c r="U49" s="43" t="s">
        <v>175</v>
      </c>
      <c r="V49" s="4" t="s">
        <v>176</v>
      </c>
      <c r="W49" s="43" t="s">
        <v>177</v>
      </c>
      <c r="X49" s="43" t="s">
        <v>222</v>
      </c>
      <c r="Y49" s="4" t="s">
        <v>0</v>
      </c>
      <c r="Z49" s="26" t="s">
        <v>223</v>
      </c>
      <c r="AA49" s="35" t="s">
        <v>0</v>
      </c>
      <c r="AB49" s="77" t="s">
        <v>224</v>
      </c>
      <c r="AC49" s="4">
        <v>0.69</v>
      </c>
      <c r="AD49" s="43">
        <v>1.23</v>
      </c>
      <c r="AE49" s="4" t="s">
        <v>69</v>
      </c>
      <c r="AF49" s="4"/>
      <c r="AG49" s="4"/>
    </row>
    <row r="50" spans="1:33" x14ac:dyDescent="0.25">
      <c r="A50" s="4" t="s">
        <v>733</v>
      </c>
      <c r="B50" s="42" t="s">
        <v>2</v>
      </c>
      <c r="C50" s="43" t="s">
        <v>214</v>
      </c>
      <c r="D50" s="54" t="s">
        <v>86</v>
      </c>
      <c r="E50" s="42">
        <v>0.125</v>
      </c>
      <c r="F50" s="42">
        <v>3.7499999999999999E-2</v>
      </c>
      <c r="G50" s="43">
        <v>105</v>
      </c>
      <c r="H50" s="4" t="s">
        <v>57</v>
      </c>
      <c r="I50" s="4" t="s">
        <v>225</v>
      </c>
      <c r="J50" s="4" t="s">
        <v>59</v>
      </c>
      <c r="K50" s="43" t="s">
        <v>226</v>
      </c>
      <c r="L50" s="4" t="s">
        <v>60</v>
      </c>
      <c r="M50" s="4" t="s">
        <v>218</v>
      </c>
      <c r="N50" s="43" t="s">
        <v>219</v>
      </c>
      <c r="O50" s="4">
        <v>30</v>
      </c>
      <c r="P50" s="4">
        <v>5.5</v>
      </c>
      <c r="Q50" s="4" t="s">
        <v>0</v>
      </c>
      <c r="R50" s="4" t="s">
        <v>220</v>
      </c>
      <c r="S50" s="4" t="s">
        <v>221</v>
      </c>
      <c r="T50" s="4" t="s">
        <v>0</v>
      </c>
      <c r="U50" s="43" t="s">
        <v>175</v>
      </c>
      <c r="V50" s="4" t="s">
        <v>176</v>
      </c>
      <c r="W50" s="43" t="s">
        <v>177</v>
      </c>
      <c r="X50" s="43" t="s">
        <v>222</v>
      </c>
      <c r="Y50" s="4" t="s">
        <v>0</v>
      </c>
      <c r="Z50" s="26" t="s">
        <v>227</v>
      </c>
      <c r="AA50" s="35" t="s">
        <v>0</v>
      </c>
      <c r="AB50" s="77">
        <v>0</v>
      </c>
      <c r="AC50" s="4">
        <v>0.92</v>
      </c>
      <c r="AD50" s="43">
        <v>0</v>
      </c>
      <c r="AE50" s="4" t="s">
        <v>69</v>
      </c>
      <c r="AF50" s="4"/>
      <c r="AG50" s="4"/>
    </row>
    <row r="51" spans="1:33" x14ac:dyDescent="0.25">
      <c r="A51" s="4" t="s">
        <v>733</v>
      </c>
      <c r="B51" s="42" t="s">
        <v>2</v>
      </c>
      <c r="C51" s="43" t="s">
        <v>214</v>
      </c>
      <c r="D51" s="54" t="s">
        <v>86</v>
      </c>
      <c r="E51" s="42">
        <v>0.125</v>
      </c>
      <c r="F51" s="42">
        <v>3.7499999999999999E-2</v>
      </c>
      <c r="G51" s="43">
        <v>105</v>
      </c>
      <c r="H51" s="4" t="s">
        <v>57</v>
      </c>
      <c r="I51" s="4" t="s">
        <v>228</v>
      </c>
      <c r="J51" s="4" t="s">
        <v>229</v>
      </c>
      <c r="K51" s="43" t="s">
        <v>226</v>
      </c>
      <c r="L51" s="4" t="s">
        <v>60</v>
      </c>
      <c r="M51" s="4" t="s">
        <v>218</v>
      </c>
      <c r="N51" s="43" t="s">
        <v>219</v>
      </c>
      <c r="O51" s="4">
        <v>30</v>
      </c>
      <c r="P51" s="4">
        <v>5.5</v>
      </c>
      <c r="Q51" s="4" t="s">
        <v>0</v>
      </c>
      <c r="R51" s="4" t="s">
        <v>220</v>
      </c>
      <c r="S51" s="4" t="s">
        <v>221</v>
      </c>
      <c r="T51" s="4" t="s">
        <v>0</v>
      </c>
      <c r="U51" s="43" t="s">
        <v>175</v>
      </c>
      <c r="V51" s="4" t="s">
        <v>176</v>
      </c>
      <c r="W51" s="43" t="s">
        <v>177</v>
      </c>
      <c r="X51" s="43" t="s">
        <v>222</v>
      </c>
      <c r="Y51" s="4" t="s">
        <v>0</v>
      </c>
      <c r="Z51" s="26" t="s">
        <v>230</v>
      </c>
      <c r="AA51" s="35" t="s">
        <v>0</v>
      </c>
      <c r="AB51" s="77" t="s">
        <v>231</v>
      </c>
      <c r="AC51" s="4">
        <v>1.47</v>
      </c>
      <c r="AD51" s="43">
        <v>1.55</v>
      </c>
      <c r="AE51" s="4" t="s">
        <v>69</v>
      </c>
      <c r="AF51" s="4"/>
      <c r="AG51" s="4"/>
    </row>
    <row r="52" spans="1:33" x14ac:dyDescent="0.25">
      <c r="A52" s="8" t="s">
        <v>735</v>
      </c>
      <c r="B52" s="46" t="s">
        <v>2</v>
      </c>
      <c r="C52" s="47" t="s">
        <v>232</v>
      </c>
      <c r="D52" s="57" t="s">
        <v>86</v>
      </c>
      <c r="E52" s="46">
        <v>0.16</v>
      </c>
      <c r="F52" s="46">
        <v>8.4000000000000005E-2</v>
      </c>
      <c r="G52" s="47">
        <v>12</v>
      </c>
      <c r="H52" s="8" t="s">
        <v>57</v>
      </c>
      <c r="I52" s="8" t="s">
        <v>233</v>
      </c>
      <c r="J52" s="8" t="s">
        <v>59</v>
      </c>
      <c r="K52" s="47" t="s">
        <v>234</v>
      </c>
      <c r="L52" s="8" t="s">
        <v>60</v>
      </c>
      <c r="M52" s="8" t="s">
        <v>158</v>
      </c>
      <c r="N52" s="47" t="s">
        <v>235</v>
      </c>
      <c r="O52" s="8">
        <v>30</v>
      </c>
      <c r="P52" s="8">
        <v>5.4</v>
      </c>
      <c r="Q52" s="8"/>
      <c r="R52" s="8" t="s">
        <v>69</v>
      </c>
      <c r="S52" s="8" t="s">
        <v>159</v>
      </c>
      <c r="T52" s="8" t="s">
        <v>236</v>
      </c>
      <c r="U52" s="47" t="s">
        <v>197</v>
      </c>
      <c r="V52" s="8" t="s">
        <v>741</v>
      </c>
      <c r="W52" s="47" t="s">
        <v>0</v>
      </c>
      <c r="X52" s="47" t="s">
        <v>136</v>
      </c>
      <c r="Y52" s="8" t="s">
        <v>719</v>
      </c>
      <c r="Z52" s="27">
        <v>0.53</v>
      </c>
      <c r="AA52" s="76" t="s">
        <v>0</v>
      </c>
      <c r="AB52" s="78">
        <v>1</v>
      </c>
      <c r="AC52" s="8">
        <f t="shared" ref="AC52:AC63" si="1">Z52</f>
        <v>0.53</v>
      </c>
      <c r="AD52" s="47">
        <f t="shared" ref="AD52:AD63" si="2">AB52</f>
        <v>1</v>
      </c>
      <c r="AE52" s="8" t="s">
        <v>69</v>
      </c>
      <c r="AF52" s="8"/>
      <c r="AG52" s="8"/>
    </row>
    <row r="53" spans="1:33" x14ac:dyDescent="0.25">
      <c r="A53" s="8" t="s">
        <v>735</v>
      </c>
      <c r="B53" s="46" t="s">
        <v>2</v>
      </c>
      <c r="C53" s="47" t="s">
        <v>232</v>
      </c>
      <c r="D53" s="57" t="s">
        <v>86</v>
      </c>
      <c r="E53" s="46">
        <v>0.16</v>
      </c>
      <c r="F53" s="46">
        <v>8.4000000000000005E-2</v>
      </c>
      <c r="G53" s="47">
        <v>12</v>
      </c>
      <c r="H53" s="8" t="s">
        <v>57</v>
      </c>
      <c r="I53" s="8" t="s">
        <v>233</v>
      </c>
      <c r="J53" s="8" t="s">
        <v>59</v>
      </c>
      <c r="K53" s="47" t="s">
        <v>237</v>
      </c>
      <c r="L53" s="8" t="s">
        <v>60</v>
      </c>
      <c r="M53" s="8" t="s">
        <v>158</v>
      </c>
      <c r="N53" s="47" t="s">
        <v>235</v>
      </c>
      <c r="O53" s="8">
        <v>30</v>
      </c>
      <c r="P53" s="8">
        <v>5.4</v>
      </c>
      <c r="Q53" s="8"/>
      <c r="R53" s="8" t="s">
        <v>69</v>
      </c>
      <c r="S53" s="8" t="s">
        <v>159</v>
      </c>
      <c r="T53" s="8" t="s">
        <v>236</v>
      </c>
      <c r="U53" s="47" t="s">
        <v>197</v>
      </c>
      <c r="V53" s="8" t="s">
        <v>741</v>
      </c>
      <c r="W53" s="47" t="s">
        <v>0</v>
      </c>
      <c r="X53" s="47" t="s">
        <v>136</v>
      </c>
      <c r="Y53" s="8" t="s">
        <v>719</v>
      </c>
      <c r="Z53" s="27">
        <v>0.78</v>
      </c>
      <c r="AA53" s="76" t="s">
        <v>0</v>
      </c>
      <c r="AB53" s="78">
        <v>1.41</v>
      </c>
      <c r="AC53" s="8">
        <f t="shared" si="1"/>
        <v>0.78</v>
      </c>
      <c r="AD53" s="47">
        <f t="shared" si="2"/>
        <v>1.41</v>
      </c>
      <c r="AE53" s="8" t="s">
        <v>69</v>
      </c>
      <c r="AF53" s="8"/>
      <c r="AG53" s="8"/>
    </row>
    <row r="54" spans="1:33" x14ac:dyDescent="0.25">
      <c r="A54" s="8" t="s">
        <v>735</v>
      </c>
      <c r="B54" s="46" t="s">
        <v>2</v>
      </c>
      <c r="C54" s="47" t="s">
        <v>232</v>
      </c>
      <c r="D54" s="57" t="s">
        <v>86</v>
      </c>
      <c r="E54" s="46">
        <v>0.16</v>
      </c>
      <c r="F54" s="46">
        <v>8.4000000000000005E-2</v>
      </c>
      <c r="G54" s="47">
        <v>12</v>
      </c>
      <c r="H54" s="8" t="s">
        <v>57</v>
      </c>
      <c r="I54" s="8" t="s">
        <v>233</v>
      </c>
      <c r="J54" s="8" t="s">
        <v>59</v>
      </c>
      <c r="K54" s="47" t="s">
        <v>238</v>
      </c>
      <c r="L54" s="8" t="s">
        <v>60</v>
      </c>
      <c r="M54" s="8" t="s">
        <v>158</v>
      </c>
      <c r="N54" s="47" t="s">
        <v>235</v>
      </c>
      <c r="O54" s="8">
        <v>30</v>
      </c>
      <c r="P54" s="8">
        <v>5.4</v>
      </c>
      <c r="Q54" s="8"/>
      <c r="R54" s="8" t="s">
        <v>69</v>
      </c>
      <c r="S54" s="8" t="s">
        <v>159</v>
      </c>
      <c r="T54" s="8" t="s">
        <v>236</v>
      </c>
      <c r="U54" s="47" t="s">
        <v>197</v>
      </c>
      <c r="V54" s="8" t="s">
        <v>741</v>
      </c>
      <c r="W54" s="47" t="s">
        <v>0</v>
      </c>
      <c r="X54" s="47" t="s">
        <v>136</v>
      </c>
      <c r="Y54" s="8" t="s">
        <v>719</v>
      </c>
      <c r="Z54" s="27">
        <v>0.78</v>
      </c>
      <c r="AA54" s="76" t="s">
        <v>0</v>
      </c>
      <c r="AB54" s="78">
        <v>0.86</v>
      </c>
      <c r="AC54" s="8">
        <f t="shared" si="1"/>
        <v>0.78</v>
      </c>
      <c r="AD54" s="47">
        <f t="shared" si="2"/>
        <v>0.86</v>
      </c>
      <c r="AE54" s="8" t="s">
        <v>69</v>
      </c>
      <c r="AF54" s="8"/>
      <c r="AG54" s="8"/>
    </row>
    <row r="55" spans="1:33" x14ac:dyDescent="0.25">
      <c r="A55" s="8" t="s">
        <v>735</v>
      </c>
      <c r="B55" s="46" t="s">
        <v>2</v>
      </c>
      <c r="C55" s="47" t="s">
        <v>232</v>
      </c>
      <c r="D55" s="57" t="s">
        <v>86</v>
      </c>
      <c r="E55" s="46">
        <v>0.16</v>
      </c>
      <c r="F55" s="46">
        <v>8.4000000000000005E-2</v>
      </c>
      <c r="G55" s="47">
        <v>12</v>
      </c>
      <c r="H55" s="8" t="s">
        <v>57</v>
      </c>
      <c r="I55" s="8" t="s">
        <v>233</v>
      </c>
      <c r="J55" s="8" t="s">
        <v>59</v>
      </c>
      <c r="K55" s="47" t="s">
        <v>239</v>
      </c>
      <c r="L55" s="8" t="s">
        <v>60</v>
      </c>
      <c r="M55" s="8" t="s">
        <v>158</v>
      </c>
      <c r="N55" s="47" t="s">
        <v>235</v>
      </c>
      <c r="O55" s="8">
        <v>30</v>
      </c>
      <c r="P55" s="8">
        <v>5.4</v>
      </c>
      <c r="Q55" s="8"/>
      <c r="R55" s="8" t="s">
        <v>69</v>
      </c>
      <c r="S55" s="8" t="s">
        <v>159</v>
      </c>
      <c r="T55" s="8" t="s">
        <v>236</v>
      </c>
      <c r="U55" s="47" t="s">
        <v>197</v>
      </c>
      <c r="V55" s="8" t="s">
        <v>741</v>
      </c>
      <c r="W55" s="47" t="s">
        <v>0</v>
      </c>
      <c r="X55" s="47" t="s">
        <v>136</v>
      </c>
      <c r="Y55" s="8" t="s">
        <v>719</v>
      </c>
      <c r="Z55" s="27">
        <v>0.36</v>
      </c>
      <c r="AA55" s="76" t="s">
        <v>0</v>
      </c>
      <c r="AB55" s="78">
        <v>0.14000000000000001</v>
      </c>
      <c r="AC55" s="8">
        <f t="shared" si="1"/>
        <v>0.36</v>
      </c>
      <c r="AD55" s="47">
        <f t="shared" si="2"/>
        <v>0.14000000000000001</v>
      </c>
      <c r="AE55" s="8" t="s">
        <v>69</v>
      </c>
      <c r="AF55" s="8"/>
      <c r="AG55" s="8"/>
    </row>
    <row r="56" spans="1:33" x14ac:dyDescent="0.25">
      <c r="A56" s="8" t="s">
        <v>735</v>
      </c>
      <c r="B56" s="46" t="s">
        <v>2</v>
      </c>
      <c r="C56" s="47" t="s">
        <v>232</v>
      </c>
      <c r="D56" s="57" t="s">
        <v>86</v>
      </c>
      <c r="E56" s="46">
        <v>0.16</v>
      </c>
      <c r="F56" s="46">
        <v>8.4000000000000005E-2</v>
      </c>
      <c r="G56" s="47">
        <v>12</v>
      </c>
      <c r="H56" s="8" t="s">
        <v>57</v>
      </c>
      <c r="I56" s="8" t="s">
        <v>233</v>
      </c>
      <c r="J56" s="8" t="s">
        <v>59</v>
      </c>
      <c r="K56" s="47" t="s">
        <v>240</v>
      </c>
      <c r="L56" s="8" t="s">
        <v>60</v>
      </c>
      <c r="M56" s="8" t="s">
        <v>158</v>
      </c>
      <c r="N56" s="47" t="s">
        <v>235</v>
      </c>
      <c r="O56" s="8">
        <v>30</v>
      </c>
      <c r="P56" s="8">
        <v>5.4</v>
      </c>
      <c r="Q56" s="8"/>
      <c r="R56" s="8" t="s">
        <v>69</v>
      </c>
      <c r="S56" s="8" t="s">
        <v>159</v>
      </c>
      <c r="T56" s="8" t="s">
        <v>236</v>
      </c>
      <c r="U56" s="47" t="s">
        <v>197</v>
      </c>
      <c r="V56" s="8" t="s">
        <v>741</v>
      </c>
      <c r="W56" s="47" t="s">
        <v>0</v>
      </c>
      <c r="X56" s="47" t="s">
        <v>136</v>
      </c>
      <c r="Y56" s="8" t="s">
        <v>719</v>
      </c>
      <c r="Z56" s="27">
        <v>0.42</v>
      </c>
      <c r="AA56" s="76" t="s">
        <v>0</v>
      </c>
      <c r="AB56" s="78">
        <v>1.1299999999999999</v>
      </c>
      <c r="AC56" s="8">
        <f t="shared" si="1"/>
        <v>0.42</v>
      </c>
      <c r="AD56" s="47">
        <f t="shared" si="2"/>
        <v>1.1299999999999999</v>
      </c>
      <c r="AE56" s="8" t="s">
        <v>69</v>
      </c>
      <c r="AF56" s="8"/>
      <c r="AG56" s="8"/>
    </row>
    <row r="57" spans="1:33" x14ac:dyDescent="0.25">
      <c r="A57" s="8" t="s">
        <v>735</v>
      </c>
      <c r="B57" s="46" t="s">
        <v>2</v>
      </c>
      <c r="C57" s="47" t="s">
        <v>232</v>
      </c>
      <c r="D57" s="57" t="s">
        <v>86</v>
      </c>
      <c r="E57" s="46">
        <v>0.16</v>
      </c>
      <c r="F57" s="46">
        <v>8.4000000000000005E-2</v>
      </c>
      <c r="G57" s="47">
        <v>12</v>
      </c>
      <c r="H57" s="8" t="s">
        <v>57</v>
      </c>
      <c r="I57" s="8" t="s">
        <v>233</v>
      </c>
      <c r="J57" s="8" t="s">
        <v>59</v>
      </c>
      <c r="K57" s="47" t="s">
        <v>237</v>
      </c>
      <c r="L57" s="8" t="s">
        <v>60</v>
      </c>
      <c r="M57" s="8" t="s">
        <v>158</v>
      </c>
      <c r="N57" s="47" t="s">
        <v>235</v>
      </c>
      <c r="O57" s="8">
        <v>30</v>
      </c>
      <c r="P57" s="8">
        <v>5.4</v>
      </c>
      <c r="Q57" s="8"/>
      <c r="R57" s="8" t="s">
        <v>69</v>
      </c>
      <c r="S57" s="8" t="s">
        <v>159</v>
      </c>
      <c r="T57" s="8" t="s">
        <v>236</v>
      </c>
      <c r="U57" s="47" t="s">
        <v>197</v>
      </c>
      <c r="V57" s="8" t="s">
        <v>741</v>
      </c>
      <c r="W57" s="47" t="s">
        <v>0</v>
      </c>
      <c r="X57" s="47" t="s">
        <v>136</v>
      </c>
      <c r="Y57" s="8" t="s">
        <v>719</v>
      </c>
      <c r="Z57" s="27">
        <v>0.78</v>
      </c>
      <c r="AA57" s="76" t="s">
        <v>0</v>
      </c>
      <c r="AB57" s="78">
        <v>1.41</v>
      </c>
      <c r="AC57" s="8">
        <f t="shared" si="1"/>
        <v>0.78</v>
      </c>
      <c r="AD57" s="47">
        <f t="shared" si="2"/>
        <v>1.41</v>
      </c>
      <c r="AE57" s="8" t="s">
        <v>69</v>
      </c>
      <c r="AF57" s="8"/>
      <c r="AG57" s="8"/>
    </row>
    <row r="58" spans="1:33" x14ac:dyDescent="0.25">
      <c r="A58" s="8" t="s">
        <v>735</v>
      </c>
      <c r="B58" s="46" t="s">
        <v>2</v>
      </c>
      <c r="C58" s="47" t="s">
        <v>232</v>
      </c>
      <c r="D58" s="57" t="s">
        <v>86</v>
      </c>
      <c r="E58" s="46">
        <v>0.16</v>
      </c>
      <c r="F58" s="46">
        <v>8.4000000000000005E-2</v>
      </c>
      <c r="G58" s="47">
        <v>12</v>
      </c>
      <c r="H58" s="8" t="s">
        <v>57</v>
      </c>
      <c r="I58" s="8" t="s">
        <v>233</v>
      </c>
      <c r="J58" s="8" t="s">
        <v>59</v>
      </c>
      <c r="K58" s="47" t="s">
        <v>241</v>
      </c>
      <c r="L58" s="8" t="s">
        <v>60</v>
      </c>
      <c r="M58" s="8" t="s">
        <v>158</v>
      </c>
      <c r="N58" s="47" t="s">
        <v>235</v>
      </c>
      <c r="O58" s="8">
        <v>30</v>
      </c>
      <c r="P58" s="8">
        <v>5.4</v>
      </c>
      <c r="Q58" s="8"/>
      <c r="R58" s="8" t="s">
        <v>69</v>
      </c>
      <c r="S58" s="8" t="s">
        <v>159</v>
      </c>
      <c r="T58" s="8" t="s">
        <v>236</v>
      </c>
      <c r="U58" s="47" t="s">
        <v>197</v>
      </c>
      <c r="V58" s="8" t="s">
        <v>741</v>
      </c>
      <c r="W58" s="47" t="s">
        <v>0</v>
      </c>
      <c r="X58" s="47" t="s">
        <v>136</v>
      </c>
      <c r="Y58" s="8" t="s">
        <v>719</v>
      </c>
      <c r="Z58" s="27">
        <v>1.1100000000000001</v>
      </c>
      <c r="AA58" s="76" t="s">
        <v>0</v>
      </c>
      <c r="AB58" s="78">
        <v>1</v>
      </c>
      <c r="AC58" s="8">
        <f t="shared" si="1"/>
        <v>1.1100000000000001</v>
      </c>
      <c r="AD58" s="47">
        <f t="shared" si="2"/>
        <v>1</v>
      </c>
      <c r="AE58" s="8" t="s">
        <v>69</v>
      </c>
      <c r="AF58" s="8"/>
      <c r="AG58" s="8"/>
    </row>
    <row r="59" spans="1:33" x14ac:dyDescent="0.25">
      <c r="A59" s="8" t="s">
        <v>735</v>
      </c>
      <c r="B59" s="46" t="s">
        <v>2</v>
      </c>
      <c r="C59" s="47" t="s">
        <v>232</v>
      </c>
      <c r="D59" s="57" t="s">
        <v>86</v>
      </c>
      <c r="E59" s="46">
        <v>0.16</v>
      </c>
      <c r="F59" s="46">
        <v>8.4000000000000005E-2</v>
      </c>
      <c r="G59" s="47">
        <v>12</v>
      </c>
      <c r="H59" s="8" t="s">
        <v>57</v>
      </c>
      <c r="I59" s="8" t="s">
        <v>233</v>
      </c>
      <c r="J59" s="8" t="s">
        <v>59</v>
      </c>
      <c r="K59" s="47" t="s">
        <v>242</v>
      </c>
      <c r="L59" s="8" t="s">
        <v>60</v>
      </c>
      <c r="M59" s="8" t="s">
        <v>158</v>
      </c>
      <c r="N59" s="47" t="s">
        <v>235</v>
      </c>
      <c r="O59" s="8">
        <v>30</v>
      </c>
      <c r="P59" s="8">
        <v>5.4</v>
      </c>
      <c r="Q59" s="8"/>
      <c r="R59" s="8" t="s">
        <v>69</v>
      </c>
      <c r="S59" s="8" t="s">
        <v>159</v>
      </c>
      <c r="T59" s="8" t="s">
        <v>236</v>
      </c>
      <c r="U59" s="47" t="s">
        <v>197</v>
      </c>
      <c r="V59" s="8" t="s">
        <v>741</v>
      </c>
      <c r="W59" s="47" t="s">
        <v>0</v>
      </c>
      <c r="X59" s="47" t="s">
        <v>136</v>
      </c>
      <c r="Y59" s="8" t="s">
        <v>719</v>
      </c>
      <c r="Z59" s="27">
        <v>0.35</v>
      </c>
      <c r="AA59" s="76" t="s">
        <v>0</v>
      </c>
      <c r="AB59" s="78">
        <v>0.21</v>
      </c>
      <c r="AC59" s="8">
        <f t="shared" si="1"/>
        <v>0.35</v>
      </c>
      <c r="AD59" s="47">
        <f t="shared" si="2"/>
        <v>0.21</v>
      </c>
      <c r="AE59" s="8" t="s">
        <v>69</v>
      </c>
      <c r="AF59" s="8"/>
      <c r="AG59" s="8"/>
    </row>
    <row r="60" spans="1:33" x14ac:dyDescent="0.25">
      <c r="A60" s="8" t="s">
        <v>735</v>
      </c>
      <c r="B60" s="46" t="s">
        <v>2</v>
      </c>
      <c r="C60" s="47" t="s">
        <v>232</v>
      </c>
      <c r="D60" s="57" t="s">
        <v>86</v>
      </c>
      <c r="E60" s="46">
        <v>0.16</v>
      </c>
      <c r="F60" s="46">
        <v>8.4000000000000005E-2</v>
      </c>
      <c r="G60" s="47">
        <v>12</v>
      </c>
      <c r="H60" s="8" t="s">
        <v>57</v>
      </c>
      <c r="I60" s="8" t="s">
        <v>233</v>
      </c>
      <c r="J60" s="8" t="s">
        <v>59</v>
      </c>
      <c r="K60" s="47" t="s">
        <v>243</v>
      </c>
      <c r="L60" s="8" t="s">
        <v>60</v>
      </c>
      <c r="M60" s="8" t="s">
        <v>158</v>
      </c>
      <c r="N60" s="47" t="s">
        <v>235</v>
      </c>
      <c r="O60" s="8">
        <v>30</v>
      </c>
      <c r="P60" s="8">
        <v>5.4</v>
      </c>
      <c r="Q60" s="8"/>
      <c r="R60" s="8" t="s">
        <v>69</v>
      </c>
      <c r="S60" s="8" t="s">
        <v>159</v>
      </c>
      <c r="T60" s="8" t="s">
        <v>236</v>
      </c>
      <c r="U60" s="47" t="s">
        <v>197</v>
      </c>
      <c r="V60" s="8" t="s">
        <v>741</v>
      </c>
      <c r="W60" s="47" t="s">
        <v>0</v>
      </c>
      <c r="X60" s="47" t="s">
        <v>136</v>
      </c>
      <c r="Y60" s="8" t="s">
        <v>719</v>
      </c>
      <c r="Z60" s="27">
        <v>0.9</v>
      </c>
      <c r="AA60" s="76" t="s">
        <v>0</v>
      </c>
      <c r="AB60" s="78">
        <v>1.36</v>
      </c>
      <c r="AC60" s="8">
        <f t="shared" si="1"/>
        <v>0.9</v>
      </c>
      <c r="AD60" s="47">
        <f t="shared" si="2"/>
        <v>1.36</v>
      </c>
      <c r="AE60" s="8" t="s">
        <v>69</v>
      </c>
      <c r="AF60" s="8"/>
      <c r="AG60" s="8"/>
    </row>
    <row r="61" spans="1:33" x14ac:dyDescent="0.25">
      <c r="A61" s="8" t="s">
        <v>735</v>
      </c>
      <c r="B61" s="46" t="s">
        <v>2</v>
      </c>
      <c r="C61" s="47" t="s">
        <v>232</v>
      </c>
      <c r="D61" s="57" t="s">
        <v>86</v>
      </c>
      <c r="E61" s="46">
        <v>0.16</v>
      </c>
      <c r="F61" s="46">
        <v>8.4000000000000005E-2</v>
      </c>
      <c r="G61" s="47">
        <v>12</v>
      </c>
      <c r="H61" s="8" t="s">
        <v>57</v>
      </c>
      <c r="I61" s="8" t="s">
        <v>233</v>
      </c>
      <c r="J61" s="8" t="s">
        <v>59</v>
      </c>
      <c r="K61" s="47" t="s">
        <v>237</v>
      </c>
      <c r="L61" s="8" t="s">
        <v>60</v>
      </c>
      <c r="M61" s="8" t="s">
        <v>158</v>
      </c>
      <c r="N61" s="47" t="s">
        <v>235</v>
      </c>
      <c r="O61" s="8">
        <v>30</v>
      </c>
      <c r="P61" s="8">
        <v>5.4</v>
      </c>
      <c r="Q61" s="8"/>
      <c r="R61" s="8" t="s">
        <v>69</v>
      </c>
      <c r="S61" s="8" t="s">
        <v>159</v>
      </c>
      <c r="T61" s="8" t="s">
        <v>236</v>
      </c>
      <c r="U61" s="47" t="s">
        <v>197</v>
      </c>
      <c r="V61" s="8" t="s">
        <v>741</v>
      </c>
      <c r="W61" s="47" t="s">
        <v>0</v>
      </c>
      <c r="X61" s="47" t="s">
        <v>136</v>
      </c>
      <c r="Y61" s="8" t="s">
        <v>719</v>
      </c>
      <c r="Z61" s="27">
        <v>0.78</v>
      </c>
      <c r="AA61" s="76" t="s">
        <v>0</v>
      </c>
      <c r="AB61" s="78">
        <v>1.41</v>
      </c>
      <c r="AC61" s="8">
        <f t="shared" si="1"/>
        <v>0.78</v>
      </c>
      <c r="AD61" s="47">
        <f t="shared" si="2"/>
        <v>1.41</v>
      </c>
      <c r="AE61" s="8" t="s">
        <v>69</v>
      </c>
      <c r="AF61" s="8"/>
      <c r="AG61" s="8"/>
    </row>
    <row r="62" spans="1:33" x14ac:dyDescent="0.25">
      <c r="A62" s="8" t="s">
        <v>735</v>
      </c>
      <c r="B62" s="46" t="s">
        <v>2</v>
      </c>
      <c r="C62" s="47" t="s">
        <v>232</v>
      </c>
      <c r="D62" s="57" t="s">
        <v>86</v>
      </c>
      <c r="E62" s="46">
        <v>0.16</v>
      </c>
      <c r="F62" s="46">
        <v>8.4000000000000005E-2</v>
      </c>
      <c r="G62" s="47">
        <v>12</v>
      </c>
      <c r="H62" s="8" t="s">
        <v>57</v>
      </c>
      <c r="I62" s="8" t="s">
        <v>233</v>
      </c>
      <c r="J62" s="8" t="s">
        <v>59</v>
      </c>
      <c r="K62" s="47" t="s">
        <v>244</v>
      </c>
      <c r="L62" s="8" t="s">
        <v>60</v>
      </c>
      <c r="M62" s="8" t="s">
        <v>158</v>
      </c>
      <c r="N62" s="47" t="s">
        <v>235</v>
      </c>
      <c r="O62" s="8">
        <v>30</v>
      </c>
      <c r="P62" s="8">
        <v>5.4</v>
      </c>
      <c r="Q62" s="8"/>
      <c r="R62" s="8" t="s">
        <v>69</v>
      </c>
      <c r="S62" s="8" t="s">
        <v>159</v>
      </c>
      <c r="T62" s="8" t="s">
        <v>236</v>
      </c>
      <c r="U62" s="47" t="s">
        <v>197</v>
      </c>
      <c r="V62" s="8" t="s">
        <v>741</v>
      </c>
      <c r="W62" s="47" t="s">
        <v>0</v>
      </c>
      <c r="X62" s="47" t="s">
        <v>136</v>
      </c>
      <c r="Y62" s="8" t="s">
        <v>719</v>
      </c>
      <c r="Z62" s="27">
        <v>0.98</v>
      </c>
      <c r="AA62" s="76" t="s">
        <v>0</v>
      </c>
      <c r="AB62" s="78">
        <v>0.89</v>
      </c>
      <c r="AC62" s="8">
        <f t="shared" si="1"/>
        <v>0.98</v>
      </c>
      <c r="AD62" s="47">
        <f t="shared" si="2"/>
        <v>0.89</v>
      </c>
      <c r="AE62" s="8" t="s">
        <v>69</v>
      </c>
      <c r="AF62" s="8"/>
      <c r="AG62" s="8"/>
    </row>
    <row r="63" spans="1:33" x14ac:dyDescent="0.25">
      <c r="A63" s="8" t="s">
        <v>735</v>
      </c>
      <c r="B63" s="46" t="s">
        <v>2</v>
      </c>
      <c r="C63" s="47" t="s">
        <v>232</v>
      </c>
      <c r="D63" s="57" t="s">
        <v>86</v>
      </c>
      <c r="E63" s="46">
        <v>0.16</v>
      </c>
      <c r="F63" s="46">
        <v>8.4000000000000005E-2</v>
      </c>
      <c r="G63" s="47">
        <v>12</v>
      </c>
      <c r="H63" s="8" t="s">
        <v>57</v>
      </c>
      <c r="I63" s="8" t="s">
        <v>233</v>
      </c>
      <c r="J63" s="8" t="s">
        <v>59</v>
      </c>
      <c r="K63" s="47" t="s">
        <v>245</v>
      </c>
      <c r="L63" s="8" t="s">
        <v>60</v>
      </c>
      <c r="M63" s="8" t="s">
        <v>158</v>
      </c>
      <c r="N63" s="47" t="s">
        <v>235</v>
      </c>
      <c r="O63" s="8">
        <v>30</v>
      </c>
      <c r="P63" s="8">
        <v>5.4</v>
      </c>
      <c r="Q63" s="8"/>
      <c r="R63" s="8" t="s">
        <v>69</v>
      </c>
      <c r="S63" s="8" t="s">
        <v>159</v>
      </c>
      <c r="T63" s="8" t="s">
        <v>236</v>
      </c>
      <c r="U63" s="47" t="s">
        <v>197</v>
      </c>
      <c r="V63" s="8" t="s">
        <v>741</v>
      </c>
      <c r="W63" s="47" t="s">
        <v>0</v>
      </c>
      <c r="X63" s="47" t="s">
        <v>136</v>
      </c>
      <c r="Y63" s="8" t="s">
        <v>719</v>
      </c>
      <c r="Z63" s="27">
        <v>0.41</v>
      </c>
      <c r="AA63" s="76" t="s">
        <v>0</v>
      </c>
      <c r="AB63" s="78">
        <v>0.21</v>
      </c>
      <c r="AC63" s="8">
        <f t="shared" si="1"/>
        <v>0.41</v>
      </c>
      <c r="AD63" s="47">
        <f t="shared" si="2"/>
        <v>0.21</v>
      </c>
      <c r="AE63" s="8" t="s">
        <v>69</v>
      </c>
      <c r="AF63" s="8"/>
      <c r="AG63" s="8"/>
    </row>
    <row r="64" spans="1:33" x14ac:dyDescent="0.25">
      <c r="A64" s="4" t="s">
        <v>742</v>
      </c>
      <c r="B64" s="42" t="s">
        <v>55</v>
      </c>
      <c r="C64" s="43" t="s">
        <v>246</v>
      </c>
      <c r="D64" s="54" t="s">
        <v>86</v>
      </c>
      <c r="E64" s="42">
        <v>5</v>
      </c>
      <c r="F64" s="42">
        <v>4</v>
      </c>
      <c r="G64" s="43">
        <v>14</v>
      </c>
      <c r="H64" s="4" t="s">
        <v>72</v>
      </c>
      <c r="I64" s="4" t="s">
        <v>247</v>
      </c>
      <c r="J64" s="4" t="s">
        <v>0</v>
      </c>
      <c r="K64" s="43" t="s">
        <v>248</v>
      </c>
      <c r="L64" s="4" t="s">
        <v>60</v>
      </c>
      <c r="M64" s="4" t="s">
        <v>249</v>
      </c>
      <c r="N64" s="43" t="s">
        <v>250</v>
      </c>
      <c r="O64" s="4">
        <v>25</v>
      </c>
      <c r="P64" s="4" t="s">
        <v>1</v>
      </c>
      <c r="Q64" s="79" t="s">
        <v>251</v>
      </c>
      <c r="R64" s="4" t="s">
        <v>69</v>
      </c>
      <c r="S64" s="4" t="s">
        <v>252</v>
      </c>
      <c r="T64" s="4">
        <v>0</v>
      </c>
      <c r="U64" s="43" t="s">
        <v>718</v>
      </c>
      <c r="V64" s="4" t="s">
        <v>0</v>
      </c>
      <c r="W64" s="43" t="s">
        <v>0</v>
      </c>
      <c r="X64" s="43" t="s">
        <v>136</v>
      </c>
      <c r="Y64" s="79" t="s">
        <v>253</v>
      </c>
      <c r="Z64" s="4" t="s">
        <v>254</v>
      </c>
      <c r="AA64" s="4" t="s">
        <v>0</v>
      </c>
      <c r="AB64" s="4" t="s">
        <v>0</v>
      </c>
      <c r="AC64" s="4" t="s">
        <v>0</v>
      </c>
      <c r="AD64" s="43" t="s">
        <v>0</v>
      </c>
      <c r="AE64" s="4" t="s">
        <v>69</v>
      </c>
      <c r="AF64" s="4"/>
      <c r="AG64" s="4"/>
    </row>
    <row r="65" spans="1:33" x14ac:dyDescent="0.25">
      <c r="A65" s="4" t="s">
        <v>742</v>
      </c>
      <c r="B65" s="42" t="s">
        <v>55</v>
      </c>
      <c r="C65" s="43" t="s">
        <v>246</v>
      </c>
      <c r="D65" s="54" t="s">
        <v>86</v>
      </c>
      <c r="E65" s="42">
        <v>5</v>
      </c>
      <c r="F65" s="42">
        <v>4</v>
      </c>
      <c r="G65" s="43">
        <v>14</v>
      </c>
      <c r="H65" s="4" t="s">
        <v>72</v>
      </c>
      <c r="I65" s="4" t="s">
        <v>247</v>
      </c>
      <c r="J65" s="4" t="s">
        <v>0</v>
      </c>
      <c r="K65" s="43" t="s">
        <v>248</v>
      </c>
      <c r="L65" s="4" t="s">
        <v>60</v>
      </c>
      <c r="M65" s="4" t="s">
        <v>249</v>
      </c>
      <c r="N65" s="43" t="s">
        <v>250</v>
      </c>
      <c r="O65" s="4">
        <v>25</v>
      </c>
      <c r="P65" s="4" t="s">
        <v>1</v>
      </c>
      <c r="Q65" s="79" t="s">
        <v>255</v>
      </c>
      <c r="R65" s="4" t="s">
        <v>69</v>
      </c>
      <c r="S65" s="4" t="s">
        <v>252</v>
      </c>
      <c r="T65" s="4">
        <v>10</v>
      </c>
      <c r="U65" s="43" t="s">
        <v>718</v>
      </c>
      <c r="V65" s="4" t="s">
        <v>0</v>
      </c>
      <c r="W65" s="43" t="s">
        <v>0</v>
      </c>
      <c r="X65" s="43" t="s">
        <v>136</v>
      </c>
      <c r="Y65" s="79" t="s">
        <v>256</v>
      </c>
      <c r="Z65" s="4" t="s">
        <v>254</v>
      </c>
      <c r="AA65" s="4" t="s">
        <v>0</v>
      </c>
      <c r="AB65" s="4" t="s">
        <v>0</v>
      </c>
      <c r="AC65" s="4" t="s">
        <v>0</v>
      </c>
      <c r="AD65" s="43" t="s">
        <v>0</v>
      </c>
      <c r="AE65" s="4" t="s">
        <v>69</v>
      </c>
      <c r="AF65" s="4"/>
      <c r="AG65" s="4"/>
    </row>
    <row r="66" spans="1:33" x14ac:dyDescent="0.25">
      <c r="A66" s="4" t="s">
        <v>742</v>
      </c>
      <c r="B66" s="42" t="s">
        <v>55</v>
      </c>
      <c r="C66" s="43" t="s">
        <v>246</v>
      </c>
      <c r="D66" s="54" t="s">
        <v>86</v>
      </c>
      <c r="E66" s="42">
        <v>5</v>
      </c>
      <c r="F66" s="42">
        <v>4</v>
      </c>
      <c r="G66" s="43">
        <v>14</v>
      </c>
      <c r="H66" s="4" t="s">
        <v>72</v>
      </c>
      <c r="I66" s="4" t="s">
        <v>247</v>
      </c>
      <c r="J66" s="4" t="s">
        <v>0</v>
      </c>
      <c r="K66" s="43" t="s">
        <v>248</v>
      </c>
      <c r="L66" s="4" t="s">
        <v>60</v>
      </c>
      <c r="M66" s="4" t="s">
        <v>249</v>
      </c>
      <c r="N66" s="43" t="s">
        <v>250</v>
      </c>
      <c r="O66" s="4">
        <v>25</v>
      </c>
      <c r="P66" s="4" t="s">
        <v>1</v>
      </c>
      <c r="Q66" s="79" t="s">
        <v>740</v>
      </c>
      <c r="R66" s="4" t="s">
        <v>69</v>
      </c>
      <c r="S66" s="4" t="s">
        <v>252</v>
      </c>
      <c r="T66" s="4">
        <v>30</v>
      </c>
      <c r="U66" s="43" t="s">
        <v>718</v>
      </c>
      <c r="V66" s="4" t="s">
        <v>0</v>
      </c>
      <c r="W66" s="43" t="s">
        <v>0</v>
      </c>
      <c r="X66" s="43" t="s">
        <v>136</v>
      </c>
      <c r="Y66" s="79" t="s">
        <v>257</v>
      </c>
      <c r="Z66" s="4" t="s">
        <v>254</v>
      </c>
      <c r="AA66" s="4" t="s">
        <v>0</v>
      </c>
      <c r="AB66" s="4" t="s">
        <v>0</v>
      </c>
      <c r="AC66" s="4" t="s">
        <v>0</v>
      </c>
      <c r="AD66" s="43" t="s">
        <v>0</v>
      </c>
      <c r="AE66" s="4" t="s">
        <v>69</v>
      </c>
      <c r="AF66" s="4"/>
      <c r="AG66" s="4"/>
    </row>
    <row r="67" spans="1:33" x14ac:dyDescent="0.25">
      <c r="A67" s="4" t="s">
        <v>742</v>
      </c>
      <c r="B67" s="42" t="s">
        <v>55</v>
      </c>
      <c r="C67" s="43" t="s">
        <v>246</v>
      </c>
      <c r="D67" s="54" t="s">
        <v>86</v>
      </c>
      <c r="E67" s="42">
        <v>5</v>
      </c>
      <c r="F67" s="42">
        <v>4</v>
      </c>
      <c r="G67" s="43">
        <v>14</v>
      </c>
      <c r="H67" s="4" t="s">
        <v>72</v>
      </c>
      <c r="I67" s="4" t="s">
        <v>247</v>
      </c>
      <c r="J67" s="4" t="s">
        <v>0</v>
      </c>
      <c r="K67" s="43" t="s">
        <v>248</v>
      </c>
      <c r="L67" s="4" t="s">
        <v>60</v>
      </c>
      <c r="M67" s="4" t="s">
        <v>249</v>
      </c>
      <c r="N67" s="43" t="s">
        <v>250</v>
      </c>
      <c r="O67" s="4">
        <v>25</v>
      </c>
      <c r="P67" s="4" t="s">
        <v>1</v>
      </c>
      <c r="Q67" s="79" t="s">
        <v>258</v>
      </c>
      <c r="R67" s="4" t="s">
        <v>69</v>
      </c>
      <c r="S67" s="4" t="s">
        <v>252</v>
      </c>
      <c r="T67" s="4">
        <v>50</v>
      </c>
      <c r="U67" s="43" t="s">
        <v>718</v>
      </c>
      <c r="V67" s="4" t="s">
        <v>0</v>
      </c>
      <c r="W67" s="43" t="s">
        <v>0</v>
      </c>
      <c r="X67" s="43" t="s">
        <v>136</v>
      </c>
      <c r="Y67" s="79" t="s">
        <v>259</v>
      </c>
      <c r="Z67" s="4" t="s">
        <v>254</v>
      </c>
      <c r="AA67" s="4" t="s">
        <v>0</v>
      </c>
      <c r="AB67" s="4" t="s">
        <v>0</v>
      </c>
      <c r="AC67" s="4" t="s">
        <v>0</v>
      </c>
      <c r="AD67" s="43" t="s">
        <v>0</v>
      </c>
      <c r="AE67" s="4" t="s">
        <v>69</v>
      </c>
      <c r="AF67" s="4"/>
      <c r="AG67" s="4"/>
    </row>
    <row r="68" spans="1:33" x14ac:dyDescent="0.25">
      <c r="A68" s="4" t="s">
        <v>742</v>
      </c>
      <c r="B68" s="42" t="s">
        <v>55</v>
      </c>
      <c r="C68" s="43" t="s">
        <v>246</v>
      </c>
      <c r="D68" s="54" t="s">
        <v>86</v>
      </c>
      <c r="E68" s="42">
        <v>5</v>
      </c>
      <c r="F68" s="42">
        <v>4</v>
      </c>
      <c r="G68" s="43">
        <v>14</v>
      </c>
      <c r="H68" s="4" t="s">
        <v>72</v>
      </c>
      <c r="I68" s="4" t="s">
        <v>247</v>
      </c>
      <c r="J68" s="4" t="s">
        <v>0</v>
      </c>
      <c r="K68" s="43" t="s">
        <v>260</v>
      </c>
      <c r="L68" s="4" t="s">
        <v>60</v>
      </c>
      <c r="M68" s="4" t="s">
        <v>249</v>
      </c>
      <c r="N68" s="43" t="s">
        <v>250</v>
      </c>
      <c r="O68" s="4">
        <v>25</v>
      </c>
      <c r="P68" s="4" t="s">
        <v>1</v>
      </c>
      <c r="Q68" s="79" t="s">
        <v>251</v>
      </c>
      <c r="R68" s="4" t="s">
        <v>69</v>
      </c>
      <c r="S68" s="4" t="s">
        <v>252</v>
      </c>
      <c r="T68" s="4">
        <v>0</v>
      </c>
      <c r="U68" s="43" t="s">
        <v>718</v>
      </c>
      <c r="V68" s="4" t="s">
        <v>0</v>
      </c>
      <c r="W68" s="43" t="s">
        <v>0</v>
      </c>
      <c r="X68" s="43" t="s">
        <v>136</v>
      </c>
      <c r="Y68" s="79" t="s">
        <v>261</v>
      </c>
      <c r="Z68" s="4" t="s">
        <v>254</v>
      </c>
      <c r="AA68" s="4" t="s">
        <v>0</v>
      </c>
      <c r="AB68" s="4" t="s">
        <v>0</v>
      </c>
      <c r="AC68" s="4" t="s">
        <v>0</v>
      </c>
      <c r="AD68" s="43" t="s">
        <v>0</v>
      </c>
      <c r="AE68" s="4" t="s">
        <v>69</v>
      </c>
      <c r="AF68" s="4"/>
      <c r="AG68" s="4"/>
    </row>
    <row r="69" spans="1:33" x14ac:dyDescent="0.25">
      <c r="A69" s="4" t="s">
        <v>742</v>
      </c>
      <c r="B69" s="42" t="s">
        <v>55</v>
      </c>
      <c r="C69" s="43" t="s">
        <v>246</v>
      </c>
      <c r="D69" s="54" t="s">
        <v>86</v>
      </c>
      <c r="E69" s="42">
        <v>5</v>
      </c>
      <c r="F69" s="42">
        <v>4</v>
      </c>
      <c r="G69" s="43">
        <v>14</v>
      </c>
      <c r="H69" s="4" t="s">
        <v>72</v>
      </c>
      <c r="I69" s="4" t="s">
        <v>247</v>
      </c>
      <c r="J69" s="4" t="s">
        <v>0</v>
      </c>
      <c r="K69" s="43" t="s">
        <v>260</v>
      </c>
      <c r="L69" s="4" t="s">
        <v>60</v>
      </c>
      <c r="M69" s="4" t="s">
        <v>249</v>
      </c>
      <c r="N69" s="43" t="s">
        <v>250</v>
      </c>
      <c r="O69" s="4">
        <v>25</v>
      </c>
      <c r="P69" s="4" t="s">
        <v>1</v>
      </c>
      <c r="Q69" s="79" t="s">
        <v>262</v>
      </c>
      <c r="R69" s="4" t="s">
        <v>69</v>
      </c>
      <c r="S69" s="4" t="s">
        <v>252</v>
      </c>
      <c r="T69" s="4">
        <v>10</v>
      </c>
      <c r="U69" s="43" t="s">
        <v>718</v>
      </c>
      <c r="V69" s="4" t="s">
        <v>0</v>
      </c>
      <c r="W69" s="43" t="s">
        <v>0</v>
      </c>
      <c r="X69" s="43" t="s">
        <v>136</v>
      </c>
      <c r="Y69" s="79" t="s">
        <v>263</v>
      </c>
      <c r="Z69" s="4" t="s">
        <v>254</v>
      </c>
      <c r="AA69" s="4" t="s">
        <v>0</v>
      </c>
      <c r="AB69" s="4" t="s">
        <v>0</v>
      </c>
      <c r="AC69" s="4" t="s">
        <v>0</v>
      </c>
      <c r="AD69" s="43" t="s">
        <v>0</v>
      </c>
      <c r="AE69" s="4" t="s">
        <v>69</v>
      </c>
      <c r="AF69" s="4"/>
      <c r="AG69" s="4"/>
    </row>
    <row r="70" spans="1:33" x14ac:dyDescent="0.25">
      <c r="A70" s="4" t="s">
        <v>742</v>
      </c>
      <c r="B70" s="42" t="s">
        <v>55</v>
      </c>
      <c r="C70" s="43" t="s">
        <v>246</v>
      </c>
      <c r="D70" s="54" t="s">
        <v>86</v>
      </c>
      <c r="E70" s="42">
        <v>5</v>
      </c>
      <c r="F70" s="42">
        <v>4</v>
      </c>
      <c r="G70" s="43">
        <v>14</v>
      </c>
      <c r="H70" s="4" t="s">
        <v>72</v>
      </c>
      <c r="I70" s="4" t="s">
        <v>247</v>
      </c>
      <c r="J70" s="4" t="s">
        <v>0</v>
      </c>
      <c r="K70" s="43" t="s">
        <v>260</v>
      </c>
      <c r="L70" s="4" t="s">
        <v>60</v>
      </c>
      <c r="M70" s="4" t="s">
        <v>249</v>
      </c>
      <c r="N70" s="43" t="s">
        <v>250</v>
      </c>
      <c r="O70" s="4">
        <v>25</v>
      </c>
      <c r="P70" s="4" t="s">
        <v>1</v>
      </c>
      <c r="Q70" s="79" t="s">
        <v>264</v>
      </c>
      <c r="R70" s="4" t="s">
        <v>69</v>
      </c>
      <c r="S70" s="4" t="s">
        <v>252</v>
      </c>
      <c r="T70" s="4">
        <v>30</v>
      </c>
      <c r="U70" s="43" t="s">
        <v>718</v>
      </c>
      <c r="V70" s="4" t="s">
        <v>0</v>
      </c>
      <c r="W70" s="43" t="s">
        <v>0</v>
      </c>
      <c r="X70" s="43" t="s">
        <v>136</v>
      </c>
      <c r="Y70" s="79" t="s">
        <v>265</v>
      </c>
      <c r="Z70" s="4" t="s">
        <v>254</v>
      </c>
      <c r="AA70" s="4" t="s">
        <v>0</v>
      </c>
      <c r="AB70" s="4" t="s">
        <v>0</v>
      </c>
      <c r="AC70" s="4" t="s">
        <v>0</v>
      </c>
      <c r="AD70" s="43" t="s">
        <v>0</v>
      </c>
      <c r="AE70" s="4" t="s">
        <v>69</v>
      </c>
      <c r="AF70" s="4"/>
      <c r="AG70" s="4"/>
    </row>
    <row r="71" spans="1:33" x14ac:dyDescent="0.25">
      <c r="A71" s="4" t="s">
        <v>742</v>
      </c>
      <c r="B71" s="42" t="s">
        <v>55</v>
      </c>
      <c r="C71" s="43" t="s">
        <v>246</v>
      </c>
      <c r="D71" s="54" t="s">
        <v>86</v>
      </c>
      <c r="E71" s="42">
        <v>5</v>
      </c>
      <c r="F71" s="42">
        <v>4</v>
      </c>
      <c r="G71" s="43">
        <v>14</v>
      </c>
      <c r="H71" s="4" t="s">
        <v>72</v>
      </c>
      <c r="I71" s="4" t="s">
        <v>247</v>
      </c>
      <c r="J71" s="4" t="s">
        <v>0</v>
      </c>
      <c r="K71" s="43" t="s">
        <v>260</v>
      </c>
      <c r="L71" s="4" t="s">
        <v>60</v>
      </c>
      <c r="M71" s="4" t="s">
        <v>249</v>
      </c>
      <c r="N71" s="43" t="s">
        <v>250</v>
      </c>
      <c r="O71" s="4">
        <v>25</v>
      </c>
      <c r="P71" s="4" t="s">
        <v>1</v>
      </c>
      <c r="Q71" s="79" t="s">
        <v>266</v>
      </c>
      <c r="R71" s="4" t="s">
        <v>69</v>
      </c>
      <c r="S71" s="4" t="s">
        <v>252</v>
      </c>
      <c r="T71" s="4">
        <v>50</v>
      </c>
      <c r="U71" s="43" t="s">
        <v>718</v>
      </c>
      <c r="V71" s="4" t="s">
        <v>0</v>
      </c>
      <c r="W71" s="43" t="s">
        <v>0</v>
      </c>
      <c r="X71" s="43" t="s">
        <v>136</v>
      </c>
      <c r="Y71" s="79" t="s">
        <v>267</v>
      </c>
      <c r="Z71" s="4" t="s">
        <v>254</v>
      </c>
      <c r="AA71" s="4" t="s">
        <v>0</v>
      </c>
      <c r="AB71" s="4" t="s">
        <v>0</v>
      </c>
      <c r="AC71" s="4" t="s">
        <v>0</v>
      </c>
      <c r="AD71" s="43" t="s">
        <v>0</v>
      </c>
      <c r="AE71" s="4" t="s">
        <v>69</v>
      </c>
      <c r="AF71" s="4"/>
      <c r="AG71" s="4"/>
    </row>
    <row r="72" spans="1:33" x14ac:dyDescent="0.25">
      <c r="A72" s="4" t="s">
        <v>742</v>
      </c>
      <c r="B72" s="42" t="s">
        <v>55</v>
      </c>
      <c r="C72" s="43" t="s">
        <v>246</v>
      </c>
      <c r="D72" s="54" t="s">
        <v>86</v>
      </c>
      <c r="E72" s="42">
        <v>5</v>
      </c>
      <c r="F72" s="42">
        <v>4</v>
      </c>
      <c r="G72" s="43">
        <v>14</v>
      </c>
      <c r="H72" s="4" t="s">
        <v>72</v>
      </c>
      <c r="I72" s="4" t="s">
        <v>247</v>
      </c>
      <c r="J72" s="4" t="s">
        <v>0</v>
      </c>
      <c r="K72" s="43" t="s">
        <v>268</v>
      </c>
      <c r="L72" s="4" t="s">
        <v>60</v>
      </c>
      <c r="M72" s="4" t="s">
        <v>249</v>
      </c>
      <c r="N72" s="43" t="s">
        <v>250</v>
      </c>
      <c r="O72" s="4">
        <v>25</v>
      </c>
      <c r="P72" s="4" t="s">
        <v>1</v>
      </c>
      <c r="Q72" s="79" t="s">
        <v>269</v>
      </c>
      <c r="R72" s="4" t="s">
        <v>69</v>
      </c>
      <c r="S72" s="4" t="s">
        <v>252</v>
      </c>
      <c r="T72" s="4">
        <v>0</v>
      </c>
      <c r="U72" s="43" t="s">
        <v>718</v>
      </c>
      <c r="V72" s="4" t="s">
        <v>0</v>
      </c>
      <c r="W72" s="43" t="s">
        <v>0</v>
      </c>
      <c r="X72" s="43" t="s">
        <v>136</v>
      </c>
      <c r="Y72" s="79" t="s">
        <v>270</v>
      </c>
      <c r="Z72" s="4" t="s">
        <v>254</v>
      </c>
      <c r="AA72" s="4" t="s">
        <v>0</v>
      </c>
      <c r="AB72" s="4" t="s">
        <v>0</v>
      </c>
      <c r="AC72" s="4" t="s">
        <v>0</v>
      </c>
      <c r="AD72" s="43" t="s">
        <v>0</v>
      </c>
      <c r="AE72" s="4" t="s">
        <v>69</v>
      </c>
      <c r="AF72" s="4"/>
      <c r="AG72" s="4"/>
    </row>
    <row r="73" spans="1:33" x14ac:dyDescent="0.25">
      <c r="A73" s="4" t="s">
        <v>742</v>
      </c>
      <c r="B73" s="42" t="s">
        <v>55</v>
      </c>
      <c r="C73" s="43" t="s">
        <v>246</v>
      </c>
      <c r="D73" s="54" t="s">
        <v>86</v>
      </c>
      <c r="E73" s="42">
        <v>5</v>
      </c>
      <c r="F73" s="42">
        <v>4</v>
      </c>
      <c r="G73" s="43">
        <v>14</v>
      </c>
      <c r="H73" s="4" t="s">
        <v>72</v>
      </c>
      <c r="I73" s="4" t="s">
        <v>247</v>
      </c>
      <c r="J73" s="4" t="s">
        <v>0</v>
      </c>
      <c r="K73" s="43" t="s">
        <v>268</v>
      </c>
      <c r="L73" s="4" t="s">
        <v>60</v>
      </c>
      <c r="M73" s="4" t="s">
        <v>249</v>
      </c>
      <c r="N73" s="43" t="s">
        <v>250</v>
      </c>
      <c r="O73" s="4">
        <v>25</v>
      </c>
      <c r="P73" s="4" t="s">
        <v>1</v>
      </c>
      <c r="Q73" s="79" t="s">
        <v>262</v>
      </c>
      <c r="R73" s="4" t="s">
        <v>69</v>
      </c>
      <c r="S73" s="4" t="s">
        <v>252</v>
      </c>
      <c r="T73" s="4">
        <v>10</v>
      </c>
      <c r="U73" s="43" t="s">
        <v>718</v>
      </c>
      <c r="V73" s="4" t="s">
        <v>0</v>
      </c>
      <c r="W73" s="43" t="s">
        <v>0</v>
      </c>
      <c r="X73" s="43" t="s">
        <v>136</v>
      </c>
      <c r="Y73" s="79" t="s">
        <v>271</v>
      </c>
      <c r="Z73" s="4" t="s">
        <v>254</v>
      </c>
      <c r="AA73" s="4" t="s">
        <v>0</v>
      </c>
      <c r="AB73" s="4" t="s">
        <v>0</v>
      </c>
      <c r="AC73" s="4" t="s">
        <v>0</v>
      </c>
      <c r="AD73" s="43" t="s">
        <v>0</v>
      </c>
      <c r="AE73" s="4" t="s">
        <v>69</v>
      </c>
      <c r="AF73" s="4"/>
      <c r="AG73" s="4"/>
    </row>
    <row r="74" spans="1:33" x14ac:dyDescent="0.25">
      <c r="A74" s="4" t="s">
        <v>742</v>
      </c>
      <c r="B74" s="42" t="s">
        <v>55</v>
      </c>
      <c r="C74" s="43" t="s">
        <v>246</v>
      </c>
      <c r="D74" s="54" t="s">
        <v>86</v>
      </c>
      <c r="E74" s="42">
        <v>5</v>
      </c>
      <c r="F74" s="42">
        <v>4</v>
      </c>
      <c r="G74" s="43">
        <v>14</v>
      </c>
      <c r="H74" s="4" t="s">
        <v>72</v>
      </c>
      <c r="I74" s="4" t="s">
        <v>247</v>
      </c>
      <c r="J74" s="4" t="s">
        <v>0</v>
      </c>
      <c r="K74" s="43" t="s">
        <v>268</v>
      </c>
      <c r="L74" s="4" t="s">
        <v>60</v>
      </c>
      <c r="M74" s="4" t="s">
        <v>249</v>
      </c>
      <c r="N74" s="43" t="s">
        <v>250</v>
      </c>
      <c r="O74" s="4">
        <v>25</v>
      </c>
      <c r="P74" s="4" t="s">
        <v>1</v>
      </c>
      <c r="Q74" s="79" t="s">
        <v>264</v>
      </c>
      <c r="R74" s="4" t="s">
        <v>69</v>
      </c>
      <c r="S74" s="4" t="s">
        <v>252</v>
      </c>
      <c r="T74" s="4">
        <v>30</v>
      </c>
      <c r="U74" s="43" t="s">
        <v>718</v>
      </c>
      <c r="V74" s="4" t="s">
        <v>0</v>
      </c>
      <c r="W74" s="43" t="s">
        <v>0</v>
      </c>
      <c r="X74" s="43" t="s">
        <v>136</v>
      </c>
      <c r="Y74" s="79" t="s">
        <v>272</v>
      </c>
      <c r="Z74" s="4" t="s">
        <v>254</v>
      </c>
      <c r="AA74" s="4" t="s">
        <v>0</v>
      </c>
      <c r="AB74" s="4" t="s">
        <v>0</v>
      </c>
      <c r="AC74" s="4" t="s">
        <v>0</v>
      </c>
      <c r="AD74" s="43" t="s">
        <v>0</v>
      </c>
      <c r="AE74" s="4" t="s">
        <v>69</v>
      </c>
      <c r="AF74" s="4"/>
      <c r="AG74" s="4"/>
    </row>
    <row r="75" spans="1:33" x14ac:dyDescent="0.25">
      <c r="A75" s="4" t="s">
        <v>742</v>
      </c>
      <c r="B75" s="42" t="s">
        <v>55</v>
      </c>
      <c r="C75" s="43" t="s">
        <v>246</v>
      </c>
      <c r="D75" s="54" t="s">
        <v>86</v>
      </c>
      <c r="E75" s="42">
        <v>5</v>
      </c>
      <c r="F75" s="42">
        <v>4</v>
      </c>
      <c r="G75" s="43">
        <v>14</v>
      </c>
      <c r="H75" s="4" t="s">
        <v>72</v>
      </c>
      <c r="I75" s="4" t="s">
        <v>247</v>
      </c>
      <c r="J75" s="4" t="s">
        <v>0</v>
      </c>
      <c r="K75" s="43" t="s">
        <v>268</v>
      </c>
      <c r="L75" s="4" t="s">
        <v>60</v>
      </c>
      <c r="M75" s="4" t="s">
        <v>249</v>
      </c>
      <c r="N75" s="43" t="s">
        <v>250</v>
      </c>
      <c r="O75" s="4">
        <v>25</v>
      </c>
      <c r="P75" s="4" t="s">
        <v>1</v>
      </c>
      <c r="Q75" s="79" t="s">
        <v>264</v>
      </c>
      <c r="R75" s="4" t="s">
        <v>69</v>
      </c>
      <c r="S75" s="4" t="s">
        <v>252</v>
      </c>
      <c r="T75" s="4">
        <v>50</v>
      </c>
      <c r="U75" s="43" t="s">
        <v>718</v>
      </c>
      <c r="V75" s="4" t="s">
        <v>0</v>
      </c>
      <c r="W75" s="43" t="s">
        <v>0</v>
      </c>
      <c r="X75" s="43" t="s">
        <v>136</v>
      </c>
      <c r="Y75" s="79" t="s">
        <v>273</v>
      </c>
      <c r="Z75" s="4" t="s">
        <v>254</v>
      </c>
      <c r="AA75" s="4" t="s">
        <v>0</v>
      </c>
      <c r="AB75" s="4" t="s">
        <v>0</v>
      </c>
      <c r="AC75" s="4" t="s">
        <v>0</v>
      </c>
      <c r="AD75" s="43" t="s">
        <v>0</v>
      </c>
      <c r="AE75" s="4" t="s">
        <v>69</v>
      </c>
      <c r="AF75" s="4"/>
      <c r="AG75" s="4"/>
    </row>
    <row r="76" spans="1:33" x14ac:dyDescent="0.25">
      <c r="A76" s="8" t="s">
        <v>744</v>
      </c>
      <c r="B76" s="46" t="s">
        <v>55</v>
      </c>
      <c r="C76" s="47" t="s">
        <v>274</v>
      </c>
      <c r="D76" s="57" t="s">
        <v>14</v>
      </c>
      <c r="E76" s="46">
        <v>7</v>
      </c>
      <c r="F76" s="46">
        <v>6</v>
      </c>
      <c r="G76" s="47">
        <v>71</v>
      </c>
      <c r="H76" s="8" t="s">
        <v>72</v>
      </c>
      <c r="I76" s="8" t="s">
        <v>275</v>
      </c>
      <c r="J76" s="8" t="s">
        <v>0</v>
      </c>
      <c r="K76" s="47" t="s">
        <v>276</v>
      </c>
      <c r="L76" s="8" t="s">
        <v>69</v>
      </c>
      <c r="M76" s="8" t="s">
        <v>0</v>
      </c>
      <c r="N76" s="47" t="s">
        <v>0</v>
      </c>
      <c r="O76" s="8">
        <v>30</v>
      </c>
      <c r="P76" s="8">
        <v>6.5</v>
      </c>
      <c r="Q76" s="8">
        <v>6</v>
      </c>
      <c r="R76" s="8" t="s">
        <v>69</v>
      </c>
      <c r="S76" s="8" t="s">
        <v>0</v>
      </c>
      <c r="T76" s="8" t="s">
        <v>0</v>
      </c>
      <c r="U76" s="47" t="s">
        <v>277</v>
      </c>
      <c r="V76" s="8" t="s">
        <v>0</v>
      </c>
      <c r="W76" s="47" t="s">
        <v>0</v>
      </c>
      <c r="X76" s="47" t="s">
        <v>1</v>
      </c>
      <c r="Y76" s="22" t="s">
        <v>278</v>
      </c>
      <c r="Z76" s="22" t="s">
        <v>745</v>
      </c>
      <c r="AA76" s="22" t="s">
        <v>0</v>
      </c>
      <c r="AB76" s="8" t="s">
        <v>0</v>
      </c>
      <c r="AC76" s="8" t="s">
        <v>0</v>
      </c>
      <c r="AD76" s="47" t="s">
        <v>0</v>
      </c>
      <c r="AE76" s="8" t="s">
        <v>69</v>
      </c>
      <c r="AF76" s="8"/>
      <c r="AG76" s="8" t="s">
        <v>279</v>
      </c>
    </row>
    <row r="77" spans="1:33" x14ac:dyDescent="0.25">
      <c r="A77" s="4" t="s">
        <v>746</v>
      </c>
      <c r="B77" s="42" t="s">
        <v>55</v>
      </c>
      <c r="C77" s="43" t="s">
        <v>280</v>
      </c>
      <c r="D77" s="54" t="s">
        <v>281</v>
      </c>
      <c r="E77" s="42">
        <v>0.32</v>
      </c>
      <c r="F77" s="42">
        <v>0.23</v>
      </c>
      <c r="G77" s="43">
        <v>30</v>
      </c>
      <c r="H77" s="4" t="s">
        <v>72</v>
      </c>
      <c r="I77" s="4" t="s">
        <v>282</v>
      </c>
      <c r="J77" s="4" t="s">
        <v>0</v>
      </c>
      <c r="K77" s="43" t="s">
        <v>283</v>
      </c>
      <c r="L77" s="4" t="s">
        <v>60</v>
      </c>
      <c r="M77" s="4" t="s">
        <v>249</v>
      </c>
      <c r="N77" s="43" t="s">
        <v>284</v>
      </c>
      <c r="O77" s="4">
        <v>37</v>
      </c>
      <c r="P77" s="4">
        <v>7</v>
      </c>
      <c r="Q77" s="4">
        <v>4.5</v>
      </c>
      <c r="R77" s="4" t="s">
        <v>69</v>
      </c>
      <c r="S77" s="4" t="s">
        <v>285</v>
      </c>
      <c r="T77" s="4">
        <v>2</v>
      </c>
      <c r="U77" s="43" t="s">
        <v>286</v>
      </c>
      <c r="V77" s="4" t="s">
        <v>176</v>
      </c>
      <c r="W77" s="43" t="s">
        <v>0</v>
      </c>
      <c r="X77" s="43" t="s">
        <v>136</v>
      </c>
      <c r="Y77" s="4" t="s">
        <v>287</v>
      </c>
      <c r="Z77" s="24" t="s">
        <v>288</v>
      </c>
      <c r="AA77" s="4" t="s">
        <v>0</v>
      </c>
      <c r="AB77" s="4" t="s">
        <v>0</v>
      </c>
      <c r="AC77" s="4">
        <f>0.1*3.374</f>
        <v>0.33740000000000003</v>
      </c>
      <c r="AD77" s="43" t="s">
        <v>0</v>
      </c>
      <c r="AE77" s="4" t="s">
        <v>69</v>
      </c>
      <c r="AF77" s="4"/>
      <c r="AG77" s="4"/>
    </row>
    <row r="78" spans="1:33" x14ac:dyDescent="0.25">
      <c r="A78" s="4" t="s">
        <v>746</v>
      </c>
      <c r="B78" s="42" t="s">
        <v>55</v>
      </c>
      <c r="C78" s="43" t="s">
        <v>289</v>
      </c>
      <c r="D78" s="54" t="s">
        <v>281</v>
      </c>
      <c r="E78" s="42">
        <v>0.32</v>
      </c>
      <c r="F78" s="42">
        <v>0.23</v>
      </c>
      <c r="G78" s="43">
        <v>30</v>
      </c>
      <c r="H78" s="4" t="s">
        <v>72</v>
      </c>
      <c r="I78" s="4" t="s">
        <v>282</v>
      </c>
      <c r="J78" s="4" t="s">
        <v>0</v>
      </c>
      <c r="K78" s="43" t="s">
        <v>283</v>
      </c>
      <c r="L78" s="4" t="s">
        <v>60</v>
      </c>
      <c r="M78" s="4" t="s">
        <v>249</v>
      </c>
      <c r="N78" s="43" t="s">
        <v>284</v>
      </c>
      <c r="O78" s="4">
        <v>37</v>
      </c>
      <c r="P78" s="4">
        <v>7</v>
      </c>
      <c r="Q78" s="4" t="s">
        <v>1</v>
      </c>
      <c r="R78" s="4" t="s">
        <v>69</v>
      </c>
      <c r="S78" s="4" t="s">
        <v>285</v>
      </c>
      <c r="T78" s="4" t="s">
        <v>0</v>
      </c>
      <c r="U78" s="43" t="s">
        <v>286</v>
      </c>
      <c r="V78" s="4" t="s">
        <v>176</v>
      </c>
      <c r="W78" s="43" t="s">
        <v>0</v>
      </c>
      <c r="X78" s="43" t="s">
        <v>136</v>
      </c>
      <c r="Y78" s="4" t="s">
        <v>0</v>
      </c>
      <c r="Z78" s="4" t="s">
        <v>0</v>
      </c>
      <c r="AA78" s="4" t="s">
        <v>0</v>
      </c>
      <c r="AB78" s="4" t="s">
        <v>0</v>
      </c>
      <c r="AC78" s="4" t="s">
        <v>0</v>
      </c>
      <c r="AD78" s="43" t="s">
        <v>0</v>
      </c>
      <c r="AE78" s="4" t="s">
        <v>69</v>
      </c>
      <c r="AF78" s="4"/>
      <c r="AG78" s="4" t="s">
        <v>290</v>
      </c>
    </row>
    <row r="79" spans="1:33" x14ac:dyDescent="0.25">
      <c r="A79" s="4" t="s">
        <v>746</v>
      </c>
      <c r="B79" s="42" t="s">
        <v>55</v>
      </c>
      <c r="C79" s="43" t="s">
        <v>291</v>
      </c>
      <c r="D79" s="54" t="s">
        <v>281</v>
      </c>
      <c r="E79" s="42">
        <v>0.32</v>
      </c>
      <c r="F79" s="42">
        <v>0.23</v>
      </c>
      <c r="G79" s="43">
        <v>30</v>
      </c>
      <c r="H79" s="4" t="s">
        <v>72</v>
      </c>
      <c r="I79" s="4" t="s">
        <v>282</v>
      </c>
      <c r="J79" s="4" t="s">
        <v>0</v>
      </c>
      <c r="K79" s="43" t="s">
        <v>292</v>
      </c>
      <c r="L79" s="4" t="s">
        <v>60</v>
      </c>
      <c r="M79" s="4" t="s">
        <v>249</v>
      </c>
      <c r="N79" s="43" t="s">
        <v>284</v>
      </c>
      <c r="O79" s="4">
        <v>37</v>
      </c>
      <c r="P79" s="4">
        <v>7</v>
      </c>
      <c r="Q79" s="4" t="s">
        <v>1</v>
      </c>
      <c r="R79" s="4" t="s">
        <v>69</v>
      </c>
      <c r="S79" s="4" t="s">
        <v>285</v>
      </c>
      <c r="T79" s="4" t="s">
        <v>0</v>
      </c>
      <c r="U79" s="43" t="s">
        <v>286</v>
      </c>
      <c r="V79" s="4" t="s">
        <v>176</v>
      </c>
      <c r="W79" s="43" t="s">
        <v>0</v>
      </c>
      <c r="X79" s="43" t="s">
        <v>136</v>
      </c>
      <c r="Y79" s="4" t="s">
        <v>0</v>
      </c>
      <c r="Z79" s="4" t="s">
        <v>0</v>
      </c>
      <c r="AA79" s="4" t="s">
        <v>0</v>
      </c>
      <c r="AB79" s="4" t="s">
        <v>0</v>
      </c>
      <c r="AC79" s="4" t="s">
        <v>0</v>
      </c>
      <c r="AD79" s="43" t="s">
        <v>0</v>
      </c>
      <c r="AE79" s="4" t="s">
        <v>69</v>
      </c>
      <c r="AF79" s="4"/>
      <c r="AG79" s="4" t="s">
        <v>290</v>
      </c>
    </row>
    <row r="80" spans="1:33" x14ac:dyDescent="0.25">
      <c r="A80" s="4" t="s">
        <v>746</v>
      </c>
      <c r="B80" s="42" t="s">
        <v>55</v>
      </c>
      <c r="C80" s="43" t="s">
        <v>280</v>
      </c>
      <c r="D80" s="54" t="s">
        <v>281</v>
      </c>
      <c r="E80" s="42">
        <v>0.32</v>
      </c>
      <c r="F80" s="42">
        <v>0.23</v>
      </c>
      <c r="G80" s="43">
        <v>30</v>
      </c>
      <c r="H80" s="4" t="s">
        <v>72</v>
      </c>
      <c r="I80" s="4" t="s">
        <v>293</v>
      </c>
      <c r="J80" s="4" t="s">
        <v>0</v>
      </c>
      <c r="K80" s="43" t="s">
        <v>283</v>
      </c>
      <c r="L80" s="4" t="s">
        <v>60</v>
      </c>
      <c r="M80" s="4" t="s">
        <v>249</v>
      </c>
      <c r="N80" s="43" t="s">
        <v>284</v>
      </c>
      <c r="O80" s="4">
        <v>37</v>
      </c>
      <c r="P80" s="4">
        <v>7</v>
      </c>
      <c r="Q80" s="4">
        <v>4.5</v>
      </c>
      <c r="R80" s="4" t="s">
        <v>69</v>
      </c>
      <c r="S80" s="4" t="s">
        <v>294</v>
      </c>
      <c r="T80" s="4">
        <v>2</v>
      </c>
      <c r="U80" s="43" t="s">
        <v>286</v>
      </c>
      <c r="V80" s="4" t="s">
        <v>176</v>
      </c>
      <c r="W80" s="43" t="s">
        <v>0</v>
      </c>
      <c r="X80" s="43" t="s">
        <v>136</v>
      </c>
      <c r="Y80" s="4" t="s">
        <v>295</v>
      </c>
      <c r="Z80" s="24" t="s">
        <v>288</v>
      </c>
      <c r="AA80" s="4" t="s">
        <v>0</v>
      </c>
      <c r="AB80" s="4" t="s">
        <v>0</v>
      </c>
      <c r="AC80" s="4">
        <f>0.1*3.11</f>
        <v>0.311</v>
      </c>
      <c r="AD80" s="43" t="s">
        <v>0</v>
      </c>
      <c r="AE80" s="4" t="s">
        <v>69</v>
      </c>
      <c r="AF80" s="4"/>
      <c r="AG80" s="4"/>
    </row>
    <row r="81" spans="1:35" x14ac:dyDescent="0.25">
      <c r="A81" s="4" t="s">
        <v>746</v>
      </c>
      <c r="B81" s="42" t="s">
        <v>55</v>
      </c>
      <c r="C81" s="43" t="s">
        <v>280</v>
      </c>
      <c r="D81" s="54" t="s">
        <v>281</v>
      </c>
      <c r="E81" s="42">
        <v>0.32</v>
      </c>
      <c r="F81" s="42">
        <v>0.23</v>
      </c>
      <c r="G81" s="43">
        <v>30</v>
      </c>
      <c r="H81" s="4" t="s">
        <v>72</v>
      </c>
      <c r="I81" s="4" t="s">
        <v>296</v>
      </c>
      <c r="J81" s="4" t="s">
        <v>0</v>
      </c>
      <c r="K81" s="43" t="s">
        <v>283</v>
      </c>
      <c r="L81" s="4" t="s">
        <v>60</v>
      </c>
      <c r="M81" s="4" t="s">
        <v>249</v>
      </c>
      <c r="N81" s="43" t="s">
        <v>284</v>
      </c>
      <c r="O81" s="4">
        <v>37</v>
      </c>
      <c r="P81" s="4">
        <v>7</v>
      </c>
      <c r="Q81" s="4">
        <v>5.7</v>
      </c>
      <c r="R81" s="4" t="s">
        <v>69</v>
      </c>
      <c r="S81" s="4" t="s">
        <v>297</v>
      </c>
      <c r="T81" s="4">
        <v>2</v>
      </c>
      <c r="U81" s="43" t="s">
        <v>286</v>
      </c>
      <c r="V81" s="4" t="s">
        <v>176</v>
      </c>
      <c r="W81" s="43" t="s">
        <v>0</v>
      </c>
      <c r="X81" s="43" t="s">
        <v>136</v>
      </c>
      <c r="Y81" s="4" t="s">
        <v>298</v>
      </c>
      <c r="Z81" s="24" t="s">
        <v>288</v>
      </c>
      <c r="AA81" s="4" t="s">
        <v>0</v>
      </c>
      <c r="AB81" s="4" t="s">
        <v>0</v>
      </c>
      <c r="AC81" s="4">
        <f>0.1*2.2707</f>
        <v>0.22707000000000002</v>
      </c>
      <c r="AD81" s="43" t="s">
        <v>0</v>
      </c>
      <c r="AE81" s="4" t="s">
        <v>69</v>
      </c>
      <c r="AF81" s="4"/>
      <c r="AG81" s="4"/>
    </row>
    <row r="82" spans="1:35" x14ac:dyDescent="0.25">
      <c r="A82" s="4" t="s">
        <v>746</v>
      </c>
      <c r="B82" s="42" t="s">
        <v>55</v>
      </c>
      <c r="C82" s="43" t="s">
        <v>280</v>
      </c>
      <c r="D82" s="54" t="s">
        <v>281</v>
      </c>
      <c r="E82" s="42">
        <v>0.32</v>
      </c>
      <c r="F82" s="42">
        <v>0.23</v>
      </c>
      <c r="G82" s="43">
        <v>30</v>
      </c>
      <c r="H82" s="4" t="s">
        <v>72</v>
      </c>
      <c r="I82" s="4" t="s">
        <v>299</v>
      </c>
      <c r="J82" s="4" t="s">
        <v>0</v>
      </c>
      <c r="K82" s="43" t="s">
        <v>283</v>
      </c>
      <c r="L82" s="4" t="s">
        <v>60</v>
      </c>
      <c r="M82" s="4" t="s">
        <v>249</v>
      </c>
      <c r="N82" s="43" t="s">
        <v>284</v>
      </c>
      <c r="O82" s="4">
        <v>37</v>
      </c>
      <c r="P82" s="4">
        <v>7</v>
      </c>
      <c r="Q82" s="4">
        <v>6.2</v>
      </c>
      <c r="R82" s="4" t="s">
        <v>69</v>
      </c>
      <c r="S82" s="4" t="s">
        <v>300</v>
      </c>
      <c r="T82" s="4">
        <v>2</v>
      </c>
      <c r="U82" s="43" t="s">
        <v>286</v>
      </c>
      <c r="V82" s="4" t="s">
        <v>176</v>
      </c>
      <c r="W82" s="43" t="s">
        <v>0</v>
      </c>
      <c r="X82" s="43" t="s">
        <v>136</v>
      </c>
      <c r="Y82" s="4" t="s">
        <v>301</v>
      </c>
      <c r="Z82" s="24" t="s">
        <v>288</v>
      </c>
      <c r="AA82" s="4" t="s">
        <v>0</v>
      </c>
      <c r="AB82" s="4" t="s">
        <v>0</v>
      </c>
      <c r="AC82" s="4">
        <f>0.1*1.144</f>
        <v>0.1144</v>
      </c>
      <c r="AD82" s="43" t="s">
        <v>0</v>
      </c>
      <c r="AE82" s="4" t="s">
        <v>69</v>
      </c>
      <c r="AF82" s="4"/>
      <c r="AG82" s="4"/>
    </row>
    <row r="83" spans="1:35" x14ac:dyDescent="0.25">
      <c r="A83" s="8" t="s">
        <v>747</v>
      </c>
      <c r="B83" s="46" t="s">
        <v>55</v>
      </c>
      <c r="C83" s="47" t="s">
        <v>302</v>
      </c>
      <c r="D83" s="57" t="s">
        <v>281</v>
      </c>
      <c r="E83" s="46">
        <v>0.32</v>
      </c>
      <c r="F83" s="46">
        <v>0.14000000000000001</v>
      </c>
      <c r="G83" s="47">
        <v>21</v>
      </c>
      <c r="H83" s="8" t="s">
        <v>72</v>
      </c>
      <c r="I83" s="8" t="s">
        <v>303</v>
      </c>
      <c r="J83" s="8" t="s">
        <v>0</v>
      </c>
      <c r="K83" s="47" t="s">
        <v>304</v>
      </c>
      <c r="L83" s="8" t="s">
        <v>60</v>
      </c>
      <c r="M83" s="8" t="s">
        <v>249</v>
      </c>
      <c r="N83" s="47" t="s">
        <v>305</v>
      </c>
      <c r="O83" s="8">
        <v>32</v>
      </c>
      <c r="P83" s="8">
        <v>6</v>
      </c>
      <c r="Q83" s="8">
        <v>7.8</v>
      </c>
      <c r="R83" s="8" t="s">
        <v>69</v>
      </c>
      <c r="S83" s="8" t="s">
        <v>252</v>
      </c>
      <c r="T83" s="8">
        <v>2</v>
      </c>
      <c r="U83" s="47" t="s">
        <v>77</v>
      </c>
      <c r="V83" s="8" t="s">
        <v>110</v>
      </c>
      <c r="W83" s="47" t="s">
        <v>0</v>
      </c>
      <c r="X83" s="47" t="s">
        <v>306</v>
      </c>
      <c r="Y83" s="8" t="s">
        <v>307</v>
      </c>
      <c r="Z83" s="28">
        <v>0</v>
      </c>
      <c r="AA83" s="80" t="s">
        <v>0</v>
      </c>
      <c r="AB83" s="80" t="s">
        <v>0</v>
      </c>
      <c r="AC83" s="8">
        <v>0</v>
      </c>
      <c r="AD83" s="47" t="s">
        <v>0</v>
      </c>
      <c r="AE83" s="8" t="s">
        <v>69</v>
      </c>
      <c r="AF83" s="8"/>
      <c r="AG83" s="8"/>
    </row>
    <row r="84" spans="1:35" x14ac:dyDescent="0.25">
      <c r="A84" s="8" t="s">
        <v>747</v>
      </c>
      <c r="B84" s="46" t="s">
        <v>55</v>
      </c>
      <c r="C84" s="47" t="s">
        <v>302</v>
      </c>
      <c r="D84" s="57" t="s">
        <v>281</v>
      </c>
      <c r="E84" s="46">
        <v>0.32</v>
      </c>
      <c r="F84" s="46">
        <v>0.14000000000000001</v>
      </c>
      <c r="G84" s="47">
        <v>21</v>
      </c>
      <c r="H84" s="8" t="s">
        <v>72</v>
      </c>
      <c r="I84" s="8" t="s">
        <v>303</v>
      </c>
      <c r="J84" s="8" t="s">
        <v>0</v>
      </c>
      <c r="K84" s="47" t="s">
        <v>112</v>
      </c>
      <c r="L84" s="8" t="s">
        <v>60</v>
      </c>
      <c r="M84" s="8" t="s">
        <v>249</v>
      </c>
      <c r="N84" s="47" t="s">
        <v>305</v>
      </c>
      <c r="O84" s="8">
        <v>32</v>
      </c>
      <c r="P84" s="8">
        <v>6</v>
      </c>
      <c r="Q84" s="8">
        <v>4.9000000000000004</v>
      </c>
      <c r="R84" s="8" t="s">
        <v>69</v>
      </c>
      <c r="S84" s="8" t="s">
        <v>252</v>
      </c>
      <c r="T84" s="8">
        <v>1.4</v>
      </c>
      <c r="U84" s="47" t="s">
        <v>77</v>
      </c>
      <c r="V84" s="8" t="s">
        <v>110</v>
      </c>
      <c r="W84" s="47" t="s">
        <v>0</v>
      </c>
      <c r="X84" s="47" t="s">
        <v>306</v>
      </c>
      <c r="Y84" s="8" t="s">
        <v>308</v>
      </c>
      <c r="Z84" s="29">
        <v>6.0999999999999999E-2</v>
      </c>
      <c r="AA84" s="80" t="s">
        <v>0</v>
      </c>
      <c r="AB84" s="80" t="s">
        <v>0</v>
      </c>
      <c r="AC84" s="8">
        <f>0.061*5.7</f>
        <v>0.34770000000000001</v>
      </c>
      <c r="AD84" s="47" t="s">
        <v>0</v>
      </c>
      <c r="AE84" s="8" t="s">
        <v>69</v>
      </c>
      <c r="AF84" s="8"/>
      <c r="AG84" s="8"/>
    </row>
    <row r="85" spans="1:35" x14ac:dyDescent="0.25">
      <c r="A85" s="8" t="s">
        <v>747</v>
      </c>
      <c r="B85" s="46" t="s">
        <v>55</v>
      </c>
      <c r="C85" s="47" t="s">
        <v>302</v>
      </c>
      <c r="D85" s="57" t="s">
        <v>281</v>
      </c>
      <c r="E85" s="46">
        <v>0.32</v>
      </c>
      <c r="F85" s="46">
        <v>0.14000000000000001</v>
      </c>
      <c r="G85" s="47">
        <v>21</v>
      </c>
      <c r="H85" s="8" t="s">
        <v>72</v>
      </c>
      <c r="I85" s="8" t="s">
        <v>303</v>
      </c>
      <c r="J85" s="8" t="s">
        <v>0</v>
      </c>
      <c r="K85" s="47" t="s">
        <v>112</v>
      </c>
      <c r="L85" s="8" t="s">
        <v>60</v>
      </c>
      <c r="M85" s="8" t="s">
        <v>249</v>
      </c>
      <c r="N85" s="47" t="s">
        <v>305</v>
      </c>
      <c r="O85" s="8">
        <v>32</v>
      </c>
      <c r="P85" s="8">
        <v>6</v>
      </c>
      <c r="Q85" s="8">
        <v>7.1</v>
      </c>
      <c r="R85" s="8" t="s">
        <v>69</v>
      </c>
      <c r="S85" s="8" t="s">
        <v>252</v>
      </c>
      <c r="T85" s="8">
        <v>2</v>
      </c>
      <c r="U85" s="47" t="s">
        <v>77</v>
      </c>
      <c r="V85" s="8" t="s">
        <v>110</v>
      </c>
      <c r="W85" s="47" t="s">
        <v>0</v>
      </c>
      <c r="X85" s="47" t="s">
        <v>306</v>
      </c>
      <c r="Y85" s="8" t="s">
        <v>309</v>
      </c>
      <c r="Z85" s="29">
        <v>5.6000000000000001E-2</v>
      </c>
      <c r="AA85" s="80" t="s">
        <v>0</v>
      </c>
      <c r="AB85" s="80" t="s">
        <v>0</v>
      </c>
      <c r="AC85" s="8">
        <f>5.6/100*7</f>
        <v>0.39199999999999996</v>
      </c>
      <c r="AD85" s="47" t="s">
        <v>0</v>
      </c>
      <c r="AE85" s="8" t="s">
        <v>69</v>
      </c>
      <c r="AF85" s="8"/>
      <c r="AG85" s="8"/>
    </row>
    <row r="86" spans="1:35" x14ac:dyDescent="0.25">
      <c r="A86" s="8" t="s">
        <v>747</v>
      </c>
      <c r="B86" s="46" t="s">
        <v>55</v>
      </c>
      <c r="C86" s="47" t="s">
        <v>302</v>
      </c>
      <c r="D86" s="57" t="s">
        <v>281</v>
      </c>
      <c r="E86" s="46">
        <v>0.32</v>
      </c>
      <c r="F86" s="46">
        <v>0.14000000000000001</v>
      </c>
      <c r="G86" s="47">
        <v>21</v>
      </c>
      <c r="H86" s="8" t="s">
        <v>72</v>
      </c>
      <c r="I86" s="8" t="s">
        <v>303</v>
      </c>
      <c r="J86" s="8" t="s">
        <v>0</v>
      </c>
      <c r="K86" s="47" t="s">
        <v>112</v>
      </c>
      <c r="L86" s="8" t="s">
        <v>60</v>
      </c>
      <c r="M86" s="8" t="s">
        <v>249</v>
      </c>
      <c r="N86" s="47" t="s">
        <v>305</v>
      </c>
      <c r="O86" s="8">
        <v>32</v>
      </c>
      <c r="P86" s="8">
        <v>6</v>
      </c>
      <c r="Q86" s="8">
        <v>7.5</v>
      </c>
      <c r="R86" s="8" t="s">
        <v>69</v>
      </c>
      <c r="S86" s="8" t="s">
        <v>252</v>
      </c>
      <c r="T86" s="8">
        <v>2.5</v>
      </c>
      <c r="U86" s="47" t="s">
        <v>77</v>
      </c>
      <c r="V86" s="8" t="s">
        <v>110</v>
      </c>
      <c r="W86" s="47" t="s">
        <v>0</v>
      </c>
      <c r="X86" s="47" t="s">
        <v>306</v>
      </c>
      <c r="Y86" s="8" t="s">
        <v>310</v>
      </c>
      <c r="Z86" s="29">
        <v>0.158</v>
      </c>
      <c r="AA86" s="80" t="s">
        <v>0</v>
      </c>
      <c r="AB86" s="80" t="s">
        <v>0</v>
      </c>
      <c r="AC86" s="8">
        <f>0.158*6.4</f>
        <v>1.0112000000000001</v>
      </c>
      <c r="AD86" s="47" t="s">
        <v>0</v>
      </c>
      <c r="AE86" s="8" t="s">
        <v>69</v>
      </c>
      <c r="AF86" s="8"/>
      <c r="AG86" s="8"/>
    </row>
    <row r="87" spans="1:35" x14ac:dyDescent="0.25">
      <c r="A87" s="8" t="s">
        <v>747</v>
      </c>
      <c r="B87" s="46" t="s">
        <v>55</v>
      </c>
      <c r="C87" s="47" t="s">
        <v>302</v>
      </c>
      <c r="D87" s="57" t="s">
        <v>281</v>
      </c>
      <c r="E87" s="46">
        <v>0.32</v>
      </c>
      <c r="F87" s="46">
        <v>0.14000000000000001</v>
      </c>
      <c r="G87" s="47">
        <v>21</v>
      </c>
      <c r="H87" s="8" t="s">
        <v>72</v>
      </c>
      <c r="I87" s="8" t="s">
        <v>303</v>
      </c>
      <c r="J87" s="8" t="s">
        <v>0</v>
      </c>
      <c r="K87" s="47" t="s">
        <v>311</v>
      </c>
      <c r="L87" s="8" t="s">
        <v>60</v>
      </c>
      <c r="M87" s="8" t="s">
        <v>249</v>
      </c>
      <c r="N87" s="47" t="s">
        <v>305</v>
      </c>
      <c r="O87" s="8">
        <v>32</v>
      </c>
      <c r="P87" s="8">
        <v>6</v>
      </c>
      <c r="Q87" s="8">
        <v>4.7</v>
      </c>
      <c r="R87" s="8" t="s">
        <v>69</v>
      </c>
      <c r="S87" s="8" t="s">
        <v>252</v>
      </c>
      <c r="T87" s="8">
        <v>1.8</v>
      </c>
      <c r="U87" s="47" t="s">
        <v>77</v>
      </c>
      <c r="V87" s="8" t="s">
        <v>110</v>
      </c>
      <c r="W87" s="47" t="s">
        <v>0</v>
      </c>
      <c r="X87" s="47" t="s">
        <v>306</v>
      </c>
      <c r="Y87" s="8" t="s">
        <v>312</v>
      </c>
      <c r="Z87" s="29">
        <v>4.2999999999999997E-2</v>
      </c>
      <c r="AA87" s="80" t="s">
        <v>0</v>
      </c>
      <c r="AB87" s="80" t="s">
        <v>0</v>
      </c>
      <c r="AC87" s="8">
        <f>0.043*7.7</f>
        <v>0.33110000000000001</v>
      </c>
      <c r="AD87" s="47" t="s">
        <v>0</v>
      </c>
      <c r="AE87" s="8" t="s">
        <v>69</v>
      </c>
      <c r="AF87" s="8"/>
      <c r="AG87" s="8"/>
    </row>
    <row r="88" spans="1:35" x14ac:dyDescent="0.25">
      <c r="A88" s="8" t="s">
        <v>747</v>
      </c>
      <c r="B88" s="46" t="s">
        <v>55</v>
      </c>
      <c r="C88" s="47" t="s">
        <v>302</v>
      </c>
      <c r="D88" s="57" t="s">
        <v>281</v>
      </c>
      <c r="E88" s="46">
        <v>0.32</v>
      </c>
      <c r="F88" s="46">
        <v>0.14000000000000001</v>
      </c>
      <c r="G88" s="47">
        <v>21</v>
      </c>
      <c r="H88" s="8" t="s">
        <v>72</v>
      </c>
      <c r="I88" s="8" t="s">
        <v>303</v>
      </c>
      <c r="J88" s="8" t="s">
        <v>0</v>
      </c>
      <c r="K88" s="47" t="s">
        <v>311</v>
      </c>
      <c r="L88" s="8" t="s">
        <v>60</v>
      </c>
      <c r="M88" s="8" t="s">
        <v>249</v>
      </c>
      <c r="N88" s="47" t="s">
        <v>305</v>
      </c>
      <c r="O88" s="8">
        <v>32</v>
      </c>
      <c r="P88" s="8">
        <v>6</v>
      </c>
      <c r="Q88" s="8">
        <v>7.1</v>
      </c>
      <c r="R88" s="8" t="s">
        <v>69</v>
      </c>
      <c r="S88" s="8" t="s">
        <v>252</v>
      </c>
      <c r="T88" s="8">
        <v>2.1</v>
      </c>
      <c r="U88" s="47" t="s">
        <v>77</v>
      </c>
      <c r="V88" s="8" t="s">
        <v>110</v>
      </c>
      <c r="W88" s="47" t="s">
        <v>0</v>
      </c>
      <c r="X88" s="47" t="s">
        <v>306</v>
      </c>
      <c r="Y88" s="8" t="s">
        <v>313</v>
      </c>
      <c r="Z88" s="28">
        <v>0.08</v>
      </c>
      <c r="AA88" s="80" t="s">
        <v>0</v>
      </c>
      <c r="AB88" s="80" t="s">
        <v>0</v>
      </c>
      <c r="AC88" s="8">
        <f>0.08*9.4</f>
        <v>0.752</v>
      </c>
      <c r="AD88" s="47" t="s">
        <v>0</v>
      </c>
      <c r="AE88" s="8" t="s">
        <v>69</v>
      </c>
      <c r="AF88" s="8"/>
      <c r="AG88" s="8"/>
    </row>
    <row r="89" spans="1:35" x14ac:dyDescent="0.25">
      <c r="A89" s="4" t="s">
        <v>749</v>
      </c>
      <c r="B89" s="42" t="s">
        <v>55</v>
      </c>
      <c r="C89" s="43" t="s">
        <v>314</v>
      </c>
      <c r="D89" s="54" t="s">
        <v>315</v>
      </c>
      <c r="E89" s="42" t="s">
        <v>0</v>
      </c>
      <c r="F89" s="42">
        <v>0.3</v>
      </c>
      <c r="G89" s="43">
        <v>70</v>
      </c>
      <c r="H89" s="30" t="s">
        <v>72</v>
      </c>
      <c r="I89" s="4" t="s">
        <v>316</v>
      </c>
      <c r="J89" s="4" t="s">
        <v>0</v>
      </c>
      <c r="K89" s="43" t="s">
        <v>317</v>
      </c>
      <c r="L89" s="4" t="s">
        <v>318</v>
      </c>
      <c r="M89" s="4" t="s">
        <v>319</v>
      </c>
      <c r="N89" s="43">
        <f>0.05*0.3*0.7795*48.2</f>
        <v>0.56357849999999998</v>
      </c>
      <c r="O89" s="4">
        <v>35</v>
      </c>
      <c r="P89" s="4">
        <v>7.8</v>
      </c>
      <c r="Q89" s="4" t="s">
        <v>320</v>
      </c>
      <c r="R89" s="4" t="s">
        <v>69</v>
      </c>
      <c r="S89" s="4" t="s">
        <v>252</v>
      </c>
      <c r="T89" s="4" t="s">
        <v>321</v>
      </c>
      <c r="U89" s="43" t="s">
        <v>77</v>
      </c>
      <c r="V89" s="4" t="s">
        <v>322</v>
      </c>
      <c r="W89" s="43" t="s">
        <v>323</v>
      </c>
      <c r="X89" s="43" t="s">
        <v>136</v>
      </c>
      <c r="Y89" s="24" t="s">
        <v>324</v>
      </c>
      <c r="Z89" s="4" t="s">
        <v>325</v>
      </c>
      <c r="AA89" s="4" t="s">
        <v>0</v>
      </c>
      <c r="AB89" s="4" t="s">
        <v>0</v>
      </c>
      <c r="AC89" s="4">
        <v>6.62</v>
      </c>
      <c r="AD89" s="43" t="s">
        <v>0</v>
      </c>
      <c r="AE89" s="4" t="s">
        <v>69</v>
      </c>
      <c r="AF89" s="4"/>
      <c r="AG89" s="4"/>
    </row>
    <row r="90" spans="1:35" x14ac:dyDescent="0.25">
      <c r="A90" s="4" t="s">
        <v>749</v>
      </c>
      <c r="B90" s="42" t="s">
        <v>55</v>
      </c>
      <c r="C90" s="43" t="s">
        <v>314</v>
      </c>
      <c r="D90" s="54" t="s">
        <v>315</v>
      </c>
      <c r="E90" s="42" t="s">
        <v>0</v>
      </c>
      <c r="F90" s="42">
        <v>0.3</v>
      </c>
      <c r="G90" s="43">
        <v>70</v>
      </c>
      <c r="H90" s="30" t="s">
        <v>72</v>
      </c>
      <c r="I90" s="4" t="s">
        <v>316</v>
      </c>
      <c r="J90" s="4" t="s">
        <v>0</v>
      </c>
      <c r="K90" s="43" t="s">
        <v>317</v>
      </c>
      <c r="L90" s="4" t="s">
        <v>318</v>
      </c>
      <c r="M90" s="4" t="s">
        <v>319</v>
      </c>
      <c r="N90" s="43">
        <f>0.05*0.3*0.7795*48.2</f>
        <v>0.56357849999999998</v>
      </c>
      <c r="O90" s="4">
        <v>35</v>
      </c>
      <c r="P90" s="4" t="s">
        <v>326</v>
      </c>
      <c r="Q90" s="4" t="s">
        <v>326</v>
      </c>
      <c r="R90" s="4" t="s">
        <v>69</v>
      </c>
      <c r="S90" s="4" t="s">
        <v>0</v>
      </c>
      <c r="T90" s="4" t="s">
        <v>0</v>
      </c>
      <c r="U90" s="43" t="s">
        <v>77</v>
      </c>
      <c r="V90" s="4" t="s">
        <v>748</v>
      </c>
      <c r="W90" s="43" t="s">
        <v>438</v>
      </c>
      <c r="X90" s="43" t="s">
        <v>136</v>
      </c>
      <c r="Y90" s="24" t="s">
        <v>327</v>
      </c>
      <c r="Z90" s="4" t="s">
        <v>328</v>
      </c>
      <c r="AA90" s="4" t="s">
        <v>0</v>
      </c>
      <c r="AB90" s="4" t="s">
        <v>0</v>
      </c>
      <c r="AC90" s="4">
        <v>1.99</v>
      </c>
      <c r="AD90" s="43" t="s">
        <v>0</v>
      </c>
      <c r="AE90" s="4" t="s">
        <v>69</v>
      </c>
      <c r="AF90" s="4"/>
      <c r="AG90" s="4"/>
      <c r="AI90">
        <f>COUNTIF(AE:AE,"y")</f>
        <v>34</v>
      </c>
    </row>
    <row r="91" spans="1:35" x14ac:dyDescent="0.25">
      <c r="A91" s="8" t="s">
        <v>758</v>
      </c>
      <c r="B91" s="46" t="s">
        <v>55</v>
      </c>
      <c r="C91" s="47" t="s">
        <v>329</v>
      </c>
      <c r="D91" s="57" t="s">
        <v>281</v>
      </c>
      <c r="E91" s="46" t="s">
        <v>0</v>
      </c>
      <c r="F91" s="46">
        <v>0.4</v>
      </c>
      <c r="G91" s="47">
        <v>5</v>
      </c>
      <c r="H91" s="31" t="s">
        <v>72</v>
      </c>
      <c r="I91" s="8" t="s">
        <v>330</v>
      </c>
      <c r="J91" s="8" t="s">
        <v>0</v>
      </c>
      <c r="K91" s="47" t="s">
        <v>331</v>
      </c>
      <c r="L91" s="8" t="s">
        <v>60</v>
      </c>
      <c r="M91" s="8" t="s">
        <v>332</v>
      </c>
      <c r="N91" s="47" t="s">
        <v>0</v>
      </c>
      <c r="O91" s="8">
        <v>35</v>
      </c>
      <c r="P91" s="8">
        <v>4</v>
      </c>
      <c r="Q91" s="22" t="s">
        <v>333</v>
      </c>
      <c r="R91" s="8" t="s">
        <v>69</v>
      </c>
      <c r="S91" s="8" t="s">
        <v>334</v>
      </c>
      <c r="T91" s="8" t="s">
        <v>0</v>
      </c>
      <c r="U91" s="47" t="s">
        <v>77</v>
      </c>
      <c r="V91" s="8" t="s">
        <v>322</v>
      </c>
      <c r="W91" s="47" t="s">
        <v>438</v>
      </c>
      <c r="X91" s="47" t="s">
        <v>335</v>
      </c>
      <c r="Y91" s="22" t="s">
        <v>336</v>
      </c>
      <c r="Z91" s="32" t="s">
        <v>337</v>
      </c>
      <c r="AA91" s="86" t="s">
        <v>0</v>
      </c>
      <c r="AB91" s="8" t="s">
        <v>0</v>
      </c>
      <c r="AC91" s="23">
        <f>0.239*5*0.07/116*8*32</f>
        <v>0.18460689655172413</v>
      </c>
      <c r="AD91" s="47" t="s">
        <v>0</v>
      </c>
      <c r="AE91" s="8" t="s">
        <v>69</v>
      </c>
      <c r="AF91" s="8"/>
      <c r="AG91" s="8"/>
      <c r="AI91">
        <f>COUNTIF(AE:AE,"n")</f>
        <v>140</v>
      </c>
    </row>
    <row r="92" spans="1:35" x14ac:dyDescent="0.25">
      <c r="A92" s="8" t="s">
        <v>758</v>
      </c>
      <c r="B92" s="46" t="s">
        <v>55</v>
      </c>
      <c r="C92" s="47" t="s">
        <v>329</v>
      </c>
      <c r="D92" s="57" t="s">
        <v>281</v>
      </c>
      <c r="E92" s="46" t="s">
        <v>0</v>
      </c>
      <c r="F92" s="46">
        <v>0.4</v>
      </c>
      <c r="G92" s="47">
        <v>5</v>
      </c>
      <c r="H92" s="31" t="s">
        <v>72</v>
      </c>
      <c r="I92" s="8" t="s">
        <v>330</v>
      </c>
      <c r="J92" s="8" t="s">
        <v>0</v>
      </c>
      <c r="K92" s="47" t="s">
        <v>331</v>
      </c>
      <c r="L92" s="8" t="s">
        <v>60</v>
      </c>
      <c r="M92" s="8" t="s">
        <v>332</v>
      </c>
      <c r="N92" s="47" t="s">
        <v>0</v>
      </c>
      <c r="O92" s="8">
        <v>35</v>
      </c>
      <c r="P92" s="8">
        <v>5</v>
      </c>
      <c r="Q92" s="8">
        <f>P92+0.48</f>
        <v>5.48</v>
      </c>
      <c r="R92" s="8" t="s">
        <v>69</v>
      </c>
      <c r="S92" s="8" t="s">
        <v>334</v>
      </c>
      <c r="T92" s="8" t="s">
        <v>0</v>
      </c>
      <c r="U92" s="47" t="s">
        <v>77</v>
      </c>
      <c r="V92" s="8" t="s">
        <v>322</v>
      </c>
      <c r="W92" s="47" t="s">
        <v>338</v>
      </c>
      <c r="X92" s="47" t="s">
        <v>335</v>
      </c>
      <c r="Y92" s="22" t="s">
        <v>339</v>
      </c>
      <c r="Z92" s="33" t="s">
        <v>340</v>
      </c>
      <c r="AA92" s="87" t="s">
        <v>0</v>
      </c>
      <c r="AB92" s="8" t="s">
        <v>0</v>
      </c>
      <c r="AC92" s="23">
        <f>0.39*5*0.063/116*8*32</f>
        <v>0.27111724137931037</v>
      </c>
      <c r="AD92" s="47" t="s">
        <v>0</v>
      </c>
      <c r="AE92" s="8" t="s">
        <v>69</v>
      </c>
      <c r="AF92" s="8"/>
      <c r="AG92" s="8"/>
    </row>
    <row r="93" spans="1:35" x14ac:dyDescent="0.25">
      <c r="A93" s="8" t="s">
        <v>758</v>
      </c>
      <c r="B93" s="46" t="s">
        <v>55</v>
      </c>
      <c r="C93" s="47" t="s">
        <v>329</v>
      </c>
      <c r="D93" s="57" t="s">
        <v>281</v>
      </c>
      <c r="E93" s="46" t="s">
        <v>0</v>
      </c>
      <c r="F93" s="46">
        <v>0.4</v>
      </c>
      <c r="G93" s="47">
        <v>5</v>
      </c>
      <c r="H93" s="31" t="s">
        <v>72</v>
      </c>
      <c r="I93" s="8" t="s">
        <v>330</v>
      </c>
      <c r="J93" s="8" t="s">
        <v>0</v>
      </c>
      <c r="K93" s="47" t="s">
        <v>331</v>
      </c>
      <c r="L93" s="8" t="s">
        <v>60</v>
      </c>
      <c r="M93" s="8" t="s">
        <v>332</v>
      </c>
      <c r="N93" s="47" t="s">
        <v>0</v>
      </c>
      <c r="O93" s="8">
        <v>35</v>
      </c>
      <c r="P93" s="8">
        <v>6</v>
      </c>
      <c r="Q93" s="8">
        <f>P93</f>
        <v>6</v>
      </c>
      <c r="R93" s="8" t="s">
        <v>69</v>
      </c>
      <c r="S93" s="8" t="s">
        <v>334</v>
      </c>
      <c r="T93" s="8" t="s">
        <v>0</v>
      </c>
      <c r="U93" s="47" t="s">
        <v>77</v>
      </c>
      <c r="V93" s="8" t="s">
        <v>322</v>
      </c>
      <c r="W93" s="47" t="s">
        <v>341</v>
      </c>
      <c r="X93" s="47" t="s">
        <v>335</v>
      </c>
      <c r="Y93" s="22" t="s">
        <v>342</v>
      </c>
      <c r="Z93" s="33" t="s">
        <v>343</v>
      </c>
      <c r="AA93" s="87" t="s">
        <v>0</v>
      </c>
      <c r="AB93" s="8" t="s">
        <v>0</v>
      </c>
      <c r="AC93" s="23">
        <f>0.067*5*0.24/116*8*32</f>
        <v>0.1774344827586207</v>
      </c>
      <c r="AD93" s="47" t="s">
        <v>0</v>
      </c>
      <c r="AE93" s="8" t="s">
        <v>69</v>
      </c>
      <c r="AF93" s="8"/>
      <c r="AG93" s="8"/>
    </row>
    <row r="94" spans="1:35" x14ac:dyDescent="0.25">
      <c r="A94" s="8" t="s">
        <v>758</v>
      </c>
      <c r="B94" s="46" t="s">
        <v>55</v>
      </c>
      <c r="C94" s="47" t="s">
        <v>329</v>
      </c>
      <c r="D94" s="57" t="s">
        <v>281</v>
      </c>
      <c r="E94" s="46" t="s">
        <v>0</v>
      </c>
      <c r="F94" s="46">
        <v>0.4</v>
      </c>
      <c r="G94" s="47">
        <v>5</v>
      </c>
      <c r="H94" s="31" t="s">
        <v>72</v>
      </c>
      <c r="I94" s="8" t="s">
        <v>330</v>
      </c>
      <c r="J94" s="8" t="s">
        <v>0</v>
      </c>
      <c r="K94" s="47" t="s">
        <v>331</v>
      </c>
      <c r="L94" s="8" t="s">
        <v>60</v>
      </c>
      <c r="M94" s="8" t="s">
        <v>332</v>
      </c>
      <c r="N94" s="47" t="s">
        <v>0</v>
      </c>
      <c r="O94" s="8">
        <v>35</v>
      </c>
      <c r="P94" s="8">
        <v>7.5</v>
      </c>
      <c r="Q94" s="8" t="s">
        <v>0</v>
      </c>
      <c r="R94" s="8" t="s">
        <v>69</v>
      </c>
      <c r="S94" s="8" t="s">
        <v>334</v>
      </c>
      <c r="T94" s="8" t="s">
        <v>0</v>
      </c>
      <c r="U94" s="47" t="s">
        <v>77</v>
      </c>
      <c r="V94" s="8" t="s">
        <v>322</v>
      </c>
      <c r="W94" s="47" t="s">
        <v>344</v>
      </c>
      <c r="X94" s="47" t="s">
        <v>335</v>
      </c>
      <c r="Y94" s="8" t="s">
        <v>345</v>
      </c>
      <c r="Z94" s="33" t="s">
        <v>346</v>
      </c>
      <c r="AA94" s="87" t="s">
        <v>0</v>
      </c>
      <c r="AB94" s="8" t="s">
        <v>0</v>
      </c>
      <c r="AC94" s="23">
        <f>0.037*5*0.23/116*8*32</f>
        <v>9.3903448275862084E-2</v>
      </c>
      <c r="AD94" s="47" t="s">
        <v>0</v>
      </c>
      <c r="AE94" s="8" t="s">
        <v>69</v>
      </c>
      <c r="AF94" s="8"/>
      <c r="AG94" s="8"/>
    </row>
    <row r="95" spans="1:35" x14ac:dyDescent="0.25">
      <c r="A95" s="8" t="s">
        <v>758</v>
      </c>
      <c r="B95" s="46" t="s">
        <v>55</v>
      </c>
      <c r="C95" s="47" t="s">
        <v>329</v>
      </c>
      <c r="D95" s="57" t="s">
        <v>281</v>
      </c>
      <c r="E95" s="46" t="s">
        <v>0</v>
      </c>
      <c r="F95" s="46">
        <v>0.4</v>
      </c>
      <c r="G95" s="47">
        <v>5</v>
      </c>
      <c r="H95" s="31" t="s">
        <v>72</v>
      </c>
      <c r="I95" s="8" t="s">
        <v>330</v>
      </c>
      <c r="J95" s="8" t="s">
        <v>0</v>
      </c>
      <c r="K95" s="47" t="s">
        <v>331</v>
      </c>
      <c r="L95" s="8" t="s">
        <v>60</v>
      </c>
      <c r="M95" s="8" t="s">
        <v>332</v>
      </c>
      <c r="N95" s="47" t="s">
        <v>0</v>
      </c>
      <c r="O95" s="8">
        <v>35</v>
      </c>
      <c r="P95" s="8">
        <v>9</v>
      </c>
      <c r="Q95" s="8">
        <f>P95-1.365</f>
        <v>7.6349999999999998</v>
      </c>
      <c r="R95" s="8" t="s">
        <v>69</v>
      </c>
      <c r="S95" s="8" t="s">
        <v>334</v>
      </c>
      <c r="T95" s="8" t="s">
        <v>0</v>
      </c>
      <c r="U95" s="47" t="s">
        <v>77</v>
      </c>
      <c r="V95" s="8" t="s">
        <v>322</v>
      </c>
      <c r="W95" s="47" t="s">
        <v>347</v>
      </c>
      <c r="X95" s="47" t="s">
        <v>335</v>
      </c>
      <c r="Y95" s="22" t="s">
        <v>348</v>
      </c>
      <c r="Z95" s="33" t="s">
        <v>349</v>
      </c>
      <c r="AA95" s="87" t="s">
        <v>0</v>
      </c>
      <c r="AB95" s="8" t="s">
        <v>0</v>
      </c>
      <c r="AC95" s="23">
        <f>0.012*5*0.559/116*8*32</f>
        <v>7.4019310344827588E-2</v>
      </c>
      <c r="AD95" s="47" t="s">
        <v>0</v>
      </c>
      <c r="AE95" s="8" t="s">
        <v>69</v>
      </c>
      <c r="AF95" s="8"/>
      <c r="AG95" s="8"/>
    </row>
    <row r="96" spans="1:35" x14ac:dyDescent="0.25">
      <c r="A96" s="8" t="s">
        <v>758</v>
      </c>
      <c r="B96" s="46" t="s">
        <v>55</v>
      </c>
      <c r="C96" s="47" t="s">
        <v>329</v>
      </c>
      <c r="D96" s="57" t="s">
        <v>281</v>
      </c>
      <c r="E96" s="46" t="s">
        <v>0</v>
      </c>
      <c r="F96" s="46">
        <v>0.4</v>
      </c>
      <c r="G96" s="47">
        <v>5</v>
      </c>
      <c r="H96" s="31" t="s">
        <v>72</v>
      </c>
      <c r="I96" s="8" t="s">
        <v>330</v>
      </c>
      <c r="J96" s="8" t="s">
        <v>0</v>
      </c>
      <c r="K96" s="47" t="s">
        <v>331</v>
      </c>
      <c r="L96" s="8" t="s">
        <v>60</v>
      </c>
      <c r="M96" s="8" t="s">
        <v>332</v>
      </c>
      <c r="N96" s="47" t="s">
        <v>0</v>
      </c>
      <c r="O96" s="8">
        <v>35</v>
      </c>
      <c r="P96" s="8">
        <v>10</v>
      </c>
      <c r="Q96" s="8">
        <f>P96-2.4</f>
        <v>7.6</v>
      </c>
      <c r="R96" s="8" t="s">
        <v>69</v>
      </c>
      <c r="S96" s="8" t="s">
        <v>334</v>
      </c>
      <c r="T96" s="8" t="s">
        <v>0</v>
      </c>
      <c r="U96" s="47" t="s">
        <v>77</v>
      </c>
      <c r="V96" s="8" t="s">
        <v>322</v>
      </c>
      <c r="W96" s="47" t="s">
        <v>438</v>
      </c>
      <c r="X96" s="47" t="s">
        <v>335</v>
      </c>
      <c r="Y96" s="22" t="s">
        <v>350</v>
      </c>
      <c r="Z96" s="32" t="s">
        <v>351</v>
      </c>
      <c r="AA96" s="86" t="s">
        <v>0</v>
      </c>
      <c r="AB96" s="8" t="s">
        <v>0</v>
      </c>
      <c r="AC96" s="23">
        <f>0.277*5*0.052/116*8*32</f>
        <v>0.15894068965517244</v>
      </c>
      <c r="AD96" s="47" t="s">
        <v>0</v>
      </c>
      <c r="AE96" s="8" t="s">
        <v>69</v>
      </c>
      <c r="AF96" s="8"/>
      <c r="AG96" s="8"/>
    </row>
    <row r="97" spans="1:33" x14ac:dyDescent="0.25">
      <c r="A97" s="8" t="s">
        <v>758</v>
      </c>
      <c r="B97" s="46" t="s">
        <v>55</v>
      </c>
      <c r="C97" s="47" t="s">
        <v>329</v>
      </c>
      <c r="D97" s="57" t="s">
        <v>281</v>
      </c>
      <c r="E97" s="46" t="s">
        <v>0</v>
      </c>
      <c r="F97" s="46">
        <v>0.4</v>
      </c>
      <c r="G97" s="47">
        <v>5</v>
      </c>
      <c r="H97" s="31" t="s">
        <v>72</v>
      </c>
      <c r="I97" s="8" t="s">
        <v>330</v>
      </c>
      <c r="J97" s="8" t="s">
        <v>0</v>
      </c>
      <c r="K97" s="47" t="s">
        <v>331</v>
      </c>
      <c r="L97" s="8" t="s">
        <v>60</v>
      </c>
      <c r="M97" s="8" t="s">
        <v>332</v>
      </c>
      <c r="N97" s="47" t="s">
        <v>0</v>
      </c>
      <c r="O97" s="8">
        <v>35</v>
      </c>
      <c r="P97" s="8">
        <v>11</v>
      </c>
      <c r="Q97" s="8">
        <f>P97-2.81</f>
        <v>8.19</v>
      </c>
      <c r="R97" s="8" t="s">
        <v>69</v>
      </c>
      <c r="S97" s="8" t="s">
        <v>334</v>
      </c>
      <c r="T97" s="8" t="s">
        <v>0</v>
      </c>
      <c r="U97" s="47" t="s">
        <v>77</v>
      </c>
      <c r="V97" s="8" t="s">
        <v>322</v>
      </c>
      <c r="W97" s="47" t="s">
        <v>438</v>
      </c>
      <c r="X97" s="47" t="s">
        <v>335</v>
      </c>
      <c r="Y97" s="22" t="s">
        <v>352</v>
      </c>
      <c r="Z97" s="33" t="s">
        <v>353</v>
      </c>
      <c r="AA97" s="87" t="s">
        <v>0</v>
      </c>
      <c r="AB97" s="8" t="s">
        <v>0</v>
      </c>
      <c r="AC97" s="23">
        <f>0.19*5*0.06/116*8*32</f>
        <v>0.12579310344827585</v>
      </c>
      <c r="AD97" s="47" t="s">
        <v>0</v>
      </c>
      <c r="AE97" s="8" t="s">
        <v>69</v>
      </c>
      <c r="AF97" s="8"/>
      <c r="AG97" s="8"/>
    </row>
    <row r="98" spans="1:33" x14ac:dyDescent="0.25">
      <c r="A98" s="8" t="s">
        <v>758</v>
      </c>
      <c r="B98" s="46" t="s">
        <v>55</v>
      </c>
      <c r="C98" s="47" t="s">
        <v>329</v>
      </c>
      <c r="D98" s="57" t="s">
        <v>281</v>
      </c>
      <c r="E98" s="46" t="s">
        <v>0</v>
      </c>
      <c r="F98" s="46">
        <v>0.4</v>
      </c>
      <c r="G98" s="47">
        <v>5</v>
      </c>
      <c r="H98" s="31" t="s">
        <v>72</v>
      </c>
      <c r="I98" s="8" t="s">
        <v>330</v>
      </c>
      <c r="J98" s="8" t="s">
        <v>0</v>
      </c>
      <c r="K98" s="47" t="s">
        <v>331</v>
      </c>
      <c r="L98" s="8" t="s">
        <v>60</v>
      </c>
      <c r="M98" s="8" t="s">
        <v>332</v>
      </c>
      <c r="N98" s="47" t="s">
        <v>0</v>
      </c>
      <c r="O98" s="8">
        <v>35</v>
      </c>
      <c r="P98" s="8">
        <v>12</v>
      </c>
      <c r="Q98" s="8">
        <f>P98-3.31</f>
        <v>8.69</v>
      </c>
      <c r="R98" s="8" t="s">
        <v>69</v>
      </c>
      <c r="S98" s="8" t="s">
        <v>334</v>
      </c>
      <c r="T98" s="8" t="s">
        <v>0</v>
      </c>
      <c r="U98" s="47" t="s">
        <v>77</v>
      </c>
      <c r="V98" s="8" t="s">
        <v>322</v>
      </c>
      <c r="W98" s="47" t="s">
        <v>438</v>
      </c>
      <c r="X98" s="47" t="s">
        <v>335</v>
      </c>
      <c r="Y98" s="22" t="s">
        <v>354</v>
      </c>
      <c r="Z98" s="27">
        <v>0</v>
      </c>
      <c r="AA98" s="76" t="s">
        <v>0</v>
      </c>
      <c r="AB98" s="8" t="s">
        <v>0</v>
      </c>
      <c r="AC98" s="23">
        <f>0.039*5*0/116*8*32</f>
        <v>0</v>
      </c>
      <c r="AD98" s="47" t="s">
        <v>0</v>
      </c>
      <c r="AE98" s="8" t="s">
        <v>69</v>
      </c>
      <c r="AF98" s="8"/>
      <c r="AG98" s="8"/>
    </row>
    <row r="99" spans="1:33" x14ac:dyDescent="0.25">
      <c r="A99" s="8" t="s">
        <v>758</v>
      </c>
      <c r="B99" s="46" t="s">
        <v>55</v>
      </c>
      <c r="C99" s="47" t="s">
        <v>329</v>
      </c>
      <c r="D99" s="57" t="s">
        <v>281</v>
      </c>
      <c r="E99" s="46" t="s">
        <v>0</v>
      </c>
      <c r="F99" s="46">
        <v>0.4</v>
      </c>
      <c r="G99" s="47">
        <v>10</v>
      </c>
      <c r="H99" s="31" t="s">
        <v>72</v>
      </c>
      <c r="I99" s="8" t="s">
        <v>330</v>
      </c>
      <c r="J99" s="8" t="s">
        <v>0</v>
      </c>
      <c r="K99" s="47" t="s">
        <v>331</v>
      </c>
      <c r="L99" s="8" t="s">
        <v>60</v>
      </c>
      <c r="M99" s="8" t="s">
        <v>332</v>
      </c>
      <c r="N99" s="47" t="s">
        <v>0</v>
      </c>
      <c r="O99" s="8">
        <v>35</v>
      </c>
      <c r="P99" s="8">
        <v>4</v>
      </c>
      <c r="Q99" s="22" t="s">
        <v>333</v>
      </c>
      <c r="R99" s="8" t="s">
        <v>69</v>
      </c>
      <c r="S99" s="8" t="s">
        <v>334</v>
      </c>
      <c r="T99" s="8" t="s">
        <v>0</v>
      </c>
      <c r="U99" s="47" t="s">
        <v>77</v>
      </c>
      <c r="V99" s="8" t="s">
        <v>322</v>
      </c>
      <c r="W99" s="47" t="s">
        <v>438</v>
      </c>
      <c r="X99" s="47" t="s">
        <v>335</v>
      </c>
      <c r="Y99" s="22" t="s">
        <v>355</v>
      </c>
      <c r="Z99" s="34" t="s">
        <v>353</v>
      </c>
      <c r="AA99" s="88" t="s">
        <v>0</v>
      </c>
      <c r="AB99" s="8" t="s">
        <v>0</v>
      </c>
      <c r="AC99" s="23">
        <f>0.228*5*0.06/116*8*32</f>
        <v>0.15095172413793104</v>
      </c>
      <c r="AD99" s="47" t="s">
        <v>0</v>
      </c>
      <c r="AE99" s="8" t="s">
        <v>69</v>
      </c>
      <c r="AF99" s="8"/>
      <c r="AG99" s="8"/>
    </row>
    <row r="100" spans="1:33" x14ac:dyDescent="0.25">
      <c r="A100" s="8" t="s">
        <v>758</v>
      </c>
      <c r="B100" s="46" t="s">
        <v>55</v>
      </c>
      <c r="C100" s="47" t="s">
        <v>329</v>
      </c>
      <c r="D100" s="57" t="s">
        <v>281</v>
      </c>
      <c r="E100" s="46" t="s">
        <v>0</v>
      </c>
      <c r="F100" s="46">
        <v>0.4</v>
      </c>
      <c r="G100" s="47">
        <v>10</v>
      </c>
      <c r="H100" s="31" t="s">
        <v>72</v>
      </c>
      <c r="I100" s="8" t="s">
        <v>330</v>
      </c>
      <c r="J100" s="8" t="s">
        <v>0</v>
      </c>
      <c r="K100" s="47" t="s">
        <v>331</v>
      </c>
      <c r="L100" s="8" t="s">
        <v>60</v>
      </c>
      <c r="M100" s="8" t="s">
        <v>332</v>
      </c>
      <c r="N100" s="47" t="s">
        <v>0</v>
      </c>
      <c r="O100" s="8">
        <v>35</v>
      </c>
      <c r="P100" s="8">
        <v>5</v>
      </c>
      <c r="Q100" s="8">
        <f>P100+1.16</f>
        <v>6.16</v>
      </c>
      <c r="R100" s="8" t="s">
        <v>69</v>
      </c>
      <c r="S100" s="8" t="s">
        <v>334</v>
      </c>
      <c r="T100" s="8" t="s">
        <v>0</v>
      </c>
      <c r="U100" s="47" t="s">
        <v>77</v>
      </c>
      <c r="V100" s="8" t="s">
        <v>322</v>
      </c>
      <c r="W100" s="47" t="s">
        <v>356</v>
      </c>
      <c r="X100" s="47" t="s">
        <v>335</v>
      </c>
      <c r="Y100" s="22" t="s">
        <v>357</v>
      </c>
      <c r="Z100" s="34" t="s">
        <v>358</v>
      </c>
      <c r="AA100" s="88" t="s">
        <v>0</v>
      </c>
      <c r="AB100" s="8" t="s">
        <v>0</v>
      </c>
      <c r="AC100" s="23">
        <f>0.23*5*0.065/116*8*32</f>
        <v>0.16496551724137934</v>
      </c>
      <c r="AD100" s="47" t="s">
        <v>0</v>
      </c>
      <c r="AE100" s="8" t="s">
        <v>69</v>
      </c>
      <c r="AF100" s="8"/>
      <c r="AG100" s="8"/>
    </row>
    <row r="101" spans="1:33" x14ac:dyDescent="0.25">
      <c r="A101" s="8" t="s">
        <v>758</v>
      </c>
      <c r="B101" s="46" t="s">
        <v>55</v>
      </c>
      <c r="C101" s="47" t="s">
        <v>329</v>
      </c>
      <c r="D101" s="57" t="s">
        <v>281</v>
      </c>
      <c r="E101" s="46" t="s">
        <v>0</v>
      </c>
      <c r="F101" s="46">
        <v>0.4</v>
      </c>
      <c r="G101" s="47">
        <v>10</v>
      </c>
      <c r="H101" s="31" t="s">
        <v>72</v>
      </c>
      <c r="I101" s="8" t="s">
        <v>330</v>
      </c>
      <c r="J101" s="8" t="s">
        <v>0</v>
      </c>
      <c r="K101" s="47" t="s">
        <v>331</v>
      </c>
      <c r="L101" s="8" t="s">
        <v>60</v>
      </c>
      <c r="M101" s="8" t="s">
        <v>332</v>
      </c>
      <c r="N101" s="47" t="s">
        <v>0</v>
      </c>
      <c r="O101" s="8">
        <v>35</v>
      </c>
      <c r="P101" s="8">
        <v>6</v>
      </c>
      <c r="Q101" s="8">
        <f>P101+0.96</f>
        <v>6.96</v>
      </c>
      <c r="R101" s="8" t="s">
        <v>69</v>
      </c>
      <c r="S101" s="8" t="s">
        <v>334</v>
      </c>
      <c r="T101" s="8" t="s">
        <v>0</v>
      </c>
      <c r="U101" s="47" t="s">
        <v>77</v>
      </c>
      <c r="V101" s="8" t="s">
        <v>322</v>
      </c>
      <c r="W101" s="47" t="s">
        <v>359</v>
      </c>
      <c r="X101" s="47" t="s">
        <v>335</v>
      </c>
      <c r="Y101" s="22" t="s">
        <v>360</v>
      </c>
      <c r="Z101" s="34" t="s">
        <v>361</v>
      </c>
      <c r="AA101" s="88" t="s">
        <v>0</v>
      </c>
      <c r="AB101" s="8" t="s">
        <v>0</v>
      </c>
      <c r="AC101" s="23">
        <f>0.016*5*0.13/116*8*32</f>
        <v>2.2951724137931038E-2</v>
      </c>
      <c r="AD101" s="47" t="s">
        <v>0</v>
      </c>
      <c r="AE101" s="8" t="s">
        <v>69</v>
      </c>
      <c r="AF101" s="8"/>
      <c r="AG101" s="8"/>
    </row>
    <row r="102" spans="1:33" x14ac:dyDescent="0.25">
      <c r="A102" s="8" t="s">
        <v>758</v>
      </c>
      <c r="B102" s="46" t="s">
        <v>55</v>
      </c>
      <c r="C102" s="47" t="s">
        <v>329</v>
      </c>
      <c r="D102" s="57" t="s">
        <v>281</v>
      </c>
      <c r="E102" s="46" t="s">
        <v>0</v>
      </c>
      <c r="F102" s="46">
        <v>0.4</v>
      </c>
      <c r="G102" s="47">
        <v>10</v>
      </c>
      <c r="H102" s="31" t="s">
        <v>72</v>
      </c>
      <c r="I102" s="8" t="s">
        <v>330</v>
      </c>
      <c r="J102" s="8" t="s">
        <v>0</v>
      </c>
      <c r="K102" s="47" t="s">
        <v>331</v>
      </c>
      <c r="L102" s="8" t="s">
        <v>60</v>
      </c>
      <c r="M102" s="8" t="s">
        <v>332</v>
      </c>
      <c r="N102" s="47" t="s">
        <v>0</v>
      </c>
      <c r="O102" s="8">
        <v>35</v>
      </c>
      <c r="P102" s="8">
        <v>7.5</v>
      </c>
      <c r="Q102" s="8" t="s">
        <v>0</v>
      </c>
      <c r="R102" s="8" t="s">
        <v>69</v>
      </c>
      <c r="S102" s="8" t="s">
        <v>334</v>
      </c>
      <c r="T102" s="8" t="s">
        <v>0</v>
      </c>
      <c r="U102" s="47" t="s">
        <v>77</v>
      </c>
      <c r="V102" s="8" t="s">
        <v>322</v>
      </c>
      <c r="W102" s="47" t="s">
        <v>362</v>
      </c>
      <c r="X102" s="47" t="s">
        <v>335</v>
      </c>
      <c r="Y102" s="22" t="s">
        <v>363</v>
      </c>
      <c r="Z102" s="34" t="s">
        <v>364</v>
      </c>
      <c r="AA102" s="88" t="s">
        <v>0</v>
      </c>
      <c r="AB102" s="8" t="s">
        <v>0</v>
      </c>
      <c r="AC102" s="23">
        <f>0.052*5*0.173/116*8*32</f>
        <v>9.9266206896551717E-2</v>
      </c>
      <c r="AD102" s="47" t="s">
        <v>0</v>
      </c>
      <c r="AE102" s="8" t="s">
        <v>69</v>
      </c>
      <c r="AF102" s="8"/>
      <c r="AG102" s="8"/>
    </row>
    <row r="103" spans="1:33" x14ac:dyDescent="0.25">
      <c r="A103" s="8" t="s">
        <v>758</v>
      </c>
      <c r="B103" s="46" t="s">
        <v>55</v>
      </c>
      <c r="C103" s="47" t="s">
        <v>329</v>
      </c>
      <c r="D103" s="57" t="s">
        <v>281</v>
      </c>
      <c r="E103" s="46" t="s">
        <v>0</v>
      </c>
      <c r="F103" s="46">
        <v>0.4</v>
      </c>
      <c r="G103" s="47">
        <v>10</v>
      </c>
      <c r="H103" s="31" t="s">
        <v>72</v>
      </c>
      <c r="I103" s="8" t="s">
        <v>330</v>
      </c>
      <c r="J103" s="8" t="s">
        <v>0</v>
      </c>
      <c r="K103" s="47" t="s">
        <v>331</v>
      </c>
      <c r="L103" s="8" t="s">
        <v>60</v>
      </c>
      <c r="M103" s="8" t="s">
        <v>332</v>
      </c>
      <c r="N103" s="47" t="s">
        <v>0</v>
      </c>
      <c r="O103" s="8">
        <v>35</v>
      </c>
      <c r="P103" s="8">
        <v>9</v>
      </c>
      <c r="Q103" s="8">
        <f>P103-1.365</f>
        <v>7.6349999999999998</v>
      </c>
      <c r="R103" s="8" t="s">
        <v>69</v>
      </c>
      <c r="S103" s="8" t="s">
        <v>334</v>
      </c>
      <c r="T103" s="8" t="s">
        <v>0</v>
      </c>
      <c r="U103" s="47" t="s">
        <v>77</v>
      </c>
      <c r="V103" s="8" t="s">
        <v>322</v>
      </c>
      <c r="W103" s="47" t="s">
        <v>365</v>
      </c>
      <c r="X103" s="47" t="s">
        <v>335</v>
      </c>
      <c r="Y103" s="22" t="s">
        <v>366</v>
      </c>
      <c r="Z103" s="27">
        <v>0</v>
      </c>
      <c r="AA103" s="76" t="s">
        <v>0</v>
      </c>
      <c r="AB103" s="8" t="s">
        <v>0</v>
      </c>
      <c r="AC103" s="23">
        <v>0</v>
      </c>
      <c r="AD103" s="47" t="s">
        <v>0</v>
      </c>
      <c r="AE103" s="8" t="s">
        <v>69</v>
      </c>
      <c r="AF103" s="8"/>
      <c r="AG103" s="8"/>
    </row>
    <row r="104" spans="1:33" x14ac:dyDescent="0.25">
      <c r="A104" s="8" t="s">
        <v>758</v>
      </c>
      <c r="B104" s="46" t="s">
        <v>55</v>
      </c>
      <c r="C104" s="47" t="s">
        <v>329</v>
      </c>
      <c r="D104" s="57" t="s">
        <v>281</v>
      </c>
      <c r="E104" s="46" t="s">
        <v>0</v>
      </c>
      <c r="F104" s="46">
        <v>0.4</v>
      </c>
      <c r="G104" s="47">
        <v>10</v>
      </c>
      <c r="H104" s="31" t="s">
        <v>72</v>
      </c>
      <c r="I104" s="8" t="s">
        <v>330</v>
      </c>
      <c r="J104" s="8" t="s">
        <v>0</v>
      </c>
      <c r="K104" s="47" t="s">
        <v>331</v>
      </c>
      <c r="L104" s="8" t="s">
        <v>60</v>
      </c>
      <c r="M104" s="8" t="s">
        <v>332</v>
      </c>
      <c r="N104" s="47" t="s">
        <v>0</v>
      </c>
      <c r="O104" s="8">
        <v>35</v>
      </c>
      <c r="P104" s="8">
        <v>10</v>
      </c>
      <c r="Q104" s="8">
        <f>P104-2.4</f>
        <v>7.6</v>
      </c>
      <c r="R104" s="8" t="s">
        <v>69</v>
      </c>
      <c r="S104" s="8" t="s">
        <v>334</v>
      </c>
      <c r="T104" s="8" t="s">
        <v>0</v>
      </c>
      <c r="U104" s="47" t="s">
        <v>77</v>
      </c>
      <c r="V104" s="8" t="s">
        <v>322</v>
      </c>
      <c r="W104" s="47" t="s">
        <v>367</v>
      </c>
      <c r="X104" s="47" t="s">
        <v>335</v>
      </c>
      <c r="Y104" s="22" t="s">
        <v>368</v>
      </c>
      <c r="Z104" s="34" t="s">
        <v>353</v>
      </c>
      <c r="AA104" s="88" t="s">
        <v>0</v>
      </c>
      <c r="AB104" s="8" t="s">
        <v>0</v>
      </c>
      <c r="AC104" s="23">
        <f>0.42*5*0.06/116*8*32</f>
        <v>0.27806896551724136</v>
      </c>
      <c r="AD104" s="47" t="s">
        <v>0</v>
      </c>
      <c r="AE104" s="8" t="s">
        <v>69</v>
      </c>
      <c r="AF104" s="8"/>
      <c r="AG104" s="8"/>
    </row>
    <row r="105" spans="1:33" x14ac:dyDescent="0.25">
      <c r="A105" s="8" t="s">
        <v>758</v>
      </c>
      <c r="B105" s="46" t="s">
        <v>55</v>
      </c>
      <c r="C105" s="47" t="s">
        <v>329</v>
      </c>
      <c r="D105" s="57" t="s">
        <v>281</v>
      </c>
      <c r="E105" s="46" t="s">
        <v>0</v>
      </c>
      <c r="F105" s="46">
        <v>0.4</v>
      </c>
      <c r="G105" s="47">
        <v>10</v>
      </c>
      <c r="H105" s="31" t="s">
        <v>72</v>
      </c>
      <c r="I105" s="8" t="s">
        <v>330</v>
      </c>
      <c r="J105" s="8" t="s">
        <v>0</v>
      </c>
      <c r="K105" s="47" t="s">
        <v>331</v>
      </c>
      <c r="L105" s="8" t="s">
        <v>60</v>
      </c>
      <c r="M105" s="8" t="s">
        <v>332</v>
      </c>
      <c r="N105" s="47" t="s">
        <v>0</v>
      </c>
      <c r="O105" s="8">
        <v>35</v>
      </c>
      <c r="P105" s="8">
        <v>11</v>
      </c>
      <c r="Q105" s="8">
        <f>P105-2.81</f>
        <v>8.19</v>
      </c>
      <c r="R105" s="8" t="s">
        <v>69</v>
      </c>
      <c r="S105" s="8" t="s">
        <v>334</v>
      </c>
      <c r="T105" s="8" t="s">
        <v>0</v>
      </c>
      <c r="U105" s="47" t="s">
        <v>77</v>
      </c>
      <c r="V105" s="8" t="s">
        <v>322</v>
      </c>
      <c r="W105" s="47" t="s">
        <v>438</v>
      </c>
      <c r="X105" s="47" t="s">
        <v>335</v>
      </c>
      <c r="Y105" s="22" t="s">
        <v>369</v>
      </c>
      <c r="Z105" s="34" t="s">
        <v>370</v>
      </c>
      <c r="AA105" s="88" t="s">
        <v>0</v>
      </c>
      <c r="AB105" s="8" t="s">
        <v>0</v>
      </c>
      <c r="AC105" s="23">
        <f>0.261*5*0.055/116*8*32</f>
        <v>0.15840000000000001</v>
      </c>
      <c r="AD105" s="47" t="s">
        <v>0</v>
      </c>
      <c r="AE105" s="8" t="s">
        <v>69</v>
      </c>
      <c r="AF105" s="8"/>
      <c r="AG105" s="8"/>
    </row>
    <row r="106" spans="1:33" x14ac:dyDescent="0.25">
      <c r="A106" s="8" t="s">
        <v>758</v>
      </c>
      <c r="B106" s="46" t="s">
        <v>55</v>
      </c>
      <c r="C106" s="47" t="s">
        <v>329</v>
      </c>
      <c r="D106" s="57" t="s">
        <v>281</v>
      </c>
      <c r="E106" s="46" t="s">
        <v>0</v>
      </c>
      <c r="F106" s="46">
        <v>0.4</v>
      </c>
      <c r="G106" s="47">
        <v>10</v>
      </c>
      <c r="H106" s="31" t="s">
        <v>72</v>
      </c>
      <c r="I106" s="8" t="s">
        <v>330</v>
      </c>
      <c r="J106" s="8" t="s">
        <v>0</v>
      </c>
      <c r="K106" s="47" t="s">
        <v>331</v>
      </c>
      <c r="L106" s="8" t="s">
        <v>60</v>
      </c>
      <c r="M106" s="8" t="s">
        <v>332</v>
      </c>
      <c r="N106" s="47" t="s">
        <v>0</v>
      </c>
      <c r="O106" s="8">
        <v>35</v>
      </c>
      <c r="P106" s="8">
        <v>12</v>
      </c>
      <c r="Q106" s="8">
        <f>P106-3.31</f>
        <v>8.69</v>
      </c>
      <c r="R106" s="8" t="s">
        <v>69</v>
      </c>
      <c r="S106" s="8" t="s">
        <v>334</v>
      </c>
      <c r="T106" s="8" t="s">
        <v>0</v>
      </c>
      <c r="U106" s="47" t="s">
        <v>77</v>
      </c>
      <c r="V106" s="8" t="s">
        <v>322</v>
      </c>
      <c r="W106" s="47" t="s">
        <v>438</v>
      </c>
      <c r="X106" s="47" t="s">
        <v>335</v>
      </c>
      <c r="Y106" s="22" t="s">
        <v>371</v>
      </c>
      <c r="Z106" s="34" t="s">
        <v>372</v>
      </c>
      <c r="AA106" s="88" t="s">
        <v>0</v>
      </c>
      <c r="AB106" s="8" t="s">
        <v>0</v>
      </c>
      <c r="AC106" s="23">
        <f>0.629*5*0.03/116*8*32</f>
        <v>0.20822068965517243</v>
      </c>
      <c r="AD106" s="47" t="s">
        <v>0</v>
      </c>
      <c r="AE106" s="8" t="s">
        <v>69</v>
      </c>
      <c r="AF106" s="8"/>
      <c r="AG106" s="8"/>
    </row>
    <row r="107" spans="1:33" x14ac:dyDescent="0.25">
      <c r="A107" s="8" t="s">
        <v>758</v>
      </c>
      <c r="B107" s="46" t="s">
        <v>55</v>
      </c>
      <c r="C107" s="47" t="s">
        <v>329</v>
      </c>
      <c r="D107" s="57" t="s">
        <v>281</v>
      </c>
      <c r="E107" s="46" t="s">
        <v>0</v>
      </c>
      <c r="F107" s="46">
        <v>0.4</v>
      </c>
      <c r="G107" s="47">
        <v>15</v>
      </c>
      <c r="H107" s="31" t="s">
        <v>72</v>
      </c>
      <c r="I107" s="8" t="s">
        <v>330</v>
      </c>
      <c r="J107" s="8" t="s">
        <v>0</v>
      </c>
      <c r="K107" s="47" t="s">
        <v>331</v>
      </c>
      <c r="L107" s="8" t="s">
        <v>60</v>
      </c>
      <c r="M107" s="8" t="s">
        <v>332</v>
      </c>
      <c r="N107" s="47" t="s">
        <v>0</v>
      </c>
      <c r="O107" s="8">
        <v>35</v>
      </c>
      <c r="P107" s="8">
        <v>4</v>
      </c>
      <c r="Q107" s="22" t="s">
        <v>333</v>
      </c>
      <c r="R107" s="8" t="s">
        <v>69</v>
      </c>
      <c r="S107" s="8" t="s">
        <v>334</v>
      </c>
      <c r="T107" s="8" t="s">
        <v>0</v>
      </c>
      <c r="U107" s="47" t="s">
        <v>77</v>
      </c>
      <c r="V107" s="8" t="s">
        <v>322</v>
      </c>
      <c r="W107" s="47" t="s">
        <v>438</v>
      </c>
      <c r="X107" s="47" t="s">
        <v>335</v>
      </c>
      <c r="Y107" s="8" t="s">
        <v>373</v>
      </c>
      <c r="Z107" s="34" t="s">
        <v>374</v>
      </c>
      <c r="AA107" s="88" t="s">
        <v>0</v>
      </c>
      <c r="AB107" s="8" t="s">
        <v>0</v>
      </c>
      <c r="AC107" s="23">
        <f>0.267*5*0.09/116*8*32</f>
        <v>0.26515862068965518</v>
      </c>
      <c r="AD107" s="47" t="s">
        <v>0</v>
      </c>
      <c r="AE107" s="8" t="s">
        <v>69</v>
      </c>
      <c r="AF107" s="8"/>
      <c r="AG107" s="8"/>
    </row>
    <row r="108" spans="1:33" x14ac:dyDescent="0.25">
      <c r="A108" s="8" t="s">
        <v>758</v>
      </c>
      <c r="B108" s="46" t="s">
        <v>55</v>
      </c>
      <c r="C108" s="47" t="s">
        <v>329</v>
      </c>
      <c r="D108" s="57" t="s">
        <v>281</v>
      </c>
      <c r="E108" s="46" t="s">
        <v>0</v>
      </c>
      <c r="F108" s="46">
        <v>0.4</v>
      </c>
      <c r="G108" s="47">
        <v>15</v>
      </c>
      <c r="H108" s="31" t="s">
        <v>72</v>
      </c>
      <c r="I108" s="8" t="s">
        <v>330</v>
      </c>
      <c r="J108" s="8" t="s">
        <v>0</v>
      </c>
      <c r="K108" s="47" t="s">
        <v>331</v>
      </c>
      <c r="L108" s="8" t="s">
        <v>60</v>
      </c>
      <c r="M108" s="8" t="s">
        <v>332</v>
      </c>
      <c r="N108" s="47" t="s">
        <v>0</v>
      </c>
      <c r="O108" s="8">
        <v>35</v>
      </c>
      <c r="P108" s="8">
        <v>5</v>
      </c>
      <c r="Q108" s="8">
        <f>P108+1.25</f>
        <v>6.25</v>
      </c>
      <c r="R108" s="8" t="s">
        <v>69</v>
      </c>
      <c r="S108" s="8" t="s">
        <v>334</v>
      </c>
      <c r="T108" s="8" t="s">
        <v>0</v>
      </c>
      <c r="U108" s="47" t="s">
        <v>77</v>
      </c>
      <c r="V108" s="8" t="s">
        <v>322</v>
      </c>
      <c r="W108" s="47" t="s">
        <v>375</v>
      </c>
      <c r="X108" s="47" t="s">
        <v>335</v>
      </c>
      <c r="Y108" s="22" t="s">
        <v>376</v>
      </c>
      <c r="Z108" s="34" t="s">
        <v>353</v>
      </c>
      <c r="AA108" s="88" t="s">
        <v>0</v>
      </c>
      <c r="AB108" s="8" t="s">
        <v>0</v>
      </c>
      <c r="AC108" s="23">
        <f>0.207*5*0.06/116*8*32</f>
        <v>0.13704827586206897</v>
      </c>
      <c r="AD108" s="47" t="s">
        <v>0</v>
      </c>
      <c r="AE108" s="8" t="s">
        <v>69</v>
      </c>
      <c r="AF108" s="8"/>
      <c r="AG108" s="8"/>
    </row>
    <row r="109" spans="1:33" x14ac:dyDescent="0.25">
      <c r="A109" s="8" t="s">
        <v>758</v>
      </c>
      <c r="B109" s="46" t="s">
        <v>55</v>
      </c>
      <c r="C109" s="47" t="s">
        <v>329</v>
      </c>
      <c r="D109" s="57" t="s">
        <v>281</v>
      </c>
      <c r="E109" s="46" t="s">
        <v>0</v>
      </c>
      <c r="F109" s="46">
        <v>0.4</v>
      </c>
      <c r="G109" s="47">
        <v>15</v>
      </c>
      <c r="H109" s="31" t="s">
        <v>72</v>
      </c>
      <c r="I109" s="8" t="s">
        <v>330</v>
      </c>
      <c r="J109" s="8" t="s">
        <v>0</v>
      </c>
      <c r="K109" s="47" t="s">
        <v>331</v>
      </c>
      <c r="L109" s="8" t="s">
        <v>60</v>
      </c>
      <c r="M109" s="8" t="s">
        <v>332</v>
      </c>
      <c r="N109" s="47" t="s">
        <v>0</v>
      </c>
      <c r="O109" s="8">
        <v>35</v>
      </c>
      <c r="P109" s="8">
        <v>6</v>
      </c>
      <c r="Q109" s="8">
        <f>P109+0.96</f>
        <v>6.96</v>
      </c>
      <c r="R109" s="8" t="s">
        <v>69</v>
      </c>
      <c r="S109" s="8" t="s">
        <v>334</v>
      </c>
      <c r="T109" s="8" t="s">
        <v>0</v>
      </c>
      <c r="U109" s="47" t="s">
        <v>77</v>
      </c>
      <c r="V109" s="8" t="s">
        <v>322</v>
      </c>
      <c r="W109" s="47" t="s">
        <v>377</v>
      </c>
      <c r="X109" s="47" t="s">
        <v>335</v>
      </c>
      <c r="Y109" s="22" t="s">
        <v>378</v>
      </c>
      <c r="Z109" s="27">
        <v>0</v>
      </c>
      <c r="AA109" s="76" t="s">
        <v>0</v>
      </c>
      <c r="AB109" s="8" t="s">
        <v>0</v>
      </c>
      <c r="AC109" s="23">
        <f>0.005*5*0/116*8*32</f>
        <v>0</v>
      </c>
      <c r="AD109" s="47" t="s">
        <v>0</v>
      </c>
      <c r="AE109" s="8" t="s">
        <v>69</v>
      </c>
      <c r="AF109" s="8"/>
      <c r="AG109" s="8"/>
    </row>
    <row r="110" spans="1:33" x14ac:dyDescent="0.25">
      <c r="A110" s="8" t="s">
        <v>758</v>
      </c>
      <c r="B110" s="46" t="s">
        <v>55</v>
      </c>
      <c r="C110" s="47" t="s">
        <v>329</v>
      </c>
      <c r="D110" s="57" t="s">
        <v>281</v>
      </c>
      <c r="E110" s="46" t="s">
        <v>0</v>
      </c>
      <c r="F110" s="46">
        <v>0.4</v>
      </c>
      <c r="G110" s="47">
        <v>15</v>
      </c>
      <c r="H110" s="31" t="s">
        <v>72</v>
      </c>
      <c r="I110" s="8" t="s">
        <v>330</v>
      </c>
      <c r="J110" s="8" t="s">
        <v>0</v>
      </c>
      <c r="K110" s="47" t="s">
        <v>331</v>
      </c>
      <c r="L110" s="8" t="s">
        <v>60</v>
      </c>
      <c r="M110" s="8" t="s">
        <v>332</v>
      </c>
      <c r="N110" s="47" t="s">
        <v>0</v>
      </c>
      <c r="O110" s="8">
        <v>35</v>
      </c>
      <c r="P110" s="8">
        <v>7.5</v>
      </c>
      <c r="Q110" s="8" t="s">
        <v>0</v>
      </c>
      <c r="R110" s="8" t="s">
        <v>69</v>
      </c>
      <c r="S110" s="8" t="s">
        <v>334</v>
      </c>
      <c r="T110" s="8" t="s">
        <v>0</v>
      </c>
      <c r="U110" s="47" t="s">
        <v>77</v>
      </c>
      <c r="V110" s="8" t="s">
        <v>322</v>
      </c>
      <c r="W110" s="47" t="s">
        <v>379</v>
      </c>
      <c r="X110" s="47" t="s">
        <v>335</v>
      </c>
      <c r="Y110" s="8" t="s">
        <v>380</v>
      </c>
      <c r="Z110" s="34" t="s">
        <v>381</v>
      </c>
      <c r="AA110" s="88" t="s">
        <v>0</v>
      </c>
      <c r="AB110" s="8" t="s">
        <v>0</v>
      </c>
      <c r="AC110" s="23">
        <f>0.025*5*0.17/116*8*32</f>
        <v>4.6896551724137932E-2</v>
      </c>
      <c r="AD110" s="47" t="s">
        <v>0</v>
      </c>
      <c r="AE110" s="8" t="s">
        <v>69</v>
      </c>
      <c r="AF110" s="8"/>
      <c r="AG110" s="8"/>
    </row>
    <row r="111" spans="1:33" x14ac:dyDescent="0.25">
      <c r="A111" s="8" t="s">
        <v>758</v>
      </c>
      <c r="B111" s="46" t="s">
        <v>55</v>
      </c>
      <c r="C111" s="47" t="s">
        <v>329</v>
      </c>
      <c r="D111" s="57" t="s">
        <v>281</v>
      </c>
      <c r="E111" s="46" t="s">
        <v>0</v>
      </c>
      <c r="F111" s="46">
        <v>0.4</v>
      </c>
      <c r="G111" s="47">
        <v>15</v>
      </c>
      <c r="H111" s="31" t="s">
        <v>72</v>
      </c>
      <c r="I111" s="8" t="s">
        <v>330</v>
      </c>
      <c r="J111" s="8" t="s">
        <v>0</v>
      </c>
      <c r="K111" s="47" t="s">
        <v>331</v>
      </c>
      <c r="L111" s="8" t="s">
        <v>60</v>
      </c>
      <c r="M111" s="8" t="s">
        <v>332</v>
      </c>
      <c r="N111" s="47" t="s">
        <v>0</v>
      </c>
      <c r="O111" s="8">
        <v>35</v>
      </c>
      <c r="P111" s="8">
        <v>9</v>
      </c>
      <c r="Q111" s="8">
        <f>P111-1.365</f>
        <v>7.6349999999999998</v>
      </c>
      <c r="R111" s="8" t="s">
        <v>69</v>
      </c>
      <c r="S111" s="8" t="s">
        <v>334</v>
      </c>
      <c r="T111" s="8" t="s">
        <v>0</v>
      </c>
      <c r="U111" s="47" t="s">
        <v>77</v>
      </c>
      <c r="V111" s="8" t="s">
        <v>322</v>
      </c>
      <c r="W111" s="47" t="s">
        <v>382</v>
      </c>
      <c r="X111" s="47" t="s">
        <v>335</v>
      </c>
      <c r="Y111" s="22" t="s">
        <v>348</v>
      </c>
      <c r="Z111" s="27">
        <v>0</v>
      </c>
      <c r="AA111" s="76" t="s">
        <v>0</v>
      </c>
      <c r="AB111" s="8" t="s">
        <v>0</v>
      </c>
      <c r="AC111" s="23">
        <f>0.012*5*0/116*8*32</f>
        <v>0</v>
      </c>
      <c r="AD111" s="47" t="s">
        <v>0</v>
      </c>
      <c r="AE111" s="8" t="s">
        <v>69</v>
      </c>
      <c r="AF111" s="8"/>
      <c r="AG111" s="8"/>
    </row>
    <row r="112" spans="1:33" x14ac:dyDescent="0.25">
      <c r="A112" s="8" t="s">
        <v>758</v>
      </c>
      <c r="B112" s="46" t="s">
        <v>55</v>
      </c>
      <c r="C112" s="47" t="s">
        <v>329</v>
      </c>
      <c r="D112" s="57" t="s">
        <v>281</v>
      </c>
      <c r="E112" s="46" t="s">
        <v>0</v>
      </c>
      <c r="F112" s="46">
        <v>0.4</v>
      </c>
      <c r="G112" s="47">
        <v>15</v>
      </c>
      <c r="H112" s="31" t="s">
        <v>72</v>
      </c>
      <c r="I112" s="8" t="s">
        <v>330</v>
      </c>
      <c r="J112" s="8" t="s">
        <v>0</v>
      </c>
      <c r="K112" s="47" t="s">
        <v>331</v>
      </c>
      <c r="L112" s="8" t="s">
        <v>60</v>
      </c>
      <c r="M112" s="8" t="s">
        <v>332</v>
      </c>
      <c r="N112" s="47" t="s">
        <v>0</v>
      </c>
      <c r="O112" s="8">
        <v>35</v>
      </c>
      <c r="P112" s="8">
        <v>10</v>
      </c>
      <c r="Q112" s="8">
        <f>P112-2.4</f>
        <v>7.6</v>
      </c>
      <c r="R112" s="8" t="s">
        <v>69</v>
      </c>
      <c r="S112" s="8" t="s">
        <v>334</v>
      </c>
      <c r="T112" s="8" t="s">
        <v>0</v>
      </c>
      <c r="U112" s="47" t="s">
        <v>77</v>
      </c>
      <c r="V112" s="8" t="s">
        <v>322</v>
      </c>
      <c r="W112" s="47" t="s">
        <v>383</v>
      </c>
      <c r="X112" s="47" t="s">
        <v>335</v>
      </c>
      <c r="Y112" s="22" t="s">
        <v>384</v>
      </c>
      <c r="Z112" s="34" t="s">
        <v>351</v>
      </c>
      <c r="AA112" s="88" t="s">
        <v>0</v>
      </c>
      <c r="AB112" s="8" t="s">
        <v>0</v>
      </c>
      <c r="AC112" s="23">
        <f>0.621*5*0.052/116*8*32</f>
        <v>0.35632551724137929</v>
      </c>
      <c r="AD112" s="47" t="s">
        <v>0</v>
      </c>
      <c r="AE112" s="8" t="s">
        <v>69</v>
      </c>
      <c r="AF112" s="8"/>
      <c r="AG112" s="8"/>
    </row>
    <row r="113" spans="1:44" x14ac:dyDescent="0.25">
      <c r="A113" s="8" t="s">
        <v>758</v>
      </c>
      <c r="B113" s="46" t="s">
        <v>55</v>
      </c>
      <c r="C113" s="47" t="s">
        <v>329</v>
      </c>
      <c r="D113" s="57" t="s">
        <v>281</v>
      </c>
      <c r="E113" s="46" t="s">
        <v>0</v>
      </c>
      <c r="F113" s="46">
        <v>0.4</v>
      </c>
      <c r="G113" s="47">
        <v>15</v>
      </c>
      <c r="H113" s="31" t="s">
        <v>72</v>
      </c>
      <c r="I113" s="8" t="s">
        <v>330</v>
      </c>
      <c r="J113" s="8" t="s">
        <v>0</v>
      </c>
      <c r="K113" s="47" t="s">
        <v>331</v>
      </c>
      <c r="L113" s="8" t="s">
        <v>60</v>
      </c>
      <c r="M113" s="8" t="s">
        <v>332</v>
      </c>
      <c r="N113" s="47" t="s">
        <v>0</v>
      </c>
      <c r="O113" s="8">
        <v>35</v>
      </c>
      <c r="P113" s="8">
        <v>11</v>
      </c>
      <c r="Q113" s="8">
        <f>P113-2.81</f>
        <v>8.19</v>
      </c>
      <c r="R113" s="8" t="s">
        <v>69</v>
      </c>
      <c r="S113" s="8" t="s">
        <v>334</v>
      </c>
      <c r="T113" s="8" t="s">
        <v>0</v>
      </c>
      <c r="U113" s="47" t="s">
        <v>77</v>
      </c>
      <c r="V113" s="8" t="s">
        <v>322</v>
      </c>
      <c r="W113" s="47" t="s">
        <v>438</v>
      </c>
      <c r="X113" s="47" t="s">
        <v>335</v>
      </c>
      <c r="Y113" s="22" t="s">
        <v>385</v>
      </c>
      <c r="Z113" s="34" t="s">
        <v>386</v>
      </c>
      <c r="AA113" s="88" t="s">
        <v>0</v>
      </c>
      <c r="AB113" s="8" t="s">
        <v>0</v>
      </c>
      <c r="AC113" s="23">
        <f>0.54*5*0.045/116*8*32</f>
        <v>0.26813793103448275</v>
      </c>
      <c r="AD113" s="47" t="s">
        <v>0</v>
      </c>
      <c r="AE113" s="8" t="s">
        <v>69</v>
      </c>
      <c r="AF113" s="8"/>
      <c r="AG113" s="8"/>
    </row>
    <row r="114" spans="1:44" x14ac:dyDescent="0.25">
      <c r="A114" s="8" t="s">
        <v>758</v>
      </c>
      <c r="B114" s="46" t="s">
        <v>55</v>
      </c>
      <c r="C114" s="47" t="s">
        <v>329</v>
      </c>
      <c r="D114" s="57" t="s">
        <v>281</v>
      </c>
      <c r="E114" s="46" t="s">
        <v>0</v>
      </c>
      <c r="F114" s="46">
        <v>0.4</v>
      </c>
      <c r="G114" s="47">
        <v>15</v>
      </c>
      <c r="H114" s="31" t="s">
        <v>72</v>
      </c>
      <c r="I114" s="8" t="s">
        <v>330</v>
      </c>
      <c r="J114" s="8" t="s">
        <v>0</v>
      </c>
      <c r="K114" s="47" t="s">
        <v>331</v>
      </c>
      <c r="L114" s="8" t="s">
        <v>60</v>
      </c>
      <c r="M114" s="8" t="s">
        <v>332</v>
      </c>
      <c r="N114" s="47" t="s">
        <v>0</v>
      </c>
      <c r="O114" s="8">
        <v>35</v>
      </c>
      <c r="P114" s="8">
        <v>12</v>
      </c>
      <c r="Q114" s="8">
        <f>P114-3.31</f>
        <v>8.69</v>
      </c>
      <c r="R114" s="8" t="s">
        <v>69</v>
      </c>
      <c r="S114" s="8" t="s">
        <v>334</v>
      </c>
      <c r="T114" s="8" t="s">
        <v>0</v>
      </c>
      <c r="U114" s="47" t="s">
        <v>77</v>
      </c>
      <c r="V114" s="8" t="s">
        <v>322</v>
      </c>
      <c r="W114" s="47" t="s">
        <v>438</v>
      </c>
      <c r="X114" s="47" t="s">
        <v>335</v>
      </c>
      <c r="Y114" s="22" t="s">
        <v>387</v>
      </c>
      <c r="Z114" s="34" t="s">
        <v>337</v>
      </c>
      <c r="AA114" s="88" t="s">
        <v>0</v>
      </c>
      <c r="AB114" s="8" t="s">
        <v>0</v>
      </c>
      <c r="AC114" s="23">
        <f>0.461*5*0.007/116*8*32</f>
        <v>3.5608275862068967E-2</v>
      </c>
      <c r="AD114" s="47" t="s">
        <v>0</v>
      </c>
      <c r="AE114" s="8" t="s">
        <v>69</v>
      </c>
      <c r="AF114" s="8"/>
      <c r="AG114" s="8"/>
    </row>
    <row r="115" spans="1:44" x14ac:dyDescent="0.25">
      <c r="A115" s="35" t="s">
        <v>759</v>
      </c>
      <c r="B115" s="48" t="s">
        <v>55</v>
      </c>
      <c r="C115" s="49" t="s">
        <v>388</v>
      </c>
      <c r="D115" s="58" t="s">
        <v>389</v>
      </c>
      <c r="E115" s="48">
        <v>0.25</v>
      </c>
      <c r="F115" s="48">
        <v>0.115</v>
      </c>
      <c r="G115" s="49">
        <v>20</v>
      </c>
      <c r="H115" s="35" t="s">
        <v>72</v>
      </c>
      <c r="I115" s="35" t="s">
        <v>760</v>
      </c>
      <c r="J115" s="35" t="s">
        <v>0</v>
      </c>
      <c r="K115" s="49" t="s">
        <v>390</v>
      </c>
      <c r="L115" s="35" t="s">
        <v>60</v>
      </c>
      <c r="M115" s="35" t="s">
        <v>391</v>
      </c>
      <c r="N115" s="49" t="s">
        <v>392</v>
      </c>
      <c r="O115" s="35">
        <v>37</v>
      </c>
      <c r="P115" s="35">
        <v>6.5</v>
      </c>
      <c r="Q115" s="35"/>
      <c r="R115" s="35" t="s">
        <v>69</v>
      </c>
      <c r="S115" s="35" t="s">
        <v>393</v>
      </c>
      <c r="T115" s="35" t="s">
        <v>0</v>
      </c>
      <c r="U115" s="49" t="s">
        <v>394</v>
      </c>
      <c r="V115" s="35" t="s">
        <v>322</v>
      </c>
      <c r="W115" s="49" t="s">
        <v>0</v>
      </c>
      <c r="X115" s="49" t="s">
        <v>763</v>
      </c>
      <c r="Y115" s="35" t="s">
        <v>396</v>
      </c>
      <c r="Z115" s="35">
        <v>0</v>
      </c>
      <c r="AA115" s="35" t="s">
        <v>0</v>
      </c>
      <c r="AB115" s="35">
        <v>0</v>
      </c>
      <c r="AC115" s="35">
        <v>0</v>
      </c>
      <c r="AD115" s="49">
        <v>0</v>
      </c>
      <c r="AE115" s="35" t="s">
        <v>69</v>
      </c>
      <c r="AF115" s="35"/>
      <c r="AG115" s="35" t="s">
        <v>397</v>
      </c>
    </row>
    <row r="116" spans="1:44" x14ac:dyDescent="0.25">
      <c r="A116" s="35" t="s">
        <v>759</v>
      </c>
      <c r="B116" s="48" t="s">
        <v>55</v>
      </c>
      <c r="C116" s="49" t="s">
        <v>388</v>
      </c>
      <c r="D116" s="58" t="s">
        <v>389</v>
      </c>
      <c r="E116" s="48">
        <v>0.25</v>
      </c>
      <c r="F116" s="48">
        <v>0.115</v>
      </c>
      <c r="G116" s="49">
        <v>20</v>
      </c>
      <c r="H116" s="35" t="s">
        <v>72</v>
      </c>
      <c r="I116" s="35" t="s">
        <v>760</v>
      </c>
      <c r="J116" s="35" t="s">
        <v>0</v>
      </c>
      <c r="K116" s="49" t="s">
        <v>390</v>
      </c>
      <c r="L116" s="35" t="s">
        <v>60</v>
      </c>
      <c r="M116" s="35" t="s">
        <v>391</v>
      </c>
      <c r="N116" s="49" t="s">
        <v>392</v>
      </c>
      <c r="O116" s="35">
        <v>37</v>
      </c>
      <c r="P116" s="35">
        <v>7</v>
      </c>
      <c r="Q116" s="35"/>
      <c r="R116" s="35" t="s">
        <v>64</v>
      </c>
      <c r="S116" s="35" t="s">
        <v>393</v>
      </c>
      <c r="T116" s="35" t="s">
        <v>0</v>
      </c>
      <c r="U116" s="49" t="s">
        <v>394</v>
      </c>
      <c r="V116" s="35" t="s">
        <v>322</v>
      </c>
      <c r="W116" s="49" t="s">
        <v>0</v>
      </c>
      <c r="X116" s="49" t="s">
        <v>763</v>
      </c>
      <c r="Y116" s="36" t="s">
        <v>398</v>
      </c>
      <c r="Z116" s="35" t="s">
        <v>399</v>
      </c>
      <c r="AA116" s="35" t="s">
        <v>0</v>
      </c>
      <c r="AB116" s="35">
        <v>0</v>
      </c>
      <c r="AC116" s="35">
        <v>0.7</v>
      </c>
      <c r="AD116" s="49">
        <v>0</v>
      </c>
      <c r="AE116" s="35" t="s">
        <v>69</v>
      </c>
      <c r="AF116" s="35"/>
      <c r="AG116" s="35" t="s">
        <v>400</v>
      </c>
    </row>
    <row r="117" spans="1:44" x14ac:dyDescent="0.25">
      <c r="A117" s="35" t="s">
        <v>759</v>
      </c>
      <c r="B117" s="48" t="s">
        <v>55</v>
      </c>
      <c r="C117" s="49" t="s">
        <v>388</v>
      </c>
      <c r="D117" s="58" t="s">
        <v>389</v>
      </c>
      <c r="E117" s="48">
        <v>0.25</v>
      </c>
      <c r="F117" s="48">
        <v>0.115</v>
      </c>
      <c r="G117" s="49">
        <v>20</v>
      </c>
      <c r="H117" s="35" t="s">
        <v>72</v>
      </c>
      <c r="I117" s="35" t="s">
        <v>760</v>
      </c>
      <c r="J117" s="35" t="s">
        <v>0</v>
      </c>
      <c r="K117" s="49" t="s">
        <v>390</v>
      </c>
      <c r="L117" s="35" t="s">
        <v>60</v>
      </c>
      <c r="M117" s="35" t="s">
        <v>391</v>
      </c>
      <c r="N117" s="49" t="s">
        <v>392</v>
      </c>
      <c r="O117" s="35">
        <v>37</v>
      </c>
      <c r="P117" s="35">
        <v>10</v>
      </c>
      <c r="Q117" s="35"/>
      <c r="R117" s="35" t="s">
        <v>64</v>
      </c>
      <c r="S117" s="35" t="s">
        <v>393</v>
      </c>
      <c r="T117" s="35" t="s">
        <v>0</v>
      </c>
      <c r="U117" s="49" t="s">
        <v>394</v>
      </c>
      <c r="V117" s="35" t="s">
        <v>322</v>
      </c>
      <c r="W117" s="49" t="s">
        <v>0</v>
      </c>
      <c r="X117" s="49" t="s">
        <v>763</v>
      </c>
      <c r="Y117" s="36" t="s">
        <v>398</v>
      </c>
      <c r="Z117" s="35">
        <v>0</v>
      </c>
      <c r="AA117" s="35" t="s">
        <v>0</v>
      </c>
      <c r="AB117" s="35">
        <v>0</v>
      </c>
      <c r="AC117" s="35">
        <v>0</v>
      </c>
      <c r="AD117" s="49">
        <v>0</v>
      </c>
      <c r="AE117" s="35" t="s">
        <v>69</v>
      </c>
      <c r="AF117" s="35"/>
      <c r="AG117" s="35" t="s">
        <v>401</v>
      </c>
    </row>
    <row r="118" spans="1:44" x14ac:dyDescent="0.25">
      <c r="A118" s="35" t="s">
        <v>759</v>
      </c>
      <c r="B118" s="48" t="s">
        <v>55</v>
      </c>
      <c r="C118" s="49" t="s">
        <v>388</v>
      </c>
      <c r="D118" s="58" t="s">
        <v>389</v>
      </c>
      <c r="E118" s="48">
        <v>0.25</v>
      </c>
      <c r="F118" s="48">
        <v>0.115</v>
      </c>
      <c r="G118" s="49">
        <v>20</v>
      </c>
      <c r="H118" s="35" t="s">
        <v>72</v>
      </c>
      <c r="I118" s="35" t="s">
        <v>402</v>
      </c>
      <c r="J118" s="35" t="s">
        <v>59</v>
      </c>
      <c r="K118" s="49" t="s">
        <v>390</v>
      </c>
      <c r="L118" s="35" t="s">
        <v>60</v>
      </c>
      <c r="M118" s="35" t="s">
        <v>391</v>
      </c>
      <c r="N118" s="49" t="s">
        <v>392</v>
      </c>
      <c r="O118" s="35">
        <v>37</v>
      </c>
      <c r="P118" s="35">
        <v>7</v>
      </c>
      <c r="Q118" s="35"/>
      <c r="R118" s="35" t="s">
        <v>64</v>
      </c>
      <c r="S118" s="35" t="s">
        <v>393</v>
      </c>
      <c r="T118" s="35" t="s">
        <v>0</v>
      </c>
      <c r="U118" s="49" t="s">
        <v>394</v>
      </c>
      <c r="V118" s="35" t="s">
        <v>322</v>
      </c>
      <c r="W118" s="49" t="s">
        <v>0</v>
      </c>
      <c r="X118" s="49" t="s">
        <v>763</v>
      </c>
      <c r="Y118" s="35" t="s">
        <v>1</v>
      </c>
      <c r="Z118" s="35" t="s">
        <v>403</v>
      </c>
      <c r="AA118" s="35" t="s">
        <v>0</v>
      </c>
      <c r="AB118" s="35">
        <v>0</v>
      </c>
      <c r="AC118" s="35">
        <v>2</v>
      </c>
      <c r="AD118" s="49">
        <v>0</v>
      </c>
      <c r="AE118" s="35" t="s">
        <v>69</v>
      </c>
      <c r="AF118" s="35"/>
      <c r="AG118" s="35" t="s">
        <v>404</v>
      </c>
    </row>
    <row r="119" spans="1:44" x14ac:dyDescent="0.25">
      <c r="A119" s="35" t="s">
        <v>759</v>
      </c>
      <c r="B119" s="48" t="s">
        <v>55</v>
      </c>
      <c r="C119" s="49" t="s">
        <v>388</v>
      </c>
      <c r="D119" s="58" t="s">
        <v>389</v>
      </c>
      <c r="E119" s="48">
        <v>0.25</v>
      </c>
      <c r="F119" s="48">
        <v>0.115</v>
      </c>
      <c r="G119" s="49">
        <v>20</v>
      </c>
      <c r="H119" s="35" t="s">
        <v>72</v>
      </c>
      <c r="I119" s="35" t="s">
        <v>405</v>
      </c>
      <c r="J119" s="35" t="s">
        <v>74</v>
      </c>
      <c r="K119" s="49" t="s">
        <v>390</v>
      </c>
      <c r="L119" s="35" t="s">
        <v>60</v>
      </c>
      <c r="M119" s="35" t="s">
        <v>391</v>
      </c>
      <c r="N119" s="49" t="s">
        <v>392</v>
      </c>
      <c r="O119" s="35">
        <v>37</v>
      </c>
      <c r="P119" s="35">
        <v>7</v>
      </c>
      <c r="Q119" s="35"/>
      <c r="R119" s="35" t="s">
        <v>64</v>
      </c>
      <c r="S119" s="35" t="s">
        <v>393</v>
      </c>
      <c r="T119" s="35" t="s">
        <v>0</v>
      </c>
      <c r="U119" s="49" t="s">
        <v>394</v>
      </c>
      <c r="V119" s="35" t="s">
        <v>322</v>
      </c>
      <c r="W119" s="49" t="s">
        <v>0</v>
      </c>
      <c r="X119" s="49" t="s">
        <v>763</v>
      </c>
      <c r="Y119" s="35" t="s">
        <v>1</v>
      </c>
      <c r="Z119" s="35" t="s">
        <v>399</v>
      </c>
      <c r="AA119" s="35" t="s">
        <v>0</v>
      </c>
      <c r="AB119" s="35">
        <v>0</v>
      </c>
      <c r="AC119" s="35">
        <v>0.7</v>
      </c>
      <c r="AD119" s="49">
        <v>0</v>
      </c>
      <c r="AE119" s="35" t="s">
        <v>69</v>
      </c>
      <c r="AF119" s="35"/>
      <c r="AG119" s="35" t="s">
        <v>406</v>
      </c>
    </row>
    <row r="120" spans="1:44" x14ac:dyDescent="0.25">
      <c r="A120" s="8" t="s">
        <v>764</v>
      </c>
      <c r="B120" s="46" t="s">
        <v>407</v>
      </c>
      <c r="C120" s="47" t="s">
        <v>408</v>
      </c>
      <c r="D120" s="57" t="s">
        <v>409</v>
      </c>
      <c r="E120" s="46">
        <v>1</v>
      </c>
      <c r="F120" s="46">
        <v>0.8</v>
      </c>
      <c r="G120" s="47">
        <v>10</v>
      </c>
      <c r="H120" s="8" t="s">
        <v>72</v>
      </c>
      <c r="I120" s="8" t="s">
        <v>410</v>
      </c>
      <c r="J120" s="8" t="s">
        <v>1</v>
      </c>
      <c r="K120" s="47" t="s">
        <v>411</v>
      </c>
      <c r="L120" s="8" t="s">
        <v>60</v>
      </c>
      <c r="M120" s="8" t="s">
        <v>412</v>
      </c>
      <c r="N120" s="47" t="s">
        <v>413</v>
      </c>
      <c r="O120" s="8">
        <v>30</v>
      </c>
      <c r="P120" s="8" t="s">
        <v>1</v>
      </c>
      <c r="Q120" s="8">
        <v>3.8</v>
      </c>
      <c r="R120" s="8" t="s">
        <v>69</v>
      </c>
      <c r="S120" s="8" t="s">
        <v>0</v>
      </c>
      <c r="T120" s="8" t="s">
        <v>414</v>
      </c>
      <c r="U120" s="47" t="s">
        <v>0</v>
      </c>
      <c r="V120" s="8" t="s">
        <v>322</v>
      </c>
      <c r="W120" s="47" t="s">
        <v>0</v>
      </c>
      <c r="X120" s="47" t="s">
        <v>395</v>
      </c>
      <c r="Y120" s="8" t="s">
        <v>415</v>
      </c>
      <c r="Z120" s="37" t="s">
        <v>416</v>
      </c>
      <c r="AA120" s="76" t="s">
        <v>0</v>
      </c>
      <c r="AB120" s="8" t="s">
        <v>0</v>
      </c>
      <c r="AC120" s="8" t="s">
        <v>574</v>
      </c>
      <c r="AD120" s="47">
        <v>0</v>
      </c>
      <c r="AE120" s="8" t="s">
        <v>69</v>
      </c>
      <c r="AF120" s="8"/>
      <c r="AG120" s="8"/>
    </row>
    <row r="121" spans="1:44" x14ac:dyDescent="0.25">
      <c r="A121" s="8" t="s">
        <v>764</v>
      </c>
      <c r="B121" s="46" t="s">
        <v>407</v>
      </c>
      <c r="C121" s="47" t="s">
        <v>408</v>
      </c>
      <c r="D121" s="57" t="s">
        <v>409</v>
      </c>
      <c r="E121" s="46">
        <v>1</v>
      </c>
      <c r="F121" s="46">
        <v>0.8</v>
      </c>
      <c r="G121" s="47">
        <v>21</v>
      </c>
      <c r="H121" s="8" t="s">
        <v>72</v>
      </c>
      <c r="I121" s="8" t="s">
        <v>410</v>
      </c>
      <c r="J121" s="8" t="s">
        <v>1</v>
      </c>
      <c r="K121" s="47" t="s">
        <v>411</v>
      </c>
      <c r="L121" s="8" t="s">
        <v>60</v>
      </c>
      <c r="M121" s="8" t="s">
        <v>412</v>
      </c>
      <c r="N121" s="47" t="s">
        <v>413</v>
      </c>
      <c r="O121" s="8">
        <v>30</v>
      </c>
      <c r="P121" s="8" t="s">
        <v>1</v>
      </c>
      <c r="Q121" s="8">
        <v>3.8</v>
      </c>
      <c r="R121" s="8" t="s">
        <v>69</v>
      </c>
      <c r="S121" s="8" t="s">
        <v>0</v>
      </c>
      <c r="T121" s="8" t="s">
        <v>414</v>
      </c>
      <c r="U121" s="47" t="s">
        <v>0</v>
      </c>
      <c r="V121" s="8" t="s">
        <v>322</v>
      </c>
      <c r="W121" s="47" t="s">
        <v>0</v>
      </c>
      <c r="X121" s="47" t="s">
        <v>395</v>
      </c>
      <c r="Y121" s="8" t="s">
        <v>417</v>
      </c>
      <c r="Z121" s="8" t="s">
        <v>757</v>
      </c>
      <c r="AA121" s="8" t="s">
        <v>0</v>
      </c>
      <c r="AB121" s="8" t="s">
        <v>0</v>
      </c>
      <c r="AC121" s="8">
        <v>66.63</v>
      </c>
      <c r="AD121" s="47">
        <v>0</v>
      </c>
      <c r="AE121" s="8" t="s">
        <v>69</v>
      </c>
      <c r="AF121" s="8"/>
      <c r="AG121" s="8"/>
    </row>
    <row r="122" spans="1:44" x14ac:dyDescent="0.25">
      <c r="A122" s="8" t="s">
        <v>764</v>
      </c>
      <c r="B122" s="46" t="s">
        <v>407</v>
      </c>
      <c r="C122" s="47" t="s">
        <v>408</v>
      </c>
      <c r="D122" s="57" t="s">
        <v>418</v>
      </c>
      <c r="E122" s="46">
        <v>1</v>
      </c>
      <c r="F122" s="46">
        <v>0.8</v>
      </c>
      <c r="G122" s="47">
        <v>21</v>
      </c>
      <c r="H122" s="8" t="s">
        <v>72</v>
      </c>
      <c r="I122" s="8" t="s">
        <v>410</v>
      </c>
      <c r="J122" s="8" t="s">
        <v>1</v>
      </c>
      <c r="K122" s="47" t="s">
        <v>411</v>
      </c>
      <c r="L122" s="8" t="s">
        <v>60</v>
      </c>
      <c r="M122" s="8" t="s">
        <v>412</v>
      </c>
      <c r="N122" s="47" t="s">
        <v>413</v>
      </c>
      <c r="O122" s="8">
        <v>30</v>
      </c>
      <c r="P122" s="8" t="s">
        <v>1</v>
      </c>
      <c r="Q122" s="8">
        <v>3.8</v>
      </c>
      <c r="R122" s="8" t="s">
        <v>69</v>
      </c>
      <c r="S122" s="8" t="s">
        <v>0</v>
      </c>
      <c r="T122" s="8" t="s">
        <v>414</v>
      </c>
      <c r="U122" s="47" t="s">
        <v>0</v>
      </c>
      <c r="V122" s="8" t="s">
        <v>322</v>
      </c>
      <c r="W122" s="47" t="s">
        <v>0</v>
      </c>
      <c r="X122" s="47" t="s">
        <v>395</v>
      </c>
      <c r="Y122" s="8" t="s">
        <v>419</v>
      </c>
      <c r="Z122" s="8" t="s">
        <v>756</v>
      </c>
      <c r="AA122" s="8" t="s">
        <v>0</v>
      </c>
      <c r="AB122" s="8" t="s">
        <v>0</v>
      </c>
      <c r="AC122" s="8">
        <v>33.32</v>
      </c>
      <c r="AD122" s="47">
        <v>0</v>
      </c>
      <c r="AE122" s="8" t="s">
        <v>69</v>
      </c>
      <c r="AF122" s="8"/>
      <c r="AG122" s="8"/>
    </row>
    <row r="123" spans="1:44" x14ac:dyDescent="0.25">
      <c r="A123" s="35" t="s">
        <v>765</v>
      </c>
      <c r="B123" s="48" t="s">
        <v>2</v>
      </c>
      <c r="C123" s="49" t="s">
        <v>420</v>
      </c>
      <c r="D123" s="58" t="s">
        <v>86</v>
      </c>
      <c r="E123" s="48">
        <v>0.25</v>
      </c>
      <c r="F123" s="48">
        <v>0.1</v>
      </c>
      <c r="G123" s="49">
        <v>21</v>
      </c>
      <c r="H123" s="35" t="s">
        <v>57</v>
      </c>
      <c r="I123" s="35" t="s">
        <v>421</v>
      </c>
      <c r="J123" s="35" t="s">
        <v>422</v>
      </c>
      <c r="K123" s="49" t="s">
        <v>423</v>
      </c>
      <c r="L123" s="35" t="s">
        <v>60</v>
      </c>
      <c r="M123" s="35" t="s">
        <v>424</v>
      </c>
      <c r="N123" s="49" t="s">
        <v>0</v>
      </c>
      <c r="O123" s="35">
        <v>35</v>
      </c>
      <c r="P123" s="35" t="s">
        <v>425</v>
      </c>
      <c r="Q123" s="35" t="s">
        <v>0</v>
      </c>
      <c r="R123" s="35" t="s">
        <v>69</v>
      </c>
      <c r="S123" s="35" t="s">
        <v>0</v>
      </c>
      <c r="T123" s="35" t="s">
        <v>0</v>
      </c>
      <c r="U123" s="49" t="s">
        <v>175</v>
      </c>
      <c r="V123" s="35" t="s">
        <v>0</v>
      </c>
      <c r="W123" s="49" t="s">
        <v>0</v>
      </c>
      <c r="X123" s="49" t="s">
        <v>427</v>
      </c>
      <c r="Y123" s="35" t="s">
        <v>428</v>
      </c>
      <c r="Z123" s="35" t="s">
        <v>429</v>
      </c>
      <c r="AA123" s="35" t="s">
        <v>0</v>
      </c>
      <c r="AB123" s="35" t="s">
        <v>0</v>
      </c>
      <c r="AC123" s="35">
        <v>0.128</v>
      </c>
      <c r="AD123" s="49">
        <v>0</v>
      </c>
      <c r="AE123" s="35" t="s">
        <v>69</v>
      </c>
      <c r="AF123" s="35"/>
      <c r="AG123" s="35" t="s">
        <v>430</v>
      </c>
    </row>
    <row r="124" spans="1:44" x14ac:dyDescent="0.25">
      <c r="A124" s="8" t="s">
        <v>766</v>
      </c>
      <c r="B124" s="46" t="s">
        <v>2</v>
      </c>
      <c r="C124" s="47" t="s">
        <v>431</v>
      </c>
      <c r="D124" s="57" t="s">
        <v>432</v>
      </c>
      <c r="E124" s="46">
        <v>0.25</v>
      </c>
      <c r="F124" s="46">
        <v>0.11</v>
      </c>
      <c r="G124" s="59">
        <f>85/24</f>
        <v>3.5416666666666665</v>
      </c>
      <c r="H124" s="8" t="s">
        <v>57</v>
      </c>
      <c r="I124" s="8" t="s">
        <v>433</v>
      </c>
      <c r="J124" s="8" t="s">
        <v>59</v>
      </c>
      <c r="K124" s="47">
        <f>34.16+16.13</f>
        <v>50.289999999999992</v>
      </c>
      <c r="L124" s="8" t="s">
        <v>60</v>
      </c>
      <c r="M124" s="8" t="s">
        <v>434</v>
      </c>
      <c r="N124" s="47" t="s">
        <v>435</v>
      </c>
      <c r="O124" s="8">
        <v>37</v>
      </c>
      <c r="P124" s="8">
        <v>6.25</v>
      </c>
      <c r="Q124" s="8">
        <v>6.85</v>
      </c>
      <c r="R124" s="8" t="s">
        <v>69</v>
      </c>
      <c r="S124" s="8" t="s">
        <v>0</v>
      </c>
      <c r="T124" s="8" t="s">
        <v>0</v>
      </c>
      <c r="U124" s="47" t="s">
        <v>436</v>
      </c>
      <c r="V124" s="8" t="s">
        <v>437</v>
      </c>
      <c r="W124" s="47" t="s">
        <v>438</v>
      </c>
      <c r="X124" s="47" t="s">
        <v>439</v>
      </c>
      <c r="Y124" s="8" t="s">
        <v>440</v>
      </c>
      <c r="Z124" s="8" t="s">
        <v>441</v>
      </c>
      <c r="AA124" s="76" t="s">
        <v>0</v>
      </c>
      <c r="AB124" s="8" t="s">
        <v>0</v>
      </c>
      <c r="AC124" s="8">
        <v>22.84</v>
      </c>
      <c r="AD124" s="47">
        <v>0</v>
      </c>
      <c r="AE124" s="8" t="s">
        <v>64</v>
      </c>
      <c r="AF124" s="8"/>
      <c r="AG124" s="8" t="s">
        <v>442</v>
      </c>
    </row>
    <row r="125" spans="1:44" x14ac:dyDescent="0.25">
      <c r="A125" s="8" t="s">
        <v>766</v>
      </c>
      <c r="B125" s="46" t="s">
        <v>2</v>
      </c>
      <c r="C125" s="47" t="s">
        <v>431</v>
      </c>
      <c r="D125" s="57" t="s">
        <v>443</v>
      </c>
      <c r="E125" s="46">
        <v>0.6</v>
      </c>
      <c r="F125" s="46">
        <v>0.44</v>
      </c>
      <c r="G125" s="59">
        <f>85/24</f>
        <v>3.5416666666666665</v>
      </c>
      <c r="H125" s="8" t="s">
        <v>57</v>
      </c>
      <c r="I125" s="8" t="s">
        <v>444</v>
      </c>
      <c r="J125" s="8" t="s">
        <v>59</v>
      </c>
      <c r="K125" s="47">
        <f>16.256+35.616</f>
        <v>51.872</v>
      </c>
      <c r="L125" s="8" t="s">
        <v>60</v>
      </c>
      <c r="M125" s="8" t="s">
        <v>434</v>
      </c>
      <c r="N125" s="47" t="s">
        <v>435</v>
      </c>
      <c r="O125" s="8">
        <v>37</v>
      </c>
      <c r="P125" s="8">
        <v>6.25</v>
      </c>
      <c r="Q125" s="8">
        <v>6.85</v>
      </c>
      <c r="R125" s="8" t="s">
        <v>69</v>
      </c>
      <c r="S125" s="8" t="s">
        <v>0</v>
      </c>
      <c r="T125" s="8" t="s">
        <v>0</v>
      </c>
      <c r="U125" s="47" t="s">
        <v>77</v>
      </c>
      <c r="V125" s="8" t="s">
        <v>437</v>
      </c>
      <c r="W125" s="47" t="s">
        <v>438</v>
      </c>
      <c r="X125" s="47" t="s">
        <v>439</v>
      </c>
      <c r="Y125" s="8" t="s">
        <v>445</v>
      </c>
      <c r="Z125" s="8" t="s">
        <v>446</v>
      </c>
      <c r="AA125" s="8" t="s">
        <v>0</v>
      </c>
      <c r="AB125" s="8" t="s">
        <v>0</v>
      </c>
      <c r="AC125" s="8">
        <v>23.04</v>
      </c>
      <c r="AD125" s="47">
        <v>0</v>
      </c>
      <c r="AE125" s="8" t="s">
        <v>64</v>
      </c>
      <c r="AF125" s="8"/>
      <c r="AG125" s="8" t="s">
        <v>442</v>
      </c>
    </row>
    <row r="126" spans="1:44" x14ac:dyDescent="0.25">
      <c r="A126" s="8" t="s">
        <v>766</v>
      </c>
      <c r="B126" s="46" t="s">
        <v>2</v>
      </c>
      <c r="C126" s="47" t="s">
        <v>431</v>
      </c>
      <c r="D126" s="57" t="s">
        <v>447</v>
      </c>
      <c r="E126" s="46">
        <v>3</v>
      </c>
      <c r="F126" s="46">
        <v>2.2000000000000002</v>
      </c>
      <c r="G126" s="59">
        <f>82/24</f>
        <v>3.4166666666666665</v>
      </c>
      <c r="H126" s="8" t="s">
        <v>57</v>
      </c>
      <c r="I126" s="8" t="s">
        <v>448</v>
      </c>
      <c r="J126" s="8" t="s">
        <v>59</v>
      </c>
      <c r="K126" s="47">
        <f>19.2+36.064</f>
        <v>55.263999999999996</v>
      </c>
      <c r="L126" s="8" t="s">
        <v>60</v>
      </c>
      <c r="M126" s="8" t="s">
        <v>434</v>
      </c>
      <c r="N126" s="47" t="s">
        <v>435</v>
      </c>
      <c r="O126" s="8">
        <v>37</v>
      </c>
      <c r="P126" s="8">
        <v>6.25</v>
      </c>
      <c r="Q126" s="8">
        <v>6.85</v>
      </c>
      <c r="R126" s="8" t="s">
        <v>69</v>
      </c>
      <c r="S126" s="8" t="s">
        <v>0</v>
      </c>
      <c r="T126" s="8" t="s">
        <v>0</v>
      </c>
      <c r="U126" s="47" t="s">
        <v>449</v>
      </c>
      <c r="V126" s="8" t="s">
        <v>437</v>
      </c>
      <c r="W126" s="47" t="s">
        <v>438</v>
      </c>
      <c r="X126" s="47" t="s">
        <v>439</v>
      </c>
      <c r="Y126" s="8" t="s">
        <v>445</v>
      </c>
      <c r="Z126" s="8" t="s">
        <v>450</v>
      </c>
      <c r="AA126" s="8" t="s">
        <v>0</v>
      </c>
      <c r="AB126" s="8" t="s">
        <v>0</v>
      </c>
      <c r="AC126" s="8">
        <v>24.91</v>
      </c>
      <c r="AD126" s="47">
        <v>0</v>
      </c>
      <c r="AE126" s="8" t="s">
        <v>64</v>
      </c>
      <c r="AF126" s="8"/>
      <c r="AG126" s="8" t="s">
        <v>442</v>
      </c>
    </row>
    <row r="127" spans="1:44" x14ac:dyDescent="0.25">
      <c r="A127" s="4" t="s">
        <v>767</v>
      </c>
      <c r="B127" s="42" t="s">
        <v>2</v>
      </c>
      <c r="C127" s="43" t="s">
        <v>451</v>
      </c>
      <c r="D127" s="54" t="s">
        <v>452</v>
      </c>
      <c r="E127" s="42">
        <v>13</v>
      </c>
      <c r="F127" s="42">
        <v>13</v>
      </c>
      <c r="G127" s="43">
        <v>13</v>
      </c>
      <c r="H127" s="4" t="s">
        <v>72</v>
      </c>
      <c r="I127" s="4" t="s">
        <v>453</v>
      </c>
      <c r="J127" s="4" t="s">
        <v>0</v>
      </c>
      <c r="K127" s="43">
        <v>117.4</v>
      </c>
      <c r="L127" s="4" t="s">
        <v>60</v>
      </c>
      <c r="M127" s="4" t="s">
        <v>454</v>
      </c>
      <c r="N127" s="43" t="s">
        <v>455</v>
      </c>
      <c r="O127" s="4">
        <v>38</v>
      </c>
      <c r="P127" s="4">
        <v>5.5</v>
      </c>
      <c r="Q127" s="4">
        <v>5.5</v>
      </c>
      <c r="R127" s="4" t="s">
        <v>64</v>
      </c>
      <c r="S127" s="4" t="s">
        <v>456</v>
      </c>
      <c r="T127" s="4" t="s">
        <v>0</v>
      </c>
      <c r="U127" s="43" t="s">
        <v>457</v>
      </c>
      <c r="V127" s="4" t="s">
        <v>0</v>
      </c>
      <c r="W127" s="43" t="s">
        <v>0</v>
      </c>
      <c r="X127" s="43" t="s">
        <v>0</v>
      </c>
      <c r="Y127" s="4" t="s">
        <v>0</v>
      </c>
      <c r="Z127" s="4" t="s">
        <v>458</v>
      </c>
      <c r="AA127" s="4" t="s">
        <v>0</v>
      </c>
      <c r="AB127" s="4" t="s">
        <v>459</v>
      </c>
      <c r="AC127" s="4">
        <f>0.144*13</f>
        <v>1.8719999999999999</v>
      </c>
      <c r="AD127" s="43">
        <f>0.005*13</f>
        <v>6.5000000000000002E-2</v>
      </c>
      <c r="AE127" s="4" t="s">
        <v>69</v>
      </c>
      <c r="AF127" s="4"/>
      <c r="AG127" s="4"/>
      <c r="AH127" s="9"/>
      <c r="AI127" s="9"/>
      <c r="AJ127" s="9"/>
      <c r="AK127" s="9"/>
      <c r="AL127" s="9"/>
      <c r="AM127" s="9"/>
      <c r="AN127" s="9"/>
      <c r="AO127" s="9"/>
      <c r="AP127" s="9"/>
      <c r="AQ127" s="10"/>
      <c r="AR127" s="10"/>
    </row>
    <row r="128" spans="1:44" x14ac:dyDescent="0.25">
      <c r="A128" s="8" t="s">
        <v>768</v>
      </c>
      <c r="B128" s="46" t="s">
        <v>460</v>
      </c>
      <c r="C128" s="47" t="s">
        <v>461</v>
      </c>
      <c r="D128" s="57" t="s">
        <v>1</v>
      </c>
      <c r="E128" s="46" t="s">
        <v>1</v>
      </c>
      <c r="F128" s="46">
        <v>900</v>
      </c>
      <c r="G128" s="47">
        <v>60</v>
      </c>
      <c r="H128" s="8" t="s">
        <v>72</v>
      </c>
      <c r="I128" s="8" t="s">
        <v>462</v>
      </c>
      <c r="J128" s="8" t="s">
        <v>1</v>
      </c>
      <c r="K128" s="47" t="s">
        <v>1</v>
      </c>
      <c r="L128" s="8" t="s">
        <v>60</v>
      </c>
      <c r="M128" s="8" t="s">
        <v>322</v>
      </c>
      <c r="N128" s="47" t="s">
        <v>1</v>
      </c>
      <c r="O128" s="8" t="s">
        <v>463</v>
      </c>
      <c r="P128" s="8" t="s">
        <v>0</v>
      </c>
      <c r="Q128" s="8" t="s">
        <v>0</v>
      </c>
      <c r="R128" s="8" t="s">
        <v>69</v>
      </c>
      <c r="S128" s="8" t="s">
        <v>1</v>
      </c>
      <c r="T128" s="8" t="s">
        <v>0</v>
      </c>
      <c r="U128" s="47" t="s">
        <v>0</v>
      </c>
      <c r="V128" s="8" t="s">
        <v>0</v>
      </c>
      <c r="W128" s="47" t="s">
        <v>0</v>
      </c>
      <c r="X128" s="47" t="s">
        <v>0</v>
      </c>
      <c r="Y128" s="22" t="s">
        <v>464</v>
      </c>
      <c r="Z128" s="8" t="s">
        <v>465</v>
      </c>
      <c r="AA128" s="8" t="s">
        <v>0</v>
      </c>
      <c r="AB128" s="8" t="s">
        <v>466</v>
      </c>
      <c r="AC128" s="8">
        <v>32.710999999999999</v>
      </c>
      <c r="AD128" s="47" t="s">
        <v>0</v>
      </c>
      <c r="AE128" s="8" t="s">
        <v>69</v>
      </c>
      <c r="AF128" s="8"/>
      <c r="AG128" s="8"/>
      <c r="AH128" s="9"/>
      <c r="AI128" s="9"/>
      <c r="AJ128" s="9"/>
      <c r="AK128" s="9"/>
      <c r="AL128" s="9"/>
      <c r="AM128" s="9"/>
      <c r="AN128" s="9"/>
      <c r="AO128" s="9"/>
      <c r="AP128" s="9"/>
      <c r="AQ128" s="10"/>
      <c r="AR128" s="10"/>
    </row>
    <row r="129" spans="1:44" x14ac:dyDescent="0.25">
      <c r="A129" s="8" t="s">
        <v>768</v>
      </c>
      <c r="B129" s="46" t="s">
        <v>460</v>
      </c>
      <c r="C129" s="47" t="s">
        <v>467</v>
      </c>
      <c r="D129" s="57" t="s">
        <v>1</v>
      </c>
      <c r="E129" s="46" t="s">
        <v>1</v>
      </c>
      <c r="F129" s="46">
        <v>900</v>
      </c>
      <c r="G129" s="47">
        <v>5</v>
      </c>
      <c r="H129" s="8" t="s">
        <v>72</v>
      </c>
      <c r="I129" s="8" t="s">
        <v>468</v>
      </c>
      <c r="J129" s="8" t="s">
        <v>123</v>
      </c>
      <c r="K129" s="47" t="s">
        <v>1</v>
      </c>
      <c r="L129" s="8" t="s">
        <v>60</v>
      </c>
      <c r="M129" s="8" t="s">
        <v>322</v>
      </c>
      <c r="N129" s="47" t="s">
        <v>1</v>
      </c>
      <c r="O129" s="8" t="s">
        <v>463</v>
      </c>
      <c r="P129" s="8" t="s">
        <v>0</v>
      </c>
      <c r="Q129" s="8" t="s">
        <v>0</v>
      </c>
      <c r="R129" s="8" t="s">
        <v>69</v>
      </c>
      <c r="S129" s="8" t="s">
        <v>1</v>
      </c>
      <c r="T129" s="8" t="s">
        <v>0</v>
      </c>
      <c r="U129" s="47" t="s">
        <v>0</v>
      </c>
      <c r="V129" s="8" t="s">
        <v>0</v>
      </c>
      <c r="W129" s="47" t="s">
        <v>0</v>
      </c>
      <c r="X129" s="47" t="s">
        <v>0</v>
      </c>
      <c r="Y129" s="8" t="s">
        <v>0</v>
      </c>
      <c r="Z129" s="8" t="s">
        <v>469</v>
      </c>
      <c r="AA129" s="8" t="s">
        <v>0</v>
      </c>
      <c r="AB129" s="8">
        <v>0</v>
      </c>
      <c r="AC129" s="8">
        <v>2.6168999999999998</v>
      </c>
      <c r="AD129" s="47" t="s">
        <v>0</v>
      </c>
      <c r="AE129" s="8" t="s">
        <v>69</v>
      </c>
      <c r="AF129" s="8"/>
      <c r="AG129" s="8"/>
      <c r="AH129" s="9"/>
      <c r="AI129" s="9"/>
      <c r="AJ129" s="9"/>
      <c r="AK129" s="9"/>
      <c r="AL129" s="9"/>
      <c r="AM129" s="9"/>
      <c r="AN129" s="9"/>
      <c r="AO129" s="9"/>
      <c r="AP129" s="9"/>
      <c r="AQ129" s="10"/>
      <c r="AR129" s="10"/>
    </row>
    <row r="130" spans="1:44" x14ac:dyDescent="0.25">
      <c r="A130" s="4" t="s">
        <v>769</v>
      </c>
      <c r="B130" s="42" t="s">
        <v>575</v>
      </c>
      <c r="C130" s="43" t="s">
        <v>576</v>
      </c>
      <c r="D130" s="54" t="s">
        <v>281</v>
      </c>
      <c r="E130" s="42">
        <v>2.2999999999999998</v>
      </c>
      <c r="F130" s="60">
        <v>1.7</v>
      </c>
      <c r="G130" s="43">
        <v>60</v>
      </c>
      <c r="H130" s="4" t="s">
        <v>72</v>
      </c>
      <c r="I130" s="4" t="s">
        <v>577</v>
      </c>
      <c r="J130" s="4" t="s">
        <v>578</v>
      </c>
      <c r="K130" s="43" t="s">
        <v>579</v>
      </c>
      <c r="L130" s="4" t="s">
        <v>60</v>
      </c>
      <c r="M130" s="4" t="s">
        <v>319</v>
      </c>
      <c r="N130" s="43" t="s">
        <v>580</v>
      </c>
      <c r="O130" s="4">
        <v>30</v>
      </c>
      <c r="P130" s="4">
        <v>5.5</v>
      </c>
      <c r="Q130" s="4" t="s">
        <v>0</v>
      </c>
      <c r="R130" s="4" t="s">
        <v>69</v>
      </c>
      <c r="S130" s="4" t="s">
        <v>581</v>
      </c>
      <c r="T130" s="4" t="s">
        <v>0</v>
      </c>
      <c r="U130" s="43" t="s">
        <v>0</v>
      </c>
      <c r="V130" s="4" t="s">
        <v>582</v>
      </c>
      <c r="W130" s="43" t="s">
        <v>583</v>
      </c>
      <c r="X130" s="43" t="s">
        <v>584</v>
      </c>
      <c r="Y130" s="4" t="s">
        <v>719</v>
      </c>
      <c r="Z130" s="79" t="s">
        <v>585</v>
      </c>
      <c r="AA130" s="4" t="s">
        <v>0</v>
      </c>
      <c r="AB130" s="4" t="s">
        <v>0</v>
      </c>
      <c r="AC130" s="39">
        <f>0.5*32*8/116</f>
        <v>1.103448275862069</v>
      </c>
      <c r="AD130" s="43" t="s">
        <v>0</v>
      </c>
      <c r="AE130" s="4" t="s">
        <v>69</v>
      </c>
      <c r="AF130" s="4"/>
      <c r="AG130" s="4" t="s">
        <v>774</v>
      </c>
    </row>
    <row r="131" spans="1:44" x14ac:dyDescent="0.25">
      <c r="A131" s="4" t="s">
        <v>769</v>
      </c>
      <c r="B131" s="42" t="s">
        <v>575</v>
      </c>
      <c r="C131" s="43" t="s">
        <v>576</v>
      </c>
      <c r="D131" s="54" t="s">
        <v>281</v>
      </c>
      <c r="E131" s="42">
        <v>2.2999999999999998</v>
      </c>
      <c r="F131" s="60">
        <v>1.7</v>
      </c>
      <c r="G131" s="43">
        <v>60</v>
      </c>
      <c r="H131" s="4" t="s">
        <v>72</v>
      </c>
      <c r="I131" s="4" t="s">
        <v>577</v>
      </c>
      <c r="J131" s="4" t="s">
        <v>578</v>
      </c>
      <c r="K131" s="43" t="s">
        <v>579</v>
      </c>
      <c r="L131" s="4" t="s">
        <v>60</v>
      </c>
      <c r="M131" s="4" t="s">
        <v>319</v>
      </c>
      <c r="N131" s="43" t="s">
        <v>580</v>
      </c>
      <c r="O131" s="4">
        <v>30</v>
      </c>
      <c r="P131" s="4">
        <v>5.5</v>
      </c>
      <c r="Q131" s="4" t="s">
        <v>0</v>
      </c>
      <c r="R131" s="4" t="s">
        <v>69</v>
      </c>
      <c r="S131" s="4" t="s">
        <v>581</v>
      </c>
      <c r="T131" s="4" t="s">
        <v>0</v>
      </c>
      <c r="U131" s="43" t="s">
        <v>0</v>
      </c>
      <c r="V131" s="4" t="s">
        <v>586</v>
      </c>
      <c r="W131" s="43" t="s">
        <v>583</v>
      </c>
      <c r="X131" s="43" t="s">
        <v>587</v>
      </c>
      <c r="Y131" s="4" t="s">
        <v>719</v>
      </c>
      <c r="Z131" s="79" t="s">
        <v>588</v>
      </c>
      <c r="AA131" s="4" t="s">
        <v>0</v>
      </c>
      <c r="AB131" s="4" t="s">
        <v>0</v>
      </c>
      <c r="AC131" s="39">
        <f>0.5*32*8/116</f>
        <v>1.103448275862069</v>
      </c>
      <c r="AD131" s="43" t="s">
        <v>0</v>
      </c>
      <c r="AE131" s="4" t="s">
        <v>69</v>
      </c>
      <c r="AF131" s="4"/>
      <c r="AG131" s="4"/>
    </row>
    <row r="132" spans="1:44" x14ac:dyDescent="0.25">
      <c r="A132" s="4" t="s">
        <v>769</v>
      </c>
      <c r="B132" s="42" t="s">
        <v>575</v>
      </c>
      <c r="C132" s="43" t="s">
        <v>576</v>
      </c>
      <c r="D132" s="54" t="s">
        <v>281</v>
      </c>
      <c r="E132" s="42">
        <v>2.2999999999999998</v>
      </c>
      <c r="F132" s="60">
        <v>1.7</v>
      </c>
      <c r="G132" s="43" t="s">
        <v>770</v>
      </c>
      <c r="H132" s="4" t="s">
        <v>72</v>
      </c>
      <c r="I132" s="4" t="s">
        <v>577</v>
      </c>
      <c r="J132" s="4" t="s">
        <v>578</v>
      </c>
      <c r="K132" s="43" t="s">
        <v>589</v>
      </c>
      <c r="L132" s="4" t="s">
        <v>60</v>
      </c>
      <c r="M132" s="4" t="s">
        <v>319</v>
      </c>
      <c r="N132" s="43" t="s">
        <v>580</v>
      </c>
      <c r="O132" s="4">
        <v>30</v>
      </c>
      <c r="P132" s="4">
        <v>5.5</v>
      </c>
      <c r="Q132" s="4" t="s">
        <v>0</v>
      </c>
      <c r="R132" s="4" t="s">
        <v>69</v>
      </c>
      <c r="S132" s="4" t="s">
        <v>581</v>
      </c>
      <c r="T132" s="4" t="s">
        <v>0</v>
      </c>
      <c r="U132" s="43" t="s">
        <v>0</v>
      </c>
      <c r="V132" s="4" t="s">
        <v>586</v>
      </c>
      <c r="W132" s="43" t="s">
        <v>583</v>
      </c>
      <c r="X132" s="43" t="s">
        <v>587</v>
      </c>
      <c r="Y132" s="4" t="s">
        <v>719</v>
      </c>
      <c r="Z132" s="79" t="s">
        <v>590</v>
      </c>
      <c r="AA132" s="4" t="s">
        <v>0</v>
      </c>
      <c r="AB132" s="4" t="s">
        <v>0</v>
      </c>
      <c r="AC132" s="39">
        <f>0.75*8*32/116</f>
        <v>1.6551724137931034</v>
      </c>
      <c r="AD132" s="43" t="s">
        <v>0</v>
      </c>
      <c r="AE132" s="4" t="s">
        <v>69</v>
      </c>
      <c r="AF132" s="4"/>
      <c r="AG132" s="4"/>
    </row>
    <row r="133" spans="1:44" x14ac:dyDescent="0.25">
      <c r="A133" s="4" t="s">
        <v>769</v>
      </c>
      <c r="B133" s="42" t="s">
        <v>575</v>
      </c>
      <c r="C133" s="43" t="s">
        <v>576</v>
      </c>
      <c r="D133" s="54" t="s">
        <v>281</v>
      </c>
      <c r="E133" s="42">
        <v>2.2999999999999998</v>
      </c>
      <c r="F133" s="60">
        <v>1.7</v>
      </c>
      <c r="G133" s="43" t="s">
        <v>770</v>
      </c>
      <c r="H133" s="4" t="s">
        <v>72</v>
      </c>
      <c r="I133" s="4" t="s">
        <v>577</v>
      </c>
      <c r="J133" s="4" t="s">
        <v>578</v>
      </c>
      <c r="K133" s="43" t="s">
        <v>591</v>
      </c>
      <c r="L133" s="4" t="s">
        <v>60</v>
      </c>
      <c r="M133" s="4" t="s">
        <v>319</v>
      </c>
      <c r="N133" s="43" t="s">
        <v>580</v>
      </c>
      <c r="O133" s="4">
        <v>30</v>
      </c>
      <c r="P133" s="4">
        <v>5.5</v>
      </c>
      <c r="Q133" s="4" t="s">
        <v>0</v>
      </c>
      <c r="R133" s="4" t="s">
        <v>69</v>
      </c>
      <c r="S133" s="4" t="s">
        <v>581</v>
      </c>
      <c r="T133" s="4" t="s">
        <v>0</v>
      </c>
      <c r="U133" s="43" t="s">
        <v>0</v>
      </c>
      <c r="V133" s="4" t="s">
        <v>586</v>
      </c>
      <c r="W133" s="43" t="s">
        <v>583</v>
      </c>
      <c r="X133" s="43" t="s">
        <v>587</v>
      </c>
      <c r="Y133" s="4" t="s">
        <v>719</v>
      </c>
      <c r="Z133" s="79" t="s">
        <v>590</v>
      </c>
      <c r="AA133" s="4" t="s">
        <v>0</v>
      </c>
      <c r="AB133" s="4" t="s">
        <v>0</v>
      </c>
      <c r="AC133" s="39">
        <f>0.75*8*32/116</f>
        <v>1.6551724137931034</v>
      </c>
      <c r="AD133" s="43" t="s">
        <v>0</v>
      </c>
      <c r="AE133" s="4" t="s">
        <v>69</v>
      </c>
      <c r="AF133" s="4"/>
      <c r="AG133" s="4"/>
    </row>
    <row r="134" spans="1:44" x14ac:dyDescent="0.25">
      <c r="A134" s="4" t="s">
        <v>769</v>
      </c>
      <c r="B134" s="42" t="s">
        <v>575</v>
      </c>
      <c r="C134" s="43" t="s">
        <v>576</v>
      </c>
      <c r="D134" s="54" t="s">
        <v>281</v>
      </c>
      <c r="E134" s="42">
        <v>2.2999999999999998</v>
      </c>
      <c r="F134" s="60">
        <v>1.7</v>
      </c>
      <c r="G134" s="43" t="s">
        <v>770</v>
      </c>
      <c r="H134" s="4" t="s">
        <v>72</v>
      </c>
      <c r="I134" s="4" t="s">
        <v>577</v>
      </c>
      <c r="J134" s="4" t="s">
        <v>578</v>
      </c>
      <c r="K134" s="43" t="s">
        <v>579</v>
      </c>
      <c r="L134" s="4" t="s">
        <v>60</v>
      </c>
      <c r="M134" s="4" t="s">
        <v>592</v>
      </c>
      <c r="N134" s="43" t="s">
        <v>580</v>
      </c>
      <c r="O134" s="4">
        <v>40</v>
      </c>
      <c r="P134" s="4">
        <v>5.5</v>
      </c>
      <c r="Q134" s="4" t="s">
        <v>0</v>
      </c>
      <c r="R134" s="4" t="s">
        <v>69</v>
      </c>
      <c r="S134" s="4" t="s">
        <v>581</v>
      </c>
      <c r="T134" s="4" t="s">
        <v>0</v>
      </c>
      <c r="U134" s="43" t="s">
        <v>0</v>
      </c>
      <c r="V134" s="4" t="s">
        <v>586</v>
      </c>
      <c r="W134" s="43" t="s">
        <v>583</v>
      </c>
      <c r="X134" s="43" t="s">
        <v>587</v>
      </c>
      <c r="Y134" s="4" t="s">
        <v>719</v>
      </c>
      <c r="Z134" s="79" t="s">
        <v>771</v>
      </c>
      <c r="AA134" s="4" t="s">
        <v>0</v>
      </c>
      <c r="AB134" s="4" t="s">
        <v>0</v>
      </c>
      <c r="AC134" s="39">
        <f>2*8*32/116</f>
        <v>4.4137931034482758</v>
      </c>
      <c r="AD134" s="43" t="s">
        <v>0</v>
      </c>
      <c r="AE134" s="4" t="s">
        <v>69</v>
      </c>
      <c r="AF134" s="4"/>
      <c r="AG134" s="4"/>
    </row>
    <row r="135" spans="1:44" x14ac:dyDescent="0.25">
      <c r="A135" s="4" t="s">
        <v>769</v>
      </c>
      <c r="B135" s="42" t="s">
        <v>575</v>
      </c>
      <c r="C135" s="43" t="s">
        <v>576</v>
      </c>
      <c r="D135" s="54" t="s">
        <v>281</v>
      </c>
      <c r="E135" s="42">
        <v>2.2999999999999998</v>
      </c>
      <c r="F135" s="60">
        <v>1.7</v>
      </c>
      <c r="G135" s="43" t="s">
        <v>770</v>
      </c>
      <c r="H135" s="4" t="s">
        <v>72</v>
      </c>
      <c r="I135" s="4" t="s">
        <v>577</v>
      </c>
      <c r="J135" s="4" t="s">
        <v>578</v>
      </c>
      <c r="K135" s="43" t="s">
        <v>589</v>
      </c>
      <c r="L135" s="4" t="s">
        <v>60</v>
      </c>
      <c r="M135" s="4" t="s">
        <v>592</v>
      </c>
      <c r="N135" s="43" t="s">
        <v>580</v>
      </c>
      <c r="O135" s="4">
        <v>40</v>
      </c>
      <c r="P135" s="4">
        <v>5.5</v>
      </c>
      <c r="Q135" s="4" t="s">
        <v>0</v>
      </c>
      <c r="R135" s="4" t="s">
        <v>69</v>
      </c>
      <c r="S135" s="4" t="s">
        <v>581</v>
      </c>
      <c r="T135" s="4" t="s">
        <v>0</v>
      </c>
      <c r="U135" s="43" t="s">
        <v>0</v>
      </c>
      <c r="V135" s="4" t="s">
        <v>586</v>
      </c>
      <c r="W135" s="43" t="s">
        <v>583</v>
      </c>
      <c r="X135" s="43" t="s">
        <v>587</v>
      </c>
      <c r="Y135" s="4" t="s">
        <v>719</v>
      </c>
      <c r="Z135" s="79" t="s">
        <v>772</v>
      </c>
      <c r="AA135" s="4" t="s">
        <v>0</v>
      </c>
      <c r="AB135" s="4" t="s">
        <v>0</v>
      </c>
      <c r="AC135" s="39">
        <f>2*8*32/116</f>
        <v>4.4137931034482758</v>
      </c>
      <c r="AD135" s="43" t="s">
        <v>0</v>
      </c>
      <c r="AE135" s="4" t="s">
        <v>69</v>
      </c>
      <c r="AF135" s="4"/>
      <c r="AG135" s="4"/>
    </row>
    <row r="136" spans="1:44" x14ac:dyDescent="0.25">
      <c r="A136" s="4" t="s">
        <v>769</v>
      </c>
      <c r="B136" s="42" t="s">
        <v>575</v>
      </c>
      <c r="C136" s="43" t="s">
        <v>576</v>
      </c>
      <c r="D136" s="54" t="s">
        <v>281</v>
      </c>
      <c r="E136" s="42">
        <v>2.2999999999999998</v>
      </c>
      <c r="F136" s="60">
        <v>1.7</v>
      </c>
      <c r="G136" s="43" t="s">
        <v>770</v>
      </c>
      <c r="H136" s="4" t="s">
        <v>72</v>
      </c>
      <c r="I136" s="4" t="s">
        <v>577</v>
      </c>
      <c r="J136" s="4" t="s">
        <v>578</v>
      </c>
      <c r="K136" s="43" t="s">
        <v>591</v>
      </c>
      <c r="L136" s="4" t="s">
        <v>60</v>
      </c>
      <c r="M136" s="4" t="s">
        <v>592</v>
      </c>
      <c r="N136" s="43" t="s">
        <v>580</v>
      </c>
      <c r="O136" s="4">
        <v>40</v>
      </c>
      <c r="P136" s="4">
        <v>5.5</v>
      </c>
      <c r="Q136" s="4" t="s">
        <v>0</v>
      </c>
      <c r="R136" s="4" t="s">
        <v>69</v>
      </c>
      <c r="S136" s="4" t="s">
        <v>581</v>
      </c>
      <c r="T136" s="4" t="s">
        <v>0</v>
      </c>
      <c r="U136" s="43" t="s">
        <v>0</v>
      </c>
      <c r="V136" s="4" t="s">
        <v>586</v>
      </c>
      <c r="W136" s="43" t="s">
        <v>583</v>
      </c>
      <c r="X136" s="43" t="s">
        <v>587</v>
      </c>
      <c r="Y136" s="4" t="s">
        <v>719</v>
      </c>
      <c r="Z136" s="79" t="s">
        <v>773</v>
      </c>
      <c r="AA136" s="4" t="s">
        <v>0</v>
      </c>
      <c r="AB136" s="4" t="s">
        <v>0</v>
      </c>
      <c r="AC136" s="39">
        <f>1.5*8*32/116</f>
        <v>3.3103448275862069</v>
      </c>
      <c r="AD136" s="43" t="s">
        <v>0</v>
      </c>
      <c r="AE136" s="4" t="s">
        <v>69</v>
      </c>
      <c r="AF136" s="4"/>
      <c r="AG136" s="4"/>
    </row>
    <row r="137" spans="1:44" x14ac:dyDescent="0.25">
      <c r="A137" s="4" t="s">
        <v>769</v>
      </c>
      <c r="B137" s="42" t="s">
        <v>575</v>
      </c>
      <c r="C137" s="43" t="s">
        <v>576</v>
      </c>
      <c r="D137" s="54" t="s">
        <v>281</v>
      </c>
      <c r="E137" s="42">
        <v>2.2999999999999998</v>
      </c>
      <c r="F137" s="60">
        <v>1.7</v>
      </c>
      <c r="G137" s="43" t="s">
        <v>770</v>
      </c>
      <c r="H137" s="4" t="s">
        <v>72</v>
      </c>
      <c r="I137" s="4" t="s">
        <v>577</v>
      </c>
      <c r="J137" s="4" t="s">
        <v>578</v>
      </c>
      <c r="K137" s="43" t="s">
        <v>579</v>
      </c>
      <c r="L137" s="4" t="s">
        <v>60</v>
      </c>
      <c r="M137" s="4" t="s">
        <v>593</v>
      </c>
      <c r="N137" s="43" t="s">
        <v>580</v>
      </c>
      <c r="O137" s="4">
        <v>30</v>
      </c>
      <c r="P137" s="4">
        <v>5.5</v>
      </c>
      <c r="Q137" s="4" t="s">
        <v>0</v>
      </c>
      <c r="R137" s="4" t="s">
        <v>69</v>
      </c>
      <c r="S137" s="4" t="s">
        <v>581</v>
      </c>
      <c r="T137" s="4" t="s">
        <v>0</v>
      </c>
      <c r="U137" s="43" t="s">
        <v>0</v>
      </c>
      <c r="V137" s="4" t="s">
        <v>586</v>
      </c>
      <c r="W137" s="43" t="s">
        <v>583</v>
      </c>
      <c r="X137" s="43" t="s">
        <v>587</v>
      </c>
      <c r="Y137" s="4" t="s">
        <v>719</v>
      </c>
      <c r="Z137" s="79" t="s">
        <v>594</v>
      </c>
      <c r="AA137" s="4" t="s">
        <v>0</v>
      </c>
      <c r="AB137" s="4" t="s">
        <v>0</v>
      </c>
      <c r="AC137" s="39">
        <f>0.2*8*32/116</f>
        <v>0.44137931034482764</v>
      </c>
      <c r="AD137" s="43" t="s">
        <v>0</v>
      </c>
      <c r="AE137" s="4" t="s">
        <v>69</v>
      </c>
      <c r="AF137" s="4"/>
      <c r="AG137" s="4"/>
    </row>
    <row r="138" spans="1:44" x14ac:dyDescent="0.25">
      <c r="A138" s="4" t="s">
        <v>769</v>
      </c>
      <c r="B138" s="42" t="s">
        <v>575</v>
      </c>
      <c r="C138" s="43" t="s">
        <v>576</v>
      </c>
      <c r="D138" s="54" t="s">
        <v>281</v>
      </c>
      <c r="E138" s="42">
        <v>2.2999999999999998</v>
      </c>
      <c r="F138" s="60">
        <v>1.7</v>
      </c>
      <c r="G138" s="43" t="s">
        <v>770</v>
      </c>
      <c r="H138" s="4" t="s">
        <v>72</v>
      </c>
      <c r="I138" s="4" t="s">
        <v>577</v>
      </c>
      <c r="J138" s="4" t="s">
        <v>578</v>
      </c>
      <c r="K138" s="43" t="s">
        <v>589</v>
      </c>
      <c r="L138" s="4" t="s">
        <v>60</v>
      </c>
      <c r="M138" s="4" t="s">
        <v>593</v>
      </c>
      <c r="N138" s="43" t="s">
        <v>580</v>
      </c>
      <c r="O138" s="4">
        <v>30</v>
      </c>
      <c r="P138" s="4">
        <v>5.5</v>
      </c>
      <c r="Q138" s="4" t="s">
        <v>0</v>
      </c>
      <c r="R138" s="4" t="s">
        <v>69</v>
      </c>
      <c r="S138" s="4" t="s">
        <v>581</v>
      </c>
      <c r="T138" s="4" t="s">
        <v>0</v>
      </c>
      <c r="U138" s="43" t="s">
        <v>0</v>
      </c>
      <c r="V138" s="4" t="s">
        <v>586</v>
      </c>
      <c r="W138" s="43" t="s">
        <v>583</v>
      </c>
      <c r="X138" s="43" t="s">
        <v>587</v>
      </c>
      <c r="Y138" s="4" t="s">
        <v>719</v>
      </c>
      <c r="Z138" s="79" t="s">
        <v>594</v>
      </c>
      <c r="AA138" s="4" t="s">
        <v>0</v>
      </c>
      <c r="AB138" s="4" t="s">
        <v>0</v>
      </c>
      <c r="AC138" s="39">
        <f>0.2*8*32/116</f>
        <v>0.44137931034482764</v>
      </c>
      <c r="AD138" s="43" t="s">
        <v>0</v>
      </c>
      <c r="AE138" s="4" t="s">
        <v>69</v>
      </c>
      <c r="AF138" s="4"/>
      <c r="AG138" s="4"/>
    </row>
    <row r="139" spans="1:44" x14ac:dyDescent="0.25">
      <c r="A139" s="4" t="s">
        <v>769</v>
      </c>
      <c r="B139" s="42" t="s">
        <v>575</v>
      </c>
      <c r="C139" s="43" t="s">
        <v>576</v>
      </c>
      <c r="D139" s="54" t="s">
        <v>281</v>
      </c>
      <c r="E139" s="42">
        <v>2.2999999999999998</v>
      </c>
      <c r="F139" s="60">
        <v>1.7</v>
      </c>
      <c r="G139" s="43" t="s">
        <v>770</v>
      </c>
      <c r="H139" s="4" t="s">
        <v>72</v>
      </c>
      <c r="I139" s="4" t="s">
        <v>577</v>
      </c>
      <c r="J139" s="4" t="s">
        <v>578</v>
      </c>
      <c r="K139" s="43" t="s">
        <v>591</v>
      </c>
      <c r="L139" s="4" t="s">
        <v>60</v>
      </c>
      <c r="M139" s="4" t="s">
        <v>593</v>
      </c>
      <c r="N139" s="43" t="s">
        <v>580</v>
      </c>
      <c r="O139" s="4">
        <v>30</v>
      </c>
      <c r="P139" s="4">
        <v>5.5</v>
      </c>
      <c r="Q139" s="4" t="s">
        <v>0</v>
      </c>
      <c r="R139" s="4" t="s">
        <v>69</v>
      </c>
      <c r="S139" s="4" t="s">
        <v>581</v>
      </c>
      <c r="T139" s="4" t="s">
        <v>0</v>
      </c>
      <c r="U139" s="43" t="s">
        <v>0</v>
      </c>
      <c r="V139" s="4" t="s">
        <v>586</v>
      </c>
      <c r="W139" s="43" t="s">
        <v>583</v>
      </c>
      <c r="X139" s="43" t="s">
        <v>587</v>
      </c>
      <c r="Y139" s="4" t="s">
        <v>719</v>
      </c>
      <c r="Z139" s="77" t="s">
        <v>595</v>
      </c>
      <c r="AA139" s="4" t="s">
        <v>0</v>
      </c>
      <c r="AB139" s="4" t="s">
        <v>0</v>
      </c>
      <c r="AC139" s="39">
        <f>1*8*32/116</f>
        <v>2.2068965517241379</v>
      </c>
      <c r="AD139" s="43" t="s">
        <v>0</v>
      </c>
      <c r="AE139" s="4" t="s">
        <v>69</v>
      </c>
      <c r="AF139" s="4"/>
      <c r="AG139" s="4"/>
    </row>
    <row r="140" spans="1:44" x14ac:dyDescent="0.25">
      <c r="A140" s="8" t="s">
        <v>776</v>
      </c>
      <c r="B140" s="46" t="s">
        <v>2</v>
      </c>
      <c r="C140" s="47" t="s">
        <v>471</v>
      </c>
      <c r="D140" s="57" t="s">
        <v>714</v>
      </c>
      <c r="E140" s="46">
        <v>1</v>
      </c>
      <c r="F140" s="46">
        <v>0.4</v>
      </c>
      <c r="G140" s="47">
        <v>27</v>
      </c>
      <c r="H140" s="8" t="s">
        <v>72</v>
      </c>
      <c r="I140" s="8" t="s">
        <v>472</v>
      </c>
      <c r="J140" s="8" t="s">
        <v>59</v>
      </c>
      <c r="K140" s="47" t="s">
        <v>473</v>
      </c>
      <c r="L140" s="8" t="s">
        <v>60</v>
      </c>
      <c r="M140" s="8" t="s">
        <v>474</v>
      </c>
      <c r="N140" s="47" t="s">
        <v>475</v>
      </c>
      <c r="O140" s="8">
        <v>40</v>
      </c>
      <c r="P140" s="8" t="s">
        <v>476</v>
      </c>
      <c r="Q140" s="8" t="s">
        <v>476</v>
      </c>
      <c r="R140" s="8" t="s">
        <v>64</v>
      </c>
      <c r="S140" s="8" t="s">
        <v>477</v>
      </c>
      <c r="T140" s="8" t="s">
        <v>0</v>
      </c>
      <c r="U140" s="47" t="s">
        <v>715</v>
      </c>
      <c r="V140" s="8" t="s">
        <v>149</v>
      </c>
      <c r="W140" s="47" t="s">
        <v>0</v>
      </c>
      <c r="X140" s="47" t="s">
        <v>775</v>
      </c>
      <c r="Y140" s="8" t="s">
        <v>719</v>
      </c>
      <c r="Z140" s="78" t="s">
        <v>478</v>
      </c>
      <c r="AA140" s="76" t="s">
        <v>0</v>
      </c>
      <c r="AB140" s="76" t="s">
        <v>0</v>
      </c>
      <c r="AC140" s="38">
        <v>8.8276000000000003</v>
      </c>
      <c r="AD140" s="47" t="s">
        <v>0</v>
      </c>
      <c r="AE140" s="8" t="s">
        <v>69</v>
      </c>
      <c r="AF140" s="8"/>
      <c r="AG140" s="8"/>
    </row>
    <row r="141" spans="1:44" x14ac:dyDescent="0.25">
      <c r="A141" s="8" t="s">
        <v>776</v>
      </c>
      <c r="B141" s="46" t="s">
        <v>2</v>
      </c>
      <c r="C141" s="47" t="s">
        <v>471</v>
      </c>
      <c r="D141" s="57" t="s">
        <v>714</v>
      </c>
      <c r="E141" s="46">
        <v>1</v>
      </c>
      <c r="F141" s="46">
        <v>0.4</v>
      </c>
      <c r="G141" s="47">
        <v>27</v>
      </c>
      <c r="H141" s="8" t="s">
        <v>72</v>
      </c>
      <c r="I141" s="8" t="s">
        <v>479</v>
      </c>
      <c r="J141" s="8" t="s">
        <v>59</v>
      </c>
      <c r="K141" s="47" t="s">
        <v>480</v>
      </c>
      <c r="L141" s="8" t="s">
        <v>60</v>
      </c>
      <c r="M141" s="8" t="s">
        <v>474</v>
      </c>
      <c r="N141" s="47" t="s">
        <v>475</v>
      </c>
      <c r="O141" s="8">
        <v>40</v>
      </c>
      <c r="P141" s="8" t="s">
        <v>476</v>
      </c>
      <c r="Q141" s="8" t="s">
        <v>476</v>
      </c>
      <c r="R141" s="8" t="s">
        <v>64</v>
      </c>
      <c r="S141" s="8" t="s">
        <v>477</v>
      </c>
      <c r="T141" s="8" t="s">
        <v>0</v>
      </c>
      <c r="U141" s="47" t="s">
        <v>715</v>
      </c>
      <c r="V141" s="8" t="s">
        <v>149</v>
      </c>
      <c r="W141" s="47" t="s">
        <v>0</v>
      </c>
      <c r="X141" s="47" t="s">
        <v>775</v>
      </c>
      <c r="Y141" s="8" t="s">
        <v>719</v>
      </c>
      <c r="Z141" s="78" t="s">
        <v>481</v>
      </c>
      <c r="AA141" s="76" t="s">
        <v>0</v>
      </c>
      <c r="AB141" s="76" t="s">
        <v>0</v>
      </c>
      <c r="AC141" s="38">
        <v>13.241</v>
      </c>
      <c r="AD141" s="47" t="s">
        <v>0</v>
      </c>
      <c r="AE141" s="8" t="s">
        <v>69</v>
      </c>
      <c r="AF141" s="8"/>
      <c r="AG141" s="8"/>
    </row>
    <row r="142" spans="1:44" x14ac:dyDescent="0.25">
      <c r="A142" s="8" t="s">
        <v>776</v>
      </c>
      <c r="B142" s="46" t="s">
        <v>2</v>
      </c>
      <c r="C142" s="47" t="s">
        <v>471</v>
      </c>
      <c r="D142" s="57" t="s">
        <v>714</v>
      </c>
      <c r="E142" s="46">
        <v>1</v>
      </c>
      <c r="F142" s="46">
        <v>0.4</v>
      </c>
      <c r="G142" s="47">
        <v>27</v>
      </c>
      <c r="H142" s="8" t="s">
        <v>72</v>
      </c>
      <c r="I142" s="8" t="s">
        <v>482</v>
      </c>
      <c r="J142" s="8" t="s">
        <v>59</v>
      </c>
      <c r="K142" s="47" t="s">
        <v>480</v>
      </c>
      <c r="L142" s="8" t="s">
        <v>60</v>
      </c>
      <c r="M142" s="8" t="s">
        <v>474</v>
      </c>
      <c r="N142" s="47" t="s">
        <v>475</v>
      </c>
      <c r="O142" s="8">
        <v>40</v>
      </c>
      <c r="P142" s="8" t="s">
        <v>476</v>
      </c>
      <c r="Q142" s="8" t="s">
        <v>476</v>
      </c>
      <c r="R142" s="8" t="s">
        <v>64</v>
      </c>
      <c r="S142" s="8" t="s">
        <v>477</v>
      </c>
      <c r="T142" s="8" t="s">
        <v>0</v>
      </c>
      <c r="U142" s="47" t="s">
        <v>715</v>
      </c>
      <c r="V142" s="8" t="s">
        <v>149</v>
      </c>
      <c r="W142" s="47" t="s">
        <v>0</v>
      </c>
      <c r="X142" s="47" t="s">
        <v>775</v>
      </c>
      <c r="Y142" s="8" t="s">
        <v>719</v>
      </c>
      <c r="Z142" s="78" t="s">
        <v>483</v>
      </c>
      <c r="AA142" s="76" t="s">
        <v>0</v>
      </c>
      <c r="AB142" s="76" t="s">
        <v>0</v>
      </c>
      <c r="AC142" s="38">
        <v>19.861999999999998</v>
      </c>
      <c r="AD142" s="47" t="s">
        <v>0</v>
      </c>
      <c r="AE142" s="8" t="s">
        <v>69</v>
      </c>
      <c r="AF142" s="8"/>
      <c r="AG142" s="8"/>
    </row>
    <row r="143" spans="1:44" x14ac:dyDescent="0.25">
      <c r="A143" s="8" t="s">
        <v>776</v>
      </c>
      <c r="B143" s="46" t="s">
        <v>2</v>
      </c>
      <c r="C143" s="47" t="s">
        <v>471</v>
      </c>
      <c r="D143" s="57" t="s">
        <v>714</v>
      </c>
      <c r="E143" s="46">
        <v>1</v>
      </c>
      <c r="F143" s="46">
        <v>0.4</v>
      </c>
      <c r="G143" s="47">
        <v>27</v>
      </c>
      <c r="H143" s="8" t="s">
        <v>72</v>
      </c>
      <c r="I143" s="8" t="s">
        <v>484</v>
      </c>
      <c r="J143" s="8" t="s">
        <v>59</v>
      </c>
      <c r="K143" s="47" t="s">
        <v>480</v>
      </c>
      <c r="L143" s="8" t="s">
        <v>60</v>
      </c>
      <c r="M143" s="8" t="s">
        <v>474</v>
      </c>
      <c r="N143" s="47" t="s">
        <v>475</v>
      </c>
      <c r="O143" s="8">
        <v>40</v>
      </c>
      <c r="P143" s="8" t="s">
        <v>476</v>
      </c>
      <c r="Q143" s="8" t="s">
        <v>476</v>
      </c>
      <c r="R143" s="8" t="s">
        <v>64</v>
      </c>
      <c r="S143" s="8" t="s">
        <v>477</v>
      </c>
      <c r="T143" s="8" t="s">
        <v>0</v>
      </c>
      <c r="U143" s="47" t="s">
        <v>715</v>
      </c>
      <c r="V143" s="8" t="s">
        <v>149</v>
      </c>
      <c r="W143" s="47" t="s">
        <v>0</v>
      </c>
      <c r="X143" s="47" t="s">
        <v>775</v>
      </c>
      <c r="Y143" s="8" t="s">
        <v>719</v>
      </c>
      <c r="Z143" s="78" t="s">
        <v>485</v>
      </c>
      <c r="AA143" s="76" t="s">
        <v>0</v>
      </c>
      <c r="AB143" s="76" t="s">
        <v>0</v>
      </c>
      <c r="AC143" s="38">
        <v>17.655000000000001</v>
      </c>
      <c r="AD143" s="47" t="s">
        <v>0</v>
      </c>
      <c r="AE143" s="8" t="s">
        <v>69</v>
      </c>
      <c r="AF143" s="8"/>
      <c r="AG143" s="8"/>
    </row>
    <row r="144" spans="1:44" x14ac:dyDescent="0.25">
      <c r="A144" s="8" t="s">
        <v>776</v>
      </c>
      <c r="B144" s="46" t="s">
        <v>2</v>
      </c>
      <c r="C144" s="47" t="s">
        <v>471</v>
      </c>
      <c r="D144" s="57" t="s">
        <v>714</v>
      </c>
      <c r="E144" s="46">
        <v>1</v>
      </c>
      <c r="F144" s="46">
        <v>0.4</v>
      </c>
      <c r="G144" s="47">
        <v>27</v>
      </c>
      <c r="H144" s="8" t="s">
        <v>72</v>
      </c>
      <c r="I144" s="8" t="s">
        <v>486</v>
      </c>
      <c r="J144" s="8" t="s">
        <v>59</v>
      </c>
      <c r="K144" s="47" t="s">
        <v>480</v>
      </c>
      <c r="L144" s="8" t="s">
        <v>60</v>
      </c>
      <c r="M144" s="8" t="s">
        <v>474</v>
      </c>
      <c r="N144" s="47" t="s">
        <v>475</v>
      </c>
      <c r="O144" s="8">
        <v>40</v>
      </c>
      <c r="P144" s="8" t="s">
        <v>476</v>
      </c>
      <c r="Q144" s="8" t="s">
        <v>476</v>
      </c>
      <c r="R144" s="8" t="s">
        <v>64</v>
      </c>
      <c r="S144" s="8" t="s">
        <v>477</v>
      </c>
      <c r="T144" s="8" t="s">
        <v>0</v>
      </c>
      <c r="U144" s="47" t="s">
        <v>715</v>
      </c>
      <c r="V144" s="8" t="s">
        <v>149</v>
      </c>
      <c r="W144" s="47" t="s">
        <v>0</v>
      </c>
      <c r="X144" s="47" t="s">
        <v>775</v>
      </c>
      <c r="Y144" s="8" t="s">
        <v>719</v>
      </c>
      <c r="Z144" s="78" t="s">
        <v>485</v>
      </c>
      <c r="AA144" s="76" t="s">
        <v>0</v>
      </c>
      <c r="AB144" s="76" t="s">
        <v>0</v>
      </c>
      <c r="AC144" s="38">
        <v>17.655000000000001</v>
      </c>
      <c r="AD144" s="47" t="s">
        <v>0</v>
      </c>
      <c r="AE144" s="8" t="s">
        <v>69</v>
      </c>
      <c r="AF144" s="8"/>
      <c r="AG144" s="8"/>
    </row>
    <row r="145" spans="1:44" x14ac:dyDescent="0.25">
      <c r="A145" s="8" t="s">
        <v>776</v>
      </c>
      <c r="B145" s="46" t="s">
        <v>2</v>
      </c>
      <c r="C145" s="47" t="s">
        <v>471</v>
      </c>
      <c r="D145" s="57" t="s">
        <v>714</v>
      </c>
      <c r="E145" s="46">
        <v>1</v>
      </c>
      <c r="F145" s="46">
        <v>0.4</v>
      </c>
      <c r="G145" s="47">
        <v>27</v>
      </c>
      <c r="H145" s="8" t="s">
        <v>72</v>
      </c>
      <c r="I145" s="8" t="s">
        <v>487</v>
      </c>
      <c r="J145" s="8" t="s">
        <v>59</v>
      </c>
      <c r="K145" s="47" t="s">
        <v>480</v>
      </c>
      <c r="L145" s="8" t="s">
        <v>60</v>
      </c>
      <c r="M145" s="8" t="s">
        <v>474</v>
      </c>
      <c r="N145" s="47" t="s">
        <v>475</v>
      </c>
      <c r="O145" s="8">
        <v>40</v>
      </c>
      <c r="P145" s="8" t="s">
        <v>476</v>
      </c>
      <c r="Q145" s="8" t="s">
        <v>476</v>
      </c>
      <c r="R145" s="8" t="s">
        <v>64</v>
      </c>
      <c r="S145" s="8" t="s">
        <v>477</v>
      </c>
      <c r="T145" s="8" t="s">
        <v>0</v>
      </c>
      <c r="U145" s="47" t="s">
        <v>715</v>
      </c>
      <c r="V145" s="8" t="s">
        <v>149</v>
      </c>
      <c r="W145" s="47" t="s">
        <v>0</v>
      </c>
      <c r="X145" s="47" t="s">
        <v>775</v>
      </c>
      <c r="Y145" s="8" t="s">
        <v>719</v>
      </c>
      <c r="Z145" s="78" t="s">
        <v>488</v>
      </c>
      <c r="AA145" s="76" t="s">
        <v>0</v>
      </c>
      <c r="AB145" s="76" t="s">
        <v>0</v>
      </c>
      <c r="AC145" s="38">
        <v>0</v>
      </c>
      <c r="AD145" s="47" t="s">
        <v>0</v>
      </c>
      <c r="AE145" s="8" t="s">
        <v>69</v>
      </c>
      <c r="AF145" s="8"/>
      <c r="AG145" s="8"/>
    </row>
    <row r="146" spans="1:44" x14ac:dyDescent="0.25">
      <c r="A146" s="4" t="s">
        <v>777</v>
      </c>
      <c r="B146" s="42" t="s">
        <v>0</v>
      </c>
      <c r="C146" s="43" t="s">
        <v>743</v>
      </c>
      <c r="D146" s="54" t="s">
        <v>0</v>
      </c>
      <c r="E146" s="42" t="s">
        <v>0</v>
      </c>
      <c r="F146" s="42">
        <v>3</v>
      </c>
      <c r="G146" s="43">
        <v>162</v>
      </c>
      <c r="H146" s="4" t="s">
        <v>489</v>
      </c>
      <c r="I146" s="4" t="s">
        <v>490</v>
      </c>
      <c r="J146" s="4" t="s">
        <v>59</v>
      </c>
      <c r="K146" s="43" t="s">
        <v>491</v>
      </c>
      <c r="L146" s="4" t="s">
        <v>60</v>
      </c>
      <c r="M146" s="4" t="s">
        <v>492</v>
      </c>
      <c r="N146" s="43" t="s">
        <v>1</v>
      </c>
      <c r="O146" s="4" t="s">
        <v>493</v>
      </c>
      <c r="P146" s="4" t="s">
        <v>0</v>
      </c>
      <c r="Q146" s="4" t="s">
        <v>0</v>
      </c>
      <c r="R146" s="4" t="s">
        <v>69</v>
      </c>
      <c r="S146" s="4" t="s">
        <v>494</v>
      </c>
      <c r="T146" s="4" t="s">
        <v>0</v>
      </c>
      <c r="U146" s="43" t="s">
        <v>0</v>
      </c>
      <c r="V146" s="4" t="s">
        <v>0</v>
      </c>
      <c r="W146" s="43" t="s">
        <v>0</v>
      </c>
      <c r="X146" s="43" t="s">
        <v>0</v>
      </c>
      <c r="Y146" s="4" t="s">
        <v>0</v>
      </c>
      <c r="Z146" s="4" t="s">
        <v>495</v>
      </c>
      <c r="AA146" s="4" t="s">
        <v>0</v>
      </c>
      <c r="AB146" s="4" t="s">
        <v>0</v>
      </c>
      <c r="AC146" s="4"/>
      <c r="AD146" s="43" t="s">
        <v>0</v>
      </c>
      <c r="AE146" s="4" t="s">
        <v>69</v>
      </c>
      <c r="AF146" s="7"/>
      <c r="AG146" s="7"/>
    </row>
    <row r="147" spans="1:44" x14ac:dyDescent="0.25">
      <c r="A147" s="8" t="s">
        <v>778</v>
      </c>
      <c r="B147" s="46" t="s">
        <v>55</v>
      </c>
      <c r="C147" s="47" t="s">
        <v>496</v>
      </c>
      <c r="D147" s="57" t="s">
        <v>281</v>
      </c>
      <c r="E147" s="46">
        <v>0.25</v>
      </c>
      <c r="F147" s="46">
        <v>0.1</v>
      </c>
      <c r="G147" s="47">
        <v>22</v>
      </c>
      <c r="H147" s="8" t="s">
        <v>72</v>
      </c>
      <c r="I147" s="8" t="s">
        <v>497</v>
      </c>
      <c r="J147" s="8" t="s">
        <v>0</v>
      </c>
      <c r="K147" s="47">
        <v>60.72</v>
      </c>
      <c r="L147" s="8" t="s">
        <v>60</v>
      </c>
      <c r="M147" s="8" t="s">
        <v>498</v>
      </c>
      <c r="N147" s="47" t="s">
        <v>499</v>
      </c>
      <c r="O147" s="8">
        <v>35</v>
      </c>
      <c r="P147" s="8">
        <v>5.5</v>
      </c>
      <c r="Q147" s="8" t="s">
        <v>779</v>
      </c>
      <c r="R147" s="8" t="s">
        <v>64</v>
      </c>
      <c r="S147" s="8" t="s">
        <v>500</v>
      </c>
      <c r="T147" s="8" t="s">
        <v>0</v>
      </c>
      <c r="U147" s="47" t="s">
        <v>77</v>
      </c>
      <c r="V147" s="8" t="s">
        <v>501</v>
      </c>
      <c r="W147" s="47" t="s">
        <v>438</v>
      </c>
      <c r="X147" s="47" t="s">
        <v>502</v>
      </c>
      <c r="Y147" s="8" t="s">
        <v>785</v>
      </c>
      <c r="Z147" s="89">
        <f>0.42*0.56*K147</f>
        <v>14.281344000000001</v>
      </c>
      <c r="AA147" s="76" t="s">
        <v>0</v>
      </c>
      <c r="AB147" s="8" t="s">
        <v>0</v>
      </c>
      <c r="AC147" s="89">
        <f t="shared" ref="AC147:AC152" si="3">Z147</f>
        <v>14.281344000000001</v>
      </c>
      <c r="AD147" s="47" t="s">
        <v>0</v>
      </c>
      <c r="AE147" s="8" t="s">
        <v>69</v>
      </c>
      <c r="AF147" s="8"/>
      <c r="AG147" s="8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</row>
    <row r="148" spans="1:44" x14ac:dyDescent="0.25">
      <c r="A148" s="8" t="s">
        <v>778</v>
      </c>
      <c r="B148" s="46" t="s">
        <v>55</v>
      </c>
      <c r="C148" s="47" t="s">
        <v>496</v>
      </c>
      <c r="D148" s="57" t="s">
        <v>281</v>
      </c>
      <c r="E148" s="46">
        <v>0.25</v>
      </c>
      <c r="F148" s="46">
        <v>0.1</v>
      </c>
      <c r="G148" s="47">
        <v>22</v>
      </c>
      <c r="H148" s="8" t="s">
        <v>72</v>
      </c>
      <c r="I148" s="8" t="s">
        <v>503</v>
      </c>
      <c r="J148" s="8" t="s">
        <v>0</v>
      </c>
      <c r="K148" s="47">
        <v>60.41</v>
      </c>
      <c r="L148" s="8" t="s">
        <v>60</v>
      </c>
      <c r="M148" s="8" t="s">
        <v>498</v>
      </c>
      <c r="N148" s="47" t="s">
        <v>499</v>
      </c>
      <c r="O148" s="8">
        <v>35</v>
      </c>
      <c r="P148" s="8">
        <v>5.5</v>
      </c>
      <c r="Q148" s="8" t="s">
        <v>780</v>
      </c>
      <c r="R148" s="8" t="s">
        <v>64</v>
      </c>
      <c r="S148" s="8" t="s">
        <v>500</v>
      </c>
      <c r="T148" s="8" t="s">
        <v>0</v>
      </c>
      <c r="U148" s="47" t="s">
        <v>77</v>
      </c>
      <c r="V148" s="8" t="s">
        <v>501</v>
      </c>
      <c r="W148" s="47" t="s">
        <v>438</v>
      </c>
      <c r="X148" s="47" t="s">
        <v>502</v>
      </c>
      <c r="Y148" s="8" t="s">
        <v>786</v>
      </c>
      <c r="Z148" s="89">
        <f>0.42*0.15*K148</f>
        <v>3.8058299999999998</v>
      </c>
      <c r="AA148" s="76" t="s">
        <v>0</v>
      </c>
      <c r="AB148" s="8" t="s">
        <v>0</v>
      </c>
      <c r="AC148" s="89">
        <f t="shared" si="3"/>
        <v>3.8058299999999998</v>
      </c>
      <c r="AD148" s="47" t="s">
        <v>0</v>
      </c>
      <c r="AE148" s="8" t="s">
        <v>69</v>
      </c>
      <c r="AF148" s="8"/>
      <c r="AG148" s="8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</row>
    <row r="149" spans="1:44" x14ac:dyDescent="0.25">
      <c r="A149" s="8" t="s">
        <v>778</v>
      </c>
      <c r="B149" s="46" t="s">
        <v>55</v>
      </c>
      <c r="C149" s="47" t="s">
        <v>496</v>
      </c>
      <c r="D149" s="57" t="s">
        <v>281</v>
      </c>
      <c r="E149" s="46">
        <v>0.25</v>
      </c>
      <c r="F149" s="46">
        <v>0.1</v>
      </c>
      <c r="G149" s="47">
        <v>66</v>
      </c>
      <c r="H149" s="8" t="s">
        <v>72</v>
      </c>
      <c r="I149" s="8" t="s">
        <v>504</v>
      </c>
      <c r="J149" s="8" t="s">
        <v>0</v>
      </c>
      <c r="K149" s="47">
        <v>80.97</v>
      </c>
      <c r="L149" s="8" t="s">
        <v>60</v>
      </c>
      <c r="M149" s="8" t="s">
        <v>498</v>
      </c>
      <c r="N149" s="47" t="s">
        <v>499</v>
      </c>
      <c r="O149" s="8">
        <v>35</v>
      </c>
      <c r="P149" s="8">
        <v>5.5</v>
      </c>
      <c r="Q149" s="8" t="s">
        <v>781</v>
      </c>
      <c r="R149" s="8" t="s">
        <v>64</v>
      </c>
      <c r="S149" s="8" t="s">
        <v>500</v>
      </c>
      <c r="T149" s="8" t="s">
        <v>0</v>
      </c>
      <c r="U149" s="47" t="s">
        <v>77</v>
      </c>
      <c r="V149" s="8" t="s">
        <v>501</v>
      </c>
      <c r="W149" s="47" t="s">
        <v>438</v>
      </c>
      <c r="X149" s="47" t="s">
        <v>502</v>
      </c>
      <c r="Y149" s="8" t="s">
        <v>787</v>
      </c>
      <c r="Z149" s="38">
        <v>0</v>
      </c>
      <c r="AA149" s="76" t="s">
        <v>0</v>
      </c>
      <c r="AB149" s="8" t="s">
        <v>0</v>
      </c>
      <c r="AC149" s="89">
        <f t="shared" si="3"/>
        <v>0</v>
      </c>
      <c r="AD149" s="47" t="s">
        <v>0</v>
      </c>
      <c r="AE149" s="8" t="s">
        <v>69</v>
      </c>
      <c r="AF149" s="8"/>
      <c r="AG149" s="8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</row>
    <row r="150" spans="1:44" x14ac:dyDescent="0.25">
      <c r="A150" s="8" t="s">
        <v>778</v>
      </c>
      <c r="B150" s="46" t="s">
        <v>55</v>
      </c>
      <c r="C150" s="47" t="s">
        <v>496</v>
      </c>
      <c r="D150" s="57" t="s">
        <v>281</v>
      </c>
      <c r="E150" s="46">
        <v>0.25</v>
      </c>
      <c r="F150" s="46">
        <v>0.1</v>
      </c>
      <c r="G150" s="47">
        <v>22</v>
      </c>
      <c r="H150" s="8" t="s">
        <v>72</v>
      </c>
      <c r="I150" s="8" t="s">
        <v>505</v>
      </c>
      <c r="J150" s="8" t="s">
        <v>0</v>
      </c>
      <c r="K150" s="47">
        <v>59.64</v>
      </c>
      <c r="L150" s="8" t="s">
        <v>60</v>
      </c>
      <c r="M150" s="8" t="s">
        <v>498</v>
      </c>
      <c r="N150" s="47" t="s">
        <v>499</v>
      </c>
      <c r="O150" s="8">
        <v>35</v>
      </c>
      <c r="P150" s="8">
        <v>5.5</v>
      </c>
      <c r="Q150" s="8" t="s">
        <v>782</v>
      </c>
      <c r="R150" s="8" t="s">
        <v>64</v>
      </c>
      <c r="S150" s="8" t="s">
        <v>500</v>
      </c>
      <c r="T150" s="8" t="s">
        <v>0</v>
      </c>
      <c r="U150" s="47" t="s">
        <v>77</v>
      </c>
      <c r="V150" s="8" t="s">
        <v>501</v>
      </c>
      <c r="W150" s="47" t="s">
        <v>438</v>
      </c>
      <c r="X150" s="47" t="s">
        <v>502</v>
      </c>
      <c r="Y150" s="8" t="s">
        <v>788</v>
      </c>
      <c r="Z150" s="89">
        <f>0.24*0.1*K150</f>
        <v>1.43136</v>
      </c>
      <c r="AA150" s="76" t="s">
        <v>0</v>
      </c>
      <c r="AB150" s="8" t="s">
        <v>0</v>
      </c>
      <c r="AC150" s="89">
        <f t="shared" si="3"/>
        <v>1.43136</v>
      </c>
      <c r="AD150" s="47" t="s">
        <v>0</v>
      </c>
      <c r="AE150" s="8" t="s">
        <v>69</v>
      </c>
      <c r="AF150" s="8"/>
      <c r="AG150" s="8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</row>
    <row r="151" spans="1:44" x14ac:dyDescent="0.25">
      <c r="A151" s="8" t="s">
        <v>778</v>
      </c>
      <c r="B151" s="46" t="s">
        <v>55</v>
      </c>
      <c r="C151" s="47" t="s">
        <v>496</v>
      </c>
      <c r="D151" s="57" t="s">
        <v>281</v>
      </c>
      <c r="E151" s="46">
        <v>0.25</v>
      </c>
      <c r="F151" s="46">
        <v>0.1</v>
      </c>
      <c r="G151" s="47">
        <v>66</v>
      </c>
      <c r="H151" s="8" t="s">
        <v>72</v>
      </c>
      <c r="I151" s="8" t="s">
        <v>506</v>
      </c>
      <c r="J151" s="8" t="s">
        <v>0</v>
      </c>
      <c r="K151" s="47">
        <v>80.569999999999993</v>
      </c>
      <c r="L151" s="8" t="s">
        <v>60</v>
      </c>
      <c r="M151" s="8" t="s">
        <v>498</v>
      </c>
      <c r="N151" s="47" t="s">
        <v>499</v>
      </c>
      <c r="O151" s="8">
        <v>35</v>
      </c>
      <c r="P151" s="8">
        <v>5.5</v>
      </c>
      <c r="Q151" s="8" t="s">
        <v>783</v>
      </c>
      <c r="R151" s="8" t="s">
        <v>64</v>
      </c>
      <c r="S151" s="8" t="s">
        <v>500</v>
      </c>
      <c r="T151" s="8" t="s">
        <v>0</v>
      </c>
      <c r="U151" s="47" t="s">
        <v>77</v>
      </c>
      <c r="V151" s="8" t="s">
        <v>501</v>
      </c>
      <c r="W151" s="47" t="s">
        <v>438</v>
      </c>
      <c r="X151" s="47" t="s">
        <v>502</v>
      </c>
      <c r="Y151" s="8" t="s">
        <v>789</v>
      </c>
      <c r="Z151" s="38">
        <v>0</v>
      </c>
      <c r="AA151" s="76" t="s">
        <v>0</v>
      </c>
      <c r="AB151" s="8" t="s">
        <v>0</v>
      </c>
      <c r="AC151" s="89">
        <f t="shared" si="3"/>
        <v>0</v>
      </c>
      <c r="AD151" s="47" t="s">
        <v>0</v>
      </c>
      <c r="AE151" s="8" t="s">
        <v>69</v>
      </c>
      <c r="AF151" s="8"/>
      <c r="AG151" s="8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</row>
    <row r="152" spans="1:44" x14ac:dyDescent="0.25">
      <c r="A152" s="8" t="s">
        <v>778</v>
      </c>
      <c r="B152" s="46" t="s">
        <v>55</v>
      </c>
      <c r="C152" s="47" t="s">
        <v>496</v>
      </c>
      <c r="D152" s="57" t="s">
        <v>281</v>
      </c>
      <c r="E152" s="46">
        <v>0.25</v>
      </c>
      <c r="F152" s="46">
        <v>0.1</v>
      </c>
      <c r="G152" s="47">
        <v>66</v>
      </c>
      <c r="H152" s="8" t="s">
        <v>72</v>
      </c>
      <c r="I152" s="8" t="s">
        <v>507</v>
      </c>
      <c r="J152" s="8" t="s">
        <v>0</v>
      </c>
      <c r="K152" s="47">
        <v>82.84</v>
      </c>
      <c r="L152" s="8" t="s">
        <v>60</v>
      </c>
      <c r="M152" s="8" t="s">
        <v>498</v>
      </c>
      <c r="N152" s="47" t="s">
        <v>499</v>
      </c>
      <c r="O152" s="8">
        <v>35</v>
      </c>
      <c r="P152" s="8">
        <v>5.5</v>
      </c>
      <c r="Q152" s="8" t="s">
        <v>784</v>
      </c>
      <c r="R152" s="8" t="s">
        <v>64</v>
      </c>
      <c r="S152" s="8" t="s">
        <v>500</v>
      </c>
      <c r="T152" s="8" t="s">
        <v>0</v>
      </c>
      <c r="U152" s="47" t="s">
        <v>77</v>
      </c>
      <c r="V152" s="8" t="s">
        <v>501</v>
      </c>
      <c r="W152" s="47" t="s">
        <v>438</v>
      </c>
      <c r="X152" s="47" t="s">
        <v>502</v>
      </c>
      <c r="Y152" s="8" t="s">
        <v>788</v>
      </c>
      <c r="Z152" s="38">
        <v>0</v>
      </c>
      <c r="AA152" s="76" t="s">
        <v>0</v>
      </c>
      <c r="AB152" s="8" t="s">
        <v>0</v>
      </c>
      <c r="AC152" s="89">
        <f t="shared" si="3"/>
        <v>0</v>
      </c>
      <c r="AD152" s="47" t="s">
        <v>0</v>
      </c>
      <c r="AE152" s="8" t="s">
        <v>69</v>
      </c>
      <c r="AF152" s="8"/>
      <c r="AG152" s="8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</row>
    <row r="153" spans="1:44" x14ac:dyDescent="0.25">
      <c r="A153" s="4" t="s">
        <v>790</v>
      </c>
      <c r="B153" s="42" t="s">
        <v>55</v>
      </c>
      <c r="C153" s="43" t="s">
        <v>508</v>
      </c>
      <c r="D153" s="54" t="s">
        <v>86</v>
      </c>
      <c r="E153" s="42">
        <v>0.16</v>
      </c>
      <c r="F153" s="42" t="s">
        <v>0</v>
      </c>
      <c r="G153" s="43">
        <f t="shared" ref="G153:G158" si="4">72/24</f>
        <v>3</v>
      </c>
      <c r="H153" s="4" t="s">
        <v>72</v>
      </c>
      <c r="I153" s="4" t="s">
        <v>509</v>
      </c>
      <c r="J153" s="4" t="s">
        <v>59</v>
      </c>
      <c r="K153" s="43" t="s">
        <v>510</v>
      </c>
      <c r="L153" s="4" t="s">
        <v>60</v>
      </c>
      <c r="M153" s="4" t="s">
        <v>511</v>
      </c>
      <c r="N153" s="43" t="s">
        <v>512</v>
      </c>
      <c r="O153" s="4">
        <v>37</v>
      </c>
      <c r="P153" s="4" t="s">
        <v>0</v>
      </c>
      <c r="Q153" s="4" t="s">
        <v>0</v>
      </c>
      <c r="R153" s="4" t="s">
        <v>69</v>
      </c>
      <c r="S153" s="4" t="s">
        <v>69</v>
      </c>
      <c r="T153" s="4" t="s">
        <v>0</v>
      </c>
      <c r="U153" s="43" t="s">
        <v>322</v>
      </c>
      <c r="V153" s="4" t="s">
        <v>0</v>
      </c>
      <c r="W153" s="43" t="s">
        <v>513</v>
      </c>
      <c r="X153" s="43" t="s">
        <v>514</v>
      </c>
      <c r="Y153" s="4" t="s">
        <v>791</v>
      </c>
      <c r="Z153" s="4" t="s">
        <v>515</v>
      </c>
      <c r="AA153" s="4" t="s">
        <v>0</v>
      </c>
      <c r="AB153" s="4" t="s">
        <v>0</v>
      </c>
      <c r="AC153" s="25">
        <v>5.1200000000000002E-2</v>
      </c>
      <c r="AD153" s="67" t="s">
        <v>0</v>
      </c>
      <c r="AE153" s="4" t="s">
        <v>69</v>
      </c>
      <c r="AF153" s="4"/>
      <c r="AG153" s="4"/>
    </row>
    <row r="154" spans="1:44" x14ac:dyDescent="0.25">
      <c r="A154" s="4" t="s">
        <v>790</v>
      </c>
      <c r="B154" s="42" t="s">
        <v>55</v>
      </c>
      <c r="C154" s="43" t="s">
        <v>508</v>
      </c>
      <c r="D154" s="54" t="s">
        <v>86</v>
      </c>
      <c r="E154" s="42">
        <v>0.16</v>
      </c>
      <c r="F154" s="42" t="s">
        <v>0</v>
      </c>
      <c r="G154" s="43">
        <f t="shared" si="4"/>
        <v>3</v>
      </c>
      <c r="H154" s="4" t="s">
        <v>72</v>
      </c>
      <c r="I154" s="4" t="s">
        <v>516</v>
      </c>
      <c r="J154" s="4" t="s">
        <v>59</v>
      </c>
      <c r="K154" s="43" t="s">
        <v>517</v>
      </c>
      <c r="L154" s="4" t="s">
        <v>60</v>
      </c>
      <c r="M154" s="4" t="s">
        <v>511</v>
      </c>
      <c r="N154" s="43" t="s">
        <v>512</v>
      </c>
      <c r="O154" s="4">
        <v>37</v>
      </c>
      <c r="P154" s="4" t="s">
        <v>0</v>
      </c>
      <c r="Q154" s="4" t="s">
        <v>0</v>
      </c>
      <c r="R154" s="4" t="s">
        <v>69</v>
      </c>
      <c r="S154" s="4" t="s">
        <v>69</v>
      </c>
      <c r="T154" s="4" t="s">
        <v>0</v>
      </c>
      <c r="U154" s="43" t="s">
        <v>322</v>
      </c>
      <c r="V154" s="4" t="s">
        <v>0</v>
      </c>
      <c r="W154" s="43" t="s">
        <v>513</v>
      </c>
      <c r="X154" s="43" t="s">
        <v>514</v>
      </c>
      <c r="Y154" s="4" t="s">
        <v>792</v>
      </c>
      <c r="Z154" s="4" t="s">
        <v>518</v>
      </c>
      <c r="AA154" s="4" t="s">
        <v>0</v>
      </c>
      <c r="AB154" s="4" t="s">
        <v>0</v>
      </c>
      <c r="AC154" s="25">
        <v>0.1024</v>
      </c>
      <c r="AD154" s="67" t="s">
        <v>0</v>
      </c>
      <c r="AE154" s="4" t="s">
        <v>69</v>
      </c>
      <c r="AF154" s="4"/>
      <c r="AG154" s="4"/>
    </row>
    <row r="155" spans="1:44" x14ac:dyDescent="0.25">
      <c r="A155" s="4" t="s">
        <v>790</v>
      </c>
      <c r="B155" s="42" t="s">
        <v>55</v>
      </c>
      <c r="C155" s="43" t="s">
        <v>508</v>
      </c>
      <c r="D155" s="54" t="s">
        <v>86</v>
      </c>
      <c r="E155" s="42">
        <v>0.16</v>
      </c>
      <c r="F155" s="42" t="s">
        <v>0</v>
      </c>
      <c r="G155" s="43">
        <f t="shared" si="4"/>
        <v>3</v>
      </c>
      <c r="H155" s="4" t="s">
        <v>72</v>
      </c>
      <c r="I155" s="4" t="s">
        <v>519</v>
      </c>
      <c r="J155" s="4" t="s">
        <v>59</v>
      </c>
      <c r="K155" s="43" t="s">
        <v>520</v>
      </c>
      <c r="L155" s="4" t="s">
        <v>60</v>
      </c>
      <c r="M155" s="4" t="s">
        <v>511</v>
      </c>
      <c r="N155" s="43" t="s">
        <v>512</v>
      </c>
      <c r="O155" s="4">
        <v>37</v>
      </c>
      <c r="P155" s="4" t="s">
        <v>0</v>
      </c>
      <c r="Q155" s="4" t="s">
        <v>0</v>
      </c>
      <c r="R155" s="4" t="s">
        <v>69</v>
      </c>
      <c r="S155" s="4" t="s">
        <v>69</v>
      </c>
      <c r="T155" s="4" t="s">
        <v>0</v>
      </c>
      <c r="U155" s="43" t="s">
        <v>322</v>
      </c>
      <c r="V155" s="4" t="s">
        <v>0</v>
      </c>
      <c r="W155" s="43" t="s">
        <v>513</v>
      </c>
      <c r="X155" s="43" t="s">
        <v>514</v>
      </c>
      <c r="Y155" s="4" t="s">
        <v>793</v>
      </c>
      <c r="Z155" s="4" t="s">
        <v>521</v>
      </c>
      <c r="AA155" s="4" t="s">
        <v>0</v>
      </c>
      <c r="AB155" s="4" t="s">
        <v>0</v>
      </c>
      <c r="AC155" s="25">
        <v>5.1200000000000002E-2</v>
      </c>
      <c r="AD155" s="67" t="s">
        <v>0</v>
      </c>
      <c r="AE155" s="4" t="s">
        <v>69</v>
      </c>
      <c r="AF155" s="4"/>
      <c r="AG155" s="4"/>
    </row>
    <row r="156" spans="1:44" x14ac:dyDescent="0.25">
      <c r="A156" s="4" t="s">
        <v>790</v>
      </c>
      <c r="B156" s="42" t="s">
        <v>55</v>
      </c>
      <c r="C156" s="43" t="s">
        <v>508</v>
      </c>
      <c r="D156" s="54" t="s">
        <v>86</v>
      </c>
      <c r="E156" s="42">
        <v>0.16</v>
      </c>
      <c r="F156" s="42" t="s">
        <v>0</v>
      </c>
      <c r="G156" s="43">
        <f t="shared" si="4"/>
        <v>3</v>
      </c>
      <c r="H156" s="4" t="s">
        <v>72</v>
      </c>
      <c r="I156" s="4" t="s">
        <v>522</v>
      </c>
      <c r="J156" s="4" t="s">
        <v>59</v>
      </c>
      <c r="K156" s="43" t="s">
        <v>520</v>
      </c>
      <c r="L156" s="4" t="s">
        <v>60</v>
      </c>
      <c r="M156" s="4" t="s">
        <v>523</v>
      </c>
      <c r="N156" s="43" t="s">
        <v>512</v>
      </c>
      <c r="O156" s="4">
        <v>37</v>
      </c>
      <c r="P156" s="4" t="s">
        <v>0</v>
      </c>
      <c r="Q156" s="4" t="s">
        <v>0</v>
      </c>
      <c r="R156" s="4" t="s">
        <v>69</v>
      </c>
      <c r="S156" s="4" t="s">
        <v>69</v>
      </c>
      <c r="T156" s="4" t="s">
        <v>0</v>
      </c>
      <c r="U156" s="43" t="s">
        <v>322</v>
      </c>
      <c r="V156" s="4" t="s">
        <v>0</v>
      </c>
      <c r="W156" s="43" t="s">
        <v>513</v>
      </c>
      <c r="X156" s="43" t="s">
        <v>514</v>
      </c>
      <c r="Y156" s="4" t="s">
        <v>794</v>
      </c>
      <c r="Z156" s="4" t="s">
        <v>524</v>
      </c>
      <c r="AA156" s="4" t="s">
        <v>0</v>
      </c>
      <c r="AB156" s="4" t="s">
        <v>0</v>
      </c>
      <c r="AC156" s="25">
        <v>10.778</v>
      </c>
      <c r="AD156" s="67" t="s">
        <v>0</v>
      </c>
      <c r="AE156" s="4" t="s">
        <v>69</v>
      </c>
      <c r="AF156" s="4"/>
      <c r="AG156" s="4"/>
    </row>
    <row r="157" spans="1:44" x14ac:dyDescent="0.25">
      <c r="A157" s="4" t="s">
        <v>790</v>
      </c>
      <c r="B157" s="42" t="s">
        <v>55</v>
      </c>
      <c r="C157" s="43" t="s">
        <v>508</v>
      </c>
      <c r="D157" s="54" t="s">
        <v>86</v>
      </c>
      <c r="E157" s="42">
        <v>0.16</v>
      </c>
      <c r="F157" s="42" t="s">
        <v>0</v>
      </c>
      <c r="G157" s="43">
        <f t="shared" si="4"/>
        <v>3</v>
      </c>
      <c r="H157" s="4" t="s">
        <v>72</v>
      </c>
      <c r="I157" s="4" t="s">
        <v>525</v>
      </c>
      <c r="J157" s="4" t="s">
        <v>59</v>
      </c>
      <c r="K157" s="43" t="s">
        <v>526</v>
      </c>
      <c r="L157" s="4" t="s">
        <v>60</v>
      </c>
      <c r="M157" s="4" t="s">
        <v>511</v>
      </c>
      <c r="N157" s="43" t="s">
        <v>512</v>
      </c>
      <c r="O157" s="4">
        <v>37</v>
      </c>
      <c r="P157" s="4" t="s">
        <v>0</v>
      </c>
      <c r="Q157" s="4" t="s">
        <v>0</v>
      </c>
      <c r="R157" s="4" t="s">
        <v>69</v>
      </c>
      <c r="S157" s="4" t="s">
        <v>69</v>
      </c>
      <c r="T157" s="4" t="s">
        <v>0</v>
      </c>
      <c r="U157" s="43" t="s">
        <v>322</v>
      </c>
      <c r="V157" s="4" t="s">
        <v>0</v>
      </c>
      <c r="W157" s="43" t="s">
        <v>513</v>
      </c>
      <c r="X157" s="43" t="s">
        <v>514</v>
      </c>
      <c r="Y157" s="4" t="s">
        <v>795</v>
      </c>
      <c r="Z157" s="4" t="s">
        <v>91</v>
      </c>
      <c r="AA157" s="4" t="s">
        <v>0</v>
      </c>
      <c r="AB157" s="4" t="s">
        <v>0</v>
      </c>
      <c r="AC157" s="25">
        <v>0.15359999999999999</v>
      </c>
      <c r="AD157" s="67" t="s">
        <v>0</v>
      </c>
      <c r="AE157" s="4" t="s">
        <v>69</v>
      </c>
      <c r="AF157" s="4"/>
      <c r="AG157" s="4"/>
    </row>
    <row r="158" spans="1:44" x14ac:dyDescent="0.25">
      <c r="A158" s="4" t="s">
        <v>790</v>
      </c>
      <c r="B158" s="42" t="s">
        <v>55</v>
      </c>
      <c r="C158" s="43" t="s">
        <v>508</v>
      </c>
      <c r="D158" s="54" t="s">
        <v>86</v>
      </c>
      <c r="E158" s="42">
        <v>0.16</v>
      </c>
      <c r="F158" s="42" t="s">
        <v>0</v>
      </c>
      <c r="G158" s="43">
        <f t="shared" si="4"/>
        <v>3</v>
      </c>
      <c r="H158" s="4" t="s">
        <v>72</v>
      </c>
      <c r="I158" s="4" t="s">
        <v>123</v>
      </c>
      <c r="J158" s="4" t="s">
        <v>59</v>
      </c>
      <c r="K158" s="43" t="s">
        <v>526</v>
      </c>
      <c r="L158" s="4" t="s">
        <v>60</v>
      </c>
      <c r="M158" s="4" t="s">
        <v>523</v>
      </c>
      <c r="N158" s="43" t="s">
        <v>512</v>
      </c>
      <c r="O158" s="4">
        <v>37</v>
      </c>
      <c r="P158" s="4" t="s">
        <v>0</v>
      </c>
      <c r="Q158" s="4" t="s">
        <v>0</v>
      </c>
      <c r="R158" s="4" t="s">
        <v>69</v>
      </c>
      <c r="S158" s="4" t="s">
        <v>69</v>
      </c>
      <c r="T158" s="4" t="s">
        <v>0</v>
      </c>
      <c r="U158" s="43" t="s">
        <v>322</v>
      </c>
      <c r="V158" s="4" t="s">
        <v>0</v>
      </c>
      <c r="W158" s="43" t="s">
        <v>513</v>
      </c>
      <c r="X158" s="43" t="s">
        <v>514</v>
      </c>
      <c r="Y158" s="4" t="s">
        <v>796</v>
      </c>
      <c r="Z158" s="4" t="s">
        <v>527</v>
      </c>
      <c r="AA158" s="4" t="s">
        <v>0</v>
      </c>
      <c r="AB158" s="4" t="s">
        <v>0</v>
      </c>
      <c r="AC158" s="25">
        <v>8.4992000000000001</v>
      </c>
      <c r="AD158" s="67" t="s">
        <v>0</v>
      </c>
      <c r="AE158" s="4" t="s">
        <v>69</v>
      </c>
      <c r="AF158" s="4"/>
      <c r="AG158" s="4"/>
    </row>
    <row r="159" spans="1:44" x14ac:dyDescent="0.25">
      <c r="A159" s="4" t="s">
        <v>790</v>
      </c>
      <c r="B159" s="42" t="s">
        <v>55</v>
      </c>
      <c r="C159" s="43" t="s">
        <v>508</v>
      </c>
      <c r="D159" s="54" t="s">
        <v>86</v>
      </c>
      <c r="E159" s="42">
        <v>0.16</v>
      </c>
      <c r="F159" s="42" t="s">
        <v>0</v>
      </c>
      <c r="G159" s="43">
        <v>2</v>
      </c>
      <c r="H159" s="4" t="s">
        <v>72</v>
      </c>
      <c r="I159" s="4" t="s">
        <v>528</v>
      </c>
      <c r="J159" s="4" t="s">
        <v>59</v>
      </c>
      <c r="K159" s="43" t="s">
        <v>529</v>
      </c>
      <c r="L159" s="4" t="s">
        <v>60</v>
      </c>
      <c r="M159" s="4" t="s">
        <v>511</v>
      </c>
      <c r="N159" s="43" t="s">
        <v>512</v>
      </c>
      <c r="O159" s="4">
        <v>37</v>
      </c>
      <c r="P159" s="4" t="s">
        <v>0</v>
      </c>
      <c r="Q159" s="4" t="s">
        <v>0</v>
      </c>
      <c r="R159" s="4" t="s">
        <v>69</v>
      </c>
      <c r="S159" s="4" t="s">
        <v>69</v>
      </c>
      <c r="T159" s="4" t="s">
        <v>0</v>
      </c>
      <c r="U159" s="43" t="s">
        <v>322</v>
      </c>
      <c r="V159" s="4" t="s">
        <v>0</v>
      </c>
      <c r="W159" s="43" t="s">
        <v>513</v>
      </c>
      <c r="X159" s="43" t="s">
        <v>514</v>
      </c>
      <c r="Y159" s="4" t="s">
        <v>797</v>
      </c>
      <c r="Z159" s="4" t="s">
        <v>530</v>
      </c>
      <c r="AA159" s="4" t="s">
        <v>0</v>
      </c>
      <c r="AB159" s="4" t="s">
        <v>0</v>
      </c>
      <c r="AC159" s="25">
        <v>1.9967999999999999</v>
      </c>
      <c r="AD159" s="67" t="s">
        <v>0</v>
      </c>
      <c r="AE159" s="4" t="s">
        <v>69</v>
      </c>
      <c r="AF159" s="4"/>
      <c r="AG159" s="4"/>
    </row>
    <row r="160" spans="1:44" x14ac:dyDescent="0.25">
      <c r="A160" s="4" t="s">
        <v>790</v>
      </c>
      <c r="B160" s="42" t="s">
        <v>55</v>
      </c>
      <c r="C160" s="43" t="s">
        <v>508</v>
      </c>
      <c r="D160" s="54" t="s">
        <v>86</v>
      </c>
      <c r="E160" s="42">
        <v>0.16</v>
      </c>
      <c r="F160" s="42" t="s">
        <v>0</v>
      </c>
      <c r="G160" s="43">
        <v>2</v>
      </c>
      <c r="H160" s="4" t="s">
        <v>72</v>
      </c>
      <c r="I160" s="4" t="s">
        <v>528</v>
      </c>
      <c r="J160" s="4" t="s">
        <v>59</v>
      </c>
      <c r="K160" s="43" t="s">
        <v>529</v>
      </c>
      <c r="L160" s="4" t="s">
        <v>60</v>
      </c>
      <c r="M160" s="4" t="s">
        <v>523</v>
      </c>
      <c r="N160" s="43" t="s">
        <v>512</v>
      </c>
      <c r="O160" s="4">
        <v>37</v>
      </c>
      <c r="P160" s="4" t="s">
        <v>0</v>
      </c>
      <c r="Q160" s="4" t="s">
        <v>0</v>
      </c>
      <c r="R160" s="4" t="s">
        <v>69</v>
      </c>
      <c r="S160" s="4" t="s">
        <v>69</v>
      </c>
      <c r="T160" s="4" t="s">
        <v>0</v>
      </c>
      <c r="U160" s="43" t="s">
        <v>322</v>
      </c>
      <c r="V160" s="4" t="s">
        <v>0</v>
      </c>
      <c r="W160" s="43" t="s">
        <v>513</v>
      </c>
      <c r="X160" s="43" t="s">
        <v>514</v>
      </c>
      <c r="Y160" s="4" t="s">
        <v>798</v>
      </c>
      <c r="Z160" s="4" t="s">
        <v>531</v>
      </c>
      <c r="AA160" s="4" t="s">
        <v>0</v>
      </c>
      <c r="AB160" s="4" t="s">
        <v>0</v>
      </c>
      <c r="AC160" s="25">
        <v>13.44</v>
      </c>
      <c r="AD160" s="67" t="s">
        <v>0</v>
      </c>
      <c r="AE160" s="4" t="s">
        <v>69</v>
      </c>
      <c r="AF160" s="4"/>
      <c r="AG160" s="4"/>
    </row>
    <row r="161" spans="1:40" x14ac:dyDescent="0.25">
      <c r="A161" s="4" t="s">
        <v>790</v>
      </c>
      <c r="B161" s="42" t="s">
        <v>55</v>
      </c>
      <c r="C161" s="43" t="s">
        <v>508</v>
      </c>
      <c r="D161" s="54" t="s">
        <v>86</v>
      </c>
      <c r="E161" s="42">
        <v>0.16</v>
      </c>
      <c r="F161" s="42" t="s">
        <v>0</v>
      </c>
      <c r="G161" s="43">
        <v>2</v>
      </c>
      <c r="H161" s="4" t="s">
        <v>72</v>
      </c>
      <c r="I161" s="4" t="s">
        <v>525</v>
      </c>
      <c r="J161" s="4" t="s">
        <v>59</v>
      </c>
      <c r="K161" s="43" t="s">
        <v>526</v>
      </c>
      <c r="L161" s="4" t="s">
        <v>60</v>
      </c>
      <c r="M161" s="4" t="s">
        <v>511</v>
      </c>
      <c r="N161" s="43" t="s">
        <v>512</v>
      </c>
      <c r="O161" s="4">
        <v>37</v>
      </c>
      <c r="P161" s="4" t="s">
        <v>0</v>
      </c>
      <c r="Q161" s="4" t="s">
        <v>0</v>
      </c>
      <c r="R161" s="4" t="s">
        <v>69</v>
      </c>
      <c r="S161" s="4" t="s">
        <v>69</v>
      </c>
      <c r="T161" s="4" t="s">
        <v>0</v>
      </c>
      <c r="U161" s="43" t="s">
        <v>322</v>
      </c>
      <c r="V161" s="4" t="s">
        <v>0</v>
      </c>
      <c r="W161" s="43" t="s">
        <v>513</v>
      </c>
      <c r="X161" s="43" t="s">
        <v>514</v>
      </c>
      <c r="Y161" s="4" t="s">
        <v>799</v>
      </c>
      <c r="Z161" s="4" t="s">
        <v>532</v>
      </c>
      <c r="AA161" s="4" t="s">
        <v>0</v>
      </c>
      <c r="AB161" s="4" t="s">
        <v>0</v>
      </c>
      <c r="AC161" s="25">
        <v>1.9456</v>
      </c>
      <c r="AD161" s="67" t="s">
        <v>0</v>
      </c>
      <c r="AE161" s="4" t="s">
        <v>69</v>
      </c>
      <c r="AF161" s="4"/>
      <c r="AG161" s="4"/>
    </row>
    <row r="162" spans="1:40" x14ac:dyDescent="0.25">
      <c r="A162" s="4" t="s">
        <v>790</v>
      </c>
      <c r="B162" s="42" t="s">
        <v>55</v>
      </c>
      <c r="C162" s="43" t="s">
        <v>508</v>
      </c>
      <c r="D162" s="54" t="s">
        <v>86</v>
      </c>
      <c r="E162" s="42">
        <v>0.16</v>
      </c>
      <c r="F162" s="42" t="s">
        <v>0</v>
      </c>
      <c r="G162" s="43">
        <v>2</v>
      </c>
      <c r="H162" s="4" t="s">
        <v>72</v>
      </c>
      <c r="I162" s="4" t="s">
        <v>123</v>
      </c>
      <c r="J162" s="4" t="s">
        <v>59</v>
      </c>
      <c r="K162" s="43" t="s">
        <v>526</v>
      </c>
      <c r="L162" s="4" t="s">
        <v>60</v>
      </c>
      <c r="M162" s="4" t="s">
        <v>523</v>
      </c>
      <c r="N162" s="43" t="s">
        <v>512</v>
      </c>
      <c r="O162" s="4">
        <v>37</v>
      </c>
      <c r="P162" s="4" t="s">
        <v>0</v>
      </c>
      <c r="Q162" s="4" t="s">
        <v>0</v>
      </c>
      <c r="R162" s="4" t="s">
        <v>69</v>
      </c>
      <c r="S162" s="4" t="s">
        <v>69</v>
      </c>
      <c r="T162" s="4" t="s">
        <v>0</v>
      </c>
      <c r="U162" s="43" t="s">
        <v>322</v>
      </c>
      <c r="V162" s="4" t="s">
        <v>0</v>
      </c>
      <c r="W162" s="43" t="s">
        <v>513</v>
      </c>
      <c r="X162" s="43" t="s">
        <v>514</v>
      </c>
      <c r="Y162" s="4" t="s">
        <v>800</v>
      </c>
      <c r="Z162" s="4" t="s">
        <v>533</v>
      </c>
      <c r="AA162" s="4" t="s">
        <v>0</v>
      </c>
      <c r="AB162" s="4" t="s">
        <v>0</v>
      </c>
      <c r="AC162" s="25">
        <v>6.9119999999999999</v>
      </c>
      <c r="AD162" s="67" t="s">
        <v>0</v>
      </c>
      <c r="AE162" s="4" t="s">
        <v>69</v>
      </c>
      <c r="AF162" s="4"/>
      <c r="AG162" s="4"/>
    </row>
    <row r="163" spans="1:40" x14ac:dyDescent="0.25">
      <c r="A163" s="8" t="s">
        <v>801</v>
      </c>
      <c r="B163" s="46" t="s">
        <v>55</v>
      </c>
      <c r="C163" s="47" t="s">
        <v>534</v>
      </c>
      <c r="D163" s="57" t="s">
        <v>14</v>
      </c>
      <c r="E163" s="46">
        <v>1.65</v>
      </c>
      <c r="F163" s="46">
        <v>1.1000000000000001</v>
      </c>
      <c r="G163" s="47">
        <v>8</v>
      </c>
      <c r="H163" s="8" t="s">
        <v>72</v>
      </c>
      <c r="I163" s="8" t="s">
        <v>535</v>
      </c>
      <c r="J163" s="8" t="s">
        <v>0</v>
      </c>
      <c r="K163" s="47" t="s">
        <v>536</v>
      </c>
      <c r="L163" s="8" t="s">
        <v>60</v>
      </c>
      <c r="M163" s="8" t="s">
        <v>537</v>
      </c>
      <c r="N163" s="47" t="s">
        <v>0</v>
      </c>
      <c r="O163" s="8">
        <v>37</v>
      </c>
      <c r="P163" s="8">
        <v>5.46</v>
      </c>
      <c r="Q163" s="8">
        <v>5.5</v>
      </c>
      <c r="R163" s="8" t="s">
        <v>69</v>
      </c>
      <c r="S163" s="8" t="s">
        <v>0</v>
      </c>
      <c r="T163" s="8" t="s">
        <v>0</v>
      </c>
      <c r="U163" s="47" t="s">
        <v>538</v>
      </c>
      <c r="V163" s="8" t="s">
        <v>539</v>
      </c>
      <c r="W163" s="47" t="s">
        <v>438</v>
      </c>
      <c r="X163" s="47" t="s">
        <v>136</v>
      </c>
      <c r="Y163" s="8" t="s">
        <v>540</v>
      </c>
      <c r="Z163" s="8" t="s">
        <v>541</v>
      </c>
      <c r="AA163" s="8" t="s">
        <v>0</v>
      </c>
      <c r="AB163" s="8" t="s">
        <v>0</v>
      </c>
      <c r="AC163" s="23">
        <v>6.1131000000000002</v>
      </c>
      <c r="AD163" s="68" t="s">
        <v>0</v>
      </c>
      <c r="AE163" s="8" t="s">
        <v>64</v>
      </c>
      <c r="AF163" s="8"/>
      <c r="AG163" s="8"/>
    </row>
    <row r="164" spans="1:40" x14ac:dyDescent="0.25">
      <c r="A164" s="4" t="s">
        <v>802</v>
      </c>
      <c r="B164" s="42" t="s">
        <v>55</v>
      </c>
      <c r="C164" s="43" t="s">
        <v>542</v>
      </c>
      <c r="D164" s="54" t="s">
        <v>281</v>
      </c>
      <c r="E164" s="42">
        <f t="shared" ref="E164:E175" si="5">0.242+0.06</f>
        <v>0.30199999999999999</v>
      </c>
      <c r="F164" s="42">
        <v>0.06</v>
      </c>
      <c r="G164" s="43">
        <v>15</v>
      </c>
      <c r="H164" s="4" t="s">
        <v>72</v>
      </c>
      <c r="I164" s="4" t="s">
        <v>543</v>
      </c>
      <c r="J164" s="4" t="s">
        <v>0</v>
      </c>
      <c r="K164" s="43" t="s">
        <v>544</v>
      </c>
      <c r="L164" s="4" t="s">
        <v>60</v>
      </c>
      <c r="M164" s="4" t="s">
        <v>319</v>
      </c>
      <c r="N164" s="43" t="s">
        <v>545</v>
      </c>
      <c r="O164" s="4">
        <v>35</v>
      </c>
      <c r="P164" s="4">
        <v>5</v>
      </c>
      <c r="Q164" s="4">
        <v>5.16</v>
      </c>
      <c r="R164" s="4" t="s">
        <v>69</v>
      </c>
      <c r="S164" s="4" t="s">
        <v>546</v>
      </c>
      <c r="T164" s="4" t="s">
        <v>0</v>
      </c>
      <c r="U164" s="43" t="s">
        <v>77</v>
      </c>
      <c r="V164" s="4" t="s">
        <v>539</v>
      </c>
      <c r="W164" s="43" t="s">
        <v>1585</v>
      </c>
      <c r="X164" s="43" t="s">
        <v>547</v>
      </c>
      <c r="Y164" s="4" t="s">
        <v>804</v>
      </c>
      <c r="Z164" s="4" t="s">
        <v>548</v>
      </c>
      <c r="AA164" s="4">
        <v>0</v>
      </c>
      <c r="AB164" s="4">
        <v>0</v>
      </c>
      <c r="AC164" s="25">
        <f>0.01*5.33*8/116*32</f>
        <v>0.11762758620689655</v>
      </c>
      <c r="AD164" s="67">
        <v>0</v>
      </c>
      <c r="AE164" s="4" t="s">
        <v>69</v>
      </c>
      <c r="AF164" s="4"/>
      <c r="AG164" s="4" t="s">
        <v>812</v>
      </c>
    </row>
    <row r="165" spans="1:40" x14ac:dyDescent="0.25">
      <c r="A165" s="4" t="s">
        <v>802</v>
      </c>
      <c r="B165" s="42" t="s">
        <v>55</v>
      </c>
      <c r="C165" s="43" t="s">
        <v>542</v>
      </c>
      <c r="D165" s="54" t="s">
        <v>281</v>
      </c>
      <c r="E165" s="42">
        <f t="shared" si="5"/>
        <v>0.30199999999999999</v>
      </c>
      <c r="F165" s="42">
        <v>0.06</v>
      </c>
      <c r="G165" s="43">
        <v>15</v>
      </c>
      <c r="H165" s="4" t="s">
        <v>72</v>
      </c>
      <c r="I165" s="4" t="s">
        <v>549</v>
      </c>
      <c r="J165" s="4" t="s">
        <v>0</v>
      </c>
      <c r="K165" s="43" t="s">
        <v>550</v>
      </c>
      <c r="L165" s="4" t="s">
        <v>60</v>
      </c>
      <c r="M165" s="4" t="s">
        <v>319</v>
      </c>
      <c r="N165" s="43" t="s">
        <v>545</v>
      </c>
      <c r="O165" s="4">
        <v>35</v>
      </c>
      <c r="P165" s="4">
        <v>5</v>
      </c>
      <c r="Q165" s="4">
        <v>5.49</v>
      </c>
      <c r="R165" s="4" t="s">
        <v>69</v>
      </c>
      <c r="S165" s="4" t="s">
        <v>546</v>
      </c>
      <c r="T165" s="4" t="s">
        <v>0</v>
      </c>
      <c r="U165" s="43" t="s">
        <v>77</v>
      </c>
      <c r="V165" s="4" t="s">
        <v>539</v>
      </c>
      <c r="W165" s="43" t="s">
        <v>1585</v>
      </c>
      <c r="X165" s="43" t="s">
        <v>547</v>
      </c>
      <c r="Y165" s="4" t="s">
        <v>808</v>
      </c>
      <c r="Z165" s="4" t="s">
        <v>551</v>
      </c>
      <c r="AA165" s="4" t="s">
        <v>551</v>
      </c>
      <c r="AB165" s="4" t="s">
        <v>552</v>
      </c>
      <c r="AC165" s="25">
        <f>0.03*7.23*8*32/116</f>
        <v>0.47867586206896556</v>
      </c>
      <c r="AD165" s="67">
        <f>0.03*7.23*9.5*32/130</f>
        <v>0.50721230769230774</v>
      </c>
      <c r="AE165" s="4" t="s">
        <v>69</v>
      </c>
      <c r="AF165" s="4"/>
      <c r="AG165" s="4" t="s">
        <v>812</v>
      </c>
    </row>
    <row r="166" spans="1:40" x14ac:dyDescent="0.25">
      <c r="A166" s="4" t="s">
        <v>802</v>
      </c>
      <c r="B166" s="42" t="s">
        <v>55</v>
      </c>
      <c r="C166" s="43" t="s">
        <v>542</v>
      </c>
      <c r="D166" s="54" t="s">
        <v>281</v>
      </c>
      <c r="E166" s="42">
        <f t="shared" si="5"/>
        <v>0.30199999999999999</v>
      </c>
      <c r="F166" s="42">
        <v>0.06</v>
      </c>
      <c r="G166" s="43">
        <v>15</v>
      </c>
      <c r="H166" s="4" t="s">
        <v>72</v>
      </c>
      <c r="I166" s="4" t="s">
        <v>535</v>
      </c>
      <c r="J166" s="4" t="s">
        <v>0</v>
      </c>
      <c r="K166" s="43" t="s">
        <v>553</v>
      </c>
      <c r="L166" s="4" t="s">
        <v>60</v>
      </c>
      <c r="M166" s="4" t="s">
        <v>319</v>
      </c>
      <c r="N166" s="43" t="s">
        <v>545</v>
      </c>
      <c r="O166" s="4">
        <v>35</v>
      </c>
      <c r="P166" s="4">
        <v>5</v>
      </c>
      <c r="Q166" s="4">
        <v>5.74</v>
      </c>
      <c r="R166" s="4" t="s">
        <v>69</v>
      </c>
      <c r="S166" s="4" t="s">
        <v>546</v>
      </c>
      <c r="T166" s="4" t="s">
        <v>0</v>
      </c>
      <c r="U166" s="43" t="s">
        <v>77</v>
      </c>
      <c r="V166" s="4" t="s">
        <v>539</v>
      </c>
      <c r="W166" s="43" t="s">
        <v>1585</v>
      </c>
      <c r="X166" s="43" t="s">
        <v>547</v>
      </c>
      <c r="Y166" s="4" t="s">
        <v>807</v>
      </c>
      <c r="Z166" s="4" t="s">
        <v>552</v>
      </c>
      <c r="AA166" s="4">
        <v>0</v>
      </c>
      <c r="AB166" s="4">
        <v>0</v>
      </c>
      <c r="AC166" s="25">
        <f>0.01*5.16*8*32/116</f>
        <v>0.11387586206896552</v>
      </c>
      <c r="AD166" s="67">
        <v>0</v>
      </c>
      <c r="AE166" s="4" t="s">
        <v>69</v>
      </c>
      <c r="AF166" s="4"/>
      <c r="AG166" s="4" t="s">
        <v>812</v>
      </c>
    </row>
    <row r="167" spans="1:40" x14ac:dyDescent="0.25">
      <c r="A167" s="4" t="s">
        <v>802</v>
      </c>
      <c r="B167" s="42" t="s">
        <v>55</v>
      </c>
      <c r="C167" s="43" t="s">
        <v>542</v>
      </c>
      <c r="D167" s="54" t="s">
        <v>281</v>
      </c>
      <c r="E167" s="42">
        <f t="shared" si="5"/>
        <v>0.30199999999999999</v>
      </c>
      <c r="F167" s="42">
        <v>0.06</v>
      </c>
      <c r="G167" s="43">
        <v>15</v>
      </c>
      <c r="H167" s="4" t="s">
        <v>72</v>
      </c>
      <c r="I167" s="4" t="s">
        <v>554</v>
      </c>
      <c r="J167" s="4" t="s">
        <v>0</v>
      </c>
      <c r="K167" s="43" t="s">
        <v>555</v>
      </c>
      <c r="L167" s="4" t="s">
        <v>60</v>
      </c>
      <c r="M167" s="4" t="s">
        <v>319</v>
      </c>
      <c r="N167" s="43" t="s">
        <v>545</v>
      </c>
      <c r="O167" s="4">
        <v>35</v>
      </c>
      <c r="P167" s="4">
        <v>5</v>
      </c>
      <c r="Q167" s="4">
        <v>6.7</v>
      </c>
      <c r="R167" s="4" t="s">
        <v>69</v>
      </c>
      <c r="S167" s="4" t="s">
        <v>546</v>
      </c>
      <c r="T167" s="4" t="s">
        <v>0</v>
      </c>
      <c r="U167" s="43" t="s">
        <v>77</v>
      </c>
      <c r="V167" s="4" t="s">
        <v>539</v>
      </c>
      <c r="W167" s="43" t="s">
        <v>1585</v>
      </c>
      <c r="X167" s="43" t="s">
        <v>547</v>
      </c>
      <c r="Y167" s="4" t="s">
        <v>809</v>
      </c>
      <c r="Z167" s="4" t="s">
        <v>556</v>
      </c>
      <c r="AA167" s="4">
        <v>0</v>
      </c>
      <c r="AB167" s="4">
        <v>0</v>
      </c>
      <c r="AC167" s="25">
        <f>0.02*3.73*8*32/116</f>
        <v>0.16463448275862069</v>
      </c>
      <c r="AD167" s="67">
        <v>0</v>
      </c>
      <c r="AE167" s="4" t="s">
        <v>69</v>
      </c>
      <c r="AF167" s="4"/>
      <c r="AG167" s="4" t="s">
        <v>812</v>
      </c>
    </row>
    <row r="168" spans="1:40" x14ac:dyDescent="0.25">
      <c r="A168" s="4" t="s">
        <v>802</v>
      </c>
      <c r="B168" s="42" t="s">
        <v>55</v>
      </c>
      <c r="C168" s="43" t="s">
        <v>542</v>
      </c>
      <c r="D168" s="54" t="s">
        <v>281</v>
      </c>
      <c r="E168" s="42">
        <f t="shared" si="5"/>
        <v>0.30199999999999999</v>
      </c>
      <c r="F168" s="42">
        <v>0.06</v>
      </c>
      <c r="G168" s="43">
        <v>15</v>
      </c>
      <c r="H168" s="4" t="s">
        <v>72</v>
      </c>
      <c r="I168" s="4" t="s">
        <v>543</v>
      </c>
      <c r="J168" s="4" t="s">
        <v>0</v>
      </c>
      <c r="K168" s="43" t="s">
        <v>544</v>
      </c>
      <c r="L168" s="4" t="s">
        <v>60</v>
      </c>
      <c r="M168" s="4" t="s">
        <v>319</v>
      </c>
      <c r="N168" s="43" t="s">
        <v>545</v>
      </c>
      <c r="O168" s="4">
        <v>35</v>
      </c>
      <c r="P168" s="4">
        <v>11</v>
      </c>
      <c r="Q168" s="4">
        <v>7.51</v>
      </c>
      <c r="R168" s="4" t="s">
        <v>69</v>
      </c>
      <c r="S168" s="4" t="s">
        <v>546</v>
      </c>
      <c r="T168" s="4" t="s">
        <v>0</v>
      </c>
      <c r="U168" s="43" t="s">
        <v>77</v>
      </c>
      <c r="V168" s="4" t="s">
        <v>557</v>
      </c>
      <c r="W168" s="43" t="s">
        <v>1585</v>
      </c>
      <c r="X168" s="43" t="s">
        <v>547</v>
      </c>
      <c r="Y168" s="77" t="s">
        <v>806</v>
      </c>
      <c r="Z168" s="4">
        <v>0</v>
      </c>
      <c r="AA168" s="4">
        <v>0</v>
      </c>
      <c r="AB168" s="4">
        <v>0</v>
      </c>
      <c r="AC168" s="25">
        <v>0</v>
      </c>
      <c r="AD168" s="67">
        <v>0</v>
      </c>
      <c r="AE168" s="4" t="s">
        <v>69</v>
      </c>
      <c r="AF168" s="4"/>
      <c r="AG168" s="4" t="s">
        <v>812</v>
      </c>
    </row>
    <row r="169" spans="1:40" x14ac:dyDescent="0.25">
      <c r="A169" s="4" t="s">
        <v>802</v>
      </c>
      <c r="B169" s="42" t="s">
        <v>55</v>
      </c>
      <c r="C169" s="43" t="s">
        <v>542</v>
      </c>
      <c r="D169" s="54" t="s">
        <v>281</v>
      </c>
      <c r="E169" s="42">
        <f t="shared" si="5"/>
        <v>0.30199999999999999</v>
      </c>
      <c r="F169" s="42">
        <v>0.06</v>
      </c>
      <c r="G169" s="43">
        <v>15</v>
      </c>
      <c r="H169" s="4" t="s">
        <v>72</v>
      </c>
      <c r="I169" s="4" t="s">
        <v>549</v>
      </c>
      <c r="J169" s="4" t="s">
        <v>0</v>
      </c>
      <c r="K169" s="43" t="s">
        <v>550</v>
      </c>
      <c r="L169" s="4" t="s">
        <v>60</v>
      </c>
      <c r="M169" s="4" t="s">
        <v>319</v>
      </c>
      <c r="N169" s="43" t="s">
        <v>545</v>
      </c>
      <c r="O169" s="4">
        <v>35</v>
      </c>
      <c r="P169" s="4">
        <v>11</v>
      </c>
      <c r="Q169" s="4">
        <f>11-2.85</f>
        <v>8.15</v>
      </c>
      <c r="R169" s="4" t="s">
        <v>69</v>
      </c>
      <c r="S169" s="4" t="s">
        <v>546</v>
      </c>
      <c r="T169" s="4" t="s">
        <v>0</v>
      </c>
      <c r="U169" s="43" t="s">
        <v>77</v>
      </c>
      <c r="V169" s="4" t="s">
        <v>557</v>
      </c>
      <c r="W169" s="43" t="s">
        <v>1585</v>
      </c>
      <c r="X169" s="43" t="s">
        <v>547</v>
      </c>
      <c r="Y169" s="4" t="s">
        <v>811</v>
      </c>
      <c r="Z169" s="4">
        <v>0</v>
      </c>
      <c r="AA169" s="4">
        <v>0</v>
      </c>
      <c r="AB169" s="4">
        <v>0</v>
      </c>
      <c r="AC169" s="25">
        <v>0</v>
      </c>
      <c r="AD169" s="67">
        <v>0</v>
      </c>
      <c r="AE169" s="4" t="s">
        <v>69</v>
      </c>
      <c r="AF169" s="4"/>
      <c r="AG169" s="4" t="s">
        <v>812</v>
      </c>
    </row>
    <row r="170" spans="1:40" x14ac:dyDescent="0.25">
      <c r="A170" s="4" t="s">
        <v>802</v>
      </c>
      <c r="B170" s="42" t="s">
        <v>55</v>
      </c>
      <c r="C170" s="43" t="s">
        <v>542</v>
      </c>
      <c r="D170" s="54" t="s">
        <v>281</v>
      </c>
      <c r="E170" s="42">
        <f t="shared" si="5"/>
        <v>0.30199999999999999</v>
      </c>
      <c r="F170" s="42">
        <v>0.06</v>
      </c>
      <c r="G170" s="43">
        <v>15</v>
      </c>
      <c r="H170" s="4" t="s">
        <v>72</v>
      </c>
      <c r="I170" s="4" t="s">
        <v>535</v>
      </c>
      <c r="J170" s="4" t="s">
        <v>0</v>
      </c>
      <c r="K170" s="43" t="s">
        <v>553</v>
      </c>
      <c r="L170" s="4" t="s">
        <v>60</v>
      </c>
      <c r="M170" s="4" t="s">
        <v>319</v>
      </c>
      <c r="N170" s="43" t="s">
        <v>545</v>
      </c>
      <c r="O170" s="4">
        <v>35</v>
      </c>
      <c r="P170" s="4">
        <v>11</v>
      </c>
      <c r="Q170" s="4">
        <f>11-3.61</f>
        <v>7.3900000000000006</v>
      </c>
      <c r="R170" s="4" t="s">
        <v>69</v>
      </c>
      <c r="S170" s="4" t="s">
        <v>546</v>
      </c>
      <c r="T170" s="4" t="s">
        <v>0</v>
      </c>
      <c r="U170" s="43" t="s">
        <v>77</v>
      </c>
      <c r="V170" s="4" t="s">
        <v>557</v>
      </c>
      <c r="W170" s="43" t="s">
        <v>1585</v>
      </c>
      <c r="X170" s="43" t="s">
        <v>547</v>
      </c>
      <c r="Y170" s="4" t="s">
        <v>810</v>
      </c>
      <c r="Z170" s="4" t="s">
        <v>552</v>
      </c>
      <c r="AA170" s="4">
        <v>0</v>
      </c>
      <c r="AB170" s="4">
        <v>0</v>
      </c>
      <c r="AC170" s="25">
        <f>0.01*5.16*8*32/116</f>
        <v>0.11387586206896552</v>
      </c>
      <c r="AD170" s="67">
        <v>0</v>
      </c>
      <c r="AE170" s="4" t="s">
        <v>69</v>
      </c>
      <c r="AF170" s="4"/>
      <c r="AG170" s="4" t="s">
        <v>812</v>
      </c>
    </row>
    <row r="171" spans="1:40" x14ac:dyDescent="0.25">
      <c r="A171" s="4" t="s">
        <v>802</v>
      </c>
      <c r="B171" s="42" t="s">
        <v>55</v>
      </c>
      <c r="C171" s="43" t="s">
        <v>542</v>
      </c>
      <c r="D171" s="54" t="s">
        <v>281</v>
      </c>
      <c r="E171" s="42">
        <f t="shared" si="5"/>
        <v>0.30199999999999999</v>
      </c>
      <c r="F171" s="42">
        <v>0.06</v>
      </c>
      <c r="G171" s="43">
        <v>15</v>
      </c>
      <c r="H171" s="4" t="s">
        <v>72</v>
      </c>
      <c r="I171" s="4" t="s">
        <v>554</v>
      </c>
      <c r="J171" s="4" t="s">
        <v>0</v>
      </c>
      <c r="K171" s="43" t="s">
        <v>555</v>
      </c>
      <c r="L171" s="4" t="s">
        <v>60</v>
      </c>
      <c r="M171" s="4" t="s">
        <v>319</v>
      </c>
      <c r="N171" s="43" t="s">
        <v>545</v>
      </c>
      <c r="O171" s="4">
        <v>35</v>
      </c>
      <c r="P171" s="4">
        <v>11</v>
      </c>
      <c r="Q171" s="4">
        <f>11-3.29</f>
        <v>7.71</v>
      </c>
      <c r="R171" s="4" t="s">
        <v>69</v>
      </c>
      <c r="S171" s="4" t="s">
        <v>546</v>
      </c>
      <c r="T171" s="4" t="s">
        <v>0</v>
      </c>
      <c r="U171" s="43" t="s">
        <v>77</v>
      </c>
      <c r="V171" s="4" t="s">
        <v>557</v>
      </c>
      <c r="W171" s="43" t="s">
        <v>1585</v>
      </c>
      <c r="X171" s="43" t="s">
        <v>547</v>
      </c>
      <c r="Y171" s="4" t="s">
        <v>813</v>
      </c>
      <c r="Z171" s="4">
        <v>0</v>
      </c>
      <c r="AA171" s="4">
        <v>0</v>
      </c>
      <c r="AB171" s="4">
        <v>0</v>
      </c>
      <c r="AC171" s="25">
        <v>0</v>
      </c>
      <c r="AD171" s="67">
        <v>0</v>
      </c>
      <c r="AE171" s="4" t="s">
        <v>69</v>
      </c>
      <c r="AF171" s="4"/>
      <c r="AG171" s="4" t="s">
        <v>812</v>
      </c>
    </row>
    <row r="172" spans="1:40" x14ac:dyDescent="0.25">
      <c r="A172" s="4" t="s">
        <v>802</v>
      </c>
      <c r="B172" s="42" t="s">
        <v>55</v>
      </c>
      <c r="C172" s="43" t="s">
        <v>542</v>
      </c>
      <c r="D172" s="54" t="s">
        <v>281</v>
      </c>
      <c r="E172" s="42">
        <f t="shared" si="5"/>
        <v>0.30199999999999999</v>
      </c>
      <c r="F172" s="42">
        <v>0.06</v>
      </c>
      <c r="G172" s="43">
        <v>15</v>
      </c>
      <c r="H172" s="4" t="s">
        <v>72</v>
      </c>
      <c r="I172" s="4" t="s">
        <v>543</v>
      </c>
      <c r="J172" s="4" t="s">
        <v>0</v>
      </c>
      <c r="K172" s="43" t="s">
        <v>544</v>
      </c>
      <c r="L172" s="4" t="s">
        <v>60</v>
      </c>
      <c r="M172" s="4" t="s">
        <v>319</v>
      </c>
      <c r="N172" s="43" t="s">
        <v>545</v>
      </c>
      <c r="O172" s="4">
        <v>35</v>
      </c>
      <c r="P172" s="4">
        <v>6.27</v>
      </c>
      <c r="Q172" s="4">
        <v>6.21</v>
      </c>
      <c r="R172" s="4" t="s">
        <v>69</v>
      </c>
      <c r="S172" s="4" t="s">
        <v>546</v>
      </c>
      <c r="T172" s="4" t="s">
        <v>0</v>
      </c>
      <c r="U172" s="43" t="s">
        <v>77</v>
      </c>
      <c r="V172" s="4" t="s">
        <v>558</v>
      </c>
      <c r="W172" s="43" t="s">
        <v>1585</v>
      </c>
      <c r="X172" s="43" t="s">
        <v>547</v>
      </c>
      <c r="Y172" s="4" t="s">
        <v>805</v>
      </c>
      <c r="Z172" s="4" t="s">
        <v>548</v>
      </c>
      <c r="AA172" s="4">
        <v>0</v>
      </c>
      <c r="AB172" s="4">
        <v>0</v>
      </c>
      <c r="AC172" s="25">
        <f>0.01*5.33*8/116*32</f>
        <v>0.11762758620689655</v>
      </c>
      <c r="AD172" s="67">
        <v>0</v>
      </c>
      <c r="AE172" s="4" t="s">
        <v>69</v>
      </c>
      <c r="AF172" s="4"/>
      <c r="AG172" s="4" t="s">
        <v>812</v>
      </c>
    </row>
    <row r="173" spans="1:40" x14ac:dyDescent="0.25">
      <c r="A173" s="4" t="s">
        <v>802</v>
      </c>
      <c r="B173" s="42" t="s">
        <v>55</v>
      </c>
      <c r="C173" s="43" t="s">
        <v>542</v>
      </c>
      <c r="D173" s="54" t="s">
        <v>281</v>
      </c>
      <c r="E173" s="42">
        <f t="shared" si="5"/>
        <v>0.30199999999999999</v>
      </c>
      <c r="F173" s="42">
        <v>0.06</v>
      </c>
      <c r="G173" s="43">
        <v>15</v>
      </c>
      <c r="H173" s="4" t="s">
        <v>72</v>
      </c>
      <c r="I173" s="4" t="s">
        <v>549</v>
      </c>
      <c r="J173" s="4" t="s">
        <v>0</v>
      </c>
      <c r="K173" s="43" t="s">
        <v>550</v>
      </c>
      <c r="L173" s="4" t="s">
        <v>60</v>
      </c>
      <c r="M173" s="4" t="s">
        <v>319</v>
      </c>
      <c r="N173" s="43" t="s">
        <v>545</v>
      </c>
      <c r="O173" s="4">
        <v>35</v>
      </c>
      <c r="P173" s="4">
        <v>7.4</v>
      </c>
      <c r="Q173" s="4">
        <v>6.89</v>
      </c>
      <c r="R173" s="4" t="s">
        <v>69</v>
      </c>
      <c r="S173" s="4" t="s">
        <v>546</v>
      </c>
      <c r="T173" s="4" t="s">
        <v>0</v>
      </c>
      <c r="U173" s="43" t="s">
        <v>77</v>
      </c>
      <c r="V173" s="4" t="s">
        <v>558</v>
      </c>
      <c r="W173" s="43" t="s">
        <v>1585</v>
      </c>
      <c r="X173" s="43" t="s">
        <v>547</v>
      </c>
      <c r="Y173" s="4" t="s">
        <v>816</v>
      </c>
      <c r="Z173" s="4" t="s">
        <v>556</v>
      </c>
      <c r="AA173" s="4">
        <v>0</v>
      </c>
      <c r="AB173" s="4">
        <v>0</v>
      </c>
      <c r="AC173" s="25">
        <f>0.02*7.23*8*32/116</f>
        <v>0.31911724137931036</v>
      </c>
      <c r="AD173" s="67">
        <v>0</v>
      </c>
      <c r="AE173" s="4" t="s">
        <v>69</v>
      </c>
      <c r="AF173" s="4"/>
      <c r="AG173" s="4" t="s">
        <v>812</v>
      </c>
    </row>
    <row r="174" spans="1:40" x14ac:dyDescent="0.25">
      <c r="A174" s="4" t="s">
        <v>802</v>
      </c>
      <c r="B174" s="42" t="s">
        <v>55</v>
      </c>
      <c r="C174" s="43" t="s">
        <v>542</v>
      </c>
      <c r="D174" s="54" t="s">
        <v>281</v>
      </c>
      <c r="E174" s="42">
        <f t="shared" si="5"/>
        <v>0.30199999999999999</v>
      </c>
      <c r="F174" s="42">
        <v>0.06</v>
      </c>
      <c r="G174" s="43">
        <v>15</v>
      </c>
      <c r="H174" s="4" t="s">
        <v>72</v>
      </c>
      <c r="I174" s="4" t="s">
        <v>535</v>
      </c>
      <c r="J174" s="4" t="s">
        <v>0</v>
      </c>
      <c r="K174" s="43" t="s">
        <v>553</v>
      </c>
      <c r="L174" s="4" t="s">
        <v>60</v>
      </c>
      <c r="M174" s="4" t="s">
        <v>319</v>
      </c>
      <c r="N174" s="43" t="s">
        <v>545</v>
      </c>
      <c r="O174" s="4">
        <v>35</v>
      </c>
      <c r="P174" s="4">
        <v>7.2</v>
      </c>
      <c r="Q174" s="4">
        <v>6.14</v>
      </c>
      <c r="R174" s="4" t="s">
        <v>69</v>
      </c>
      <c r="S174" s="4" t="s">
        <v>546</v>
      </c>
      <c r="T174" s="4" t="s">
        <v>0</v>
      </c>
      <c r="U174" s="43" t="s">
        <v>77</v>
      </c>
      <c r="V174" s="4" t="s">
        <v>558</v>
      </c>
      <c r="W174" s="43" t="s">
        <v>1585</v>
      </c>
      <c r="X174" s="43" t="s">
        <v>547</v>
      </c>
      <c r="Y174" s="4" t="s">
        <v>814</v>
      </c>
      <c r="Z174" s="4" t="s">
        <v>548</v>
      </c>
      <c r="AA174" s="4">
        <v>0</v>
      </c>
      <c r="AB174" s="4">
        <v>0</v>
      </c>
      <c r="AC174" s="25">
        <f>0.01*5.16*8*32/116</f>
        <v>0.11387586206896552</v>
      </c>
      <c r="AD174" s="67">
        <v>0</v>
      </c>
      <c r="AE174" s="4" t="s">
        <v>69</v>
      </c>
      <c r="AF174" s="4"/>
      <c r="AG174" s="4" t="s">
        <v>812</v>
      </c>
    </row>
    <row r="175" spans="1:40" x14ac:dyDescent="0.25">
      <c r="A175" s="4" t="s">
        <v>802</v>
      </c>
      <c r="B175" s="42" t="s">
        <v>55</v>
      </c>
      <c r="C175" s="43" t="s">
        <v>542</v>
      </c>
      <c r="D175" s="54" t="s">
        <v>281</v>
      </c>
      <c r="E175" s="42">
        <f t="shared" si="5"/>
        <v>0.30199999999999999</v>
      </c>
      <c r="F175" s="42">
        <v>0.06</v>
      </c>
      <c r="G175" s="43">
        <v>15</v>
      </c>
      <c r="H175" s="4" t="s">
        <v>72</v>
      </c>
      <c r="I175" s="4" t="s">
        <v>554</v>
      </c>
      <c r="J175" s="4" t="s">
        <v>0</v>
      </c>
      <c r="K175" s="43" t="s">
        <v>555</v>
      </c>
      <c r="L175" s="4" t="s">
        <v>60</v>
      </c>
      <c r="M175" s="4" t="s">
        <v>319</v>
      </c>
      <c r="N175" s="43" t="s">
        <v>545</v>
      </c>
      <c r="O175" s="4">
        <v>35</v>
      </c>
      <c r="P175" s="4">
        <v>7.4</v>
      </c>
      <c r="Q175" s="4">
        <v>7.08</v>
      </c>
      <c r="R175" s="4" t="s">
        <v>69</v>
      </c>
      <c r="S175" s="4" t="s">
        <v>546</v>
      </c>
      <c r="T175" s="4" t="s">
        <v>0</v>
      </c>
      <c r="U175" s="43" t="s">
        <v>77</v>
      </c>
      <c r="V175" s="4" t="s">
        <v>558</v>
      </c>
      <c r="W175" s="43" t="s">
        <v>1585</v>
      </c>
      <c r="X175" s="43" t="s">
        <v>547</v>
      </c>
      <c r="Y175" s="4" t="s">
        <v>815</v>
      </c>
      <c r="Z175" s="4" t="s">
        <v>552</v>
      </c>
      <c r="AA175" s="4">
        <v>0</v>
      </c>
      <c r="AB175" s="4">
        <v>0</v>
      </c>
      <c r="AC175" s="25">
        <f>0.01*3.73*8*32/116</f>
        <v>8.2317241379310346E-2</v>
      </c>
      <c r="AD175" s="67">
        <v>0</v>
      </c>
      <c r="AE175" s="4" t="s">
        <v>69</v>
      </c>
      <c r="AF175" s="4"/>
      <c r="AG175" s="4" t="s">
        <v>812</v>
      </c>
    </row>
    <row r="176" spans="1:40" x14ac:dyDescent="0.25">
      <c r="A176" s="8" t="s">
        <v>817</v>
      </c>
      <c r="B176" s="46" t="s">
        <v>55</v>
      </c>
      <c r="C176" s="47" t="s">
        <v>559</v>
      </c>
      <c r="D176" s="57" t="s">
        <v>560</v>
      </c>
      <c r="E176" s="46" t="s">
        <v>0</v>
      </c>
      <c r="F176" s="46">
        <v>0.24</v>
      </c>
      <c r="G176" s="47">
        <v>80</v>
      </c>
      <c r="H176" s="8" t="s">
        <v>57</v>
      </c>
      <c r="I176" s="8" t="s">
        <v>561</v>
      </c>
      <c r="J176" s="8" t="s">
        <v>0</v>
      </c>
      <c r="K176" s="47" t="s">
        <v>0</v>
      </c>
      <c r="L176" s="8" t="s">
        <v>60</v>
      </c>
      <c r="M176" s="8" t="s">
        <v>562</v>
      </c>
      <c r="N176" s="47" t="s">
        <v>803</v>
      </c>
      <c r="O176" s="8">
        <v>35</v>
      </c>
      <c r="P176" s="8">
        <v>6</v>
      </c>
      <c r="Q176" s="8">
        <v>6</v>
      </c>
      <c r="R176" s="8" t="s">
        <v>64</v>
      </c>
      <c r="S176" s="8" t="s">
        <v>563</v>
      </c>
      <c r="T176" s="8" t="s">
        <v>0</v>
      </c>
      <c r="U176" s="47" t="s">
        <v>564</v>
      </c>
      <c r="V176" s="8" t="s">
        <v>558</v>
      </c>
      <c r="W176" s="47" t="s">
        <v>565</v>
      </c>
      <c r="X176" s="47" t="s">
        <v>566</v>
      </c>
      <c r="Y176" s="8" t="s">
        <v>719</v>
      </c>
      <c r="Z176" s="8" t="s">
        <v>567</v>
      </c>
      <c r="AA176" s="8">
        <v>0</v>
      </c>
      <c r="AB176" s="8" t="s">
        <v>568</v>
      </c>
      <c r="AC176" s="23">
        <f>0.7*32*8/116</f>
        <v>1.5448275862068965</v>
      </c>
      <c r="AD176" s="68">
        <f>0.42*11*32/160</f>
        <v>0.92400000000000004</v>
      </c>
      <c r="AE176" s="8" t="s">
        <v>64</v>
      </c>
      <c r="AF176" s="8"/>
      <c r="AG176" s="8"/>
      <c r="AH176" s="6"/>
      <c r="AI176" s="6"/>
      <c r="AJ176" s="6"/>
      <c r="AK176" s="6"/>
      <c r="AL176" s="6"/>
      <c r="AM176" s="7"/>
      <c r="AN176" s="7"/>
    </row>
    <row r="177" spans="1:33" x14ac:dyDescent="0.25">
      <c r="A177" s="4" t="s">
        <v>818</v>
      </c>
      <c r="B177" s="42" t="s">
        <v>55</v>
      </c>
      <c r="C177" s="43" t="s">
        <v>819</v>
      </c>
      <c r="D177" s="54" t="s">
        <v>569</v>
      </c>
      <c r="E177" s="42" t="s">
        <v>1</v>
      </c>
      <c r="F177" s="60">
        <v>2.1</v>
      </c>
      <c r="G177" s="43">
        <v>30</v>
      </c>
      <c r="H177" s="4" t="s">
        <v>489</v>
      </c>
      <c r="I177" s="4" t="s">
        <v>570</v>
      </c>
      <c r="J177" s="4" t="s">
        <v>59</v>
      </c>
      <c r="K177" s="43">
        <v>50.567999999999998</v>
      </c>
      <c r="L177" s="4" t="s">
        <v>60</v>
      </c>
      <c r="M177" s="4" t="s">
        <v>0</v>
      </c>
      <c r="N177" s="43" t="s">
        <v>0</v>
      </c>
      <c r="O177" s="4">
        <v>30</v>
      </c>
      <c r="P177" s="4" t="s">
        <v>0</v>
      </c>
      <c r="Q177" s="4" t="s">
        <v>0</v>
      </c>
      <c r="R177" s="4" t="s">
        <v>69</v>
      </c>
      <c r="S177" s="4" t="s">
        <v>148</v>
      </c>
      <c r="T177" s="4">
        <v>10</v>
      </c>
      <c r="U177" s="43" t="s">
        <v>0</v>
      </c>
      <c r="V177" s="4" t="s">
        <v>0</v>
      </c>
      <c r="W177" s="43" t="s">
        <v>820</v>
      </c>
      <c r="X177" s="43" t="s">
        <v>0</v>
      </c>
      <c r="Y177" s="4" t="s">
        <v>0</v>
      </c>
      <c r="Z177" s="4" t="s">
        <v>571</v>
      </c>
      <c r="AA177" s="4" t="s">
        <v>0</v>
      </c>
      <c r="AB177" s="4" t="s">
        <v>0</v>
      </c>
      <c r="AC177" s="25">
        <f>3.53*8*32/116</f>
        <v>7.7903448275862068</v>
      </c>
      <c r="AD177" s="43" t="s">
        <v>0</v>
      </c>
      <c r="AE177" s="4" t="s">
        <v>69</v>
      </c>
      <c r="AF177" s="4"/>
      <c r="AG177" s="4" t="s">
        <v>572</v>
      </c>
    </row>
    <row r="178" spans="1:33" x14ac:dyDescent="0.25">
      <c r="A178" s="7"/>
      <c r="B178" s="42"/>
      <c r="C178" s="43"/>
      <c r="D178" s="56"/>
      <c r="E178" s="50"/>
      <c r="F178" s="50"/>
      <c r="G178" s="51"/>
      <c r="H178" s="40"/>
      <c r="I178" s="7"/>
      <c r="J178" s="7"/>
      <c r="K178" s="51"/>
      <c r="L178" s="7"/>
      <c r="M178" s="7"/>
      <c r="N178" s="51"/>
      <c r="O178" s="7"/>
      <c r="P178" s="7"/>
      <c r="Q178" s="7"/>
      <c r="R178" s="7"/>
      <c r="S178" s="7"/>
      <c r="T178" s="7"/>
      <c r="U178" s="51"/>
      <c r="V178" s="7"/>
      <c r="W178" s="51"/>
      <c r="X178" s="51"/>
      <c r="Y178" s="7"/>
      <c r="Z178" s="7"/>
      <c r="AA178" s="7"/>
      <c r="AB178" s="7"/>
      <c r="AC178" s="41"/>
      <c r="AD178" s="51"/>
      <c r="AE178" s="7"/>
      <c r="AF178" s="7"/>
      <c r="AG178" s="7"/>
    </row>
    <row r="179" spans="1:33" x14ac:dyDescent="0.25">
      <c r="A179" s="11"/>
      <c r="B179" s="18"/>
      <c r="C179" s="70"/>
      <c r="D179" s="71"/>
      <c r="E179" s="18"/>
      <c r="F179" s="18"/>
      <c r="G179" s="70"/>
      <c r="H179" s="11"/>
      <c r="I179" s="11"/>
    </row>
    <row r="180" spans="1:33" x14ac:dyDescent="0.25">
      <c r="A180" s="11"/>
      <c r="B180" s="18"/>
      <c r="C180" s="70"/>
      <c r="D180" s="71"/>
      <c r="E180" s="18"/>
      <c r="F180" s="18"/>
      <c r="G180" s="70"/>
      <c r="H180" s="11"/>
      <c r="I180" s="11"/>
    </row>
    <row r="181" spans="1:33" x14ac:dyDescent="0.25">
      <c r="A181" s="9"/>
      <c r="B181" s="72"/>
      <c r="C181" s="73"/>
      <c r="D181" s="74"/>
      <c r="E181" s="72"/>
      <c r="F181" s="72"/>
      <c r="G181" s="75"/>
      <c r="H181" s="9"/>
      <c r="I181" s="11"/>
      <c r="N181" s="62"/>
      <c r="O181" s="5"/>
      <c r="P181" s="5"/>
      <c r="Q181" s="5"/>
      <c r="R181" s="5"/>
      <c r="S181" s="5"/>
      <c r="T181" s="5"/>
      <c r="U181" s="62"/>
      <c r="V181" s="5"/>
    </row>
    <row r="182" spans="1:33" x14ac:dyDescent="0.25">
      <c r="A182" s="9"/>
      <c r="B182" s="72"/>
      <c r="C182" s="73"/>
      <c r="D182" s="74"/>
      <c r="E182" s="72"/>
      <c r="F182" s="72"/>
      <c r="G182" s="75"/>
      <c r="H182" s="9"/>
      <c r="I182" s="11"/>
      <c r="N182" s="62"/>
      <c r="O182" s="5"/>
      <c r="P182" s="5"/>
      <c r="Q182" s="5"/>
      <c r="R182" s="5"/>
      <c r="S182" s="5"/>
      <c r="T182" s="5"/>
      <c r="U182" s="62"/>
      <c r="V182" s="5"/>
    </row>
    <row r="183" spans="1:33" x14ac:dyDescent="0.25">
      <c r="A183" s="11"/>
      <c r="B183" s="18"/>
      <c r="C183" s="70"/>
      <c r="D183" s="71"/>
      <c r="E183" s="18"/>
      <c r="F183" s="18"/>
      <c r="G183" s="70"/>
      <c r="H183" s="11"/>
      <c r="I183" s="11"/>
    </row>
    <row r="184" spans="1:33" x14ac:dyDescent="0.25">
      <c r="A184" s="11"/>
      <c r="B184" s="18"/>
      <c r="C184" s="70"/>
      <c r="D184" s="71"/>
      <c r="E184" s="18"/>
      <c r="F184" s="18"/>
      <c r="G184" s="70"/>
      <c r="H184" s="11"/>
      <c r="I184" s="11"/>
    </row>
    <row r="185" spans="1:33" x14ac:dyDescent="0.25">
      <c r="A185" s="11"/>
      <c r="B185" s="18"/>
      <c r="C185" s="70"/>
      <c r="D185" s="71"/>
      <c r="E185" s="18"/>
      <c r="F185" s="18"/>
      <c r="G185" s="70"/>
      <c r="H185" s="11"/>
      <c r="I185" s="11"/>
    </row>
    <row r="186" spans="1:33" x14ac:dyDescent="0.25">
      <c r="P186" s="12"/>
    </row>
    <row r="187" spans="1:33" x14ac:dyDescent="0.25">
      <c r="P187" s="12"/>
    </row>
    <row r="188" spans="1:33" x14ac:dyDescent="0.25">
      <c r="P188" s="12"/>
    </row>
    <row r="189" spans="1:33" x14ac:dyDescent="0.25">
      <c r="P189" s="12"/>
    </row>
  </sheetData>
  <mergeCells count="8">
    <mergeCell ref="P2:R2"/>
    <mergeCell ref="O1:U1"/>
    <mergeCell ref="V1:W1"/>
    <mergeCell ref="Y1:AD1"/>
    <mergeCell ref="L1:N1"/>
    <mergeCell ref="B1:C1"/>
    <mergeCell ref="D1:G1"/>
    <mergeCell ref="H1:J1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zoomScale="85" zoomScaleNormal="85" workbookViewId="0">
      <pane xSplit="1" ySplit="3" topLeftCell="W4" activePane="bottomRight" state="frozen"/>
      <selection pane="topRight" activeCell="B1" sqref="B1"/>
      <selection pane="bottomLeft" activeCell="A4" sqref="A4"/>
      <selection pane="bottomRight" activeCell="W31" sqref="W31"/>
    </sheetView>
  </sheetViews>
  <sheetFormatPr defaultRowHeight="15" x14ac:dyDescent="0.25"/>
  <cols>
    <col min="1" max="1" width="14.42578125" bestFit="1" customWidth="1"/>
    <col min="2" max="2" width="14.42578125" customWidth="1"/>
    <col min="3" max="3" width="67.7109375" bestFit="1" customWidth="1"/>
    <col min="4" max="4" width="98" bestFit="1" customWidth="1"/>
    <col min="5" max="5" width="12.140625" customWidth="1"/>
    <col min="6" max="6" width="26.42578125" bestFit="1" customWidth="1"/>
    <col min="7" max="7" width="15.28515625" bestFit="1" customWidth="1"/>
    <col min="8" max="8" width="15.7109375" bestFit="1" customWidth="1"/>
    <col min="9" max="9" width="15.140625" bestFit="1" customWidth="1"/>
    <col min="10" max="10" width="15.5703125" customWidth="1"/>
    <col min="11" max="11" width="49.28515625" bestFit="1" customWidth="1"/>
    <col min="12" max="12" width="14.140625" bestFit="1" customWidth="1"/>
    <col min="13" max="13" width="58.28515625" bestFit="1" customWidth="1"/>
    <col min="14" max="14" width="11.5703125" bestFit="1" customWidth="1"/>
    <col min="15" max="15" width="69.28515625" bestFit="1" customWidth="1"/>
    <col min="16" max="16" width="22.7109375" bestFit="1" customWidth="1"/>
    <col min="25" max="25" width="20.42578125" bestFit="1" customWidth="1"/>
    <col min="26" max="26" width="46.7109375" bestFit="1" customWidth="1"/>
    <col min="28" max="29" width="10.140625" bestFit="1" customWidth="1"/>
    <col min="30" max="30" width="14.7109375" bestFit="1" customWidth="1"/>
    <col min="32" max="32" width="7.5703125" bestFit="1" customWidth="1"/>
  </cols>
  <sheetData>
    <row r="1" spans="1:38" s="52" customFormat="1" x14ac:dyDescent="0.25">
      <c r="A1" s="65" t="s">
        <v>19</v>
      </c>
      <c r="B1" s="261" t="s">
        <v>20</v>
      </c>
      <c r="C1" s="263"/>
      <c r="D1" s="262" t="s">
        <v>21</v>
      </c>
      <c r="E1" s="261"/>
      <c r="F1" s="261"/>
      <c r="G1" s="261"/>
      <c r="H1" s="261"/>
      <c r="I1" s="263"/>
      <c r="J1" s="262" t="s">
        <v>669</v>
      </c>
      <c r="K1" s="261"/>
      <c r="L1" s="261"/>
      <c r="M1" s="263"/>
      <c r="N1" s="262" t="s">
        <v>25</v>
      </c>
      <c r="O1" s="261"/>
      <c r="P1" s="263"/>
      <c r="Q1" s="262" t="s">
        <v>670</v>
      </c>
      <c r="R1" s="261"/>
      <c r="S1" s="261"/>
      <c r="T1" s="261"/>
      <c r="U1" s="261"/>
      <c r="V1" s="261"/>
      <c r="W1" s="263"/>
      <c r="X1" s="262" t="s">
        <v>31</v>
      </c>
      <c r="Y1" s="263"/>
      <c r="Z1" s="105" t="s">
        <v>32</v>
      </c>
      <c r="AA1" s="262" t="s">
        <v>33</v>
      </c>
      <c r="AB1" s="261"/>
      <c r="AC1" s="261"/>
      <c r="AD1" s="261"/>
      <c r="AE1" s="261"/>
      <c r="AF1" s="261"/>
      <c r="AG1" s="261"/>
      <c r="AH1" s="261"/>
      <c r="AI1" s="263"/>
      <c r="AJ1" s="64" t="s">
        <v>34</v>
      </c>
      <c r="AK1" s="94"/>
      <c r="AL1" s="94" t="s">
        <v>1626</v>
      </c>
    </row>
    <row r="2" spans="1:38" s="52" customFormat="1" x14ac:dyDescent="0.25">
      <c r="A2" s="95" t="s">
        <v>665</v>
      </c>
      <c r="B2" s="64" t="s">
        <v>659</v>
      </c>
      <c r="C2" s="65" t="s">
        <v>662</v>
      </c>
      <c r="D2" s="66" t="s">
        <v>663</v>
      </c>
      <c r="E2" s="64" t="s">
        <v>825</v>
      </c>
      <c r="F2" s="64" t="s">
        <v>826</v>
      </c>
      <c r="G2" s="64" t="s">
        <v>22</v>
      </c>
      <c r="H2" s="64" t="s">
        <v>23</v>
      </c>
      <c r="I2" s="65" t="s">
        <v>827</v>
      </c>
      <c r="J2" s="64" t="s">
        <v>37</v>
      </c>
      <c r="K2" s="64" t="s">
        <v>668</v>
      </c>
      <c r="L2" s="64" t="s">
        <v>39</v>
      </c>
      <c r="M2" s="65" t="s">
        <v>40</v>
      </c>
      <c r="N2" s="66" t="s">
        <v>41</v>
      </c>
      <c r="O2" s="64" t="s">
        <v>38</v>
      </c>
      <c r="P2" s="65" t="s">
        <v>26</v>
      </c>
      <c r="Q2" s="66" t="s">
        <v>666</v>
      </c>
      <c r="R2" s="261" t="s">
        <v>27</v>
      </c>
      <c r="S2" s="261"/>
      <c r="T2" s="261"/>
      <c r="U2" s="64" t="s">
        <v>28</v>
      </c>
      <c r="V2" s="64" t="s">
        <v>29</v>
      </c>
      <c r="W2" s="65" t="s">
        <v>30</v>
      </c>
      <c r="X2" s="66" t="s">
        <v>51</v>
      </c>
      <c r="Y2" s="65" t="s">
        <v>52</v>
      </c>
      <c r="Z2" s="105"/>
      <c r="AA2" s="66" t="s">
        <v>828</v>
      </c>
      <c r="AB2" s="64" t="s">
        <v>42</v>
      </c>
      <c r="AC2" s="64" t="s">
        <v>44</v>
      </c>
      <c r="AD2" s="64" t="s">
        <v>830</v>
      </c>
      <c r="AE2" s="64" t="s">
        <v>831</v>
      </c>
      <c r="AF2" s="64" t="s">
        <v>42</v>
      </c>
      <c r="AG2" s="64" t="s">
        <v>45</v>
      </c>
      <c r="AH2" s="64" t="s">
        <v>42</v>
      </c>
      <c r="AI2" s="65" t="s">
        <v>45</v>
      </c>
      <c r="AJ2" s="64" t="s">
        <v>46</v>
      </c>
      <c r="AK2" s="94"/>
      <c r="AL2" s="94"/>
    </row>
    <row r="3" spans="1:38" s="103" customFormat="1" x14ac:dyDescent="0.25">
      <c r="A3" s="101" t="s">
        <v>664</v>
      </c>
      <c r="B3" s="98"/>
      <c r="C3" s="99"/>
      <c r="D3" s="100"/>
      <c r="E3" s="98" t="s">
        <v>46</v>
      </c>
      <c r="F3" s="98" t="s">
        <v>46</v>
      </c>
      <c r="G3" s="98" t="s">
        <v>35</v>
      </c>
      <c r="H3" s="98" t="s">
        <v>35</v>
      </c>
      <c r="I3" s="99" t="s">
        <v>36</v>
      </c>
      <c r="J3" s="98"/>
      <c r="K3" s="98"/>
      <c r="L3" s="98"/>
      <c r="M3" s="99" t="s">
        <v>53</v>
      </c>
      <c r="N3" s="100"/>
      <c r="O3" s="98"/>
      <c r="P3" s="99" t="s">
        <v>53</v>
      </c>
      <c r="Q3" s="161" t="s">
        <v>1602</v>
      </c>
      <c r="R3" s="98" t="s">
        <v>47</v>
      </c>
      <c r="S3" s="98" t="s">
        <v>48</v>
      </c>
      <c r="T3" s="98" t="s">
        <v>49</v>
      </c>
      <c r="U3" s="98"/>
      <c r="V3" s="98" t="s">
        <v>50</v>
      </c>
      <c r="W3" s="99"/>
      <c r="X3" s="100"/>
      <c r="Y3" s="99"/>
      <c r="Z3" s="106"/>
      <c r="AA3" s="100"/>
      <c r="AB3" s="98" t="s">
        <v>53</v>
      </c>
      <c r="AC3" s="98" t="s">
        <v>53</v>
      </c>
      <c r="AD3" s="98" t="s">
        <v>53</v>
      </c>
      <c r="AE3" s="98" t="s">
        <v>53</v>
      </c>
      <c r="AF3" s="98" t="s">
        <v>54</v>
      </c>
      <c r="AG3" s="98" t="s">
        <v>54</v>
      </c>
      <c r="AH3" s="98" t="s">
        <v>832</v>
      </c>
      <c r="AI3" s="99" t="s">
        <v>832</v>
      </c>
      <c r="AJ3" s="98"/>
      <c r="AK3" s="102"/>
      <c r="AL3" s="102"/>
    </row>
    <row r="4" spans="1:38" x14ac:dyDescent="0.25">
      <c r="A4" s="47" t="s">
        <v>733</v>
      </c>
      <c r="B4" s="46" t="s">
        <v>2</v>
      </c>
      <c r="C4" s="47" t="s">
        <v>833</v>
      </c>
      <c r="D4" s="57" t="s">
        <v>409</v>
      </c>
      <c r="E4" s="46" t="s">
        <v>69</v>
      </c>
      <c r="F4" s="46" t="s">
        <v>69</v>
      </c>
      <c r="G4" s="46">
        <v>1</v>
      </c>
      <c r="H4" s="46" t="s">
        <v>834</v>
      </c>
      <c r="I4" s="47">
        <v>116</v>
      </c>
      <c r="J4" s="8" t="s">
        <v>57</v>
      </c>
      <c r="K4" s="8" t="s">
        <v>835</v>
      </c>
      <c r="L4" s="8" t="s">
        <v>229</v>
      </c>
      <c r="M4" s="47" t="s">
        <v>836</v>
      </c>
      <c r="N4" s="57" t="s">
        <v>60</v>
      </c>
      <c r="O4" s="46" t="s">
        <v>837</v>
      </c>
      <c r="P4" s="47" t="s">
        <v>0</v>
      </c>
      <c r="Q4" s="57">
        <v>30</v>
      </c>
      <c r="R4" s="46">
        <v>5.5</v>
      </c>
      <c r="S4" s="46"/>
      <c r="T4" s="46" t="s">
        <v>64</v>
      </c>
      <c r="U4" s="46" t="s">
        <v>838</v>
      </c>
      <c r="V4" s="46"/>
      <c r="W4" s="47" t="s">
        <v>77</v>
      </c>
      <c r="X4" s="57" t="s">
        <v>6</v>
      </c>
      <c r="Y4" s="47" t="s">
        <v>438</v>
      </c>
      <c r="Z4" s="107" t="s">
        <v>839</v>
      </c>
      <c r="AA4" s="57" t="s">
        <v>731</v>
      </c>
      <c r="AB4" s="46" t="s">
        <v>840</v>
      </c>
      <c r="AC4" s="46">
        <v>0</v>
      </c>
      <c r="AD4" s="46" t="s">
        <v>842</v>
      </c>
      <c r="AE4" s="46">
        <v>0</v>
      </c>
      <c r="AF4" s="46"/>
      <c r="AG4" s="46">
        <v>0</v>
      </c>
      <c r="AH4" s="46">
        <v>0.17</v>
      </c>
      <c r="AI4" s="47">
        <v>0</v>
      </c>
      <c r="AJ4" s="8" t="s">
        <v>64</v>
      </c>
      <c r="AK4" s="92"/>
      <c r="AL4" s="92" t="s">
        <v>843</v>
      </c>
    </row>
    <row r="5" spans="1:38" x14ac:dyDescent="0.25">
      <c r="A5" s="47" t="s">
        <v>733</v>
      </c>
      <c r="B5" s="46" t="s">
        <v>2</v>
      </c>
      <c r="C5" s="47" t="s">
        <v>833</v>
      </c>
      <c r="D5" s="57" t="s">
        <v>409</v>
      </c>
      <c r="E5" s="46" t="s">
        <v>69</v>
      </c>
      <c r="F5" s="46" t="s">
        <v>69</v>
      </c>
      <c r="G5" s="46">
        <v>1</v>
      </c>
      <c r="H5" s="46" t="s">
        <v>834</v>
      </c>
      <c r="I5" s="47">
        <v>116</v>
      </c>
      <c r="J5" s="8" t="s">
        <v>57</v>
      </c>
      <c r="K5" s="8" t="s">
        <v>835</v>
      </c>
      <c r="L5" s="8" t="s">
        <v>229</v>
      </c>
      <c r="M5" s="47" t="s">
        <v>836</v>
      </c>
      <c r="N5" s="57" t="s">
        <v>60</v>
      </c>
      <c r="O5" s="46" t="s">
        <v>837</v>
      </c>
      <c r="P5" s="47" t="s">
        <v>0</v>
      </c>
      <c r="Q5" s="57">
        <v>30</v>
      </c>
      <c r="R5" s="46">
        <v>7</v>
      </c>
      <c r="S5" s="46"/>
      <c r="T5" s="46" t="s">
        <v>64</v>
      </c>
      <c r="U5" s="46" t="s">
        <v>838</v>
      </c>
      <c r="V5" s="46"/>
      <c r="W5" s="47" t="s">
        <v>77</v>
      </c>
      <c r="X5" s="57" t="s">
        <v>6</v>
      </c>
      <c r="Y5" s="47" t="s">
        <v>438</v>
      </c>
      <c r="Z5" s="107" t="s">
        <v>839</v>
      </c>
      <c r="AA5" s="57" t="s">
        <v>731</v>
      </c>
      <c r="AB5" s="46" t="s">
        <v>844</v>
      </c>
      <c r="AC5" s="46" t="s">
        <v>845</v>
      </c>
      <c r="AD5" s="46" t="s">
        <v>846</v>
      </c>
      <c r="AE5" s="46" t="s">
        <v>847</v>
      </c>
      <c r="AF5" s="46">
        <v>18.25</v>
      </c>
      <c r="AG5" s="46">
        <v>0.77</v>
      </c>
      <c r="AH5" s="46">
        <v>1.0900000000000001</v>
      </c>
      <c r="AI5" s="47">
        <v>0.13</v>
      </c>
      <c r="AJ5" s="8" t="s">
        <v>64</v>
      </c>
      <c r="AK5" s="92"/>
      <c r="AL5" s="92" t="s">
        <v>843</v>
      </c>
    </row>
    <row r="6" spans="1:38" x14ac:dyDescent="0.25">
      <c r="A6" s="43" t="s">
        <v>700</v>
      </c>
      <c r="B6" s="42" t="s">
        <v>2</v>
      </c>
      <c r="C6" s="43" t="s">
        <v>848</v>
      </c>
      <c r="D6" s="54" t="s">
        <v>849</v>
      </c>
      <c r="E6" s="42" t="s">
        <v>69</v>
      </c>
      <c r="F6" s="42" t="s">
        <v>69</v>
      </c>
      <c r="G6" s="42">
        <v>1</v>
      </c>
      <c r="H6" s="42">
        <v>1</v>
      </c>
      <c r="I6" s="43">
        <v>25</v>
      </c>
      <c r="J6" s="4" t="s">
        <v>57</v>
      </c>
      <c r="K6" s="4" t="s">
        <v>850</v>
      </c>
      <c r="L6" s="4" t="s">
        <v>115</v>
      </c>
      <c r="M6" s="43" t="s">
        <v>851</v>
      </c>
      <c r="N6" s="54" t="s">
        <v>60</v>
      </c>
      <c r="O6" s="42" t="s">
        <v>852</v>
      </c>
      <c r="P6" s="43" t="s">
        <v>853</v>
      </c>
      <c r="Q6" s="54">
        <v>30</v>
      </c>
      <c r="R6" s="42" t="s">
        <v>693</v>
      </c>
      <c r="S6" s="42" t="s">
        <v>693</v>
      </c>
      <c r="T6" s="42" t="s">
        <v>64</v>
      </c>
      <c r="U6" s="42" t="s">
        <v>854</v>
      </c>
      <c r="V6" s="42" t="s">
        <v>0</v>
      </c>
      <c r="W6" s="43" t="s">
        <v>77</v>
      </c>
      <c r="X6" s="54" t="s">
        <v>0</v>
      </c>
      <c r="Y6" s="43" t="s">
        <v>861</v>
      </c>
      <c r="Z6" s="108" t="s">
        <v>0</v>
      </c>
      <c r="AA6" s="54" t="s">
        <v>0</v>
      </c>
      <c r="AB6" s="42" t="s">
        <v>855</v>
      </c>
      <c r="AC6" s="42" t="s">
        <v>0</v>
      </c>
      <c r="AD6" s="42" t="s">
        <v>0</v>
      </c>
      <c r="AE6" s="42" t="s">
        <v>0</v>
      </c>
      <c r="AF6" s="42">
        <v>24.25</v>
      </c>
      <c r="AG6" s="42" t="s">
        <v>0</v>
      </c>
      <c r="AH6" s="42" t="s">
        <v>0</v>
      </c>
      <c r="AI6" s="42" t="s">
        <v>0</v>
      </c>
      <c r="AJ6" s="4" t="s">
        <v>64</v>
      </c>
      <c r="AK6" s="3"/>
      <c r="AL6" s="3" t="s">
        <v>856</v>
      </c>
    </row>
    <row r="7" spans="1:38" x14ac:dyDescent="0.25">
      <c r="A7" s="43" t="s">
        <v>700</v>
      </c>
      <c r="B7" s="42" t="s">
        <v>2</v>
      </c>
      <c r="C7" s="43" t="s">
        <v>848</v>
      </c>
      <c r="D7" s="54" t="s">
        <v>849</v>
      </c>
      <c r="E7" s="42" t="s">
        <v>69</v>
      </c>
      <c r="F7" s="42" t="s">
        <v>69</v>
      </c>
      <c r="G7" s="42">
        <v>1</v>
      </c>
      <c r="H7" s="42">
        <v>1</v>
      </c>
      <c r="I7" s="43">
        <v>25</v>
      </c>
      <c r="J7" s="4" t="s">
        <v>57</v>
      </c>
      <c r="K7" s="4" t="s">
        <v>857</v>
      </c>
      <c r="L7" s="4" t="s">
        <v>115</v>
      </c>
      <c r="M7" s="43" t="s">
        <v>851</v>
      </c>
      <c r="N7" s="54" t="s">
        <v>60</v>
      </c>
      <c r="O7" s="42" t="s">
        <v>852</v>
      </c>
      <c r="P7" s="43" t="s">
        <v>853</v>
      </c>
      <c r="Q7" s="54">
        <v>30</v>
      </c>
      <c r="R7" s="42" t="s">
        <v>693</v>
      </c>
      <c r="S7" s="42" t="s">
        <v>693</v>
      </c>
      <c r="T7" s="42" t="s">
        <v>64</v>
      </c>
      <c r="U7" s="42" t="s">
        <v>854</v>
      </c>
      <c r="V7" s="42" t="s">
        <v>0</v>
      </c>
      <c r="W7" s="43" t="s">
        <v>77</v>
      </c>
      <c r="X7" s="54" t="s">
        <v>0</v>
      </c>
      <c r="Y7" s="43" t="s">
        <v>861</v>
      </c>
      <c r="Z7" s="108" t="s">
        <v>0</v>
      </c>
      <c r="AA7" s="54" t="s">
        <v>0</v>
      </c>
      <c r="AB7" s="42" t="s">
        <v>858</v>
      </c>
      <c r="AC7" s="42" t="s">
        <v>0</v>
      </c>
      <c r="AD7" s="42" t="s">
        <v>0</v>
      </c>
      <c r="AE7" s="42" t="s">
        <v>0</v>
      </c>
      <c r="AF7" s="42">
        <v>51.67</v>
      </c>
      <c r="AG7" s="42" t="s">
        <v>0</v>
      </c>
      <c r="AH7" s="42" t="s">
        <v>0</v>
      </c>
      <c r="AI7" s="42" t="s">
        <v>0</v>
      </c>
      <c r="AJ7" s="4" t="s">
        <v>64</v>
      </c>
      <c r="AK7" s="3"/>
      <c r="AL7" s="3" t="s">
        <v>856</v>
      </c>
    </row>
    <row r="8" spans="1:38" x14ac:dyDescent="0.25">
      <c r="A8" s="43" t="s">
        <v>700</v>
      </c>
      <c r="B8" s="42" t="s">
        <v>2</v>
      </c>
      <c r="C8" s="43" t="s">
        <v>848</v>
      </c>
      <c r="D8" s="54" t="s">
        <v>849</v>
      </c>
      <c r="E8" s="42" t="s">
        <v>69</v>
      </c>
      <c r="F8" s="42" t="s">
        <v>69</v>
      </c>
      <c r="G8" s="42">
        <v>1</v>
      </c>
      <c r="H8" s="42">
        <v>1</v>
      </c>
      <c r="I8" s="43">
        <v>25</v>
      </c>
      <c r="J8" s="4" t="s">
        <v>57</v>
      </c>
      <c r="K8" s="4" t="s">
        <v>859</v>
      </c>
      <c r="L8" s="4" t="s">
        <v>115</v>
      </c>
      <c r="M8" s="43" t="s">
        <v>851</v>
      </c>
      <c r="N8" s="54" t="s">
        <v>60</v>
      </c>
      <c r="O8" s="42" t="s">
        <v>852</v>
      </c>
      <c r="P8" s="43" t="s">
        <v>853</v>
      </c>
      <c r="Q8" s="54">
        <v>30</v>
      </c>
      <c r="R8" s="42" t="s">
        <v>693</v>
      </c>
      <c r="S8" s="42" t="s">
        <v>693</v>
      </c>
      <c r="T8" s="42" t="s">
        <v>64</v>
      </c>
      <c r="U8" s="42" t="s">
        <v>854</v>
      </c>
      <c r="V8" s="42" t="s">
        <v>0</v>
      </c>
      <c r="W8" s="43" t="s">
        <v>77</v>
      </c>
      <c r="X8" s="54" t="s">
        <v>0</v>
      </c>
      <c r="Y8" s="43" t="s">
        <v>861</v>
      </c>
      <c r="Z8" s="108" t="s">
        <v>0</v>
      </c>
      <c r="AA8" s="54" t="s">
        <v>0</v>
      </c>
      <c r="AB8" s="42" t="s">
        <v>860</v>
      </c>
      <c r="AC8" s="42" t="s">
        <v>0</v>
      </c>
      <c r="AD8" s="42" t="s">
        <v>0</v>
      </c>
      <c r="AE8" s="42" t="s">
        <v>0</v>
      </c>
      <c r="AF8" s="42">
        <v>50.76</v>
      </c>
      <c r="AG8" s="42" t="s">
        <v>0</v>
      </c>
      <c r="AH8" s="42" t="s">
        <v>0</v>
      </c>
      <c r="AI8" s="42" t="s">
        <v>0</v>
      </c>
      <c r="AJ8" s="4" t="s">
        <v>64</v>
      </c>
      <c r="AK8" s="3"/>
      <c r="AL8" s="3" t="s">
        <v>856</v>
      </c>
    </row>
  </sheetData>
  <mergeCells count="8">
    <mergeCell ref="R2:T2"/>
    <mergeCell ref="AA1:AI1"/>
    <mergeCell ref="X1:Y1"/>
    <mergeCell ref="B1:C1"/>
    <mergeCell ref="D1:I1"/>
    <mergeCell ref="J1:M1"/>
    <mergeCell ref="N1:P1"/>
    <mergeCell ref="Q1:W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200"/>
  <sheetViews>
    <sheetView zoomScale="60" zoomScaleNormal="60" workbookViewId="0">
      <pane xSplit="1" ySplit="3" topLeftCell="N4" activePane="bottomRight" state="frozen"/>
      <selection pane="topRight" activeCell="B1" sqref="B1"/>
      <selection pane="bottomLeft" activeCell="A4" sqref="A4"/>
      <selection pane="bottomRight" activeCell="AD2" sqref="AD2"/>
    </sheetView>
  </sheetViews>
  <sheetFormatPr defaultRowHeight="15" x14ac:dyDescent="0.25"/>
  <cols>
    <col min="1" max="1" width="16.85546875" style="53" customWidth="1"/>
    <col min="3" max="3" width="99.42578125" style="53" customWidth="1"/>
    <col min="4" max="4" width="62.42578125" customWidth="1"/>
    <col min="5" max="5" width="22.5703125" customWidth="1"/>
    <col min="10" max="10" width="14.7109375" style="53" bestFit="1" customWidth="1"/>
    <col min="11" max="11" width="10.85546875" customWidth="1"/>
    <col min="12" max="12" width="77.7109375" customWidth="1"/>
    <col min="13" max="13" width="17.5703125" bestFit="1" customWidth="1"/>
    <col min="14" max="14" width="14.7109375" style="53" bestFit="1" customWidth="1"/>
    <col min="15" max="15" width="9.140625" style="123"/>
    <col min="16" max="16" width="11.42578125" customWidth="1"/>
    <col min="17" max="17" width="35.5703125" customWidth="1"/>
    <col min="18" max="18" width="34.28515625" style="53" customWidth="1"/>
    <col min="22" max="22" width="13.28515625" customWidth="1"/>
    <col min="24" max="24" width="24.7109375" style="53" customWidth="1"/>
    <col min="25" max="25" width="15.5703125" customWidth="1"/>
    <col min="26" max="26" width="37" style="53" bestFit="1" customWidth="1"/>
    <col min="27" max="27" width="44.5703125" style="53" customWidth="1"/>
    <col min="28" max="29" width="9.140625" style="52"/>
    <col min="30" max="30" width="13.28515625" style="144" customWidth="1"/>
    <col min="31" max="31" width="9.140625" style="52"/>
    <col min="32" max="32" width="17.42578125" style="152" bestFit="1" customWidth="1"/>
    <col min="33" max="33" width="25" style="52" bestFit="1" customWidth="1"/>
    <col min="34" max="35" width="9.140625" style="52"/>
    <col min="36" max="36" width="9.140625" style="152"/>
    <col min="37" max="39" width="9.140625" style="52"/>
    <col min="40" max="40" width="9.140625" style="152"/>
    <col min="41" max="41" width="16.7109375" style="52" bestFit="1" customWidth="1"/>
    <col min="42" max="42" width="12.28515625" style="52" bestFit="1" customWidth="1"/>
    <col min="43" max="43" width="12.140625" style="52" bestFit="1" customWidth="1"/>
    <col min="44" max="44" width="12.140625" style="53" bestFit="1" customWidth="1"/>
    <col min="45" max="45" width="9.140625" style="52"/>
  </cols>
  <sheetData>
    <row r="1" spans="1:47" x14ac:dyDescent="0.25">
      <c r="A1" s="65" t="s">
        <v>19</v>
      </c>
      <c r="B1" s="262" t="s">
        <v>20</v>
      </c>
      <c r="C1" s="263"/>
      <c r="D1" s="262" t="s">
        <v>21</v>
      </c>
      <c r="E1" s="261"/>
      <c r="F1" s="261"/>
      <c r="G1" s="261"/>
      <c r="H1" s="261"/>
      <c r="I1" s="261"/>
      <c r="J1" s="261"/>
      <c r="K1" s="262" t="s">
        <v>669</v>
      </c>
      <c r="L1" s="261"/>
      <c r="M1" s="261"/>
      <c r="N1" s="263"/>
      <c r="O1" s="105"/>
      <c r="P1" s="262" t="s">
        <v>25</v>
      </c>
      <c r="Q1" s="261"/>
      <c r="R1" s="263"/>
      <c r="S1" s="124" t="s">
        <v>670</v>
      </c>
      <c r="T1" s="124"/>
      <c r="U1" s="124"/>
      <c r="V1" s="124"/>
      <c r="W1" s="124"/>
      <c r="X1" s="65"/>
      <c r="Y1" s="262" t="s">
        <v>31</v>
      </c>
      <c r="Z1" s="263"/>
      <c r="AA1" s="65" t="s">
        <v>32</v>
      </c>
      <c r="AB1" s="64" t="s">
        <v>33</v>
      </c>
      <c r="AC1" s="64"/>
      <c r="AD1" s="265" t="s">
        <v>1849</v>
      </c>
      <c r="AE1" s="261"/>
      <c r="AF1" s="266"/>
      <c r="AG1" s="261" t="s">
        <v>1567</v>
      </c>
      <c r="AH1" s="261"/>
      <c r="AI1" s="261"/>
      <c r="AJ1" s="261"/>
      <c r="AK1" s="261" t="s">
        <v>1849</v>
      </c>
      <c r="AL1" s="261"/>
      <c r="AM1" s="261"/>
      <c r="AN1" s="153"/>
      <c r="AO1" s="104" t="s">
        <v>1567</v>
      </c>
      <c r="AP1" s="104"/>
      <c r="AQ1" s="104"/>
      <c r="AR1" s="65"/>
      <c r="AS1" s="64" t="s">
        <v>34</v>
      </c>
      <c r="AU1" s="17" t="s">
        <v>1627</v>
      </c>
    </row>
    <row r="2" spans="1:47" ht="13.5" customHeight="1" x14ac:dyDescent="0.25">
      <c r="A2" s="95" t="s">
        <v>665</v>
      </c>
      <c r="B2" s="64" t="s">
        <v>659</v>
      </c>
      <c r="C2" s="65" t="s">
        <v>662</v>
      </c>
      <c r="D2" s="66" t="s">
        <v>663</v>
      </c>
      <c r="E2" s="93" t="s">
        <v>1563</v>
      </c>
      <c r="F2" s="64" t="s">
        <v>825</v>
      </c>
      <c r="G2" s="64" t="s">
        <v>826</v>
      </c>
      <c r="H2" s="64" t="s">
        <v>22</v>
      </c>
      <c r="I2" s="64" t="s">
        <v>23</v>
      </c>
      <c r="J2" s="65" t="s">
        <v>827</v>
      </c>
      <c r="K2" s="64" t="s">
        <v>37</v>
      </c>
      <c r="L2" s="64" t="s">
        <v>668</v>
      </c>
      <c r="M2" s="64" t="s">
        <v>39</v>
      </c>
      <c r="N2" s="65" t="s">
        <v>862</v>
      </c>
      <c r="O2" s="118" t="s">
        <v>863</v>
      </c>
      <c r="P2" s="66" t="s">
        <v>41</v>
      </c>
      <c r="Q2" s="64" t="s">
        <v>38</v>
      </c>
      <c r="R2" s="65" t="s">
        <v>1565</v>
      </c>
      <c r="S2" s="63" t="s">
        <v>666</v>
      </c>
      <c r="T2" s="264" t="s">
        <v>1566</v>
      </c>
      <c r="U2" s="264"/>
      <c r="V2" s="264"/>
      <c r="W2" s="63" t="s">
        <v>29</v>
      </c>
      <c r="X2" s="65" t="s">
        <v>30</v>
      </c>
      <c r="Y2" s="66" t="s">
        <v>51</v>
      </c>
      <c r="Z2" s="65" t="s">
        <v>52</v>
      </c>
      <c r="AA2" s="65"/>
      <c r="AB2" s="110" t="s">
        <v>828</v>
      </c>
      <c r="AC2" s="110" t="s">
        <v>829</v>
      </c>
      <c r="AD2" s="135" t="s">
        <v>864</v>
      </c>
      <c r="AE2" s="110" t="s">
        <v>865</v>
      </c>
      <c r="AF2" s="145" t="s">
        <v>866</v>
      </c>
      <c r="AG2" s="110" t="s">
        <v>867</v>
      </c>
      <c r="AH2" s="110" t="s">
        <v>868</v>
      </c>
      <c r="AI2" s="110" t="s">
        <v>869</v>
      </c>
      <c r="AJ2" s="145" t="s">
        <v>870</v>
      </c>
      <c r="AK2" s="110" t="s">
        <v>42</v>
      </c>
      <c r="AL2" s="110" t="s">
        <v>43</v>
      </c>
      <c r="AM2" s="110" t="s">
        <v>45</v>
      </c>
      <c r="AN2" s="145" t="s">
        <v>639</v>
      </c>
      <c r="AO2" s="110" t="s">
        <v>867</v>
      </c>
      <c r="AP2" s="110" t="s">
        <v>868</v>
      </c>
      <c r="AQ2" s="110" t="s">
        <v>869</v>
      </c>
      <c r="AR2" s="109" t="s">
        <v>870</v>
      </c>
      <c r="AS2" s="110" t="s">
        <v>46</v>
      </c>
    </row>
    <row r="3" spans="1:47" ht="12.75" customHeight="1" x14ac:dyDescent="0.25">
      <c r="A3" s="101" t="s">
        <v>664</v>
      </c>
      <c r="B3" s="98"/>
      <c r="C3" s="99"/>
      <c r="D3" s="100"/>
      <c r="E3" s="93"/>
      <c r="F3" s="98" t="s">
        <v>46</v>
      </c>
      <c r="G3" s="98" t="s">
        <v>46</v>
      </c>
      <c r="H3" s="98" t="s">
        <v>35</v>
      </c>
      <c r="I3" s="98" t="s">
        <v>35</v>
      </c>
      <c r="J3" s="99" t="s">
        <v>36</v>
      </c>
      <c r="K3" s="98"/>
      <c r="L3" s="98"/>
      <c r="M3" s="98"/>
      <c r="N3" s="99" t="s">
        <v>53</v>
      </c>
      <c r="O3" s="105" t="s">
        <v>36</v>
      </c>
      <c r="P3" s="100"/>
      <c r="Q3" s="98"/>
      <c r="R3" s="99" t="s">
        <v>53</v>
      </c>
      <c r="S3" s="161" t="s">
        <v>1602</v>
      </c>
      <c r="T3" s="63" t="s">
        <v>46</v>
      </c>
      <c r="U3" s="63"/>
      <c r="V3" s="63"/>
      <c r="W3" s="63" t="s">
        <v>50</v>
      </c>
      <c r="X3" s="65"/>
      <c r="Y3" s="100"/>
      <c r="Z3" s="99"/>
      <c r="AA3" s="99"/>
      <c r="AB3" s="64"/>
      <c r="AC3" s="64"/>
      <c r="AD3" s="136" t="s">
        <v>53</v>
      </c>
      <c r="AE3" s="64" t="s">
        <v>53</v>
      </c>
      <c r="AF3" s="146" t="s">
        <v>53</v>
      </c>
      <c r="AG3" s="64" t="s">
        <v>53</v>
      </c>
      <c r="AH3" s="64" t="s">
        <v>53</v>
      </c>
      <c r="AI3" s="110" t="s">
        <v>53</v>
      </c>
      <c r="AJ3" s="146" t="s">
        <v>53</v>
      </c>
      <c r="AK3" s="64" t="s">
        <v>54</v>
      </c>
      <c r="AL3" s="64" t="s">
        <v>54</v>
      </c>
      <c r="AM3" s="64" t="s">
        <v>54</v>
      </c>
      <c r="AN3" s="146" t="s">
        <v>54</v>
      </c>
      <c r="AO3" s="64" t="s">
        <v>871</v>
      </c>
      <c r="AP3" s="64" t="s">
        <v>872</v>
      </c>
      <c r="AQ3" s="64" t="s">
        <v>873</v>
      </c>
      <c r="AR3" s="65" t="s">
        <v>874</v>
      </c>
      <c r="AS3" s="42"/>
    </row>
    <row r="4" spans="1:47" x14ac:dyDescent="0.25">
      <c r="A4" s="47" t="s">
        <v>1569</v>
      </c>
      <c r="B4" s="8" t="s">
        <v>216</v>
      </c>
      <c r="C4" s="47" t="s">
        <v>1568</v>
      </c>
      <c r="D4" s="8" t="s">
        <v>875</v>
      </c>
      <c r="E4" s="8" t="s">
        <v>876</v>
      </c>
      <c r="F4" s="8" t="s">
        <v>69</v>
      </c>
      <c r="G4" s="8" t="s">
        <v>69</v>
      </c>
      <c r="H4" s="8" t="s">
        <v>0</v>
      </c>
      <c r="I4" s="8">
        <v>0.1</v>
      </c>
      <c r="J4" s="47">
        <v>20</v>
      </c>
      <c r="K4" s="8" t="s">
        <v>72</v>
      </c>
      <c r="L4" s="8" t="s">
        <v>877</v>
      </c>
      <c r="M4" s="8" t="s">
        <v>0</v>
      </c>
      <c r="N4" s="47" t="s">
        <v>0</v>
      </c>
      <c r="O4" s="107">
        <v>3</v>
      </c>
      <c r="P4" s="8" t="s">
        <v>60</v>
      </c>
      <c r="Q4" s="8" t="s">
        <v>878</v>
      </c>
      <c r="R4" s="47" t="s">
        <v>0</v>
      </c>
      <c r="S4" s="8">
        <v>34</v>
      </c>
      <c r="T4" s="8" t="s">
        <v>64</v>
      </c>
      <c r="U4" s="8" t="s">
        <v>879</v>
      </c>
      <c r="V4" s="8" t="s">
        <v>880</v>
      </c>
      <c r="W4" s="8" t="s">
        <v>1</v>
      </c>
      <c r="X4" s="47" t="s">
        <v>286</v>
      </c>
      <c r="Y4" s="8" t="s">
        <v>0</v>
      </c>
      <c r="Z4" s="134" t="s">
        <v>0</v>
      </c>
      <c r="AA4" s="47" t="s">
        <v>0</v>
      </c>
      <c r="AB4" s="111" t="s">
        <v>719</v>
      </c>
      <c r="AC4" s="111" t="s">
        <v>719</v>
      </c>
      <c r="AD4" s="137" t="s">
        <v>1572</v>
      </c>
      <c r="AE4" s="111" t="s">
        <v>0</v>
      </c>
      <c r="AF4" s="147" t="s">
        <v>0</v>
      </c>
      <c r="AG4" s="111" t="s">
        <v>0</v>
      </c>
      <c r="AH4" s="111" t="s">
        <v>0</v>
      </c>
      <c r="AI4" s="111" t="s">
        <v>0</v>
      </c>
      <c r="AJ4" s="147" t="s">
        <v>0</v>
      </c>
      <c r="AK4" s="46">
        <v>8.83</v>
      </c>
      <c r="AL4" s="46" t="s">
        <v>0</v>
      </c>
      <c r="AM4" s="46" t="s">
        <v>0</v>
      </c>
      <c r="AN4" s="148" t="s">
        <v>0</v>
      </c>
      <c r="AO4" s="125">
        <f t="shared" ref="AO4:AO9" si="0">AK4/O4</f>
        <v>2.9433333333333334</v>
      </c>
      <c r="AP4" s="46" t="s">
        <v>0</v>
      </c>
      <c r="AQ4" s="46" t="s">
        <v>0</v>
      </c>
      <c r="AR4" s="47" t="s">
        <v>0</v>
      </c>
      <c r="AS4" s="46" t="s">
        <v>69</v>
      </c>
      <c r="AT4" s="46"/>
      <c r="AU4" s="46"/>
    </row>
    <row r="5" spans="1:47" x14ac:dyDescent="0.25">
      <c r="A5" s="47" t="s">
        <v>1569</v>
      </c>
      <c r="B5" s="8" t="s">
        <v>216</v>
      </c>
      <c r="C5" s="47" t="s">
        <v>1568</v>
      </c>
      <c r="D5" s="8" t="s">
        <v>875</v>
      </c>
      <c r="E5" s="8" t="s">
        <v>876</v>
      </c>
      <c r="F5" s="8" t="s">
        <v>69</v>
      </c>
      <c r="G5" s="8" t="s">
        <v>69</v>
      </c>
      <c r="H5" s="8" t="s">
        <v>0</v>
      </c>
      <c r="I5" s="8">
        <v>0.1</v>
      </c>
      <c r="J5" s="47">
        <v>20</v>
      </c>
      <c r="K5" s="8" t="s">
        <v>72</v>
      </c>
      <c r="L5" s="8" t="s">
        <v>877</v>
      </c>
      <c r="M5" s="8" t="s">
        <v>0</v>
      </c>
      <c r="N5" s="47" t="s">
        <v>0</v>
      </c>
      <c r="O5" s="107">
        <v>3</v>
      </c>
      <c r="P5" s="8" t="s">
        <v>60</v>
      </c>
      <c r="Q5" s="8" t="s">
        <v>881</v>
      </c>
      <c r="R5" s="47" t="s">
        <v>0</v>
      </c>
      <c r="S5" s="8">
        <v>34</v>
      </c>
      <c r="T5" s="8" t="s">
        <v>64</v>
      </c>
      <c r="U5" s="8" t="s">
        <v>879</v>
      </c>
      <c r="V5" s="8" t="s">
        <v>880</v>
      </c>
      <c r="W5" s="8" t="s">
        <v>1</v>
      </c>
      <c r="X5" s="47" t="s">
        <v>286</v>
      </c>
      <c r="Y5" s="8" t="s">
        <v>0</v>
      </c>
      <c r="Z5" s="47" t="s">
        <v>0</v>
      </c>
      <c r="AA5" s="47" t="s">
        <v>0</v>
      </c>
      <c r="AB5" s="111" t="s">
        <v>719</v>
      </c>
      <c r="AC5" s="111" t="s">
        <v>719</v>
      </c>
      <c r="AD5" s="137" t="s">
        <v>1573</v>
      </c>
      <c r="AE5" s="111" t="s">
        <v>0</v>
      </c>
      <c r="AF5" s="148" t="s">
        <v>0</v>
      </c>
      <c r="AG5" s="46" t="s">
        <v>0</v>
      </c>
      <c r="AH5" s="46" t="s">
        <v>0</v>
      </c>
      <c r="AI5" s="112" t="s">
        <v>0</v>
      </c>
      <c r="AJ5" s="148" t="s">
        <v>0</v>
      </c>
      <c r="AK5" s="46">
        <v>4.41</v>
      </c>
      <c r="AL5" s="46" t="s">
        <v>0</v>
      </c>
      <c r="AM5" s="46" t="s">
        <v>0</v>
      </c>
      <c r="AN5" s="148" t="s">
        <v>0</v>
      </c>
      <c r="AO5" s="125">
        <f t="shared" si="0"/>
        <v>1.47</v>
      </c>
      <c r="AP5" s="46" t="s">
        <v>0</v>
      </c>
      <c r="AQ5" s="46" t="s">
        <v>0</v>
      </c>
      <c r="AR5" s="47" t="s">
        <v>0</v>
      </c>
      <c r="AS5" s="46" t="s">
        <v>69</v>
      </c>
      <c r="AT5" s="46"/>
      <c r="AU5" s="46"/>
    </row>
    <row r="6" spans="1:47" x14ac:dyDescent="0.25">
      <c r="A6" s="47" t="s">
        <v>1569</v>
      </c>
      <c r="B6" s="8" t="s">
        <v>216</v>
      </c>
      <c r="C6" s="47" t="s">
        <v>1568</v>
      </c>
      <c r="D6" s="8" t="s">
        <v>875</v>
      </c>
      <c r="E6" s="8" t="s">
        <v>876</v>
      </c>
      <c r="F6" s="8" t="s">
        <v>69</v>
      </c>
      <c r="G6" s="8" t="s">
        <v>69</v>
      </c>
      <c r="H6" s="8" t="s">
        <v>0</v>
      </c>
      <c r="I6" s="8">
        <v>2</v>
      </c>
      <c r="J6" s="47">
        <v>40</v>
      </c>
      <c r="K6" s="8" t="s">
        <v>72</v>
      </c>
      <c r="L6" s="8" t="s">
        <v>877</v>
      </c>
      <c r="M6" s="8" t="s">
        <v>0</v>
      </c>
      <c r="N6" s="47" t="s">
        <v>1570</v>
      </c>
      <c r="O6" s="107">
        <v>3</v>
      </c>
      <c r="P6" s="8" t="s">
        <v>60</v>
      </c>
      <c r="Q6" s="8" t="s">
        <v>881</v>
      </c>
      <c r="R6" s="47" t="s">
        <v>0</v>
      </c>
      <c r="S6" s="8">
        <v>34</v>
      </c>
      <c r="T6" s="8" t="s">
        <v>64</v>
      </c>
      <c r="U6" s="8" t="s">
        <v>879</v>
      </c>
      <c r="V6" s="8" t="s">
        <v>880</v>
      </c>
      <c r="W6" s="8" t="s">
        <v>1</v>
      </c>
      <c r="X6" s="47" t="s">
        <v>197</v>
      </c>
      <c r="Y6" s="8" t="s">
        <v>0</v>
      </c>
      <c r="Z6" s="47" t="s">
        <v>0</v>
      </c>
      <c r="AA6" s="47" t="s">
        <v>0</v>
      </c>
      <c r="AB6" s="111" t="s">
        <v>719</v>
      </c>
      <c r="AC6" s="111" t="s">
        <v>719</v>
      </c>
      <c r="AD6" s="137" t="s">
        <v>1574</v>
      </c>
      <c r="AE6" s="111" t="s">
        <v>0</v>
      </c>
      <c r="AF6" s="148" t="s">
        <v>0</v>
      </c>
      <c r="AG6" s="46" t="s">
        <v>0</v>
      </c>
      <c r="AH6" s="46" t="s">
        <v>0</v>
      </c>
      <c r="AI6" s="112" t="s">
        <v>0</v>
      </c>
      <c r="AJ6" s="148" t="s">
        <v>0</v>
      </c>
      <c r="AK6" s="46">
        <v>6.62</v>
      </c>
      <c r="AL6" s="46" t="s">
        <v>0</v>
      </c>
      <c r="AM6" s="46" t="s">
        <v>0</v>
      </c>
      <c r="AN6" s="148" t="s">
        <v>0</v>
      </c>
      <c r="AO6" s="125">
        <f t="shared" si="0"/>
        <v>2.2066666666666666</v>
      </c>
      <c r="AP6" s="46" t="s">
        <v>0</v>
      </c>
      <c r="AQ6" s="46" t="s">
        <v>0</v>
      </c>
      <c r="AR6" s="47" t="s">
        <v>0</v>
      </c>
      <c r="AS6" s="46" t="s">
        <v>69</v>
      </c>
      <c r="AT6" s="46"/>
      <c r="AU6" s="46"/>
    </row>
    <row r="7" spans="1:47" x14ac:dyDescent="0.25">
      <c r="A7" s="47" t="s">
        <v>1569</v>
      </c>
      <c r="B7" s="8" t="s">
        <v>216</v>
      </c>
      <c r="C7" s="47" t="s">
        <v>1568</v>
      </c>
      <c r="D7" s="8" t="s">
        <v>875</v>
      </c>
      <c r="E7" s="8" t="s">
        <v>876</v>
      </c>
      <c r="F7" s="8" t="s">
        <v>69</v>
      </c>
      <c r="G7" s="8" t="s">
        <v>69</v>
      </c>
      <c r="H7" s="8" t="s">
        <v>0</v>
      </c>
      <c r="I7" s="8">
        <v>2</v>
      </c>
      <c r="J7" s="47">
        <v>40</v>
      </c>
      <c r="K7" s="8" t="s">
        <v>72</v>
      </c>
      <c r="L7" s="8" t="s">
        <v>877</v>
      </c>
      <c r="M7" s="8" t="s">
        <v>0</v>
      </c>
      <c r="N7" s="47" t="s">
        <v>1571</v>
      </c>
      <c r="O7" s="107">
        <v>3</v>
      </c>
      <c r="P7" s="8" t="s">
        <v>60</v>
      </c>
      <c r="Q7" s="8" t="s">
        <v>881</v>
      </c>
      <c r="R7" s="47" t="s">
        <v>0</v>
      </c>
      <c r="S7" s="8">
        <v>34</v>
      </c>
      <c r="T7" s="8" t="s">
        <v>64</v>
      </c>
      <c r="U7" s="8" t="s">
        <v>879</v>
      </c>
      <c r="V7" s="8" t="s">
        <v>880</v>
      </c>
      <c r="W7" s="8" t="s">
        <v>1</v>
      </c>
      <c r="X7" s="47" t="s">
        <v>197</v>
      </c>
      <c r="Y7" s="8" t="s">
        <v>0</v>
      </c>
      <c r="Z7" s="47" t="s">
        <v>0</v>
      </c>
      <c r="AA7" s="47" t="s">
        <v>0</v>
      </c>
      <c r="AB7" s="111" t="s">
        <v>719</v>
      </c>
      <c r="AC7" s="111" t="s">
        <v>719</v>
      </c>
      <c r="AD7" s="137" t="s">
        <v>1575</v>
      </c>
      <c r="AE7" s="111" t="s">
        <v>0</v>
      </c>
      <c r="AF7" s="148" t="s">
        <v>0</v>
      </c>
      <c r="AG7" s="46" t="s">
        <v>0</v>
      </c>
      <c r="AH7" s="46" t="s">
        <v>0</v>
      </c>
      <c r="AI7" s="112" t="s">
        <v>0</v>
      </c>
      <c r="AJ7" s="148" t="s">
        <v>0</v>
      </c>
      <c r="AK7" s="46">
        <v>24.28</v>
      </c>
      <c r="AL7" s="46" t="s">
        <v>0</v>
      </c>
      <c r="AM7" s="46" t="s">
        <v>0</v>
      </c>
      <c r="AN7" s="148" t="s">
        <v>0</v>
      </c>
      <c r="AO7" s="125">
        <f t="shared" si="0"/>
        <v>8.0933333333333337</v>
      </c>
      <c r="AP7" s="46" t="s">
        <v>0</v>
      </c>
      <c r="AQ7" s="46" t="s">
        <v>0</v>
      </c>
      <c r="AR7" s="47" t="s">
        <v>0</v>
      </c>
      <c r="AS7" s="46" t="s">
        <v>69</v>
      </c>
      <c r="AT7" s="46"/>
      <c r="AU7" s="46"/>
    </row>
    <row r="8" spans="1:47" x14ac:dyDescent="0.25">
      <c r="A8" s="47" t="s">
        <v>1569</v>
      </c>
      <c r="B8" s="8" t="s">
        <v>216</v>
      </c>
      <c r="C8" s="47" t="s">
        <v>1568</v>
      </c>
      <c r="D8" s="8" t="s">
        <v>875</v>
      </c>
      <c r="E8" s="8" t="s">
        <v>876</v>
      </c>
      <c r="F8" s="8" t="s">
        <v>69</v>
      </c>
      <c r="G8" s="8" t="s">
        <v>69</v>
      </c>
      <c r="H8" s="8" t="s">
        <v>0</v>
      </c>
      <c r="I8" s="8">
        <v>2</v>
      </c>
      <c r="J8" s="47">
        <v>40</v>
      </c>
      <c r="K8" s="8" t="s">
        <v>72</v>
      </c>
      <c r="L8" s="8" t="s">
        <v>877</v>
      </c>
      <c r="M8" s="8" t="s">
        <v>0</v>
      </c>
      <c r="N8" s="47" t="s">
        <v>1570</v>
      </c>
      <c r="O8" s="107">
        <v>3</v>
      </c>
      <c r="P8" s="8" t="s">
        <v>60</v>
      </c>
      <c r="Q8" s="8" t="s">
        <v>881</v>
      </c>
      <c r="R8" s="47" t="s">
        <v>0</v>
      </c>
      <c r="S8" s="8">
        <v>34</v>
      </c>
      <c r="T8" s="8" t="s">
        <v>64</v>
      </c>
      <c r="U8" s="8" t="s">
        <v>879</v>
      </c>
      <c r="V8" s="8" t="s">
        <v>880</v>
      </c>
      <c r="W8" s="8" t="s">
        <v>1</v>
      </c>
      <c r="X8" s="47" t="s">
        <v>286</v>
      </c>
      <c r="Y8" s="8" t="s">
        <v>0</v>
      </c>
      <c r="Z8" s="47" t="s">
        <v>0</v>
      </c>
      <c r="AA8" s="47" t="s">
        <v>0</v>
      </c>
      <c r="AB8" s="111" t="s">
        <v>719</v>
      </c>
      <c r="AC8" s="111" t="s">
        <v>719</v>
      </c>
      <c r="AD8" s="137" t="s">
        <v>1576</v>
      </c>
      <c r="AE8" s="111" t="s">
        <v>0</v>
      </c>
      <c r="AF8" s="148" t="s">
        <v>0</v>
      </c>
      <c r="AG8" s="46" t="s">
        <v>0</v>
      </c>
      <c r="AH8" s="46" t="s">
        <v>0</v>
      </c>
      <c r="AI8" s="112" t="s">
        <v>0</v>
      </c>
      <c r="AJ8" s="148" t="s">
        <v>0</v>
      </c>
      <c r="AK8" s="46">
        <v>7.72</v>
      </c>
      <c r="AL8" s="46" t="s">
        <v>0</v>
      </c>
      <c r="AM8" s="46" t="s">
        <v>0</v>
      </c>
      <c r="AN8" s="148" t="s">
        <v>0</v>
      </c>
      <c r="AO8" s="125">
        <f t="shared" si="0"/>
        <v>2.5733333333333333</v>
      </c>
      <c r="AP8" s="46" t="s">
        <v>0</v>
      </c>
      <c r="AQ8" s="46" t="s">
        <v>0</v>
      </c>
      <c r="AR8" s="47" t="s">
        <v>0</v>
      </c>
      <c r="AS8" s="46" t="s">
        <v>69</v>
      </c>
      <c r="AT8" s="46"/>
      <c r="AU8" s="46"/>
    </row>
    <row r="9" spans="1:47" x14ac:dyDescent="0.25">
      <c r="A9" s="47" t="s">
        <v>1569</v>
      </c>
      <c r="B9" s="8" t="s">
        <v>216</v>
      </c>
      <c r="C9" s="47" t="s">
        <v>1568</v>
      </c>
      <c r="D9" s="8" t="s">
        <v>875</v>
      </c>
      <c r="E9" s="8" t="s">
        <v>876</v>
      </c>
      <c r="F9" s="8" t="s">
        <v>69</v>
      </c>
      <c r="G9" s="8" t="s">
        <v>69</v>
      </c>
      <c r="H9" s="8" t="s">
        <v>0</v>
      </c>
      <c r="I9" s="8">
        <v>2</v>
      </c>
      <c r="J9" s="47">
        <v>40</v>
      </c>
      <c r="K9" s="8" t="s">
        <v>72</v>
      </c>
      <c r="L9" s="8" t="s">
        <v>877</v>
      </c>
      <c r="M9" s="8" t="s">
        <v>0</v>
      </c>
      <c r="N9" s="47" t="s">
        <v>1571</v>
      </c>
      <c r="O9" s="107">
        <v>3</v>
      </c>
      <c r="P9" s="8" t="s">
        <v>60</v>
      </c>
      <c r="Q9" s="8" t="s">
        <v>881</v>
      </c>
      <c r="R9" s="47" t="s">
        <v>0</v>
      </c>
      <c r="S9" s="8">
        <v>34</v>
      </c>
      <c r="T9" s="8" t="s">
        <v>64</v>
      </c>
      <c r="U9" s="8" t="s">
        <v>879</v>
      </c>
      <c r="V9" s="8" t="s">
        <v>880</v>
      </c>
      <c r="W9" s="8" t="s">
        <v>1</v>
      </c>
      <c r="X9" s="47" t="s">
        <v>286</v>
      </c>
      <c r="Y9" s="8" t="s">
        <v>0</v>
      </c>
      <c r="Z9" s="47" t="s">
        <v>0</v>
      </c>
      <c r="AA9" s="47" t="s">
        <v>0</v>
      </c>
      <c r="AB9" s="111" t="s">
        <v>719</v>
      </c>
      <c r="AC9" s="111" t="s">
        <v>719</v>
      </c>
      <c r="AD9" s="137" t="s">
        <v>1577</v>
      </c>
      <c r="AE9" s="111" t="s">
        <v>0</v>
      </c>
      <c r="AF9" s="148" t="s">
        <v>0</v>
      </c>
      <c r="AG9" s="46" t="s">
        <v>0</v>
      </c>
      <c r="AH9" s="46" t="s">
        <v>0</v>
      </c>
      <c r="AI9" s="112" t="s">
        <v>0</v>
      </c>
      <c r="AJ9" s="148" t="s">
        <v>0</v>
      </c>
      <c r="AK9" s="46">
        <v>3.5</v>
      </c>
      <c r="AL9" s="46" t="s">
        <v>0</v>
      </c>
      <c r="AM9" s="46" t="s">
        <v>0</v>
      </c>
      <c r="AN9" s="148" t="s">
        <v>0</v>
      </c>
      <c r="AO9" s="125">
        <f t="shared" si="0"/>
        <v>1.1666666666666667</v>
      </c>
      <c r="AP9" s="46" t="s">
        <v>0</v>
      </c>
      <c r="AQ9" s="46" t="s">
        <v>0</v>
      </c>
      <c r="AR9" s="47" t="s">
        <v>0</v>
      </c>
      <c r="AS9" s="46" t="s">
        <v>69</v>
      </c>
      <c r="AT9" s="46"/>
      <c r="AU9" s="46"/>
    </row>
    <row r="10" spans="1:47" x14ac:dyDescent="0.25">
      <c r="A10" s="43" t="s">
        <v>1578</v>
      </c>
      <c r="B10" s="4" t="s">
        <v>55</v>
      </c>
      <c r="C10" s="43" t="s">
        <v>882</v>
      </c>
      <c r="D10" s="4" t="s">
        <v>875</v>
      </c>
      <c r="E10" s="4" t="s">
        <v>876</v>
      </c>
      <c r="F10" s="4" t="s">
        <v>69</v>
      </c>
      <c r="G10" s="4" t="s">
        <v>69</v>
      </c>
      <c r="H10" s="4" t="s">
        <v>0</v>
      </c>
      <c r="I10" s="4">
        <v>2</v>
      </c>
      <c r="J10" s="43">
        <v>65</v>
      </c>
      <c r="K10" s="4" t="s">
        <v>72</v>
      </c>
      <c r="L10" s="4" t="s">
        <v>883</v>
      </c>
      <c r="M10" s="4" t="s">
        <v>0</v>
      </c>
      <c r="N10" s="43" t="s">
        <v>884</v>
      </c>
      <c r="O10" s="108">
        <v>8</v>
      </c>
      <c r="P10" s="4" t="s">
        <v>60</v>
      </c>
      <c r="Q10" s="4" t="s">
        <v>881</v>
      </c>
      <c r="R10" s="43" t="s">
        <v>0</v>
      </c>
      <c r="S10" s="4">
        <v>35</v>
      </c>
      <c r="T10" s="4" t="s">
        <v>64</v>
      </c>
      <c r="U10" s="4">
        <v>5.5</v>
      </c>
      <c r="V10" s="4" t="s">
        <v>885</v>
      </c>
      <c r="W10" s="4" t="s">
        <v>1</v>
      </c>
      <c r="X10" s="43" t="s">
        <v>886</v>
      </c>
      <c r="Y10" s="4" t="s">
        <v>0</v>
      </c>
      <c r="Z10" s="43" t="s">
        <v>0</v>
      </c>
      <c r="AA10" s="43" t="s">
        <v>0</v>
      </c>
      <c r="AB10" s="42" t="s">
        <v>887</v>
      </c>
      <c r="AC10" s="42"/>
      <c r="AD10" s="138" t="s">
        <v>888</v>
      </c>
      <c r="AE10" s="42" t="s">
        <v>0</v>
      </c>
      <c r="AF10" s="149" t="s">
        <v>0</v>
      </c>
      <c r="AG10" s="42" t="s">
        <v>0</v>
      </c>
      <c r="AH10" s="42" t="s">
        <v>0</v>
      </c>
      <c r="AI10" s="113" t="s">
        <v>0</v>
      </c>
      <c r="AJ10" s="149" t="s">
        <v>0</v>
      </c>
      <c r="AK10" s="42">
        <v>1.64</v>
      </c>
      <c r="AL10" s="42" t="s">
        <v>0</v>
      </c>
      <c r="AM10" s="42" t="s">
        <v>0</v>
      </c>
      <c r="AN10" s="149" t="s">
        <v>0</v>
      </c>
      <c r="AO10" s="126">
        <f>AK10/O10</f>
        <v>0.20499999999999999</v>
      </c>
      <c r="AP10" s="42" t="s">
        <v>0</v>
      </c>
      <c r="AQ10" s="42" t="s">
        <v>0</v>
      </c>
      <c r="AR10" s="43" t="s">
        <v>0</v>
      </c>
      <c r="AS10" s="42" t="s">
        <v>69</v>
      </c>
      <c r="AT10" s="42"/>
      <c r="AU10" s="42"/>
    </row>
    <row r="11" spans="1:47" x14ac:dyDescent="0.25">
      <c r="A11" s="43" t="s">
        <v>1578</v>
      </c>
      <c r="B11" s="4" t="s">
        <v>55</v>
      </c>
      <c r="C11" s="43" t="s">
        <v>882</v>
      </c>
      <c r="D11" s="4" t="s">
        <v>875</v>
      </c>
      <c r="E11" s="4" t="s">
        <v>876</v>
      </c>
      <c r="F11" s="4" t="s">
        <v>69</v>
      </c>
      <c r="G11" s="4" t="s">
        <v>69</v>
      </c>
      <c r="H11" s="4" t="s">
        <v>0</v>
      </c>
      <c r="I11" s="4">
        <v>2</v>
      </c>
      <c r="J11" s="43">
        <v>65</v>
      </c>
      <c r="K11" s="4" t="s">
        <v>72</v>
      </c>
      <c r="L11" s="4" t="s">
        <v>883</v>
      </c>
      <c r="M11" s="4" t="s">
        <v>0</v>
      </c>
      <c r="N11" s="43" t="s">
        <v>889</v>
      </c>
      <c r="O11" s="108">
        <v>12</v>
      </c>
      <c r="P11" s="4" t="s">
        <v>60</v>
      </c>
      <c r="Q11" s="4" t="s">
        <v>881</v>
      </c>
      <c r="R11" s="43" t="s">
        <v>0</v>
      </c>
      <c r="S11" s="4">
        <v>35</v>
      </c>
      <c r="T11" s="4" t="s">
        <v>64</v>
      </c>
      <c r="U11" s="4">
        <v>5.5</v>
      </c>
      <c r="V11" s="4" t="s">
        <v>885</v>
      </c>
      <c r="W11" s="4" t="s">
        <v>1</v>
      </c>
      <c r="X11" s="43" t="s">
        <v>886</v>
      </c>
      <c r="Y11" s="4" t="s">
        <v>0</v>
      </c>
      <c r="Z11" s="43" t="s">
        <v>0</v>
      </c>
      <c r="AA11" s="43" t="s">
        <v>0</v>
      </c>
      <c r="AB11" s="42" t="s">
        <v>890</v>
      </c>
      <c r="AC11" s="42"/>
      <c r="AD11" s="138" t="s">
        <v>891</v>
      </c>
      <c r="AE11" s="42" t="s">
        <v>0</v>
      </c>
      <c r="AF11" s="149" t="s">
        <v>0</v>
      </c>
      <c r="AG11" s="42" t="s">
        <v>0</v>
      </c>
      <c r="AH11" s="42" t="s">
        <v>0</v>
      </c>
      <c r="AI11" s="113" t="s">
        <v>0</v>
      </c>
      <c r="AJ11" s="149" t="s">
        <v>0</v>
      </c>
      <c r="AK11" s="42">
        <v>6.55</v>
      </c>
      <c r="AL11" s="42" t="s">
        <v>0</v>
      </c>
      <c r="AM11" s="42" t="s">
        <v>0</v>
      </c>
      <c r="AN11" s="149" t="s">
        <v>0</v>
      </c>
      <c r="AO11" s="126">
        <f>AK11/O11</f>
        <v>0.54583333333333328</v>
      </c>
      <c r="AP11" s="42" t="s">
        <v>0</v>
      </c>
      <c r="AQ11" s="42" t="s">
        <v>0</v>
      </c>
      <c r="AR11" s="43" t="s">
        <v>0</v>
      </c>
      <c r="AS11" s="42" t="s">
        <v>69</v>
      </c>
      <c r="AT11" s="42"/>
      <c r="AU11" s="42"/>
    </row>
    <row r="12" spans="1:47" x14ac:dyDescent="0.25">
      <c r="A12" s="43" t="s">
        <v>1578</v>
      </c>
      <c r="B12" s="4" t="s">
        <v>55</v>
      </c>
      <c r="C12" s="43" t="s">
        <v>882</v>
      </c>
      <c r="D12" s="4" t="s">
        <v>875</v>
      </c>
      <c r="E12" s="4" t="s">
        <v>876</v>
      </c>
      <c r="F12" s="4" t="s">
        <v>69</v>
      </c>
      <c r="G12" s="4" t="s">
        <v>69</v>
      </c>
      <c r="H12" s="4" t="s">
        <v>0</v>
      </c>
      <c r="I12" s="4">
        <v>2</v>
      </c>
      <c r="J12" s="43">
        <v>65</v>
      </c>
      <c r="K12" s="4" t="s">
        <v>72</v>
      </c>
      <c r="L12" s="4" t="s">
        <v>883</v>
      </c>
      <c r="M12" s="4" t="s">
        <v>0</v>
      </c>
      <c r="N12" s="43" t="s">
        <v>884</v>
      </c>
      <c r="O12" s="108">
        <v>8</v>
      </c>
      <c r="P12" s="4" t="s">
        <v>60</v>
      </c>
      <c r="Q12" s="4" t="s">
        <v>881</v>
      </c>
      <c r="R12" s="43" t="s">
        <v>0</v>
      </c>
      <c r="S12" s="4">
        <v>45</v>
      </c>
      <c r="T12" s="4" t="s">
        <v>64</v>
      </c>
      <c r="U12" s="4">
        <v>5.5</v>
      </c>
      <c r="V12" s="4" t="s">
        <v>885</v>
      </c>
      <c r="W12" s="4" t="s">
        <v>1</v>
      </c>
      <c r="X12" s="43" t="s">
        <v>886</v>
      </c>
      <c r="Y12" s="4" t="s">
        <v>0</v>
      </c>
      <c r="Z12" s="43" t="s">
        <v>0</v>
      </c>
      <c r="AA12" s="43" t="s">
        <v>0</v>
      </c>
      <c r="AB12" s="42" t="s">
        <v>892</v>
      </c>
      <c r="AC12" s="42"/>
      <c r="AD12" s="138" t="s">
        <v>893</v>
      </c>
      <c r="AE12" s="42" t="s">
        <v>0</v>
      </c>
      <c r="AF12" s="149" t="s">
        <v>0</v>
      </c>
      <c r="AG12" s="42" t="s">
        <v>0</v>
      </c>
      <c r="AH12" s="42" t="s">
        <v>0</v>
      </c>
      <c r="AI12" s="113" t="s">
        <v>0</v>
      </c>
      <c r="AJ12" s="149" t="s">
        <v>0</v>
      </c>
      <c r="AK12" s="42">
        <v>10.26</v>
      </c>
      <c r="AL12" s="42" t="s">
        <v>0</v>
      </c>
      <c r="AM12" s="42" t="s">
        <v>0</v>
      </c>
      <c r="AN12" s="149" t="s">
        <v>0</v>
      </c>
      <c r="AO12" s="126">
        <f>AK12/O12</f>
        <v>1.2825</v>
      </c>
      <c r="AP12" s="42" t="s">
        <v>0</v>
      </c>
      <c r="AQ12" s="42" t="s">
        <v>0</v>
      </c>
      <c r="AR12" s="43" t="s">
        <v>0</v>
      </c>
      <c r="AS12" s="42" t="s">
        <v>69</v>
      </c>
      <c r="AT12" s="42"/>
      <c r="AU12" s="42"/>
    </row>
    <row r="13" spans="1:47" x14ac:dyDescent="0.25">
      <c r="A13" s="43" t="s">
        <v>1578</v>
      </c>
      <c r="B13" s="4" t="s">
        <v>55</v>
      </c>
      <c r="C13" s="43" t="s">
        <v>882</v>
      </c>
      <c r="D13" s="4" t="s">
        <v>875</v>
      </c>
      <c r="E13" s="4" t="s">
        <v>876</v>
      </c>
      <c r="F13" s="4" t="s">
        <v>69</v>
      </c>
      <c r="G13" s="4" t="s">
        <v>69</v>
      </c>
      <c r="H13" s="4" t="s">
        <v>0</v>
      </c>
      <c r="I13" s="4">
        <v>2</v>
      </c>
      <c r="J13" s="43">
        <v>65</v>
      </c>
      <c r="K13" s="4" t="s">
        <v>72</v>
      </c>
      <c r="L13" s="4" t="s">
        <v>883</v>
      </c>
      <c r="M13" s="4" t="s">
        <v>0</v>
      </c>
      <c r="N13" s="43" t="s">
        <v>884</v>
      </c>
      <c r="O13" s="108">
        <v>8</v>
      </c>
      <c r="P13" s="4" t="s">
        <v>60</v>
      </c>
      <c r="Q13" s="4" t="s">
        <v>881</v>
      </c>
      <c r="R13" s="43" t="s">
        <v>0</v>
      </c>
      <c r="S13" s="4">
        <v>35</v>
      </c>
      <c r="T13" s="4" t="s">
        <v>64</v>
      </c>
      <c r="U13" s="4">
        <v>5</v>
      </c>
      <c r="V13" s="4" t="s">
        <v>885</v>
      </c>
      <c r="W13" s="4" t="s">
        <v>1</v>
      </c>
      <c r="X13" s="43" t="s">
        <v>886</v>
      </c>
      <c r="Y13" s="4" t="s">
        <v>0</v>
      </c>
      <c r="Z13" s="43" t="s">
        <v>0</v>
      </c>
      <c r="AA13" s="43" t="s">
        <v>0</v>
      </c>
      <c r="AB13" s="42" t="s">
        <v>894</v>
      </c>
      <c r="AC13" s="42"/>
      <c r="AD13" s="138" t="s">
        <v>895</v>
      </c>
      <c r="AE13" s="42" t="s">
        <v>0</v>
      </c>
      <c r="AF13" s="149" t="s">
        <v>0</v>
      </c>
      <c r="AG13" s="42" t="s">
        <v>0</v>
      </c>
      <c r="AH13" s="42" t="s">
        <v>0</v>
      </c>
      <c r="AI13" s="113" t="s">
        <v>0</v>
      </c>
      <c r="AJ13" s="149" t="s">
        <v>0</v>
      </c>
      <c r="AK13" s="42">
        <v>4.08</v>
      </c>
      <c r="AL13" s="42" t="s">
        <v>0</v>
      </c>
      <c r="AM13" s="42" t="s">
        <v>0</v>
      </c>
      <c r="AN13" s="149" t="s">
        <v>0</v>
      </c>
      <c r="AO13" s="126">
        <f>AK13/O13</f>
        <v>0.51</v>
      </c>
      <c r="AP13" s="42" t="s">
        <v>0</v>
      </c>
      <c r="AQ13" s="42" t="s">
        <v>0</v>
      </c>
      <c r="AR13" s="43" t="s">
        <v>0</v>
      </c>
      <c r="AS13" s="42" t="s">
        <v>69</v>
      </c>
      <c r="AT13" s="42"/>
      <c r="AU13" s="42"/>
    </row>
    <row r="14" spans="1:47" x14ac:dyDescent="0.25">
      <c r="A14" s="47" t="s">
        <v>1581</v>
      </c>
      <c r="B14" s="8" t="s">
        <v>55</v>
      </c>
      <c r="C14" s="47" t="s">
        <v>896</v>
      </c>
      <c r="D14" s="8" t="s">
        <v>875</v>
      </c>
      <c r="E14" s="8" t="s">
        <v>876</v>
      </c>
      <c r="F14" s="8" t="s">
        <v>69</v>
      </c>
      <c r="G14" s="8" t="s">
        <v>69</v>
      </c>
      <c r="H14" s="8" t="s">
        <v>0</v>
      </c>
      <c r="I14" s="8">
        <v>4.5</v>
      </c>
      <c r="J14" s="47">
        <v>45</v>
      </c>
      <c r="K14" s="8" t="s">
        <v>72</v>
      </c>
      <c r="L14" s="8" t="s">
        <v>897</v>
      </c>
      <c r="M14" s="8" t="s">
        <v>0</v>
      </c>
      <c r="N14" s="47" t="s">
        <v>898</v>
      </c>
      <c r="O14" s="107">
        <v>20</v>
      </c>
      <c r="P14" s="8" t="s">
        <v>60</v>
      </c>
      <c r="Q14" s="8" t="s">
        <v>881</v>
      </c>
      <c r="R14" s="47" t="s">
        <v>0</v>
      </c>
      <c r="S14" s="8">
        <v>35</v>
      </c>
      <c r="T14" s="8" t="s">
        <v>69</v>
      </c>
      <c r="U14" s="8" t="s">
        <v>899</v>
      </c>
      <c r="V14" s="8" t="s">
        <v>900</v>
      </c>
      <c r="W14" s="8" t="s">
        <v>1</v>
      </c>
      <c r="X14" s="47" t="s">
        <v>901</v>
      </c>
      <c r="Y14" s="8" t="s">
        <v>902</v>
      </c>
      <c r="Z14" s="47" t="s">
        <v>0</v>
      </c>
      <c r="AA14" s="47" t="s">
        <v>0</v>
      </c>
      <c r="AB14" s="46">
        <v>8.41</v>
      </c>
      <c r="AC14" s="46"/>
      <c r="AD14" s="139">
        <v>26.6</v>
      </c>
      <c r="AE14" s="46" t="s">
        <v>0</v>
      </c>
      <c r="AF14" s="150" t="s">
        <v>903</v>
      </c>
      <c r="AG14" s="46" t="s">
        <v>0</v>
      </c>
      <c r="AH14" s="46" t="s">
        <v>0</v>
      </c>
      <c r="AI14" s="46" t="s">
        <v>0</v>
      </c>
      <c r="AJ14" s="148" t="s">
        <v>0</v>
      </c>
      <c r="AK14" s="125">
        <f>AD14/100*AB14</f>
        <v>2.23706</v>
      </c>
      <c r="AL14" s="125" t="s">
        <v>0</v>
      </c>
      <c r="AM14" s="125">
        <f>1/100*AB14</f>
        <v>8.4100000000000008E-2</v>
      </c>
      <c r="AN14" s="154" t="s">
        <v>0</v>
      </c>
      <c r="AO14" s="125">
        <f>AK14/O14</f>
        <v>0.11185300000000001</v>
      </c>
      <c r="AP14" s="125" t="s">
        <v>0</v>
      </c>
      <c r="AQ14" s="125">
        <f>AM14/O14</f>
        <v>4.2050000000000004E-3</v>
      </c>
      <c r="AR14" s="68" t="s">
        <v>0</v>
      </c>
      <c r="AS14" s="46" t="s">
        <v>64</v>
      </c>
      <c r="AT14" s="46"/>
      <c r="AU14" s="46"/>
    </row>
    <row r="15" spans="1:47" x14ac:dyDescent="0.25">
      <c r="A15" s="47" t="s">
        <v>1581</v>
      </c>
      <c r="B15" s="8" t="s">
        <v>55</v>
      </c>
      <c r="C15" s="47" t="s">
        <v>896</v>
      </c>
      <c r="D15" s="8" t="s">
        <v>875</v>
      </c>
      <c r="E15" s="8" t="s">
        <v>876</v>
      </c>
      <c r="F15" s="8" t="s">
        <v>69</v>
      </c>
      <c r="G15" s="8" t="s">
        <v>69</v>
      </c>
      <c r="H15" s="8" t="s">
        <v>0</v>
      </c>
      <c r="I15" s="8">
        <v>4.5</v>
      </c>
      <c r="J15" s="47">
        <v>45</v>
      </c>
      <c r="K15" s="8" t="s">
        <v>72</v>
      </c>
      <c r="L15" s="8" t="s">
        <v>897</v>
      </c>
      <c r="M15" s="8" t="s">
        <v>0</v>
      </c>
      <c r="N15" s="47" t="s">
        <v>904</v>
      </c>
      <c r="O15" s="107">
        <v>12</v>
      </c>
      <c r="P15" s="8" t="s">
        <v>60</v>
      </c>
      <c r="Q15" s="8" t="s">
        <v>881</v>
      </c>
      <c r="R15" s="47" t="s">
        <v>0</v>
      </c>
      <c r="S15" s="8">
        <v>35</v>
      </c>
      <c r="T15" s="8" t="s">
        <v>69</v>
      </c>
      <c r="U15" s="8" t="s">
        <v>905</v>
      </c>
      <c r="V15" s="8" t="s">
        <v>900</v>
      </c>
      <c r="W15" s="8" t="s">
        <v>1</v>
      </c>
      <c r="X15" s="47" t="s">
        <v>901</v>
      </c>
      <c r="Y15" s="8" t="s">
        <v>902</v>
      </c>
      <c r="Z15" s="47" t="s">
        <v>0</v>
      </c>
      <c r="AA15" s="47" t="s">
        <v>0</v>
      </c>
      <c r="AB15" s="46">
        <v>4.9000000000000004</v>
      </c>
      <c r="AC15" s="46"/>
      <c r="AD15" s="139">
        <v>29.6</v>
      </c>
      <c r="AE15" s="46" t="s">
        <v>0</v>
      </c>
      <c r="AF15" s="150">
        <v>2</v>
      </c>
      <c r="AG15" s="46" t="s">
        <v>0</v>
      </c>
      <c r="AH15" s="46" t="s">
        <v>0</v>
      </c>
      <c r="AI15" s="46" t="s">
        <v>0</v>
      </c>
      <c r="AJ15" s="148" t="s">
        <v>0</v>
      </c>
      <c r="AK15" s="125">
        <f>AD15/100*AB15</f>
        <v>1.4504000000000004</v>
      </c>
      <c r="AL15" s="125" t="s">
        <v>0</v>
      </c>
      <c r="AM15" s="125">
        <f>AF15/100*AB15</f>
        <v>9.8000000000000004E-2</v>
      </c>
      <c r="AN15" s="154" t="s">
        <v>0</v>
      </c>
      <c r="AO15" s="125">
        <f t="shared" ref="AO15:AO43" si="1">AK15/O15</f>
        <v>0.12086666666666669</v>
      </c>
      <c r="AP15" s="125" t="s">
        <v>0</v>
      </c>
      <c r="AQ15" s="125">
        <f t="shared" ref="AQ15:AQ28" si="2">AM15/O15</f>
        <v>8.1666666666666676E-3</v>
      </c>
      <c r="AR15" s="68" t="s">
        <v>0</v>
      </c>
      <c r="AS15" s="46" t="s">
        <v>64</v>
      </c>
      <c r="AT15" s="46"/>
      <c r="AU15" s="46"/>
    </row>
    <row r="16" spans="1:47" x14ac:dyDescent="0.25">
      <c r="A16" s="47" t="s">
        <v>1581</v>
      </c>
      <c r="B16" s="8" t="s">
        <v>55</v>
      </c>
      <c r="C16" s="47" t="s">
        <v>896</v>
      </c>
      <c r="D16" s="8" t="s">
        <v>875</v>
      </c>
      <c r="E16" s="8" t="s">
        <v>876</v>
      </c>
      <c r="F16" s="8" t="s">
        <v>69</v>
      </c>
      <c r="G16" s="8" t="s">
        <v>69</v>
      </c>
      <c r="H16" s="8" t="s">
        <v>0</v>
      </c>
      <c r="I16" s="8">
        <v>4.5</v>
      </c>
      <c r="J16" s="47">
        <v>45</v>
      </c>
      <c r="K16" s="8" t="s">
        <v>72</v>
      </c>
      <c r="L16" s="8" t="s">
        <v>897</v>
      </c>
      <c r="M16" s="8" t="s">
        <v>0</v>
      </c>
      <c r="N16" s="47" t="s">
        <v>906</v>
      </c>
      <c r="O16" s="107">
        <v>8</v>
      </c>
      <c r="P16" s="8" t="s">
        <v>60</v>
      </c>
      <c r="Q16" s="8" t="s">
        <v>881</v>
      </c>
      <c r="R16" s="47" t="s">
        <v>0</v>
      </c>
      <c r="S16" s="8">
        <v>35</v>
      </c>
      <c r="T16" s="8" t="s">
        <v>69</v>
      </c>
      <c r="U16" s="8" t="s">
        <v>907</v>
      </c>
      <c r="V16" s="8" t="s">
        <v>900</v>
      </c>
      <c r="W16" s="8" t="s">
        <v>1</v>
      </c>
      <c r="X16" s="47" t="s">
        <v>901</v>
      </c>
      <c r="Y16" s="8" t="s">
        <v>902</v>
      </c>
      <c r="Z16" s="47" t="s">
        <v>0</v>
      </c>
      <c r="AA16" s="47" t="s">
        <v>0</v>
      </c>
      <c r="AB16" s="46">
        <v>2.0099999999999998</v>
      </c>
      <c r="AC16" s="46"/>
      <c r="AD16" s="139">
        <v>20.5</v>
      </c>
      <c r="AE16" s="46" t="s">
        <v>0</v>
      </c>
      <c r="AF16" s="150">
        <v>4</v>
      </c>
      <c r="AG16" s="46" t="s">
        <v>0</v>
      </c>
      <c r="AH16" s="46" t="s">
        <v>0</v>
      </c>
      <c r="AI16" s="46" t="s">
        <v>0</v>
      </c>
      <c r="AJ16" s="148" t="s">
        <v>0</v>
      </c>
      <c r="AK16" s="125">
        <f>AD16/100*AB16</f>
        <v>0.41204999999999992</v>
      </c>
      <c r="AL16" s="125" t="s">
        <v>0</v>
      </c>
      <c r="AM16" s="125">
        <f>AF16/100*AB16</f>
        <v>8.0399999999999999E-2</v>
      </c>
      <c r="AN16" s="154" t="s">
        <v>0</v>
      </c>
      <c r="AO16" s="125">
        <f t="shared" si="1"/>
        <v>5.150624999999999E-2</v>
      </c>
      <c r="AP16" s="125" t="s">
        <v>0</v>
      </c>
      <c r="AQ16" s="125">
        <f t="shared" si="2"/>
        <v>1.005E-2</v>
      </c>
      <c r="AR16" s="68" t="s">
        <v>0</v>
      </c>
      <c r="AS16" s="46" t="s">
        <v>64</v>
      </c>
      <c r="AT16" s="46"/>
      <c r="AU16" s="46"/>
    </row>
    <row r="17" spans="1:47" x14ac:dyDescent="0.25">
      <c r="A17" s="47" t="s">
        <v>1581</v>
      </c>
      <c r="B17" s="8" t="s">
        <v>55</v>
      </c>
      <c r="C17" s="47" t="s">
        <v>896</v>
      </c>
      <c r="D17" s="8" t="s">
        <v>875</v>
      </c>
      <c r="E17" s="8" t="s">
        <v>876</v>
      </c>
      <c r="F17" s="8" t="s">
        <v>69</v>
      </c>
      <c r="G17" s="8" t="s">
        <v>69</v>
      </c>
      <c r="H17" s="8" t="s">
        <v>0</v>
      </c>
      <c r="I17" s="8">
        <v>4.5</v>
      </c>
      <c r="J17" s="47">
        <v>45</v>
      </c>
      <c r="K17" s="8" t="s">
        <v>72</v>
      </c>
      <c r="L17" s="8" t="s">
        <v>897</v>
      </c>
      <c r="M17" s="8" t="s">
        <v>0</v>
      </c>
      <c r="N17" s="47" t="s">
        <v>908</v>
      </c>
      <c r="O17" s="107">
        <v>4</v>
      </c>
      <c r="P17" s="8" t="s">
        <v>60</v>
      </c>
      <c r="Q17" s="8" t="s">
        <v>881</v>
      </c>
      <c r="R17" s="47" t="s">
        <v>0</v>
      </c>
      <c r="S17" s="8">
        <v>35</v>
      </c>
      <c r="T17" s="8" t="s">
        <v>69</v>
      </c>
      <c r="U17" s="8" t="s">
        <v>909</v>
      </c>
      <c r="V17" s="8" t="s">
        <v>900</v>
      </c>
      <c r="W17" s="8" t="s">
        <v>1</v>
      </c>
      <c r="X17" s="47" t="s">
        <v>901</v>
      </c>
      <c r="Y17" s="8" t="s">
        <v>902</v>
      </c>
      <c r="Z17" s="47" t="s">
        <v>0</v>
      </c>
      <c r="AA17" s="47" t="s">
        <v>0</v>
      </c>
      <c r="AB17" s="46">
        <v>1.63</v>
      </c>
      <c r="AC17" s="46"/>
      <c r="AD17" s="139">
        <v>14</v>
      </c>
      <c r="AE17" s="46" t="s">
        <v>0</v>
      </c>
      <c r="AF17" s="150">
        <v>5</v>
      </c>
      <c r="AG17" s="46" t="s">
        <v>0</v>
      </c>
      <c r="AH17" s="46" t="s">
        <v>0</v>
      </c>
      <c r="AI17" s="46" t="s">
        <v>0</v>
      </c>
      <c r="AJ17" s="148" t="s">
        <v>0</v>
      </c>
      <c r="AK17" s="125">
        <f>AD17/100*AB17</f>
        <v>0.22820000000000001</v>
      </c>
      <c r="AL17" s="125" t="s">
        <v>0</v>
      </c>
      <c r="AM17" s="125">
        <f>AF17/100*AB17</f>
        <v>8.1500000000000003E-2</v>
      </c>
      <c r="AN17" s="154" t="s">
        <v>0</v>
      </c>
      <c r="AO17" s="125">
        <f t="shared" si="1"/>
        <v>5.7050000000000003E-2</v>
      </c>
      <c r="AP17" s="125" t="s">
        <v>0</v>
      </c>
      <c r="AQ17" s="125">
        <f t="shared" si="2"/>
        <v>2.0375000000000001E-2</v>
      </c>
      <c r="AR17" s="68" t="s">
        <v>0</v>
      </c>
      <c r="AS17" s="46" t="s">
        <v>64</v>
      </c>
      <c r="AT17" s="46"/>
      <c r="AU17" s="46"/>
    </row>
    <row r="18" spans="1:47" x14ac:dyDescent="0.25">
      <c r="A18" s="47" t="s">
        <v>1581</v>
      </c>
      <c r="B18" s="8" t="s">
        <v>55</v>
      </c>
      <c r="C18" s="47" t="s">
        <v>896</v>
      </c>
      <c r="D18" s="8" t="s">
        <v>875</v>
      </c>
      <c r="E18" s="8" t="s">
        <v>876</v>
      </c>
      <c r="F18" s="8" t="s">
        <v>69</v>
      </c>
      <c r="G18" s="8" t="s">
        <v>69</v>
      </c>
      <c r="H18" s="8" t="s">
        <v>0</v>
      </c>
      <c r="I18" s="8">
        <v>4.5</v>
      </c>
      <c r="J18" s="47">
        <v>45</v>
      </c>
      <c r="K18" s="8" t="s">
        <v>72</v>
      </c>
      <c r="L18" s="8" t="s">
        <v>897</v>
      </c>
      <c r="M18" s="8" t="s">
        <v>0</v>
      </c>
      <c r="N18" s="47" t="s">
        <v>910</v>
      </c>
      <c r="O18" s="107">
        <v>1</v>
      </c>
      <c r="P18" s="8" t="s">
        <v>60</v>
      </c>
      <c r="Q18" s="8" t="s">
        <v>881</v>
      </c>
      <c r="R18" s="47" t="s">
        <v>0</v>
      </c>
      <c r="S18" s="8">
        <v>35</v>
      </c>
      <c r="T18" s="8" t="s">
        <v>69</v>
      </c>
      <c r="U18" s="8" t="s">
        <v>911</v>
      </c>
      <c r="V18" s="8" t="s">
        <v>900</v>
      </c>
      <c r="W18" s="8" t="s">
        <v>1</v>
      </c>
      <c r="X18" s="47" t="s">
        <v>901</v>
      </c>
      <c r="Y18" s="8" t="s">
        <v>902</v>
      </c>
      <c r="Z18" s="47" t="s">
        <v>0</v>
      </c>
      <c r="AA18" s="47" t="s">
        <v>0</v>
      </c>
      <c r="AB18" s="46">
        <v>1.22</v>
      </c>
      <c r="AC18" s="46"/>
      <c r="AD18" s="139">
        <v>6.8</v>
      </c>
      <c r="AE18" s="46" t="s">
        <v>0</v>
      </c>
      <c r="AF18" s="150" t="s">
        <v>912</v>
      </c>
      <c r="AG18" s="46" t="s">
        <v>0</v>
      </c>
      <c r="AH18" s="46" t="s">
        <v>0</v>
      </c>
      <c r="AI18" s="46" t="s">
        <v>0</v>
      </c>
      <c r="AJ18" s="148" t="s">
        <v>0</v>
      </c>
      <c r="AK18" s="125">
        <f>AD18/100*AB18</f>
        <v>8.2960000000000006E-2</v>
      </c>
      <c r="AL18" s="125" t="s">
        <v>0</v>
      </c>
      <c r="AM18" s="125">
        <f>2/100*AB18</f>
        <v>2.4400000000000002E-2</v>
      </c>
      <c r="AN18" s="154" t="s">
        <v>0</v>
      </c>
      <c r="AO18" s="125">
        <f t="shared" si="1"/>
        <v>8.2960000000000006E-2</v>
      </c>
      <c r="AP18" s="125" t="s">
        <v>0</v>
      </c>
      <c r="AQ18" s="125">
        <f t="shared" si="2"/>
        <v>2.4400000000000002E-2</v>
      </c>
      <c r="AR18" s="68" t="s">
        <v>0</v>
      </c>
      <c r="AS18" s="46" t="s">
        <v>64</v>
      </c>
      <c r="AT18" s="46"/>
      <c r="AU18" s="46"/>
    </row>
    <row r="19" spans="1:47" x14ac:dyDescent="0.25">
      <c r="A19" s="47" t="s">
        <v>1581</v>
      </c>
      <c r="B19" s="8" t="s">
        <v>55</v>
      </c>
      <c r="C19" s="47" t="s">
        <v>896</v>
      </c>
      <c r="D19" s="8" t="s">
        <v>875</v>
      </c>
      <c r="E19" s="8" t="s">
        <v>876</v>
      </c>
      <c r="F19" s="8" t="s">
        <v>69</v>
      </c>
      <c r="G19" s="8" t="s">
        <v>69</v>
      </c>
      <c r="H19" s="8" t="s">
        <v>0</v>
      </c>
      <c r="I19" s="8">
        <v>4.5</v>
      </c>
      <c r="J19" s="47">
        <v>45</v>
      </c>
      <c r="K19" s="8" t="s">
        <v>72</v>
      </c>
      <c r="L19" s="8" t="s">
        <v>913</v>
      </c>
      <c r="M19" s="8" t="s">
        <v>0</v>
      </c>
      <c r="N19" s="47" t="s">
        <v>914</v>
      </c>
      <c r="O19" s="107">
        <v>20</v>
      </c>
      <c r="P19" s="8" t="s">
        <v>60</v>
      </c>
      <c r="Q19" s="8" t="s">
        <v>881</v>
      </c>
      <c r="R19" s="47" t="s">
        <v>0</v>
      </c>
      <c r="S19" s="8">
        <v>35</v>
      </c>
      <c r="T19" s="8" t="s">
        <v>69</v>
      </c>
      <c r="U19" s="8" t="s">
        <v>915</v>
      </c>
      <c r="V19" s="8" t="s">
        <v>900</v>
      </c>
      <c r="W19" s="8" t="s">
        <v>1</v>
      </c>
      <c r="X19" s="47" t="s">
        <v>901</v>
      </c>
      <c r="Y19" s="8" t="s">
        <v>902</v>
      </c>
      <c r="Z19" s="47" t="s">
        <v>0</v>
      </c>
      <c r="AA19" s="47" t="s">
        <v>0</v>
      </c>
      <c r="AB19" s="46">
        <v>4.6900000000000004</v>
      </c>
      <c r="AC19" s="46"/>
      <c r="AD19" s="139" t="s">
        <v>916</v>
      </c>
      <c r="AE19" s="46" t="s">
        <v>0</v>
      </c>
      <c r="AF19" s="150">
        <v>0</v>
      </c>
      <c r="AG19" s="46" t="s">
        <v>0</v>
      </c>
      <c r="AH19" s="46" t="s">
        <v>0</v>
      </c>
      <c r="AI19" s="46" t="s">
        <v>0</v>
      </c>
      <c r="AJ19" s="148" t="s">
        <v>0</v>
      </c>
      <c r="AK19" s="128">
        <f>AB19*0.016</f>
        <v>7.5040000000000009E-2</v>
      </c>
      <c r="AL19" s="125" t="s">
        <v>0</v>
      </c>
      <c r="AM19" s="125">
        <f t="shared" ref="AM19:AM28" si="3">AF19/100*AB19</f>
        <v>0</v>
      </c>
      <c r="AN19" s="154" t="s">
        <v>0</v>
      </c>
      <c r="AO19" s="125">
        <f t="shared" si="1"/>
        <v>3.7520000000000006E-3</v>
      </c>
      <c r="AP19" s="125" t="s">
        <v>0</v>
      </c>
      <c r="AQ19" s="125">
        <f t="shared" si="2"/>
        <v>0</v>
      </c>
      <c r="AR19" s="68" t="s">
        <v>0</v>
      </c>
      <c r="AS19" s="46" t="s">
        <v>64</v>
      </c>
      <c r="AT19" s="46"/>
      <c r="AU19" s="46"/>
    </row>
    <row r="20" spans="1:47" x14ac:dyDescent="0.25">
      <c r="A20" s="47" t="s">
        <v>1581</v>
      </c>
      <c r="B20" s="8" t="s">
        <v>55</v>
      </c>
      <c r="C20" s="47" t="s">
        <v>896</v>
      </c>
      <c r="D20" s="8" t="s">
        <v>875</v>
      </c>
      <c r="E20" s="8" t="s">
        <v>876</v>
      </c>
      <c r="F20" s="8" t="s">
        <v>69</v>
      </c>
      <c r="G20" s="8" t="s">
        <v>69</v>
      </c>
      <c r="H20" s="8" t="s">
        <v>0</v>
      </c>
      <c r="I20" s="8">
        <v>4.5</v>
      </c>
      <c r="J20" s="47">
        <v>45</v>
      </c>
      <c r="K20" s="8" t="s">
        <v>72</v>
      </c>
      <c r="L20" s="8" t="s">
        <v>913</v>
      </c>
      <c r="M20" s="8" t="s">
        <v>0</v>
      </c>
      <c r="N20" s="47" t="s">
        <v>917</v>
      </c>
      <c r="O20" s="107">
        <v>12</v>
      </c>
      <c r="P20" s="8" t="s">
        <v>60</v>
      </c>
      <c r="Q20" s="8" t="s">
        <v>881</v>
      </c>
      <c r="R20" s="47" t="s">
        <v>0</v>
      </c>
      <c r="S20" s="8">
        <v>35</v>
      </c>
      <c r="T20" s="8" t="s">
        <v>69</v>
      </c>
      <c r="U20" s="8" t="s">
        <v>918</v>
      </c>
      <c r="V20" s="8" t="s">
        <v>900</v>
      </c>
      <c r="W20" s="8" t="s">
        <v>1</v>
      </c>
      <c r="X20" s="47" t="s">
        <v>901</v>
      </c>
      <c r="Y20" s="8" t="s">
        <v>902</v>
      </c>
      <c r="Z20" s="47" t="s">
        <v>0</v>
      </c>
      <c r="AA20" s="47" t="s">
        <v>0</v>
      </c>
      <c r="AB20" s="46">
        <v>7.01</v>
      </c>
      <c r="AC20" s="46"/>
      <c r="AD20" s="139" t="s">
        <v>916</v>
      </c>
      <c r="AE20" s="46" t="s">
        <v>0</v>
      </c>
      <c r="AF20" s="150">
        <v>0</v>
      </c>
      <c r="AG20" s="46" t="s">
        <v>0</v>
      </c>
      <c r="AH20" s="46" t="s">
        <v>0</v>
      </c>
      <c r="AI20" s="46" t="s">
        <v>0</v>
      </c>
      <c r="AJ20" s="148" t="s">
        <v>0</v>
      </c>
      <c r="AK20" s="128">
        <f t="shared" ref="AK20:AK23" si="4">AB20*0.016</f>
        <v>0.11216</v>
      </c>
      <c r="AL20" s="125" t="s">
        <v>0</v>
      </c>
      <c r="AM20" s="125">
        <f t="shared" si="3"/>
        <v>0</v>
      </c>
      <c r="AN20" s="154" t="s">
        <v>0</v>
      </c>
      <c r="AO20" s="125">
        <f t="shared" si="1"/>
        <v>9.3466666666666663E-3</v>
      </c>
      <c r="AP20" s="125" t="s">
        <v>0</v>
      </c>
      <c r="AQ20" s="125">
        <f t="shared" si="2"/>
        <v>0</v>
      </c>
      <c r="AR20" s="68" t="s">
        <v>0</v>
      </c>
      <c r="AS20" s="46" t="s">
        <v>64</v>
      </c>
      <c r="AT20" s="46"/>
      <c r="AU20" s="46"/>
    </row>
    <row r="21" spans="1:47" x14ac:dyDescent="0.25">
      <c r="A21" s="47" t="s">
        <v>1581</v>
      </c>
      <c r="B21" s="8" t="s">
        <v>55</v>
      </c>
      <c r="C21" s="47" t="s">
        <v>896</v>
      </c>
      <c r="D21" s="8" t="s">
        <v>875</v>
      </c>
      <c r="E21" s="8" t="s">
        <v>876</v>
      </c>
      <c r="F21" s="8" t="s">
        <v>69</v>
      </c>
      <c r="G21" s="8" t="s">
        <v>69</v>
      </c>
      <c r="H21" s="8" t="s">
        <v>0</v>
      </c>
      <c r="I21" s="8">
        <v>4.5</v>
      </c>
      <c r="J21" s="47">
        <v>45</v>
      </c>
      <c r="K21" s="8" t="s">
        <v>72</v>
      </c>
      <c r="L21" s="8" t="s">
        <v>913</v>
      </c>
      <c r="M21" s="8" t="s">
        <v>0</v>
      </c>
      <c r="N21" s="47" t="s">
        <v>919</v>
      </c>
      <c r="O21" s="107">
        <v>8</v>
      </c>
      <c r="P21" s="8" t="s">
        <v>60</v>
      </c>
      <c r="Q21" s="8" t="s">
        <v>881</v>
      </c>
      <c r="R21" s="47" t="s">
        <v>0</v>
      </c>
      <c r="S21" s="8">
        <v>35</v>
      </c>
      <c r="T21" s="8" t="s">
        <v>69</v>
      </c>
      <c r="U21" s="8" t="s">
        <v>920</v>
      </c>
      <c r="V21" s="8" t="s">
        <v>900</v>
      </c>
      <c r="W21" s="8" t="s">
        <v>1</v>
      </c>
      <c r="X21" s="47" t="s">
        <v>901</v>
      </c>
      <c r="Y21" s="8" t="s">
        <v>902</v>
      </c>
      <c r="Z21" s="47" t="s">
        <v>0</v>
      </c>
      <c r="AA21" s="47" t="s">
        <v>0</v>
      </c>
      <c r="AB21" s="46">
        <v>6.97</v>
      </c>
      <c r="AC21" s="46"/>
      <c r="AD21" s="139" t="s">
        <v>916</v>
      </c>
      <c r="AE21" s="46" t="s">
        <v>0</v>
      </c>
      <c r="AF21" s="150">
        <v>0</v>
      </c>
      <c r="AG21" s="46" t="s">
        <v>0</v>
      </c>
      <c r="AH21" s="46" t="s">
        <v>0</v>
      </c>
      <c r="AI21" s="46" t="s">
        <v>0</v>
      </c>
      <c r="AJ21" s="148" t="s">
        <v>0</v>
      </c>
      <c r="AK21" s="128">
        <f t="shared" si="4"/>
        <v>0.11151999999999999</v>
      </c>
      <c r="AL21" s="125" t="s">
        <v>0</v>
      </c>
      <c r="AM21" s="125">
        <f t="shared" si="3"/>
        <v>0</v>
      </c>
      <c r="AN21" s="154" t="s">
        <v>0</v>
      </c>
      <c r="AO21" s="125">
        <f t="shared" si="1"/>
        <v>1.3939999999999999E-2</v>
      </c>
      <c r="AP21" s="125" t="s">
        <v>0</v>
      </c>
      <c r="AQ21" s="125">
        <f t="shared" si="2"/>
        <v>0</v>
      </c>
      <c r="AR21" s="68" t="s">
        <v>0</v>
      </c>
      <c r="AS21" s="46" t="s">
        <v>64</v>
      </c>
      <c r="AT21" s="46"/>
      <c r="AU21" s="46"/>
    </row>
    <row r="22" spans="1:47" x14ac:dyDescent="0.25">
      <c r="A22" s="47" t="s">
        <v>1581</v>
      </c>
      <c r="B22" s="8" t="s">
        <v>55</v>
      </c>
      <c r="C22" s="47" t="s">
        <v>896</v>
      </c>
      <c r="D22" s="8" t="s">
        <v>875</v>
      </c>
      <c r="E22" s="8" t="s">
        <v>876</v>
      </c>
      <c r="F22" s="8" t="s">
        <v>69</v>
      </c>
      <c r="G22" s="8" t="s">
        <v>69</v>
      </c>
      <c r="H22" s="8" t="s">
        <v>0</v>
      </c>
      <c r="I22" s="8">
        <v>4.5</v>
      </c>
      <c r="J22" s="47">
        <v>45</v>
      </c>
      <c r="K22" s="8" t="s">
        <v>72</v>
      </c>
      <c r="L22" s="8" t="s">
        <v>913</v>
      </c>
      <c r="M22" s="8" t="s">
        <v>0</v>
      </c>
      <c r="N22" s="47" t="s">
        <v>921</v>
      </c>
      <c r="O22" s="107">
        <v>4</v>
      </c>
      <c r="P22" s="8" t="s">
        <v>60</v>
      </c>
      <c r="Q22" s="8" t="s">
        <v>881</v>
      </c>
      <c r="R22" s="47" t="s">
        <v>0</v>
      </c>
      <c r="S22" s="8">
        <v>35</v>
      </c>
      <c r="T22" s="8" t="s">
        <v>69</v>
      </c>
      <c r="U22" s="8" t="s">
        <v>922</v>
      </c>
      <c r="V22" s="8" t="s">
        <v>900</v>
      </c>
      <c r="W22" s="8" t="s">
        <v>1</v>
      </c>
      <c r="X22" s="47" t="s">
        <v>901</v>
      </c>
      <c r="Y22" s="8" t="s">
        <v>902</v>
      </c>
      <c r="Z22" s="47" t="s">
        <v>0</v>
      </c>
      <c r="AA22" s="47" t="s">
        <v>0</v>
      </c>
      <c r="AB22" s="46">
        <v>6.2</v>
      </c>
      <c r="AC22" s="46"/>
      <c r="AD22" s="139" t="s">
        <v>916</v>
      </c>
      <c r="AE22" s="46" t="s">
        <v>0</v>
      </c>
      <c r="AF22" s="150">
        <v>0</v>
      </c>
      <c r="AG22" s="46" t="s">
        <v>0</v>
      </c>
      <c r="AH22" s="46" t="s">
        <v>0</v>
      </c>
      <c r="AI22" s="46" t="s">
        <v>0</v>
      </c>
      <c r="AJ22" s="148" t="s">
        <v>0</v>
      </c>
      <c r="AK22" s="128">
        <f t="shared" si="4"/>
        <v>9.920000000000001E-2</v>
      </c>
      <c r="AL22" s="125" t="s">
        <v>0</v>
      </c>
      <c r="AM22" s="125">
        <f t="shared" si="3"/>
        <v>0</v>
      </c>
      <c r="AN22" s="154" t="s">
        <v>0</v>
      </c>
      <c r="AO22" s="125">
        <f t="shared" si="1"/>
        <v>2.4800000000000003E-2</v>
      </c>
      <c r="AP22" s="125" t="s">
        <v>0</v>
      </c>
      <c r="AQ22" s="125">
        <f t="shared" si="2"/>
        <v>0</v>
      </c>
      <c r="AR22" s="68" t="s">
        <v>0</v>
      </c>
      <c r="AS22" s="46" t="s">
        <v>64</v>
      </c>
      <c r="AT22" s="46"/>
      <c r="AU22" s="46"/>
    </row>
    <row r="23" spans="1:47" x14ac:dyDescent="0.25">
      <c r="A23" s="47" t="s">
        <v>1581</v>
      </c>
      <c r="B23" s="8" t="s">
        <v>55</v>
      </c>
      <c r="C23" s="47" t="s">
        <v>896</v>
      </c>
      <c r="D23" s="8" t="s">
        <v>875</v>
      </c>
      <c r="E23" s="8" t="s">
        <v>876</v>
      </c>
      <c r="F23" s="8" t="s">
        <v>69</v>
      </c>
      <c r="G23" s="8" t="s">
        <v>69</v>
      </c>
      <c r="H23" s="8" t="s">
        <v>0</v>
      </c>
      <c r="I23" s="8">
        <v>4.5</v>
      </c>
      <c r="J23" s="47">
        <v>45</v>
      </c>
      <c r="K23" s="8" t="s">
        <v>72</v>
      </c>
      <c r="L23" s="8" t="s">
        <v>913</v>
      </c>
      <c r="M23" s="8" t="s">
        <v>0</v>
      </c>
      <c r="N23" s="47" t="s">
        <v>923</v>
      </c>
      <c r="O23" s="107">
        <v>1</v>
      </c>
      <c r="P23" s="8" t="s">
        <v>60</v>
      </c>
      <c r="Q23" s="8" t="s">
        <v>881</v>
      </c>
      <c r="R23" s="47" t="s">
        <v>0</v>
      </c>
      <c r="S23" s="8">
        <v>35</v>
      </c>
      <c r="T23" s="8" t="s">
        <v>69</v>
      </c>
      <c r="U23" s="8" t="s">
        <v>924</v>
      </c>
      <c r="V23" s="8" t="s">
        <v>900</v>
      </c>
      <c r="W23" s="8" t="s">
        <v>1</v>
      </c>
      <c r="X23" s="47" t="s">
        <v>901</v>
      </c>
      <c r="Y23" s="8" t="s">
        <v>902</v>
      </c>
      <c r="Z23" s="47" t="s">
        <v>0</v>
      </c>
      <c r="AA23" s="47" t="s">
        <v>0</v>
      </c>
      <c r="AB23" s="46">
        <v>5.07</v>
      </c>
      <c r="AC23" s="46"/>
      <c r="AD23" s="139" t="s">
        <v>916</v>
      </c>
      <c r="AE23" s="46" t="s">
        <v>0</v>
      </c>
      <c r="AF23" s="150">
        <v>0</v>
      </c>
      <c r="AG23" s="46" t="s">
        <v>0</v>
      </c>
      <c r="AH23" s="46" t="s">
        <v>0</v>
      </c>
      <c r="AI23" s="46" t="s">
        <v>0</v>
      </c>
      <c r="AJ23" s="148" t="s">
        <v>0</v>
      </c>
      <c r="AK23" s="128">
        <f t="shared" si="4"/>
        <v>8.1120000000000012E-2</v>
      </c>
      <c r="AL23" s="125" t="s">
        <v>0</v>
      </c>
      <c r="AM23" s="125">
        <f t="shared" si="3"/>
        <v>0</v>
      </c>
      <c r="AN23" s="154" t="s">
        <v>0</v>
      </c>
      <c r="AO23" s="125">
        <f t="shared" si="1"/>
        <v>8.1120000000000012E-2</v>
      </c>
      <c r="AP23" s="125" t="s">
        <v>0</v>
      </c>
      <c r="AQ23" s="125">
        <f t="shared" si="2"/>
        <v>0</v>
      </c>
      <c r="AR23" s="68" t="s">
        <v>0</v>
      </c>
      <c r="AS23" s="46" t="s">
        <v>64</v>
      </c>
      <c r="AT23" s="46"/>
      <c r="AU23" s="46"/>
    </row>
    <row r="24" spans="1:47" x14ac:dyDescent="0.25">
      <c r="A24" s="47" t="s">
        <v>1581</v>
      </c>
      <c r="B24" s="8" t="s">
        <v>55</v>
      </c>
      <c r="C24" s="47" t="s">
        <v>896</v>
      </c>
      <c r="D24" s="8" t="s">
        <v>875</v>
      </c>
      <c r="E24" s="8" t="s">
        <v>876</v>
      </c>
      <c r="F24" s="8" t="s">
        <v>69</v>
      </c>
      <c r="G24" s="8" t="s">
        <v>69</v>
      </c>
      <c r="H24" s="8" t="s">
        <v>0</v>
      </c>
      <c r="I24" s="8">
        <v>4.5</v>
      </c>
      <c r="J24" s="47">
        <v>45</v>
      </c>
      <c r="K24" s="8" t="s">
        <v>57</v>
      </c>
      <c r="L24" s="8" t="s">
        <v>925</v>
      </c>
      <c r="M24" s="8" t="s">
        <v>0</v>
      </c>
      <c r="N24" s="47" t="s">
        <v>926</v>
      </c>
      <c r="O24" s="107">
        <v>20</v>
      </c>
      <c r="P24" s="8" t="s">
        <v>60</v>
      </c>
      <c r="Q24" s="8" t="s">
        <v>881</v>
      </c>
      <c r="R24" s="47" t="s">
        <v>0</v>
      </c>
      <c r="S24" s="8">
        <v>35</v>
      </c>
      <c r="T24" s="8" t="s">
        <v>69</v>
      </c>
      <c r="U24" s="8" t="s">
        <v>927</v>
      </c>
      <c r="V24" s="8" t="s">
        <v>900</v>
      </c>
      <c r="W24" s="8" t="s">
        <v>1</v>
      </c>
      <c r="X24" s="47" t="s">
        <v>901</v>
      </c>
      <c r="Y24" s="8" t="s">
        <v>902</v>
      </c>
      <c r="Z24" s="47" t="s">
        <v>0</v>
      </c>
      <c r="AA24" s="47" t="s">
        <v>0</v>
      </c>
      <c r="AB24" s="46">
        <v>0.77</v>
      </c>
      <c r="AC24" s="46"/>
      <c r="AD24" s="139">
        <v>4</v>
      </c>
      <c r="AE24" s="46" t="s">
        <v>0</v>
      </c>
      <c r="AF24" s="150">
        <v>0</v>
      </c>
      <c r="AG24" s="46" t="s">
        <v>0</v>
      </c>
      <c r="AH24" s="46" t="s">
        <v>0</v>
      </c>
      <c r="AI24" s="112" t="s">
        <v>0</v>
      </c>
      <c r="AJ24" s="148" t="s">
        <v>0</v>
      </c>
      <c r="AK24" s="125">
        <f>AD24/100*AB24</f>
        <v>3.0800000000000001E-2</v>
      </c>
      <c r="AL24" s="125" t="s">
        <v>0</v>
      </c>
      <c r="AM24" s="125">
        <f t="shared" si="3"/>
        <v>0</v>
      </c>
      <c r="AN24" s="154" t="s">
        <v>0</v>
      </c>
      <c r="AO24" s="125">
        <f t="shared" si="1"/>
        <v>1.5400000000000001E-3</v>
      </c>
      <c r="AP24" s="125" t="s">
        <v>0</v>
      </c>
      <c r="AQ24" s="125">
        <f t="shared" si="2"/>
        <v>0</v>
      </c>
      <c r="AR24" s="68" t="s">
        <v>0</v>
      </c>
      <c r="AS24" s="46" t="s">
        <v>64</v>
      </c>
      <c r="AT24" s="46"/>
      <c r="AU24" s="46"/>
    </row>
    <row r="25" spans="1:47" x14ac:dyDescent="0.25">
      <c r="A25" s="47" t="s">
        <v>1581</v>
      </c>
      <c r="B25" s="8" t="s">
        <v>55</v>
      </c>
      <c r="C25" s="47" t="s">
        <v>896</v>
      </c>
      <c r="D25" s="8" t="s">
        <v>875</v>
      </c>
      <c r="E25" s="8" t="s">
        <v>876</v>
      </c>
      <c r="F25" s="8" t="s">
        <v>69</v>
      </c>
      <c r="G25" s="8" t="s">
        <v>69</v>
      </c>
      <c r="H25" s="8" t="s">
        <v>0</v>
      </c>
      <c r="I25" s="8">
        <v>4.5</v>
      </c>
      <c r="J25" s="47">
        <v>45</v>
      </c>
      <c r="K25" s="8" t="s">
        <v>57</v>
      </c>
      <c r="L25" s="8" t="s">
        <v>925</v>
      </c>
      <c r="M25" s="8" t="s">
        <v>0</v>
      </c>
      <c r="N25" s="47" t="s">
        <v>928</v>
      </c>
      <c r="O25" s="107">
        <v>12</v>
      </c>
      <c r="P25" s="8" t="s">
        <v>60</v>
      </c>
      <c r="Q25" s="8" t="s">
        <v>881</v>
      </c>
      <c r="R25" s="47" t="s">
        <v>0</v>
      </c>
      <c r="S25" s="8">
        <v>35</v>
      </c>
      <c r="T25" s="8" t="s">
        <v>69</v>
      </c>
      <c r="U25" s="8" t="s">
        <v>929</v>
      </c>
      <c r="V25" s="8" t="s">
        <v>900</v>
      </c>
      <c r="W25" s="8" t="s">
        <v>1</v>
      </c>
      <c r="X25" s="47" t="s">
        <v>901</v>
      </c>
      <c r="Y25" s="8" t="s">
        <v>902</v>
      </c>
      <c r="Z25" s="47" t="s">
        <v>0</v>
      </c>
      <c r="AA25" s="47" t="s">
        <v>0</v>
      </c>
      <c r="AB25" s="46">
        <v>0.57999999999999996</v>
      </c>
      <c r="AC25" s="46"/>
      <c r="AD25" s="139">
        <v>6.5</v>
      </c>
      <c r="AE25" s="46" t="s">
        <v>0</v>
      </c>
      <c r="AF25" s="150">
        <v>0</v>
      </c>
      <c r="AG25" s="46" t="s">
        <v>0</v>
      </c>
      <c r="AH25" s="46" t="s">
        <v>0</v>
      </c>
      <c r="AI25" s="112" t="s">
        <v>0</v>
      </c>
      <c r="AJ25" s="148" t="s">
        <v>0</v>
      </c>
      <c r="AK25" s="125">
        <f>AD25/100*AB25</f>
        <v>3.7699999999999997E-2</v>
      </c>
      <c r="AL25" s="125" t="s">
        <v>0</v>
      </c>
      <c r="AM25" s="125">
        <f t="shared" si="3"/>
        <v>0</v>
      </c>
      <c r="AN25" s="154" t="s">
        <v>0</v>
      </c>
      <c r="AO25" s="125">
        <f t="shared" si="1"/>
        <v>3.1416666666666663E-3</v>
      </c>
      <c r="AP25" s="125" t="s">
        <v>0</v>
      </c>
      <c r="AQ25" s="125">
        <f t="shared" si="2"/>
        <v>0</v>
      </c>
      <c r="AR25" s="68" t="s">
        <v>0</v>
      </c>
      <c r="AS25" s="46" t="s">
        <v>64</v>
      </c>
      <c r="AT25" s="46"/>
      <c r="AU25" s="46"/>
    </row>
    <row r="26" spans="1:47" x14ac:dyDescent="0.25">
      <c r="A26" s="47" t="s">
        <v>1581</v>
      </c>
      <c r="B26" s="8" t="s">
        <v>55</v>
      </c>
      <c r="C26" s="47" t="s">
        <v>896</v>
      </c>
      <c r="D26" s="8" t="s">
        <v>875</v>
      </c>
      <c r="E26" s="8" t="s">
        <v>876</v>
      </c>
      <c r="F26" s="8" t="s">
        <v>69</v>
      </c>
      <c r="G26" s="8" t="s">
        <v>69</v>
      </c>
      <c r="H26" s="8" t="s">
        <v>0</v>
      </c>
      <c r="I26" s="8">
        <v>4.5</v>
      </c>
      <c r="J26" s="47">
        <v>45</v>
      </c>
      <c r="K26" s="8" t="s">
        <v>57</v>
      </c>
      <c r="L26" s="8" t="s">
        <v>925</v>
      </c>
      <c r="M26" s="8" t="s">
        <v>0</v>
      </c>
      <c r="N26" s="47" t="s">
        <v>930</v>
      </c>
      <c r="O26" s="107">
        <v>8</v>
      </c>
      <c r="P26" s="8" t="s">
        <v>60</v>
      </c>
      <c r="Q26" s="8" t="s">
        <v>881</v>
      </c>
      <c r="R26" s="47" t="s">
        <v>0</v>
      </c>
      <c r="S26" s="8">
        <v>35</v>
      </c>
      <c r="T26" s="8" t="s">
        <v>69</v>
      </c>
      <c r="U26" s="8" t="s">
        <v>931</v>
      </c>
      <c r="V26" s="8" t="s">
        <v>900</v>
      </c>
      <c r="W26" s="8" t="s">
        <v>1</v>
      </c>
      <c r="X26" s="47" t="s">
        <v>901</v>
      </c>
      <c r="Y26" s="8" t="s">
        <v>902</v>
      </c>
      <c r="Z26" s="47" t="s">
        <v>0</v>
      </c>
      <c r="AA26" s="47" t="s">
        <v>0</v>
      </c>
      <c r="AB26" s="46">
        <v>1.19</v>
      </c>
      <c r="AC26" s="46"/>
      <c r="AD26" s="139">
        <v>16.2</v>
      </c>
      <c r="AE26" s="46" t="s">
        <v>0</v>
      </c>
      <c r="AF26" s="150">
        <v>4</v>
      </c>
      <c r="AG26" s="46" t="s">
        <v>0</v>
      </c>
      <c r="AH26" s="46" t="s">
        <v>0</v>
      </c>
      <c r="AI26" s="112" t="s">
        <v>0</v>
      </c>
      <c r="AJ26" s="148" t="s">
        <v>0</v>
      </c>
      <c r="AK26" s="125">
        <f>AD26/100*AB26</f>
        <v>0.19278000000000001</v>
      </c>
      <c r="AL26" s="125" t="s">
        <v>0</v>
      </c>
      <c r="AM26" s="125">
        <f t="shared" si="3"/>
        <v>4.7599999999999996E-2</v>
      </c>
      <c r="AN26" s="154" t="s">
        <v>0</v>
      </c>
      <c r="AO26" s="125">
        <f t="shared" si="1"/>
        <v>2.4097500000000001E-2</v>
      </c>
      <c r="AP26" s="125" t="s">
        <v>0</v>
      </c>
      <c r="AQ26" s="125">
        <f t="shared" si="2"/>
        <v>5.9499999999999996E-3</v>
      </c>
      <c r="AR26" s="68" t="s">
        <v>0</v>
      </c>
      <c r="AS26" s="46" t="s">
        <v>64</v>
      </c>
      <c r="AT26" s="46"/>
      <c r="AU26" s="46"/>
    </row>
    <row r="27" spans="1:47" x14ac:dyDescent="0.25">
      <c r="A27" s="47" t="s">
        <v>1581</v>
      </c>
      <c r="B27" s="8" t="s">
        <v>55</v>
      </c>
      <c r="C27" s="47" t="s">
        <v>896</v>
      </c>
      <c r="D27" s="8" t="s">
        <v>875</v>
      </c>
      <c r="E27" s="8" t="s">
        <v>876</v>
      </c>
      <c r="F27" s="8" t="s">
        <v>69</v>
      </c>
      <c r="G27" s="8" t="s">
        <v>69</v>
      </c>
      <c r="H27" s="8" t="s">
        <v>0</v>
      </c>
      <c r="I27" s="8">
        <v>4.5</v>
      </c>
      <c r="J27" s="47">
        <v>45</v>
      </c>
      <c r="K27" s="8" t="s">
        <v>57</v>
      </c>
      <c r="L27" s="8" t="s">
        <v>925</v>
      </c>
      <c r="M27" s="8" t="s">
        <v>0</v>
      </c>
      <c r="N27" s="47" t="s">
        <v>932</v>
      </c>
      <c r="O27" s="107">
        <v>4</v>
      </c>
      <c r="P27" s="8" t="s">
        <v>60</v>
      </c>
      <c r="Q27" s="8" t="s">
        <v>881</v>
      </c>
      <c r="R27" s="47" t="s">
        <v>0</v>
      </c>
      <c r="S27" s="8">
        <v>35</v>
      </c>
      <c r="T27" s="8" t="s">
        <v>69</v>
      </c>
      <c r="U27" s="8" t="s">
        <v>933</v>
      </c>
      <c r="V27" s="8" t="s">
        <v>900</v>
      </c>
      <c r="W27" s="8" t="s">
        <v>1</v>
      </c>
      <c r="X27" s="47" t="s">
        <v>901</v>
      </c>
      <c r="Y27" s="8" t="s">
        <v>902</v>
      </c>
      <c r="Z27" s="47" t="s">
        <v>0</v>
      </c>
      <c r="AA27" s="47" t="s">
        <v>0</v>
      </c>
      <c r="AB27" s="46">
        <v>0.48</v>
      </c>
      <c r="AC27" s="46"/>
      <c r="AD27" s="139">
        <v>14.9</v>
      </c>
      <c r="AE27" s="46" t="s">
        <v>0</v>
      </c>
      <c r="AF27" s="150">
        <v>0</v>
      </c>
      <c r="AG27" s="46" t="s">
        <v>0</v>
      </c>
      <c r="AH27" s="46" t="s">
        <v>0</v>
      </c>
      <c r="AI27" s="112" t="s">
        <v>0</v>
      </c>
      <c r="AJ27" s="148" t="s">
        <v>0</v>
      </c>
      <c r="AK27" s="125">
        <f>AD27/100*AB27</f>
        <v>7.152E-2</v>
      </c>
      <c r="AL27" s="125" t="s">
        <v>0</v>
      </c>
      <c r="AM27" s="125">
        <f t="shared" si="3"/>
        <v>0</v>
      </c>
      <c r="AN27" s="154" t="s">
        <v>0</v>
      </c>
      <c r="AO27" s="125">
        <f t="shared" si="1"/>
        <v>1.788E-2</v>
      </c>
      <c r="AP27" s="125" t="s">
        <v>0</v>
      </c>
      <c r="AQ27" s="125">
        <f t="shared" si="2"/>
        <v>0</v>
      </c>
      <c r="AR27" s="68" t="s">
        <v>0</v>
      </c>
      <c r="AS27" s="46" t="s">
        <v>64</v>
      </c>
      <c r="AT27" s="46"/>
      <c r="AU27" s="46"/>
    </row>
    <row r="28" spans="1:47" x14ac:dyDescent="0.25">
      <c r="A28" s="47" t="s">
        <v>1581</v>
      </c>
      <c r="B28" s="8" t="s">
        <v>55</v>
      </c>
      <c r="C28" s="47" t="s">
        <v>896</v>
      </c>
      <c r="D28" s="8" t="s">
        <v>875</v>
      </c>
      <c r="E28" s="8" t="s">
        <v>876</v>
      </c>
      <c r="F28" s="8" t="s">
        <v>69</v>
      </c>
      <c r="G28" s="8" t="s">
        <v>69</v>
      </c>
      <c r="H28" s="8" t="s">
        <v>0</v>
      </c>
      <c r="I28" s="8">
        <v>4.5</v>
      </c>
      <c r="J28" s="47">
        <v>45</v>
      </c>
      <c r="K28" s="8" t="s">
        <v>57</v>
      </c>
      <c r="L28" s="8" t="s">
        <v>925</v>
      </c>
      <c r="M28" s="8" t="s">
        <v>0</v>
      </c>
      <c r="N28" s="47" t="s">
        <v>934</v>
      </c>
      <c r="O28" s="107">
        <v>1</v>
      </c>
      <c r="P28" s="8" t="s">
        <v>60</v>
      </c>
      <c r="Q28" s="8" t="s">
        <v>881</v>
      </c>
      <c r="R28" s="47" t="s">
        <v>0</v>
      </c>
      <c r="S28" s="8">
        <v>35</v>
      </c>
      <c r="T28" s="8" t="s">
        <v>69</v>
      </c>
      <c r="U28" s="8" t="s">
        <v>935</v>
      </c>
      <c r="V28" s="8" t="s">
        <v>900</v>
      </c>
      <c r="W28" s="8" t="s">
        <v>1</v>
      </c>
      <c r="X28" s="47" t="s">
        <v>901</v>
      </c>
      <c r="Y28" s="8" t="s">
        <v>902</v>
      </c>
      <c r="Z28" s="47" t="s">
        <v>0</v>
      </c>
      <c r="AA28" s="47" t="s">
        <v>0</v>
      </c>
      <c r="AB28" s="46">
        <v>0.1</v>
      </c>
      <c r="AC28" s="46"/>
      <c r="AD28" s="139">
        <v>15.7</v>
      </c>
      <c r="AE28" s="46" t="s">
        <v>0</v>
      </c>
      <c r="AF28" s="150">
        <v>0</v>
      </c>
      <c r="AG28" s="46" t="s">
        <v>0</v>
      </c>
      <c r="AH28" s="46" t="s">
        <v>0</v>
      </c>
      <c r="AI28" s="112" t="s">
        <v>0</v>
      </c>
      <c r="AJ28" s="148" t="s">
        <v>0</v>
      </c>
      <c r="AK28" s="125">
        <f>AD28/100*AB28</f>
        <v>1.5700000000000002E-2</v>
      </c>
      <c r="AL28" s="125" t="s">
        <v>0</v>
      </c>
      <c r="AM28" s="125">
        <f t="shared" si="3"/>
        <v>0</v>
      </c>
      <c r="AN28" s="154" t="s">
        <v>0</v>
      </c>
      <c r="AO28" s="125">
        <f t="shared" si="1"/>
        <v>1.5700000000000002E-2</v>
      </c>
      <c r="AP28" s="125" t="s">
        <v>0</v>
      </c>
      <c r="AQ28" s="125">
        <f t="shared" si="2"/>
        <v>0</v>
      </c>
      <c r="AR28" s="68" t="s">
        <v>0</v>
      </c>
      <c r="AS28" s="46" t="s">
        <v>64</v>
      </c>
      <c r="AT28" s="46"/>
      <c r="AU28" s="46"/>
    </row>
    <row r="29" spans="1:47" x14ac:dyDescent="0.25">
      <c r="A29" s="43" t="s">
        <v>1582</v>
      </c>
      <c r="B29" s="4" t="s">
        <v>55</v>
      </c>
      <c r="C29" s="43" t="s">
        <v>936</v>
      </c>
      <c r="D29" s="4" t="s">
        <v>937</v>
      </c>
      <c r="E29" s="4" t="s">
        <v>938</v>
      </c>
      <c r="F29" s="4" t="s">
        <v>69</v>
      </c>
      <c r="G29" s="4" t="s">
        <v>939</v>
      </c>
      <c r="H29" s="4" t="s">
        <v>940</v>
      </c>
      <c r="I29" s="4">
        <v>1.4</v>
      </c>
      <c r="J29" s="131">
        <v>60</v>
      </c>
      <c r="K29" s="4" t="s">
        <v>72</v>
      </c>
      <c r="L29" s="4" t="s">
        <v>941</v>
      </c>
      <c r="M29" s="4" t="s">
        <v>0</v>
      </c>
      <c r="N29" s="43" t="s">
        <v>942</v>
      </c>
      <c r="O29" s="108">
        <v>12.9</v>
      </c>
      <c r="P29" s="4" t="s">
        <v>60</v>
      </c>
      <c r="Q29" s="4" t="s">
        <v>943</v>
      </c>
      <c r="R29" s="43" t="s">
        <v>0</v>
      </c>
      <c r="S29" s="4">
        <v>40</v>
      </c>
      <c r="T29" s="4" t="s">
        <v>69</v>
      </c>
      <c r="U29" s="4">
        <v>5.7</v>
      </c>
      <c r="V29" s="4" t="s">
        <v>148</v>
      </c>
      <c r="W29" s="4">
        <v>2</v>
      </c>
      <c r="X29" s="43" t="s">
        <v>944</v>
      </c>
      <c r="Y29" s="4" t="s">
        <v>558</v>
      </c>
      <c r="Z29" s="43" t="s">
        <v>1584</v>
      </c>
      <c r="AA29" s="43" t="s">
        <v>945</v>
      </c>
      <c r="AB29" s="42" t="s">
        <v>946</v>
      </c>
      <c r="AC29" s="42"/>
      <c r="AD29" s="138" t="s">
        <v>947</v>
      </c>
      <c r="AE29" s="42" t="s">
        <v>948</v>
      </c>
      <c r="AF29" s="149">
        <v>0</v>
      </c>
      <c r="AG29" s="42" t="s">
        <v>0</v>
      </c>
      <c r="AH29" s="42" t="s">
        <v>0</v>
      </c>
      <c r="AI29" s="42" t="s">
        <v>0</v>
      </c>
      <c r="AJ29" s="149" t="s">
        <v>0</v>
      </c>
      <c r="AK29" s="126">
        <f>0.04*19.6*8*32/116</f>
        <v>1.7302068965517241</v>
      </c>
      <c r="AL29" s="126">
        <f>0.01*19.6*11*32/144</f>
        <v>0.47911111111111115</v>
      </c>
      <c r="AM29" s="126">
        <v>0</v>
      </c>
      <c r="AN29" s="155" t="s">
        <v>0</v>
      </c>
      <c r="AO29" s="126">
        <f t="shared" si="1"/>
        <v>0.13412456562416467</v>
      </c>
      <c r="AP29" s="126">
        <f t="shared" ref="AP29:AP43" si="5">AL29/O29</f>
        <v>3.7140396210163656E-2</v>
      </c>
      <c r="AQ29" s="126">
        <v>0</v>
      </c>
      <c r="AR29" s="43" t="s">
        <v>0</v>
      </c>
      <c r="AS29" s="42" t="s">
        <v>69</v>
      </c>
      <c r="AT29" s="42"/>
      <c r="AU29" s="42"/>
    </row>
    <row r="30" spans="1:47" x14ac:dyDescent="0.25">
      <c r="A30" s="43" t="s">
        <v>1582</v>
      </c>
      <c r="B30" s="4" t="s">
        <v>55</v>
      </c>
      <c r="C30" s="43" t="s">
        <v>936</v>
      </c>
      <c r="D30" s="4" t="s">
        <v>949</v>
      </c>
      <c r="E30" s="4" t="s">
        <v>938</v>
      </c>
      <c r="F30" s="4" t="s">
        <v>69</v>
      </c>
      <c r="G30" s="4" t="s">
        <v>939</v>
      </c>
      <c r="H30" s="4" t="s">
        <v>940</v>
      </c>
      <c r="I30" s="4">
        <v>1.4</v>
      </c>
      <c r="J30" s="131">
        <v>120</v>
      </c>
      <c r="K30" s="4" t="s">
        <v>72</v>
      </c>
      <c r="L30" s="4" t="s">
        <v>941</v>
      </c>
      <c r="M30" s="4" t="s">
        <v>0</v>
      </c>
      <c r="N30" s="43" t="s">
        <v>950</v>
      </c>
      <c r="O30" s="108">
        <v>16</v>
      </c>
      <c r="P30" s="4" t="s">
        <v>60</v>
      </c>
      <c r="Q30" s="4" t="s">
        <v>943</v>
      </c>
      <c r="R30" s="43" t="s">
        <v>0</v>
      </c>
      <c r="S30" s="4">
        <v>40</v>
      </c>
      <c r="T30" s="4" t="s">
        <v>69</v>
      </c>
      <c r="U30" s="4">
        <v>5.6</v>
      </c>
      <c r="V30" s="4" t="s">
        <v>148</v>
      </c>
      <c r="W30" s="4">
        <v>2</v>
      </c>
      <c r="X30" s="43" t="s">
        <v>944</v>
      </c>
      <c r="Y30" s="4" t="s">
        <v>8</v>
      </c>
      <c r="Z30" s="43" t="s">
        <v>1584</v>
      </c>
      <c r="AA30" s="43" t="s">
        <v>945</v>
      </c>
      <c r="AB30" s="42" t="s">
        <v>951</v>
      </c>
      <c r="AC30" s="42"/>
      <c r="AD30" s="138" t="s">
        <v>952</v>
      </c>
      <c r="AE30" s="42" t="s">
        <v>953</v>
      </c>
      <c r="AF30" s="149">
        <v>0</v>
      </c>
      <c r="AG30" s="42" t="s">
        <v>0</v>
      </c>
      <c r="AH30" s="42" t="s">
        <v>0</v>
      </c>
      <c r="AI30" s="113" t="s">
        <v>0</v>
      </c>
      <c r="AJ30" s="149" t="s">
        <v>0</v>
      </c>
      <c r="AK30" s="126">
        <f>17.8*0.08*8*32/116</f>
        <v>3.1426206896551729</v>
      </c>
      <c r="AL30" s="126">
        <f>17.8*0.02*11*32/144</f>
        <v>0.87022222222222234</v>
      </c>
      <c r="AM30" s="126">
        <v>0</v>
      </c>
      <c r="AN30" s="155" t="s">
        <v>0</v>
      </c>
      <c r="AO30" s="126">
        <f t="shared" si="1"/>
        <v>0.19641379310344831</v>
      </c>
      <c r="AP30" s="126">
        <f t="shared" si="5"/>
        <v>5.4388888888888896E-2</v>
      </c>
      <c r="AQ30" s="126">
        <v>0</v>
      </c>
      <c r="AR30" s="43" t="s">
        <v>0</v>
      </c>
      <c r="AS30" s="42" t="s">
        <v>69</v>
      </c>
      <c r="AT30" s="42"/>
      <c r="AU30" s="42"/>
    </row>
    <row r="31" spans="1:47" x14ac:dyDescent="0.25">
      <c r="A31" s="43" t="s">
        <v>1582</v>
      </c>
      <c r="B31" s="4" t="s">
        <v>55</v>
      </c>
      <c r="C31" s="43" t="s">
        <v>936</v>
      </c>
      <c r="D31" s="4" t="s">
        <v>949</v>
      </c>
      <c r="E31" s="4" t="s">
        <v>938</v>
      </c>
      <c r="F31" s="4" t="s">
        <v>69</v>
      </c>
      <c r="G31" s="4" t="s">
        <v>939</v>
      </c>
      <c r="H31" s="4" t="s">
        <v>940</v>
      </c>
      <c r="I31" s="4">
        <v>1.4</v>
      </c>
      <c r="J31" s="131">
        <v>300</v>
      </c>
      <c r="K31" s="4" t="s">
        <v>72</v>
      </c>
      <c r="L31" s="4" t="s">
        <v>954</v>
      </c>
      <c r="M31" s="4" t="s">
        <v>0</v>
      </c>
      <c r="N31" s="43" t="s">
        <v>955</v>
      </c>
      <c r="O31" s="108">
        <v>20</v>
      </c>
      <c r="P31" s="4" t="s">
        <v>60</v>
      </c>
      <c r="Q31" s="4" t="s">
        <v>943</v>
      </c>
      <c r="R31" s="43" t="s">
        <v>0</v>
      </c>
      <c r="S31" s="4">
        <v>40</v>
      </c>
      <c r="T31" s="4" t="s">
        <v>69</v>
      </c>
      <c r="U31" s="4">
        <v>5.9</v>
      </c>
      <c r="V31" s="4" t="s">
        <v>148</v>
      </c>
      <c r="W31" s="4">
        <v>2</v>
      </c>
      <c r="X31" s="43" t="s">
        <v>944</v>
      </c>
      <c r="Y31" s="4" t="s">
        <v>8</v>
      </c>
      <c r="Z31" s="43" t="s">
        <v>1584</v>
      </c>
      <c r="AA31" s="43" t="s">
        <v>945</v>
      </c>
      <c r="AB31" s="42" t="s">
        <v>956</v>
      </c>
      <c r="AC31" s="42"/>
      <c r="AD31" s="138" t="s">
        <v>957</v>
      </c>
      <c r="AE31" s="42" t="s">
        <v>958</v>
      </c>
      <c r="AF31" s="149">
        <v>0</v>
      </c>
      <c r="AG31" s="42" t="s">
        <v>0</v>
      </c>
      <c r="AH31" s="42" t="s">
        <v>0</v>
      </c>
      <c r="AI31" s="113" t="s">
        <v>0</v>
      </c>
      <c r="AJ31" s="149" t="s">
        <v>0</v>
      </c>
      <c r="AK31" s="126">
        <f>16.8*0.11*8*32/116</f>
        <v>4.0783448275862071</v>
      </c>
      <c r="AL31" s="126">
        <f>16.8*0.02*11*32/144</f>
        <v>0.82133333333333336</v>
      </c>
      <c r="AM31" s="126">
        <v>0</v>
      </c>
      <c r="AN31" s="155" t="s">
        <v>0</v>
      </c>
      <c r="AO31" s="126">
        <f t="shared" si="1"/>
        <v>0.20391724137931036</v>
      </c>
      <c r="AP31" s="126">
        <f t="shared" si="5"/>
        <v>4.1066666666666668E-2</v>
      </c>
      <c r="AQ31" s="126">
        <v>0</v>
      </c>
      <c r="AR31" s="43" t="s">
        <v>0</v>
      </c>
      <c r="AS31" s="42" t="s">
        <v>69</v>
      </c>
      <c r="AT31" s="42"/>
      <c r="AU31" s="42"/>
    </row>
    <row r="32" spans="1:47" x14ac:dyDescent="0.25">
      <c r="A32" s="43" t="s">
        <v>1582</v>
      </c>
      <c r="B32" s="4" t="s">
        <v>55</v>
      </c>
      <c r="C32" s="43" t="s">
        <v>936</v>
      </c>
      <c r="D32" s="4" t="s">
        <v>959</v>
      </c>
      <c r="E32" s="4" t="s">
        <v>938</v>
      </c>
      <c r="F32" s="4" t="s">
        <v>69</v>
      </c>
      <c r="G32" s="4" t="s">
        <v>939</v>
      </c>
      <c r="H32" s="4" t="s">
        <v>940</v>
      </c>
      <c r="I32" s="4">
        <v>1.4</v>
      </c>
      <c r="J32" s="131">
        <v>120</v>
      </c>
      <c r="K32" s="4" t="s">
        <v>72</v>
      </c>
      <c r="L32" s="4" t="s">
        <v>960</v>
      </c>
      <c r="M32" s="4" t="s">
        <v>0</v>
      </c>
      <c r="N32" s="43" t="s">
        <v>961</v>
      </c>
      <c r="O32" s="108">
        <v>25</v>
      </c>
      <c r="P32" s="4" t="s">
        <v>60</v>
      </c>
      <c r="Q32" s="4" t="s">
        <v>943</v>
      </c>
      <c r="R32" s="43" t="s">
        <v>0</v>
      </c>
      <c r="S32" s="4">
        <v>40</v>
      </c>
      <c r="T32" s="4" t="s">
        <v>69</v>
      </c>
      <c r="U32" s="4">
        <v>5.8</v>
      </c>
      <c r="V32" s="4" t="s">
        <v>148</v>
      </c>
      <c r="W32" s="4">
        <v>2</v>
      </c>
      <c r="X32" s="43" t="s">
        <v>944</v>
      </c>
      <c r="Y32" s="4" t="s">
        <v>10</v>
      </c>
      <c r="Z32" s="43" t="s">
        <v>1584</v>
      </c>
      <c r="AA32" s="43" t="s">
        <v>945</v>
      </c>
      <c r="AB32" s="42" t="s">
        <v>962</v>
      </c>
      <c r="AC32" s="42"/>
      <c r="AD32" s="138" t="s">
        <v>963</v>
      </c>
      <c r="AE32" s="42" t="s">
        <v>964</v>
      </c>
      <c r="AF32" s="149">
        <v>0</v>
      </c>
      <c r="AG32" s="42" t="s">
        <v>0</v>
      </c>
      <c r="AH32" s="42" t="s">
        <v>0</v>
      </c>
      <c r="AI32" s="113" t="s">
        <v>0</v>
      </c>
      <c r="AJ32" s="149" t="s">
        <v>0</v>
      </c>
      <c r="AK32" s="126">
        <f>20.2*0.09*8*32/116</f>
        <v>4.0121379310344825</v>
      </c>
      <c r="AL32" s="126">
        <f>20.2*0.03*11*32/144</f>
        <v>1.4813333333333332</v>
      </c>
      <c r="AM32" s="126">
        <v>0</v>
      </c>
      <c r="AN32" s="155" t="s">
        <v>0</v>
      </c>
      <c r="AO32" s="126">
        <f t="shared" si="1"/>
        <v>0.1604855172413793</v>
      </c>
      <c r="AP32" s="126">
        <f t="shared" si="5"/>
        <v>5.9253333333333325E-2</v>
      </c>
      <c r="AQ32" s="126">
        <v>0</v>
      </c>
      <c r="AR32" s="43" t="s">
        <v>0</v>
      </c>
      <c r="AS32" s="42" t="s">
        <v>69</v>
      </c>
      <c r="AT32" s="42"/>
      <c r="AU32" s="42"/>
    </row>
    <row r="33" spans="1:47" x14ac:dyDescent="0.25">
      <c r="A33" s="43" t="s">
        <v>1582</v>
      </c>
      <c r="B33" s="4" t="s">
        <v>55</v>
      </c>
      <c r="C33" s="43" t="s">
        <v>936</v>
      </c>
      <c r="D33" s="4" t="s">
        <v>959</v>
      </c>
      <c r="E33" s="4" t="s">
        <v>938</v>
      </c>
      <c r="F33" s="4" t="s">
        <v>69</v>
      </c>
      <c r="G33" s="4" t="s">
        <v>939</v>
      </c>
      <c r="H33" s="4" t="s">
        <v>940</v>
      </c>
      <c r="I33" s="4">
        <v>1.5</v>
      </c>
      <c r="J33" s="131">
        <v>300</v>
      </c>
      <c r="K33" s="4" t="s">
        <v>72</v>
      </c>
      <c r="L33" s="4" t="s">
        <v>954</v>
      </c>
      <c r="M33" s="4" t="s">
        <v>0</v>
      </c>
      <c r="N33" s="43" t="s">
        <v>965</v>
      </c>
      <c r="O33" s="108">
        <v>24</v>
      </c>
      <c r="P33" s="4" t="s">
        <v>60</v>
      </c>
      <c r="Q33" s="4" t="s">
        <v>943</v>
      </c>
      <c r="R33" s="43" t="s">
        <v>0</v>
      </c>
      <c r="S33" s="4">
        <v>40</v>
      </c>
      <c r="T33" s="4" t="s">
        <v>69</v>
      </c>
      <c r="U33" s="4">
        <v>5.9</v>
      </c>
      <c r="V33" s="4" t="s">
        <v>148</v>
      </c>
      <c r="W33" s="4">
        <v>2</v>
      </c>
      <c r="X33" s="43" t="s">
        <v>944</v>
      </c>
      <c r="Y33" s="4" t="s">
        <v>10</v>
      </c>
      <c r="Z33" s="43" t="s">
        <v>966</v>
      </c>
      <c r="AA33" s="43" t="s">
        <v>945</v>
      </c>
      <c r="AB33" s="42" t="s">
        <v>967</v>
      </c>
      <c r="AC33" s="42"/>
      <c r="AD33" s="138" t="s">
        <v>968</v>
      </c>
      <c r="AE33" s="42" t="s">
        <v>969</v>
      </c>
      <c r="AF33" s="149">
        <v>0</v>
      </c>
      <c r="AG33" s="42" t="s">
        <v>0</v>
      </c>
      <c r="AH33" s="42" t="s">
        <v>0</v>
      </c>
      <c r="AI33" s="113" t="s">
        <v>0</v>
      </c>
      <c r="AJ33" s="149" t="s">
        <v>0</v>
      </c>
      <c r="AK33" s="126">
        <f>19.5*0.12*8*32/116</f>
        <v>5.1641379310344826</v>
      </c>
      <c r="AL33" s="126">
        <f>19.5*0.035*11*32/144</f>
        <v>1.6683333333333337</v>
      </c>
      <c r="AM33" s="126">
        <v>0</v>
      </c>
      <c r="AN33" s="155" t="s">
        <v>0</v>
      </c>
      <c r="AO33" s="126">
        <f t="shared" si="1"/>
        <v>0.21517241379310345</v>
      </c>
      <c r="AP33" s="126">
        <f t="shared" si="5"/>
        <v>6.9513888888888903E-2</v>
      </c>
      <c r="AQ33" s="126">
        <v>0</v>
      </c>
      <c r="AR33" s="43" t="s">
        <v>0</v>
      </c>
      <c r="AS33" s="42" t="s">
        <v>69</v>
      </c>
      <c r="AT33" s="42"/>
      <c r="AU33" s="42"/>
    </row>
    <row r="34" spans="1:47" x14ac:dyDescent="0.25">
      <c r="A34" s="43" t="s">
        <v>1582</v>
      </c>
      <c r="B34" s="4" t="s">
        <v>55</v>
      </c>
      <c r="C34" s="43" t="s">
        <v>936</v>
      </c>
      <c r="D34" s="4" t="s">
        <v>959</v>
      </c>
      <c r="E34" s="4" t="s">
        <v>938</v>
      </c>
      <c r="F34" s="4" t="s">
        <v>69</v>
      </c>
      <c r="G34" s="4" t="s">
        <v>939</v>
      </c>
      <c r="H34" s="4" t="s">
        <v>940</v>
      </c>
      <c r="I34" s="4">
        <v>1.2</v>
      </c>
      <c r="J34" s="131">
        <v>140</v>
      </c>
      <c r="K34" s="4" t="s">
        <v>72</v>
      </c>
      <c r="L34" s="4" t="s">
        <v>970</v>
      </c>
      <c r="M34" s="4" t="s">
        <v>0</v>
      </c>
      <c r="N34" s="43" t="s">
        <v>971</v>
      </c>
      <c r="O34" s="108">
        <v>16</v>
      </c>
      <c r="P34" s="4" t="s">
        <v>60</v>
      </c>
      <c r="Q34" s="4" t="s">
        <v>943</v>
      </c>
      <c r="R34" s="43" t="s">
        <v>0</v>
      </c>
      <c r="S34" s="4">
        <v>40</v>
      </c>
      <c r="T34" s="4" t="s">
        <v>69</v>
      </c>
      <c r="U34" s="4">
        <v>6.3</v>
      </c>
      <c r="V34" s="4" t="s">
        <v>148</v>
      </c>
      <c r="W34" s="4">
        <v>2</v>
      </c>
      <c r="X34" s="43" t="s">
        <v>944</v>
      </c>
      <c r="Y34" s="4" t="s">
        <v>8</v>
      </c>
      <c r="Z34" s="43" t="s">
        <v>972</v>
      </c>
      <c r="AA34" s="43" t="s">
        <v>945</v>
      </c>
      <c r="AB34" s="42" t="s">
        <v>973</v>
      </c>
      <c r="AC34" s="42"/>
      <c r="AD34" s="138" t="s">
        <v>974</v>
      </c>
      <c r="AE34" s="42" t="s">
        <v>953</v>
      </c>
      <c r="AF34" s="149">
        <v>0</v>
      </c>
      <c r="AG34" s="42" t="s">
        <v>0</v>
      </c>
      <c r="AH34" s="42" t="s">
        <v>0</v>
      </c>
      <c r="AI34" s="113" t="s">
        <v>0</v>
      </c>
      <c r="AJ34" s="149" t="s">
        <v>0</v>
      </c>
      <c r="AK34" s="126">
        <f>18.7*0.1*8*32/116</f>
        <v>4.1268965517241378</v>
      </c>
      <c r="AL34" s="126">
        <f>18.7*0.02*11*32/144</f>
        <v>0.91422222222222216</v>
      </c>
      <c r="AM34" s="126">
        <v>0</v>
      </c>
      <c r="AN34" s="155" t="s">
        <v>0</v>
      </c>
      <c r="AO34" s="126">
        <f t="shared" si="1"/>
        <v>0.25793103448275861</v>
      </c>
      <c r="AP34" s="126">
        <f t="shared" si="5"/>
        <v>5.7138888888888885E-2</v>
      </c>
      <c r="AQ34" s="126">
        <v>0</v>
      </c>
      <c r="AR34" s="43" t="s">
        <v>0</v>
      </c>
      <c r="AS34" s="42" t="s">
        <v>69</v>
      </c>
      <c r="AT34" s="42"/>
      <c r="AU34" s="42"/>
    </row>
    <row r="35" spans="1:47" x14ac:dyDescent="0.25">
      <c r="A35" s="43" t="s">
        <v>1582</v>
      </c>
      <c r="B35" s="4" t="s">
        <v>55</v>
      </c>
      <c r="C35" s="43" t="s">
        <v>936</v>
      </c>
      <c r="D35" s="4" t="s">
        <v>959</v>
      </c>
      <c r="E35" s="4" t="s">
        <v>938</v>
      </c>
      <c r="F35" s="4" t="s">
        <v>69</v>
      </c>
      <c r="G35" s="4" t="s">
        <v>939</v>
      </c>
      <c r="H35" s="4" t="s">
        <v>940</v>
      </c>
      <c r="I35" s="4">
        <v>1.2</v>
      </c>
      <c r="J35" s="131">
        <v>100</v>
      </c>
      <c r="K35" s="4" t="s">
        <v>72</v>
      </c>
      <c r="L35" s="4" t="s">
        <v>975</v>
      </c>
      <c r="M35" s="4" t="s">
        <v>0</v>
      </c>
      <c r="N35" s="43" t="s">
        <v>971</v>
      </c>
      <c r="O35" s="108">
        <v>14</v>
      </c>
      <c r="P35" s="4" t="s">
        <v>60</v>
      </c>
      <c r="Q35" s="4" t="s">
        <v>943</v>
      </c>
      <c r="R35" s="43" t="s">
        <v>0</v>
      </c>
      <c r="S35" s="4">
        <v>40</v>
      </c>
      <c r="T35" s="4" t="s">
        <v>69</v>
      </c>
      <c r="U35" s="4">
        <v>6.2</v>
      </c>
      <c r="V35" s="4" t="s">
        <v>148</v>
      </c>
      <c r="W35" s="4">
        <v>2</v>
      </c>
      <c r="X35" s="43" t="s">
        <v>944</v>
      </c>
      <c r="Y35" s="4" t="s">
        <v>10</v>
      </c>
      <c r="Z35" s="43" t="s">
        <v>1584</v>
      </c>
      <c r="AA35" s="43" t="s">
        <v>945</v>
      </c>
      <c r="AB35" s="42" t="s">
        <v>976</v>
      </c>
      <c r="AC35" s="42"/>
      <c r="AD35" s="138" t="s">
        <v>977</v>
      </c>
      <c r="AE35" s="42" t="s">
        <v>948</v>
      </c>
      <c r="AF35" s="149">
        <v>0</v>
      </c>
      <c r="AG35" s="42" t="s">
        <v>0</v>
      </c>
      <c r="AH35" s="42" t="s">
        <v>0</v>
      </c>
      <c r="AI35" s="113" t="s">
        <v>0</v>
      </c>
      <c r="AJ35" s="149" t="s">
        <v>0</v>
      </c>
      <c r="AK35" s="126">
        <f>20.4*0.09*8*32/116</f>
        <v>4.0518620689655167</v>
      </c>
      <c r="AL35" s="126">
        <f>20.4*0.01*11*32/144</f>
        <v>0.49866666666666659</v>
      </c>
      <c r="AM35" s="126">
        <v>0</v>
      </c>
      <c r="AN35" s="155" t="s">
        <v>0</v>
      </c>
      <c r="AO35" s="126">
        <f t="shared" si="1"/>
        <v>0.28941871921182261</v>
      </c>
      <c r="AP35" s="126">
        <f t="shared" si="5"/>
        <v>3.5619047619047613E-2</v>
      </c>
      <c r="AQ35" s="126">
        <v>0</v>
      </c>
      <c r="AR35" s="43" t="s">
        <v>0</v>
      </c>
      <c r="AS35" s="42" t="s">
        <v>69</v>
      </c>
      <c r="AT35" s="42"/>
      <c r="AU35" s="42"/>
    </row>
    <row r="36" spans="1:47" x14ac:dyDescent="0.25">
      <c r="A36" s="43" t="s">
        <v>1582</v>
      </c>
      <c r="B36" s="4" t="s">
        <v>55</v>
      </c>
      <c r="C36" s="43" t="s">
        <v>936</v>
      </c>
      <c r="D36" s="4" t="s">
        <v>959</v>
      </c>
      <c r="E36" s="4" t="s">
        <v>938</v>
      </c>
      <c r="F36" s="4" t="s">
        <v>69</v>
      </c>
      <c r="G36" s="4" t="s">
        <v>939</v>
      </c>
      <c r="H36" s="4" t="s">
        <v>940</v>
      </c>
      <c r="I36" s="4">
        <v>1.2</v>
      </c>
      <c r="J36" s="131">
        <v>100</v>
      </c>
      <c r="K36" s="4" t="s">
        <v>72</v>
      </c>
      <c r="L36" s="4" t="s">
        <v>975</v>
      </c>
      <c r="M36" s="4" t="s">
        <v>0</v>
      </c>
      <c r="N36" s="43" t="s">
        <v>971</v>
      </c>
      <c r="O36" s="108">
        <v>12</v>
      </c>
      <c r="P36" s="4" t="s">
        <v>60</v>
      </c>
      <c r="Q36" s="4" t="s">
        <v>943</v>
      </c>
      <c r="R36" s="43" t="s">
        <v>0</v>
      </c>
      <c r="S36" s="4">
        <v>40</v>
      </c>
      <c r="T36" s="4" t="s">
        <v>69</v>
      </c>
      <c r="U36" s="4">
        <v>6.1</v>
      </c>
      <c r="V36" s="4" t="s">
        <v>148</v>
      </c>
      <c r="W36" s="4">
        <v>2</v>
      </c>
      <c r="X36" s="43" t="s">
        <v>944</v>
      </c>
      <c r="Y36" s="4" t="s">
        <v>10</v>
      </c>
      <c r="Z36" s="43" t="s">
        <v>1584</v>
      </c>
      <c r="AA36" s="43" t="s">
        <v>945</v>
      </c>
      <c r="AB36" s="42" t="s">
        <v>978</v>
      </c>
      <c r="AC36" s="42"/>
      <c r="AD36" s="138" t="s">
        <v>979</v>
      </c>
      <c r="AE36" s="42" t="s">
        <v>980</v>
      </c>
      <c r="AF36" s="149">
        <v>0</v>
      </c>
      <c r="AG36" s="42" t="s">
        <v>0</v>
      </c>
      <c r="AH36" s="42" t="s">
        <v>0</v>
      </c>
      <c r="AI36" s="113" t="s">
        <v>0</v>
      </c>
      <c r="AJ36" s="149" t="s">
        <v>0</v>
      </c>
      <c r="AK36" s="126">
        <f>20.4*0.08*8*32/116</f>
        <v>3.6016551724137931</v>
      </c>
      <c r="AL36" s="126">
        <f>20.4*0.01*11*32/144</f>
        <v>0.49866666666666659</v>
      </c>
      <c r="AM36" s="126">
        <v>0</v>
      </c>
      <c r="AN36" s="155" t="s">
        <v>0</v>
      </c>
      <c r="AO36" s="126">
        <f t="shared" si="1"/>
        <v>0.30013793103448277</v>
      </c>
      <c r="AP36" s="126">
        <f t="shared" si="5"/>
        <v>4.1555555555555547E-2</v>
      </c>
      <c r="AQ36" s="126">
        <v>0</v>
      </c>
      <c r="AR36" s="43" t="s">
        <v>0</v>
      </c>
      <c r="AS36" s="42" t="s">
        <v>69</v>
      </c>
      <c r="AT36" s="42"/>
      <c r="AU36" s="42"/>
    </row>
    <row r="37" spans="1:47" x14ac:dyDescent="0.25">
      <c r="A37" s="43" t="s">
        <v>1582</v>
      </c>
      <c r="B37" s="4" t="s">
        <v>55</v>
      </c>
      <c r="C37" s="43" t="s">
        <v>936</v>
      </c>
      <c r="D37" s="4" t="s">
        <v>959</v>
      </c>
      <c r="E37" s="4" t="s">
        <v>938</v>
      </c>
      <c r="F37" s="4" t="s">
        <v>69</v>
      </c>
      <c r="G37" s="4" t="s">
        <v>939</v>
      </c>
      <c r="H37" s="4" t="s">
        <v>940</v>
      </c>
      <c r="I37" s="4">
        <v>1.2</v>
      </c>
      <c r="J37" s="131">
        <v>130</v>
      </c>
      <c r="K37" s="4" t="s">
        <v>72</v>
      </c>
      <c r="L37" s="4" t="s">
        <v>975</v>
      </c>
      <c r="M37" s="4" t="s">
        <v>0</v>
      </c>
      <c r="N37" s="43" t="s">
        <v>981</v>
      </c>
      <c r="O37" s="108">
        <v>10.6</v>
      </c>
      <c r="P37" s="4" t="s">
        <v>60</v>
      </c>
      <c r="Q37" s="4" t="s">
        <v>943</v>
      </c>
      <c r="R37" s="43" t="s">
        <v>0</v>
      </c>
      <c r="S37" s="4">
        <v>40</v>
      </c>
      <c r="T37" s="4" t="s">
        <v>69</v>
      </c>
      <c r="U37" s="4">
        <v>6.6</v>
      </c>
      <c r="V37" s="4" t="s">
        <v>148</v>
      </c>
      <c r="W37" s="4">
        <v>2</v>
      </c>
      <c r="X37" s="43" t="s">
        <v>944</v>
      </c>
      <c r="Y37" s="4" t="s">
        <v>10</v>
      </c>
      <c r="Z37" s="43" t="s">
        <v>982</v>
      </c>
      <c r="AA37" s="43" t="s">
        <v>945</v>
      </c>
      <c r="AB37" s="42" t="s">
        <v>983</v>
      </c>
      <c r="AC37" s="42"/>
      <c r="AD37" s="138" t="s">
        <v>984</v>
      </c>
      <c r="AE37" s="42" t="s">
        <v>985</v>
      </c>
      <c r="AF37" s="149">
        <v>0</v>
      </c>
      <c r="AG37" s="42" t="s">
        <v>0</v>
      </c>
      <c r="AH37" s="42" t="s">
        <v>0</v>
      </c>
      <c r="AI37" s="113" t="s">
        <v>0</v>
      </c>
      <c r="AJ37" s="149" t="s">
        <v>0</v>
      </c>
      <c r="AK37" s="126">
        <f>16.4*0.09*8*32/116</f>
        <v>3.257379310344827</v>
      </c>
      <c r="AL37" s="126">
        <f>16.4*0.01*11*32/144</f>
        <v>0.40088888888888885</v>
      </c>
      <c r="AM37" s="126">
        <v>0</v>
      </c>
      <c r="AN37" s="155" t="s">
        <v>0</v>
      </c>
      <c r="AO37" s="126">
        <f t="shared" si="1"/>
        <v>0.30729993493819124</v>
      </c>
      <c r="AP37" s="126">
        <f t="shared" si="5"/>
        <v>3.7819706498951777E-2</v>
      </c>
      <c r="AQ37" s="126">
        <v>0</v>
      </c>
      <c r="AR37" s="43" t="s">
        <v>0</v>
      </c>
      <c r="AS37" s="42" t="s">
        <v>69</v>
      </c>
      <c r="AT37" s="42"/>
      <c r="AU37" s="42"/>
    </row>
    <row r="38" spans="1:47" x14ac:dyDescent="0.25">
      <c r="A38" s="43" t="s">
        <v>1582</v>
      </c>
      <c r="B38" s="4" t="s">
        <v>55</v>
      </c>
      <c r="C38" s="43" t="s">
        <v>936</v>
      </c>
      <c r="D38" s="4" t="s">
        <v>959</v>
      </c>
      <c r="E38" s="4" t="s">
        <v>938</v>
      </c>
      <c r="F38" s="4" t="s">
        <v>69</v>
      </c>
      <c r="G38" s="4" t="s">
        <v>939</v>
      </c>
      <c r="H38" s="4" t="s">
        <v>940</v>
      </c>
      <c r="I38" s="4">
        <v>1.2</v>
      </c>
      <c r="J38" s="131">
        <v>130</v>
      </c>
      <c r="K38" s="4" t="s">
        <v>72</v>
      </c>
      <c r="L38" s="4" t="s">
        <v>975</v>
      </c>
      <c r="M38" s="4" t="s">
        <v>0</v>
      </c>
      <c r="N38" s="43" t="s">
        <v>981</v>
      </c>
      <c r="O38" s="108">
        <v>10.4</v>
      </c>
      <c r="P38" s="4" t="s">
        <v>60</v>
      </c>
      <c r="Q38" s="4" t="s">
        <v>943</v>
      </c>
      <c r="R38" s="43" t="s">
        <v>0</v>
      </c>
      <c r="S38" s="4">
        <v>40</v>
      </c>
      <c r="T38" s="4" t="s">
        <v>69</v>
      </c>
      <c r="U38" s="4">
        <v>6.4</v>
      </c>
      <c r="V38" s="4" t="s">
        <v>148</v>
      </c>
      <c r="W38" s="4">
        <v>2</v>
      </c>
      <c r="X38" s="43" t="s">
        <v>944</v>
      </c>
      <c r="Y38" s="4" t="s">
        <v>10</v>
      </c>
      <c r="Z38" s="43" t="s">
        <v>986</v>
      </c>
      <c r="AA38" s="43" t="s">
        <v>945</v>
      </c>
      <c r="AB38" s="42" t="s">
        <v>987</v>
      </c>
      <c r="AC38" s="42"/>
      <c r="AD38" s="138" t="s">
        <v>988</v>
      </c>
      <c r="AE38" s="42" t="s">
        <v>948</v>
      </c>
      <c r="AF38" s="149">
        <v>0</v>
      </c>
      <c r="AG38" s="42" t="s">
        <v>0</v>
      </c>
      <c r="AH38" s="42" t="s">
        <v>0</v>
      </c>
      <c r="AI38" s="113" t="s">
        <v>0</v>
      </c>
      <c r="AJ38" s="149" t="s">
        <v>0</v>
      </c>
      <c r="AK38" s="126">
        <f>17.7*0.04*8*32/116</f>
        <v>1.5624827586206895</v>
      </c>
      <c r="AL38" s="126">
        <f>17.7*0.01*11*32/144</f>
        <v>0.43266666666666664</v>
      </c>
      <c r="AM38" s="126">
        <v>0</v>
      </c>
      <c r="AN38" s="155" t="s">
        <v>0</v>
      </c>
      <c r="AO38" s="126">
        <f t="shared" si="1"/>
        <v>0.15023872679045092</v>
      </c>
      <c r="AP38" s="126">
        <f t="shared" si="5"/>
        <v>4.1602564102564098E-2</v>
      </c>
      <c r="AQ38" s="126">
        <v>0</v>
      </c>
      <c r="AR38" s="43" t="s">
        <v>0</v>
      </c>
      <c r="AS38" s="42" t="s">
        <v>69</v>
      </c>
      <c r="AT38" s="42"/>
      <c r="AU38" s="42"/>
    </row>
    <row r="39" spans="1:47" x14ac:dyDescent="0.25">
      <c r="A39" s="43" t="s">
        <v>1582</v>
      </c>
      <c r="B39" s="4" t="s">
        <v>55</v>
      </c>
      <c r="C39" s="43" t="s">
        <v>936</v>
      </c>
      <c r="D39" s="4" t="s">
        <v>959</v>
      </c>
      <c r="E39" s="4" t="s">
        <v>938</v>
      </c>
      <c r="F39" s="4" t="s">
        <v>69</v>
      </c>
      <c r="G39" s="4" t="s">
        <v>939</v>
      </c>
      <c r="H39" s="4" t="s">
        <v>940</v>
      </c>
      <c r="I39" s="4">
        <v>1.2</v>
      </c>
      <c r="J39" s="131">
        <v>105</v>
      </c>
      <c r="K39" s="4" t="s">
        <v>72</v>
      </c>
      <c r="L39" s="4" t="s">
        <v>975</v>
      </c>
      <c r="M39" s="4" t="s">
        <v>0</v>
      </c>
      <c r="N39" s="43" t="s">
        <v>989</v>
      </c>
      <c r="O39" s="108">
        <v>13</v>
      </c>
      <c r="P39" s="4" t="s">
        <v>60</v>
      </c>
      <c r="Q39" s="4" t="s">
        <v>943</v>
      </c>
      <c r="R39" s="43" t="s">
        <v>0</v>
      </c>
      <c r="S39" s="4">
        <v>40</v>
      </c>
      <c r="T39" s="4" t="s">
        <v>69</v>
      </c>
      <c r="U39" s="4">
        <v>5.9</v>
      </c>
      <c r="V39" s="4" t="s">
        <v>148</v>
      </c>
      <c r="W39" s="4">
        <v>2</v>
      </c>
      <c r="X39" s="43" t="s">
        <v>944</v>
      </c>
      <c r="Y39" s="4" t="s">
        <v>10</v>
      </c>
      <c r="Z39" s="43" t="s">
        <v>990</v>
      </c>
      <c r="AA39" s="43" t="s">
        <v>945</v>
      </c>
      <c r="AB39" s="42" t="s">
        <v>991</v>
      </c>
      <c r="AC39" s="42"/>
      <c r="AD39" s="138" t="s">
        <v>992</v>
      </c>
      <c r="AE39" s="42" t="s">
        <v>993</v>
      </c>
      <c r="AF39" s="149">
        <v>0</v>
      </c>
      <c r="AG39" s="42" t="s">
        <v>0</v>
      </c>
      <c r="AH39" s="42" t="s">
        <v>0</v>
      </c>
      <c r="AI39" s="113" t="s">
        <v>0</v>
      </c>
      <c r="AJ39" s="149" t="s">
        <v>0</v>
      </c>
      <c r="AK39" s="126">
        <f>17*0.11*8*32/116</f>
        <v>4.1268965517241378</v>
      </c>
      <c r="AL39" s="126">
        <f>17*0.01*11*32/144</f>
        <v>0.41555555555555557</v>
      </c>
      <c r="AM39" s="126">
        <v>0</v>
      </c>
      <c r="AN39" s="155" t="s">
        <v>0</v>
      </c>
      <c r="AO39" s="126">
        <f t="shared" si="1"/>
        <v>0.31745358090185677</v>
      </c>
      <c r="AP39" s="126">
        <f t="shared" si="5"/>
        <v>3.1965811965811969E-2</v>
      </c>
      <c r="AQ39" s="126">
        <v>0</v>
      </c>
      <c r="AR39" s="43" t="s">
        <v>0</v>
      </c>
      <c r="AS39" s="42" t="s">
        <v>69</v>
      </c>
      <c r="AT39" s="42"/>
      <c r="AU39" s="42"/>
    </row>
    <row r="40" spans="1:47" x14ac:dyDescent="0.25">
      <c r="A40" s="43" t="s">
        <v>1582</v>
      </c>
      <c r="B40" s="4" t="s">
        <v>55</v>
      </c>
      <c r="C40" s="43" t="s">
        <v>936</v>
      </c>
      <c r="D40" s="4" t="s">
        <v>959</v>
      </c>
      <c r="E40" s="4" t="s">
        <v>938</v>
      </c>
      <c r="F40" s="4" t="s">
        <v>69</v>
      </c>
      <c r="G40" s="4" t="s">
        <v>939</v>
      </c>
      <c r="H40" s="4" t="s">
        <v>940</v>
      </c>
      <c r="I40" s="4">
        <v>1.2</v>
      </c>
      <c r="J40" s="131">
        <v>105</v>
      </c>
      <c r="K40" s="4" t="s">
        <v>72</v>
      </c>
      <c r="L40" s="4" t="s">
        <v>975</v>
      </c>
      <c r="M40" s="4" t="s">
        <v>0</v>
      </c>
      <c r="N40" s="43" t="s">
        <v>989</v>
      </c>
      <c r="O40" s="108">
        <v>13</v>
      </c>
      <c r="P40" s="4" t="s">
        <v>60</v>
      </c>
      <c r="Q40" s="4" t="s">
        <v>943</v>
      </c>
      <c r="R40" s="43" t="s">
        <v>0</v>
      </c>
      <c r="S40" s="4">
        <v>40</v>
      </c>
      <c r="T40" s="4" t="s">
        <v>69</v>
      </c>
      <c r="U40" s="4">
        <v>6</v>
      </c>
      <c r="V40" s="4" t="s">
        <v>148</v>
      </c>
      <c r="W40" s="4">
        <v>2</v>
      </c>
      <c r="X40" s="43" t="s">
        <v>944</v>
      </c>
      <c r="Y40" s="4" t="s">
        <v>10</v>
      </c>
      <c r="Z40" s="43" t="s">
        <v>994</v>
      </c>
      <c r="AA40" s="43" t="s">
        <v>945</v>
      </c>
      <c r="AB40" s="42" t="s">
        <v>995</v>
      </c>
      <c r="AC40" s="42"/>
      <c r="AD40" s="138" t="s">
        <v>996</v>
      </c>
      <c r="AE40" s="42" t="s">
        <v>993</v>
      </c>
      <c r="AF40" s="149">
        <v>0</v>
      </c>
      <c r="AG40" s="42" t="s">
        <v>0</v>
      </c>
      <c r="AH40" s="42" t="s">
        <v>0</v>
      </c>
      <c r="AI40" s="113" t="s">
        <v>0</v>
      </c>
      <c r="AJ40" s="149" t="s">
        <v>0</v>
      </c>
      <c r="AK40" s="126">
        <f>16.7*0.1*8*32/116</f>
        <v>3.6855172413793102</v>
      </c>
      <c r="AL40" s="126">
        <f>16.7*0.01*11*32/144</f>
        <v>0.40822222222222226</v>
      </c>
      <c r="AM40" s="126">
        <v>0</v>
      </c>
      <c r="AN40" s="155" t="s">
        <v>0</v>
      </c>
      <c r="AO40" s="126">
        <f t="shared" si="1"/>
        <v>0.28350132625994695</v>
      </c>
      <c r="AP40" s="126">
        <f t="shared" si="5"/>
        <v>3.1401709401709402E-2</v>
      </c>
      <c r="AQ40" s="126">
        <v>0</v>
      </c>
      <c r="AR40" s="43" t="s">
        <v>0</v>
      </c>
      <c r="AS40" s="42" t="s">
        <v>69</v>
      </c>
      <c r="AT40" s="42"/>
      <c r="AU40" s="42"/>
    </row>
    <row r="41" spans="1:47" x14ac:dyDescent="0.25">
      <c r="A41" s="43" t="s">
        <v>1582</v>
      </c>
      <c r="B41" s="4" t="s">
        <v>55</v>
      </c>
      <c r="C41" s="43" t="s">
        <v>936</v>
      </c>
      <c r="D41" s="4" t="s">
        <v>959</v>
      </c>
      <c r="E41" s="4" t="s">
        <v>938</v>
      </c>
      <c r="F41" s="4" t="s">
        <v>69</v>
      </c>
      <c r="G41" s="4" t="s">
        <v>939</v>
      </c>
      <c r="H41" s="4" t="s">
        <v>940</v>
      </c>
      <c r="I41" s="4">
        <v>0.94</v>
      </c>
      <c r="J41" s="131">
        <v>140</v>
      </c>
      <c r="K41" s="4" t="s">
        <v>72</v>
      </c>
      <c r="L41" s="4" t="s">
        <v>997</v>
      </c>
      <c r="M41" s="4" t="s">
        <v>0</v>
      </c>
      <c r="N41" s="43" t="s">
        <v>998</v>
      </c>
      <c r="O41" s="108">
        <v>23</v>
      </c>
      <c r="P41" s="4" t="s">
        <v>60</v>
      </c>
      <c r="Q41" s="4" t="s">
        <v>943</v>
      </c>
      <c r="R41" s="43" t="s">
        <v>0</v>
      </c>
      <c r="S41" s="4">
        <v>40</v>
      </c>
      <c r="T41" s="4" t="s">
        <v>69</v>
      </c>
      <c r="U41" s="4">
        <v>6</v>
      </c>
      <c r="V41" s="4" t="s">
        <v>148</v>
      </c>
      <c r="W41" s="4">
        <v>2</v>
      </c>
      <c r="X41" s="43" t="s">
        <v>944</v>
      </c>
      <c r="Y41" s="4" t="s">
        <v>10</v>
      </c>
      <c r="Z41" s="43" t="s">
        <v>1584</v>
      </c>
      <c r="AA41" s="43" t="s">
        <v>945</v>
      </c>
      <c r="AB41" s="42" t="s">
        <v>999</v>
      </c>
      <c r="AC41" s="42"/>
      <c r="AD41" s="138" t="s">
        <v>1000</v>
      </c>
      <c r="AE41" s="42" t="s">
        <v>1001</v>
      </c>
      <c r="AF41" s="149">
        <v>0</v>
      </c>
      <c r="AG41" s="42" t="s">
        <v>0</v>
      </c>
      <c r="AH41" s="42" t="s">
        <v>0</v>
      </c>
      <c r="AI41" s="113" t="s">
        <v>0</v>
      </c>
      <c r="AJ41" s="149" t="s">
        <v>0</v>
      </c>
      <c r="AK41" s="126">
        <f>19.5*0.11*8*32/116</f>
        <v>4.7337931034482761</v>
      </c>
      <c r="AL41" s="126">
        <f>19.5*0.01*11*32/144</f>
        <v>0.47666666666666668</v>
      </c>
      <c r="AM41" s="126">
        <v>0</v>
      </c>
      <c r="AN41" s="155" t="s">
        <v>0</v>
      </c>
      <c r="AO41" s="126">
        <f t="shared" si="1"/>
        <v>0.20581709145427288</v>
      </c>
      <c r="AP41" s="126">
        <f t="shared" si="5"/>
        <v>2.0724637681159421E-2</v>
      </c>
      <c r="AQ41" s="126">
        <v>0</v>
      </c>
      <c r="AR41" s="43" t="s">
        <v>0</v>
      </c>
      <c r="AS41" s="42" t="s">
        <v>69</v>
      </c>
      <c r="AT41" s="42"/>
      <c r="AU41" s="42"/>
    </row>
    <row r="42" spans="1:47" x14ac:dyDescent="0.25">
      <c r="A42" s="43" t="s">
        <v>1582</v>
      </c>
      <c r="B42" s="4" t="s">
        <v>55</v>
      </c>
      <c r="C42" s="43" t="s">
        <v>936</v>
      </c>
      <c r="D42" s="4" t="s">
        <v>959</v>
      </c>
      <c r="E42" s="4" t="s">
        <v>938</v>
      </c>
      <c r="F42" s="4" t="s">
        <v>69</v>
      </c>
      <c r="G42" s="4" t="s">
        <v>939</v>
      </c>
      <c r="H42" s="4" t="s">
        <v>940</v>
      </c>
      <c r="I42" s="4">
        <v>1.4</v>
      </c>
      <c r="J42" s="131">
        <v>100</v>
      </c>
      <c r="K42" s="4" t="s">
        <v>72</v>
      </c>
      <c r="L42" s="4" t="s">
        <v>975</v>
      </c>
      <c r="M42" s="4" t="s">
        <v>0</v>
      </c>
      <c r="N42" s="43" t="s">
        <v>1002</v>
      </c>
      <c r="O42" s="108">
        <v>27</v>
      </c>
      <c r="P42" s="4" t="s">
        <v>60</v>
      </c>
      <c r="Q42" s="4" t="s">
        <v>943</v>
      </c>
      <c r="R42" s="43" t="s">
        <v>0</v>
      </c>
      <c r="S42" s="4">
        <v>40</v>
      </c>
      <c r="T42" s="4" t="s">
        <v>69</v>
      </c>
      <c r="U42" s="4">
        <v>6</v>
      </c>
      <c r="V42" s="4" t="s">
        <v>148</v>
      </c>
      <c r="W42" s="4">
        <v>2</v>
      </c>
      <c r="X42" s="43" t="s">
        <v>944</v>
      </c>
      <c r="Y42" s="4" t="s">
        <v>10</v>
      </c>
      <c r="Z42" s="43" t="s">
        <v>1584</v>
      </c>
      <c r="AA42" s="43" t="s">
        <v>945</v>
      </c>
      <c r="AB42" s="42" t="s">
        <v>1003</v>
      </c>
      <c r="AC42" s="42"/>
      <c r="AD42" s="138" t="s">
        <v>1004</v>
      </c>
      <c r="AE42" s="42" t="s">
        <v>1005</v>
      </c>
      <c r="AF42" s="149">
        <v>0</v>
      </c>
      <c r="AG42" s="42" t="s">
        <v>0</v>
      </c>
      <c r="AH42" s="42" t="s">
        <v>0</v>
      </c>
      <c r="AI42" s="113" t="s">
        <v>0</v>
      </c>
      <c r="AJ42" s="149" t="s">
        <v>0</v>
      </c>
      <c r="AK42" s="126">
        <f>29.9*0.11*8*32/116</f>
        <v>7.2584827586206888</v>
      </c>
      <c r="AL42" s="126">
        <f>29.9*0.01*11*32/144</f>
        <v>0.73088888888888881</v>
      </c>
      <c r="AM42" s="126">
        <v>0</v>
      </c>
      <c r="AN42" s="155" t="s">
        <v>0</v>
      </c>
      <c r="AO42" s="126">
        <f t="shared" si="1"/>
        <v>0.26883269476372923</v>
      </c>
      <c r="AP42" s="126">
        <f t="shared" si="5"/>
        <v>2.7069958847736622E-2</v>
      </c>
      <c r="AQ42" s="126">
        <v>0</v>
      </c>
      <c r="AR42" s="43" t="s">
        <v>0</v>
      </c>
      <c r="AS42" s="42" t="s">
        <v>69</v>
      </c>
      <c r="AT42" s="42"/>
      <c r="AU42" s="42"/>
    </row>
    <row r="43" spans="1:47" x14ac:dyDescent="0.25">
      <c r="A43" s="43" t="s">
        <v>1582</v>
      </c>
      <c r="B43" s="4" t="s">
        <v>55</v>
      </c>
      <c r="C43" s="43" t="s">
        <v>936</v>
      </c>
      <c r="D43" s="4" t="s">
        <v>959</v>
      </c>
      <c r="E43" s="4" t="s">
        <v>938</v>
      </c>
      <c r="F43" s="4" t="s">
        <v>69</v>
      </c>
      <c r="G43" s="4" t="s">
        <v>939</v>
      </c>
      <c r="H43" s="4" t="s">
        <v>940</v>
      </c>
      <c r="I43" s="4">
        <v>1.4</v>
      </c>
      <c r="J43" s="131">
        <v>315</v>
      </c>
      <c r="K43" s="4" t="s">
        <v>72</v>
      </c>
      <c r="L43" s="4" t="s">
        <v>975</v>
      </c>
      <c r="M43" s="4" t="s">
        <v>0</v>
      </c>
      <c r="N43" s="43" t="s">
        <v>1006</v>
      </c>
      <c r="O43" s="108">
        <v>16</v>
      </c>
      <c r="P43" s="4" t="s">
        <v>60</v>
      </c>
      <c r="Q43" s="4" t="s">
        <v>943</v>
      </c>
      <c r="R43" s="43" t="s">
        <v>0</v>
      </c>
      <c r="S43" s="4">
        <v>40</v>
      </c>
      <c r="T43" s="4" t="s">
        <v>69</v>
      </c>
      <c r="U43" s="4">
        <v>6</v>
      </c>
      <c r="V43" s="4" t="s">
        <v>148</v>
      </c>
      <c r="W43" s="4">
        <v>2</v>
      </c>
      <c r="X43" s="43" t="s">
        <v>944</v>
      </c>
      <c r="Y43" s="4" t="s">
        <v>10</v>
      </c>
      <c r="Z43" s="43" t="s">
        <v>1007</v>
      </c>
      <c r="AA43" s="43" t="s">
        <v>945</v>
      </c>
      <c r="AB43" s="42" t="s">
        <v>1008</v>
      </c>
      <c r="AC43" s="42"/>
      <c r="AD43" s="138" t="s">
        <v>1009</v>
      </c>
      <c r="AE43" s="42" t="s">
        <v>1010</v>
      </c>
      <c r="AF43" s="149">
        <v>0</v>
      </c>
      <c r="AG43" s="42" t="s">
        <v>0</v>
      </c>
      <c r="AH43" s="42" t="s">
        <v>0</v>
      </c>
      <c r="AI43" s="113" t="s">
        <v>0</v>
      </c>
      <c r="AJ43" s="149" t="s">
        <v>0</v>
      </c>
      <c r="AK43" s="126">
        <f>16.8*0.18*8*32/116</f>
        <v>6.6736551724137936</v>
      </c>
      <c r="AL43" s="126">
        <f>16.8*0.033*11*32/144</f>
        <v>1.3552</v>
      </c>
      <c r="AM43" s="126">
        <v>0</v>
      </c>
      <c r="AN43" s="155" t="s">
        <v>0</v>
      </c>
      <c r="AO43" s="126">
        <f t="shared" si="1"/>
        <v>0.4171034482758621</v>
      </c>
      <c r="AP43" s="126">
        <f t="shared" si="5"/>
        <v>8.4699999999999998E-2</v>
      </c>
      <c r="AQ43" s="126">
        <v>0</v>
      </c>
      <c r="AR43" s="43" t="s">
        <v>0</v>
      </c>
      <c r="AS43" s="42" t="s">
        <v>69</v>
      </c>
      <c r="AT43" s="42"/>
      <c r="AU43" s="42"/>
    </row>
    <row r="44" spans="1:47" x14ac:dyDescent="0.25">
      <c r="A44" s="47" t="s">
        <v>749</v>
      </c>
      <c r="B44" s="8" t="s">
        <v>55</v>
      </c>
      <c r="C44" s="47" t="s">
        <v>1011</v>
      </c>
      <c r="D44" s="8" t="s">
        <v>875</v>
      </c>
      <c r="E44" s="8" t="s">
        <v>876</v>
      </c>
      <c r="F44" s="8" t="s">
        <v>69</v>
      </c>
      <c r="G44" s="8" t="s">
        <v>69</v>
      </c>
      <c r="H44" s="8" t="s">
        <v>0</v>
      </c>
      <c r="I44" s="8">
        <v>0.2</v>
      </c>
      <c r="J44" s="132">
        <v>60</v>
      </c>
      <c r="K44" s="8" t="s">
        <v>72</v>
      </c>
      <c r="L44" s="8" t="s">
        <v>316</v>
      </c>
      <c r="M44" s="8" t="s">
        <v>0</v>
      </c>
      <c r="N44" s="157">
        <f>56.76*0.2/20</f>
        <v>0.56759999999999999</v>
      </c>
      <c r="O44" s="107">
        <v>20</v>
      </c>
      <c r="P44" s="8" t="s">
        <v>60</v>
      </c>
      <c r="Q44" s="8" t="s">
        <v>319</v>
      </c>
      <c r="R44" s="47">
        <f>0.05*38.5</f>
        <v>1.925</v>
      </c>
      <c r="S44" s="8">
        <v>35</v>
      </c>
      <c r="T44" s="8" t="s">
        <v>64</v>
      </c>
      <c r="U44" s="8" t="s">
        <v>1012</v>
      </c>
      <c r="V44" s="8" t="s">
        <v>1013</v>
      </c>
      <c r="W44" s="8" t="s">
        <v>0</v>
      </c>
      <c r="X44" s="47" t="s">
        <v>901</v>
      </c>
      <c r="Y44" s="8" t="s">
        <v>0</v>
      </c>
      <c r="Z44" s="47" t="s">
        <v>1583</v>
      </c>
      <c r="AA44" s="47" t="s">
        <v>823</v>
      </c>
      <c r="AB44" s="127" t="s">
        <v>1014</v>
      </c>
      <c r="AC44" s="46"/>
      <c r="AD44" s="140" t="s">
        <v>1015</v>
      </c>
      <c r="AE44" s="46" t="s">
        <v>0</v>
      </c>
      <c r="AF44" s="148" t="s">
        <v>0</v>
      </c>
      <c r="AG44" s="46" t="s">
        <v>0</v>
      </c>
      <c r="AH44" s="46" t="s">
        <v>0</v>
      </c>
      <c r="AI44" s="112" t="s">
        <v>0</v>
      </c>
      <c r="AJ44" s="148" t="s">
        <v>0</v>
      </c>
      <c r="AK44" s="125">
        <v>5.0759999999999996</v>
      </c>
      <c r="AL44" s="125" t="s">
        <v>0</v>
      </c>
      <c r="AM44" s="125" t="s">
        <v>0</v>
      </c>
      <c r="AN44" s="154" t="s">
        <v>0</v>
      </c>
      <c r="AO44" s="125">
        <f>AK44/O44</f>
        <v>0.25379999999999997</v>
      </c>
      <c r="AP44" s="125" t="s">
        <v>0</v>
      </c>
      <c r="AQ44" s="125" t="s">
        <v>0</v>
      </c>
      <c r="AR44" s="47" t="s">
        <v>0</v>
      </c>
      <c r="AS44" s="46" t="s">
        <v>69</v>
      </c>
      <c r="AT44" s="46"/>
      <c r="AU44" s="46"/>
    </row>
    <row r="45" spans="1:47" x14ac:dyDescent="0.25">
      <c r="A45" s="47" t="s">
        <v>749</v>
      </c>
      <c r="B45" s="8" t="s">
        <v>55</v>
      </c>
      <c r="C45" s="47" t="s">
        <v>1011</v>
      </c>
      <c r="D45" s="8" t="s">
        <v>875</v>
      </c>
      <c r="E45" s="8" t="s">
        <v>876</v>
      </c>
      <c r="F45" s="8" t="s">
        <v>69</v>
      </c>
      <c r="G45" s="8" t="s">
        <v>69</v>
      </c>
      <c r="H45" s="8" t="s">
        <v>0</v>
      </c>
      <c r="I45" s="8">
        <v>0.2</v>
      </c>
      <c r="J45" s="132">
        <v>60</v>
      </c>
      <c r="K45" s="8" t="s">
        <v>72</v>
      </c>
      <c r="L45" s="8" t="s">
        <v>316</v>
      </c>
      <c r="M45" s="8" t="s">
        <v>0</v>
      </c>
      <c r="N45" s="157">
        <f>56.76*0.2/20</f>
        <v>0.56759999999999999</v>
      </c>
      <c r="O45" s="107">
        <v>20</v>
      </c>
      <c r="P45" s="8" t="s">
        <v>60</v>
      </c>
      <c r="Q45" s="8" t="s">
        <v>319</v>
      </c>
      <c r="R45" s="47">
        <f>0.05*38.5</f>
        <v>1.925</v>
      </c>
      <c r="S45" s="8">
        <v>35</v>
      </c>
      <c r="T45" s="8" t="s">
        <v>69</v>
      </c>
      <c r="U45" s="8">
        <v>6.02</v>
      </c>
      <c r="V45" s="8">
        <v>0</v>
      </c>
      <c r="W45" s="8" t="s">
        <v>0</v>
      </c>
      <c r="X45" s="47" t="s">
        <v>901</v>
      </c>
      <c r="Y45" s="8" t="s">
        <v>0</v>
      </c>
      <c r="Z45" s="47" t="s">
        <v>1583</v>
      </c>
      <c r="AA45" s="47" t="s">
        <v>823</v>
      </c>
      <c r="AB45" s="127" t="s">
        <v>1016</v>
      </c>
      <c r="AC45" s="46"/>
      <c r="AD45" s="140" t="s">
        <v>1017</v>
      </c>
      <c r="AE45" s="46" t="s">
        <v>0</v>
      </c>
      <c r="AF45" s="148" t="s">
        <v>0</v>
      </c>
      <c r="AG45" s="46" t="s">
        <v>0</v>
      </c>
      <c r="AH45" s="46" t="s">
        <v>0</v>
      </c>
      <c r="AI45" s="112" t="s">
        <v>0</v>
      </c>
      <c r="AJ45" s="148" t="s">
        <v>0</v>
      </c>
      <c r="AK45" s="125">
        <v>4.6340000000000003</v>
      </c>
      <c r="AL45" s="125" t="s">
        <v>0</v>
      </c>
      <c r="AM45" s="125" t="s">
        <v>0</v>
      </c>
      <c r="AN45" s="154" t="s">
        <v>0</v>
      </c>
      <c r="AO45" s="125">
        <f>AK45/O45</f>
        <v>0.23170000000000002</v>
      </c>
      <c r="AP45" s="125" t="s">
        <v>0</v>
      </c>
      <c r="AQ45" s="125" t="s">
        <v>0</v>
      </c>
      <c r="AR45" s="47" t="s">
        <v>0</v>
      </c>
      <c r="AS45" s="46" t="s">
        <v>69</v>
      </c>
      <c r="AT45" s="46"/>
      <c r="AU45" s="46"/>
    </row>
    <row r="46" spans="1:47" x14ac:dyDescent="0.25">
      <c r="A46" s="47" t="s">
        <v>749</v>
      </c>
      <c r="B46" s="8" t="s">
        <v>55</v>
      </c>
      <c r="C46" s="47" t="s">
        <v>1011</v>
      </c>
      <c r="D46" s="8" t="s">
        <v>875</v>
      </c>
      <c r="E46" s="8" t="s">
        <v>876</v>
      </c>
      <c r="F46" s="8" t="s">
        <v>69</v>
      </c>
      <c r="G46" s="8" t="s">
        <v>69</v>
      </c>
      <c r="H46" s="8" t="s">
        <v>0</v>
      </c>
      <c r="I46" s="8">
        <v>0.2</v>
      </c>
      <c r="J46" s="132">
        <v>40</v>
      </c>
      <c r="K46" s="8" t="s">
        <v>72</v>
      </c>
      <c r="L46" s="8" t="s">
        <v>316</v>
      </c>
      <c r="M46" s="8" t="s">
        <v>0</v>
      </c>
      <c r="N46" s="157">
        <f>56.76*0.2/10</f>
        <v>1.1352</v>
      </c>
      <c r="O46" s="107">
        <v>10</v>
      </c>
      <c r="P46" s="8" t="s">
        <v>60</v>
      </c>
      <c r="Q46" s="8" t="s">
        <v>319</v>
      </c>
      <c r="R46" s="47">
        <f>0.05*38.5</f>
        <v>1.925</v>
      </c>
      <c r="S46" s="8">
        <v>35</v>
      </c>
      <c r="T46" s="8" t="s">
        <v>69</v>
      </c>
      <c r="U46" s="8">
        <v>4.84</v>
      </c>
      <c r="V46" s="8">
        <v>0</v>
      </c>
      <c r="W46" s="8" t="s">
        <v>0</v>
      </c>
      <c r="X46" s="47" t="s">
        <v>901</v>
      </c>
      <c r="Y46" s="8" t="s">
        <v>0</v>
      </c>
      <c r="Z46" s="47" t="s">
        <v>0</v>
      </c>
      <c r="AA46" s="47" t="s">
        <v>823</v>
      </c>
      <c r="AB46" s="127" t="s">
        <v>1018</v>
      </c>
      <c r="AC46" s="46"/>
      <c r="AD46" s="139">
        <v>0</v>
      </c>
      <c r="AE46" s="46" t="s">
        <v>0</v>
      </c>
      <c r="AF46" s="148" t="s">
        <v>0</v>
      </c>
      <c r="AG46" s="46" t="s">
        <v>0</v>
      </c>
      <c r="AH46" s="46" t="s">
        <v>0</v>
      </c>
      <c r="AI46" s="112" t="s">
        <v>0</v>
      </c>
      <c r="AJ46" s="148" t="s">
        <v>0</v>
      </c>
      <c r="AK46" s="125">
        <v>0</v>
      </c>
      <c r="AL46" s="125" t="s">
        <v>0</v>
      </c>
      <c r="AM46" s="125" t="s">
        <v>0</v>
      </c>
      <c r="AN46" s="154" t="s">
        <v>0</v>
      </c>
      <c r="AO46" s="125">
        <f>AK46/O46</f>
        <v>0</v>
      </c>
      <c r="AP46" s="125" t="s">
        <v>0</v>
      </c>
      <c r="AQ46" s="125" t="s">
        <v>0</v>
      </c>
      <c r="AR46" s="47" t="s">
        <v>0</v>
      </c>
      <c r="AS46" s="46" t="s">
        <v>69</v>
      </c>
      <c r="AT46" s="46"/>
      <c r="AU46" s="46"/>
    </row>
    <row r="47" spans="1:47" x14ac:dyDescent="0.25">
      <c r="A47" s="47" t="s">
        <v>749</v>
      </c>
      <c r="B47" s="8" t="s">
        <v>55</v>
      </c>
      <c r="C47" s="47" t="s">
        <v>1011</v>
      </c>
      <c r="D47" s="8" t="s">
        <v>875</v>
      </c>
      <c r="E47" s="8" t="s">
        <v>876</v>
      </c>
      <c r="F47" s="8" t="s">
        <v>69</v>
      </c>
      <c r="G47" s="8" t="s">
        <v>69</v>
      </c>
      <c r="H47" s="8" t="s">
        <v>0</v>
      </c>
      <c r="I47" s="8">
        <v>0.2</v>
      </c>
      <c r="J47" s="132">
        <v>85</v>
      </c>
      <c r="K47" s="8" t="s">
        <v>72</v>
      </c>
      <c r="L47" s="8" t="s">
        <v>316</v>
      </c>
      <c r="M47" s="8" t="s">
        <v>0</v>
      </c>
      <c r="N47" s="157">
        <f>56.76*0.2/30</f>
        <v>0.37840000000000001</v>
      </c>
      <c r="O47" s="107">
        <v>30</v>
      </c>
      <c r="P47" s="8" t="s">
        <v>60</v>
      </c>
      <c r="Q47" s="8" t="s">
        <v>319</v>
      </c>
      <c r="R47" s="47">
        <f>0.05*38.5</f>
        <v>1.925</v>
      </c>
      <c r="S47" s="8">
        <v>35</v>
      </c>
      <c r="T47" s="8" t="s">
        <v>69</v>
      </c>
      <c r="U47" s="8">
        <v>6.54</v>
      </c>
      <c r="V47" s="8">
        <v>0</v>
      </c>
      <c r="W47" s="8" t="s">
        <v>0</v>
      </c>
      <c r="X47" s="47" t="s">
        <v>901</v>
      </c>
      <c r="Y47" s="8" t="s">
        <v>0</v>
      </c>
      <c r="Z47" s="47" t="s">
        <v>1019</v>
      </c>
      <c r="AA47" s="47" t="s">
        <v>823</v>
      </c>
      <c r="AB47" s="127" t="s">
        <v>1020</v>
      </c>
      <c r="AC47" s="46"/>
      <c r="AD47" s="140" t="s">
        <v>1017</v>
      </c>
      <c r="AE47" s="46" t="s">
        <v>0</v>
      </c>
      <c r="AF47" s="148" t="s">
        <v>0</v>
      </c>
      <c r="AG47" s="46" t="s">
        <v>0</v>
      </c>
      <c r="AH47" s="46" t="s">
        <v>0</v>
      </c>
      <c r="AI47" s="112" t="s">
        <v>0</v>
      </c>
      <c r="AJ47" s="148" t="s">
        <v>0</v>
      </c>
      <c r="AK47" s="125">
        <v>4.6340000000000003</v>
      </c>
      <c r="AL47" s="125" t="s">
        <v>0</v>
      </c>
      <c r="AM47" s="125" t="s">
        <v>0</v>
      </c>
      <c r="AN47" s="154" t="s">
        <v>0</v>
      </c>
      <c r="AO47" s="125">
        <f>AK47/O47</f>
        <v>0.15446666666666667</v>
      </c>
      <c r="AP47" s="125" t="s">
        <v>0</v>
      </c>
      <c r="AQ47" s="125" t="s">
        <v>0</v>
      </c>
      <c r="AR47" s="47" t="s">
        <v>0</v>
      </c>
      <c r="AS47" s="46" t="s">
        <v>69</v>
      </c>
      <c r="AT47" s="46"/>
      <c r="AU47" s="46"/>
    </row>
    <row r="48" spans="1:47" x14ac:dyDescent="0.25">
      <c r="A48" s="43" t="s">
        <v>1586</v>
      </c>
      <c r="B48" s="4" t="s">
        <v>55</v>
      </c>
      <c r="C48" s="43" t="s">
        <v>1021</v>
      </c>
      <c r="D48" s="4" t="s">
        <v>1022</v>
      </c>
      <c r="E48" s="4" t="s">
        <v>1023</v>
      </c>
      <c r="F48" s="4" t="s">
        <v>69</v>
      </c>
      <c r="G48" s="4" t="s">
        <v>69</v>
      </c>
      <c r="H48" s="4">
        <v>1</v>
      </c>
      <c r="I48" s="4">
        <v>0.8</v>
      </c>
      <c r="J48" s="43">
        <v>90</v>
      </c>
      <c r="K48" s="4" t="s">
        <v>72</v>
      </c>
      <c r="L48" s="4" t="s">
        <v>1024</v>
      </c>
      <c r="M48" s="4" t="s">
        <v>0</v>
      </c>
      <c r="N48" s="158">
        <f>21.43/6</f>
        <v>3.5716666666666668</v>
      </c>
      <c r="O48" s="108">
        <v>6</v>
      </c>
      <c r="P48" s="4" t="s">
        <v>60</v>
      </c>
      <c r="Q48" s="4" t="s">
        <v>1025</v>
      </c>
      <c r="R48" s="43" t="s">
        <v>1026</v>
      </c>
      <c r="S48" s="4">
        <v>37</v>
      </c>
      <c r="T48" s="4" t="s">
        <v>64</v>
      </c>
      <c r="U48" s="4">
        <v>6</v>
      </c>
      <c r="V48" s="4" t="s">
        <v>1027</v>
      </c>
      <c r="W48" s="4" t="s">
        <v>1</v>
      </c>
      <c r="X48" s="43" t="s">
        <v>1028</v>
      </c>
      <c r="Y48" s="4" t="s">
        <v>1029</v>
      </c>
      <c r="Z48" s="43" t="s">
        <v>1584</v>
      </c>
      <c r="AA48" s="43" t="s">
        <v>823</v>
      </c>
      <c r="AB48" s="42" t="s">
        <v>1030</v>
      </c>
      <c r="AC48" s="42"/>
      <c r="AD48" s="138" t="s">
        <v>1031</v>
      </c>
      <c r="AE48" s="42" t="s">
        <v>0</v>
      </c>
      <c r="AF48" s="149" t="s">
        <v>0</v>
      </c>
      <c r="AG48" s="42" t="s">
        <v>0</v>
      </c>
      <c r="AH48" s="42" t="s">
        <v>0</v>
      </c>
      <c r="AI48" s="113" t="s">
        <v>0</v>
      </c>
      <c r="AJ48" s="149" t="s">
        <v>0</v>
      </c>
      <c r="AK48" s="126">
        <f>0.51*8*32/116</f>
        <v>1.1255172413793104</v>
      </c>
      <c r="AL48" s="126" t="s">
        <v>0</v>
      </c>
      <c r="AM48" s="126" t="s">
        <v>0</v>
      </c>
      <c r="AN48" s="155" t="s">
        <v>0</v>
      </c>
      <c r="AO48" s="126">
        <f>AK48/O48</f>
        <v>0.18758620689655173</v>
      </c>
      <c r="AP48" s="126" t="s">
        <v>0</v>
      </c>
      <c r="AQ48" s="126" t="s">
        <v>0</v>
      </c>
      <c r="AR48" s="43" t="s">
        <v>0</v>
      </c>
      <c r="AS48" s="42" t="s">
        <v>64</v>
      </c>
      <c r="AT48" s="42"/>
      <c r="AU48" s="42"/>
    </row>
    <row r="49" spans="1:47" x14ac:dyDescent="0.25">
      <c r="A49" s="43" t="s">
        <v>1586</v>
      </c>
      <c r="B49" s="4" t="s">
        <v>55</v>
      </c>
      <c r="C49" s="43" t="s">
        <v>1021</v>
      </c>
      <c r="D49" s="4" t="s">
        <v>1022</v>
      </c>
      <c r="E49" s="4" t="s">
        <v>1023</v>
      </c>
      <c r="F49" s="4" t="s">
        <v>69</v>
      </c>
      <c r="G49" s="4" t="s">
        <v>69</v>
      </c>
      <c r="H49" s="4">
        <v>1</v>
      </c>
      <c r="I49" s="4">
        <v>0.8</v>
      </c>
      <c r="J49" s="43">
        <v>80</v>
      </c>
      <c r="K49" s="4" t="s">
        <v>72</v>
      </c>
      <c r="L49" s="4" t="s">
        <v>1024</v>
      </c>
      <c r="M49" s="4" t="s">
        <v>0</v>
      </c>
      <c r="N49" s="158">
        <f>21.43/4</f>
        <v>5.3574999999999999</v>
      </c>
      <c r="O49" s="108">
        <v>4</v>
      </c>
      <c r="P49" s="4" t="s">
        <v>60</v>
      </c>
      <c r="Q49" s="4" t="s">
        <v>1025</v>
      </c>
      <c r="R49" s="43" t="s">
        <v>1032</v>
      </c>
      <c r="S49" s="4">
        <v>37</v>
      </c>
      <c r="T49" s="4" t="s">
        <v>64</v>
      </c>
      <c r="U49" s="4">
        <v>6</v>
      </c>
      <c r="V49" s="4" t="s">
        <v>1027</v>
      </c>
      <c r="W49" s="4" t="s">
        <v>1</v>
      </c>
      <c r="X49" s="43" t="s">
        <v>1028</v>
      </c>
      <c r="Y49" s="4" t="s">
        <v>1029</v>
      </c>
      <c r="Z49" s="43" t="s">
        <v>1584</v>
      </c>
      <c r="AA49" s="43" t="s">
        <v>1033</v>
      </c>
      <c r="AB49" s="42" t="s">
        <v>1034</v>
      </c>
      <c r="AC49" s="42"/>
      <c r="AD49" s="138" t="s">
        <v>1035</v>
      </c>
      <c r="AE49" s="42" t="s">
        <v>0</v>
      </c>
      <c r="AF49" s="149" t="s">
        <v>0</v>
      </c>
      <c r="AG49" s="42" t="s">
        <v>0</v>
      </c>
      <c r="AH49" s="42" t="s">
        <v>0</v>
      </c>
      <c r="AI49" s="113" t="s">
        <v>0</v>
      </c>
      <c r="AJ49" s="149" t="s">
        <v>0</v>
      </c>
      <c r="AK49" s="126">
        <f>1.27*32*8/116</f>
        <v>2.8027586206896551</v>
      </c>
      <c r="AL49" s="126" t="s">
        <v>0</v>
      </c>
      <c r="AM49" s="126" t="s">
        <v>0</v>
      </c>
      <c r="AN49" s="155" t="s">
        <v>0</v>
      </c>
      <c r="AO49" s="126">
        <f t="shared" ref="AO49:AO51" si="6">AK49/O49</f>
        <v>0.70068965517241377</v>
      </c>
      <c r="AP49" s="126" t="s">
        <v>0</v>
      </c>
      <c r="AQ49" s="126" t="s">
        <v>0</v>
      </c>
      <c r="AR49" s="43" t="s">
        <v>0</v>
      </c>
      <c r="AS49" s="42" t="s">
        <v>64</v>
      </c>
      <c r="AT49" s="42"/>
      <c r="AU49" s="42"/>
    </row>
    <row r="50" spans="1:47" x14ac:dyDescent="0.25">
      <c r="A50" s="43" t="s">
        <v>1586</v>
      </c>
      <c r="B50" s="4" t="s">
        <v>55</v>
      </c>
      <c r="C50" s="43" t="s">
        <v>1021</v>
      </c>
      <c r="D50" s="4" t="s">
        <v>1022</v>
      </c>
      <c r="E50" s="4" t="s">
        <v>1023</v>
      </c>
      <c r="F50" s="4" t="s">
        <v>69</v>
      </c>
      <c r="G50" s="4" t="s">
        <v>69</v>
      </c>
      <c r="H50" s="4">
        <v>1</v>
      </c>
      <c r="I50" s="4">
        <v>0.8</v>
      </c>
      <c r="J50" s="43">
        <v>40</v>
      </c>
      <c r="K50" s="4" t="s">
        <v>72</v>
      </c>
      <c r="L50" s="4" t="s">
        <v>1036</v>
      </c>
      <c r="M50" s="4" t="s">
        <v>0</v>
      </c>
      <c r="N50" s="158">
        <f>40.28/6</f>
        <v>6.7133333333333338</v>
      </c>
      <c r="O50" s="108">
        <v>6</v>
      </c>
      <c r="P50" s="4" t="s">
        <v>60</v>
      </c>
      <c r="Q50" s="4" t="s">
        <v>1025</v>
      </c>
      <c r="R50" s="43" t="s">
        <v>1037</v>
      </c>
      <c r="S50" s="4">
        <v>37</v>
      </c>
      <c r="T50" s="4" t="s">
        <v>64</v>
      </c>
      <c r="U50" s="4">
        <v>6</v>
      </c>
      <c r="V50" s="4" t="s">
        <v>1027</v>
      </c>
      <c r="W50" s="4" t="s">
        <v>1</v>
      </c>
      <c r="X50" s="43" t="s">
        <v>1028</v>
      </c>
      <c r="Y50" s="4" t="s">
        <v>1029</v>
      </c>
      <c r="Z50" s="43" t="s">
        <v>1584</v>
      </c>
      <c r="AA50" s="43" t="s">
        <v>1033</v>
      </c>
      <c r="AB50" s="42" t="s">
        <v>1038</v>
      </c>
      <c r="AC50" s="42"/>
      <c r="AD50" s="138" t="s">
        <v>1039</v>
      </c>
      <c r="AE50" s="42" t="s">
        <v>0</v>
      </c>
      <c r="AF50" s="149" t="s">
        <v>0</v>
      </c>
      <c r="AG50" s="42" t="s">
        <v>0</v>
      </c>
      <c r="AH50" s="42" t="s">
        <v>0</v>
      </c>
      <c r="AI50" s="113" t="s">
        <v>0</v>
      </c>
      <c r="AJ50" s="149" t="s">
        <v>0</v>
      </c>
      <c r="AK50" s="126">
        <f>4.03*8*32/116</f>
        <v>8.8937931034482762</v>
      </c>
      <c r="AL50" s="126" t="s">
        <v>0</v>
      </c>
      <c r="AM50" s="126" t="s">
        <v>0</v>
      </c>
      <c r="AN50" s="155" t="s">
        <v>0</v>
      </c>
      <c r="AO50" s="126">
        <f t="shared" si="6"/>
        <v>1.4822988505747128</v>
      </c>
      <c r="AP50" s="126" t="s">
        <v>0</v>
      </c>
      <c r="AQ50" s="126" t="s">
        <v>0</v>
      </c>
      <c r="AR50" s="43" t="s">
        <v>0</v>
      </c>
      <c r="AS50" s="42" t="s">
        <v>64</v>
      </c>
      <c r="AT50" s="42"/>
      <c r="AU50" s="42"/>
    </row>
    <row r="51" spans="1:47" x14ac:dyDescent="0.25">
      <c r="A51" s="115" t="s">
        <v>1587</v>
      </c>
      <c r="B51" s="76" t="s">
        <v>1040</v>
      </c>
      <c r="C51" s="115" t="s">
        <v>1041</v>
      </c>
      <c r="D51" s="76" t="s">
        <v>1022</v>
      </c>
      <c r="E51" s="76" t="s">
        <v>1023</v>
      </c>
      <c r="F51" s="76" t="s">
        <v>1595</v>
      </c>
      <c r="G51" s="76" t="s">
        <v>1596</v>
      </c>
      <c r="H51" s="76">
        <v>1</v>
      </c>
      <c r="I51" s="76">
        <v>0.8</v>
      </c>
      <c r="J51" s="115">
        <v>146</v>
      </c>
      <c r="K51" s="76" t="s">
        <v>72</v>
      </c>
      <c r="L51" s="76" t="s">
        <v>1036</v>
      </c>
      <c r="M51" s="76" t="s">
        <v>0</v>
      </c>
      <c r="N51" s="159">
        <f>40.28/6</f>
        <v>6.7133333333333338</v>
      </c>
      <c r="O51" s="119">
        <v>5.86</v>
      </c>
      <c r="P51" s="76" t="s">
        <v>60</v>
      </c>
      <c r="Q51" s="76" t="s">
        <v>1042</v>
      </c>
      <c r="R51" s="115" t="s">
        <v>1043</v>
      </c>
      <c r="S51" s="76">
        <v>37</v>
      </c>
      <c r="T51" s="76" t="s">
        <v>64</v>
      </c>
      <c r="U51" s="76">
        <v>6</v>
      </c>
      <c r="V51" s="76" t="s">
        <v>1027</v>
      </c>
      <c r="W51" s="76" t="s">
        <v>1</v>
      </c>
      <c r="X51" s="115" t="s">
        <v>1028</v>
      </c>
      <c r="Y51" s="76" t="s">
        <v>1029</v>
      </c>
      <c r="Z51" s="115" t="s">
        <v>1584</v>
      </c>
      <c r="AA51" s="115" t="s">
        <v>1033</v>
      </c>
      <c r="AB51" s="114" t="s">
        <v>1044</v>
      </c>
      <c r="AC51" s="114"/>
      <c r="AD51" s="141" t="s">
        <v>1045</v>
      </c>
      <c r="AE51" s="114" t="s">
        <v>0</v>
      </c>
      <c r="AF51" s="151" t="s">
        <v>1046</v>
      </c>
      <c r="AG51" s="114" t="s">
        <v>0</v>
      </c>
      <c r="AH51" s="114" t="s">
        <v>0</v>
      </c>
      <c r="AI51" s="114" t="s">
        <v>0</v>
      </c>
      <c r="AJ51" s="114" t="s">
        <v>0</v>
      </c>
      <c r="AK51" s="128">
        <f>4.13*8*32/116</f>
        <v>9.1144827586206887</v>
      </c>
      <c r="AL51" s="128" t="s">
        <v>0</v>
      </c>
      <c r="AM51" s="128">
        <f>3.12*11*32/144</f>
        <v>7.6266666666666669</v>
      </c>
      <c r="AN51" s="156" t="s">
        <v>0</v>
      </c>
      <c r="AO51" s="128">
        <f t="shared" si="6"/>
        <v>1.5553724844062609</v>
      </c>
      <c r="AP51" s="128" t="s">
        <v>0</v>
      </c>
      <c r="AQ51" s="128">
        <f>AM51/O51</f>
        <v>1.3014789533560864</v>
      </c>
      <c r="AR51" s="115" t="s">
        <v>0</v>
      </c>
      <c r="AS51" s="114" t="s">
        <v>69</v>
      </c>
      <c r="AT51" s="114"/>
      <c r="AU51" s="114"/>
    </row>
    <row r="52" spans="1:47" x14ac:dyDescent="0.25">
      <c r="A52" s="43" t="s">
        <v>765</v>
      </c>
      <c r="B52" s="4" t="s">
        <v>2</v>
      </c>
      <c r="C52" s="43" t="s">
        <v>1047</v>
      </c>
      <c r="D52" s="4" t="s">
        <v>1048</v>
      </c>
      <c r="E52" s="4" t="s">
        <v>1049</v>
      </c>
      <c r="F52" s="4" t="s">
        <v>69</v>
      </c>
      <c r="G52" s="4" t="s">
        <v>69</v>
      </c>
      <c r="H52" s="4">
        <v>1</v>
      </c>
      <c r="I52" s="4">
        <v>0.8</v>
      </c>
      <c r="J52" s="43">
        <v>10</v>
      </c>
      <c r="K52" s="4" t="s">
        <v>57</v>
      </c>
      <c r="L52" s="4" t="s">
        <v>1050</v>
      </c>
      <c r="M52" s="4" t="s">
        <v>95</v>
      </c>
      <c r="N52" s="43" t="s">
        <v>0</v>
      </c>
      <c r="O52" s="108">
        <f>36/24</f>
        <v>1.5</v>
      </c>
      <c r="P52" s="4" t="s">
        <v>60</v>
      </c>
      <c r="Q52" s="4" t="s">
        <v>0</v>
      </c>
      <c r="R52" s="43" t="s">
        <v>0</v>
      </c>
      <c r="S52" s="4">
        <v>30</v>
      </c>
      <c r="T52" s="4" t="s">
        <v>64</v>
      </c>
      <c r="U52" s="4">
        <v>5.9</v>
      </c>
      <c r="V52" s="4" t="s">
        <v>159</v>
      </c>
      <c r="W52" s="4"/>
      <c r="X52" s="43" t="s">
        <v>1051</v>
      </c>
      <c r="Y52" s="4" t="s">
        <v>1</v>
      </c>
      <c r="Z52" s="43" t="s">
        <v>1052</v>
      </c>
      <c r="AA52" s="43" t="s">
        <v>1597</v>
      </c>
      <c r="AB52" s="42" t="s">
        <v>1053</v>
      </c>
      <c r="AC52" s="42"/>
      <c r="AD52" s="138">
        <v>0</v>
      </c>
      <c r="AE52" s="42" t="s">
        <v>0</v>
      </c>
      <c r="AF52" s="149" t="s">
        <v>0</v>
      </c>
      <c r="AG52" s="42" t="s">
        <v>0</v>
      </c>
      <c r="AH52" s="42" t="s">
        <v>0</v>
      </c>
      <c r="AI52" s="113" t="s">
        <v>0</v>
      </c>
      <c r="AJ52" s="149" t="s">
        <v>0</v>
      </c>
      <c r="AK52" s="126">
        <v>0</v>
      </c>
      <c r="AL52" s="126" t="s">
        <v>0</v>
      </c>
      <c r="AM52" s="126" t="s">
        <v>0</v>
      </c>
      <c r="AN52" s="160" t="s">
        <v>0</v>
      </c>
      <c r="AO52" s="126">
        <v>0</v>
      </c>
      <c r="AP52" s="126" t="s">
        <v>0</v>
      </c>
      <c r="AQ52" s="126" t="s">
        <v>0</v>
      </c>
      <c r="AR52" s="43" t="s">
        <v>0</v>
      </c>
      <c r="AS52" s="42" t="s">
        <v>69</v>
      </c>
      <c r="AT52" s="42"/>
      <c r="AU52" s="42"/>
    </row>
    <row r="53" spans="1:47" x14ac:dyDescent="0.25">
      <c r="A53" s="43" t="s">
        <v>765</v>
      </c>
      <c r="B53" s="4" t="s">
        <v>2</v>
      </c>
      <c r="C53" s="43" t="s">
        <v>1047</v>
      </c>
      <c r="D53" s="4" t="s">
        <v>1048</v>
      </c>
      <c r="E53" s="4" t="s">
        <v>1049</v>
      </c>
      <c r="F53" s="4" t="s">
        <v>69</v>
      </c>
      <c r="G53" s="4" t="s">
        <v>69</v>
      </c>
      <c r="H53" s="4">
        <v>1</v>
      </c>
      <c r="I53" s="4">
        <v>0.8</v>
      </c>
      <c r="J53" s="43">
        <v>20</v>
      </c>
      <c r="K53" s="4" t="s">
        <v>57</v>
      </c>
      <c r="L53" s="4" t="s">
        <v>1050</v>
      </c>
      <c r="M53" s="4" t="s">
        <v>95</v>
      </c>
      <c r="N53" s="43" t="s">
        <v>0</v>
      </c>
      <c r="O53" s="108">
        <f>36/24</f>
        <v>1.5</v>
      </c>
      <c r="P53" s="4" t="s">
        <v>60</v>
      </c>
      <c r="Q53" s="4" t="s">
        <v>0</v>
      </c>
      <c r="R53" s="43" t="s">
        <v>0</v>
      </c>
      <c r="S53" s="4">
        <v>30</v>
      </c>
      <c r="T53" s="4" t="s">
        <v>64</v>
      </c>
      <c r="U53" s="4">
        <v>6.5</v>
      </c>
      <c r="V53" s="4" t="s">
        <v>1054</v>
      </c>
      <c r="W53" s="4"/>
      <c r="X53" s="43" t="s">
        <v>1051</v>
      </c>
      <c r="Y53" s="4" t="s">
        <v>1</v>
      </c>
      <c r="Z53" s="43" t="s">
        <v>1052</v>
      </c>
      <c r="AA53" s="43" t="s">
        <v>1597</v>
      </c>
      <c r="AB53" s="42" t="s">
        <v>1053</v>
      </c>
      <c r="AC53" s="42"/>
      <c r="AD53" s="138">
        <v>0</v>
      </c>
      <c r="AE53" s="42" t="s">
        <v>0</v>
      </c>
      <c r="AF53" s="149" t="s">
        <v>0</v>
      </c>
      <c r="AG53" s="42" t="s">
        <v>0</v>
      </c>
      <c r="AH53" s="42" t="s">
        <v>0</v>
      </c>
      <c r="AI53" s="113" t="s">
        <v>0</v>
      </c>
      <c r="AJ53" s="149" t="s">
        <v>0</v>
      </c>
      <c r="AK53" s="126">
        <v>0</v>
      </c>
      <c r="AL53" s="126" t="s">
        <v>0</v>
      </c>
      <c r="AM53" s="126" t="s">
        <v>0</v>
      </c>
      <c r="AN53" s="160" t="s">
        <v>0</v>
      </c>
      <c r="AO53" s="126">
        <v>0</v>
      </c>
      <c r="AP53" s="126" t="s">
        <v>0</v>
      </c>
      <c r="AQ53" s="126" t="s">
        <v>0</v>
      </c>
      <c r="AR53" s="43" t="s">
        <v>0</v>
      </c>
      <c r="AS53" s="42" t="s">
        <v>69</v>
      </c>
      <c r="AT53" s="42"/>
      <c r="AU53" s="42"/>
    </row>
    <row r="54" spans="1:47" x14ac:dyDescent="0.25">
      <c r="A54" s="47" t="s">
        <v>1598</v>
      </c>
      <c r="B54" s="8" t="s">
        <v>2</v>
      </c>
      <c r="C54" s="47" t="s">
        <v>1055</v>
      </c>
      <c r="D54" s="8" t="s">
        <v>1056</v>
      </c>
      <c r="E54" s="8" t="s">
        <v>1057</v>
      </c>
      <c r="F54" s="8" t="s">
        <v>69</v>
      </c>
      <c r="G54" s="8" t="s">
        <v>69</v>
      </c>
      <c r="H54" s="8">
        <v>5</v>
      </c>
      <c r="I54" s="8" t="s">
        <v>1</v>
      </c>
      <c r="J54" s="47">
        <v>477</v>
      </c>
      <c r="K54" s="8" t="s">
        <v>72</v>
      </c>
      <c r="L54" s="8" t="s">
        <v>1601</v>
      </c>
      <c r="M54" s="8" t="s">
        <v>123</v>
      </c>
      <c r="N54" s="47">
        <v>1.92</v>
      </c>
      <c r="O54" s="107">
        <v>15</v>
      </c>
      <c r="P54" s="8" t="s">
        <v>60</v>
      </c>
      <c r="Q54" s="8" t="s">
        <v>1058</v>
      </c>
      <c r="R54" s="47" t="s">
        <v>0</v>
      </c>
      <c r="S54" s="8">
        <v>55</v>
      </c>
      <c r="T54" s="8" t="s">
        <v>64</v>
      </c>
      <c r="U54" s="8">
        <v>5.5</v>
      </c>
      <c r="V54" s="8" t="s">
        <v>1059</v>
      </c>
      <c r="W54" s="8"/>
      <c r="X54" s="47" t="s">
        <v>1060</v>
      </c>
      <c r="Y54" s="8" t="s">
        <v>1603</v>
      </c>
      <c r="Z54" s="47" t="s">
        <v>1052</v>
      </c>
      <c r="AA54" s="47" t="s">
        <v>1604</v>
      </c>
      <c r="AB54" s="46" t="s">
        <v>0</v>
      </c>
      <c r="AC54" s="46"/>
      <c r="AD54" s="142">
        <v>0.06</v>
      </c>
      <c r="AE54" s="46" t="s">
        <v>0</v>
      </c>
      <c r="AF54" s="148" t="s">
        <v>0</v>
      </c>
      <c r="AG54" s="46" t="s">
        <v>0</v>
      </c>
      <c r="AH54" s="46" t="s">
        <v>0</v>
      </c>
      <c r="AI54" s="112" t="s">
        <v>0</v>
      </c>
      <c r="AJ54" s="148" t="s">
        <v>0</v>
      </c>
      <c r="AK54" s="46" t="s">
        <v>0</v>
      </c>
      <c r="AL54" s="46" t="s">
        <v>0</v>
      </c>
      <c r="AM54" s="46" t="s">
        <v>0</v>
      </c>
      <c r="AN54" s="148" t="s">
        <v>0</v>
      </c>
      <c r="AO54" s="46" t="s">
        <v>0</v>
      </c>
      <c r="AP54" s="46" t="s">
        <v>0</v>
      </c>
      <c r="AQ54" s="46" t="s">
        <v>0</v>
      </c>
      <c r="AR54" s="47" t="s">
        <v>0</v>
      </c>
      <c r="AS54" s="46" t="s">
        <v>69</v>
      </c>
      <c r="AT54" s="46"/>
      <c r="AU54" s="46"/>
    </row>
    <row r="55" spans="1:47" x14ac:dyDescent="0.25">
      <c r="A55" s="47" t="s">
        <v>1598</v>
      </c>
      <c r="B55" s="8" t="s">
        <v>2</v>
      </c>
      <c r="C55" s="47" t="s">
        <v>1055</v>
      </c>
      <c r="D55" s="8" t="s">
        <v>1056</v>
      </c>
      <c r="E55" s="8" t="s">
        <v>1057</v>
      </c>
      <c r="F55" s="8" t="s">
        <v>1599</v>
      </c>
      <c r="G55" s="8" t="s">
        <v>1061</v>
      </c>
      <c r="H55" s="8">
        <v>5</v>
      </c>
      <c r="I55" s="8" t="s">
        <v>1</v>
      </c>
      <c r="J55" s="47">
        <f>477 - 230</f>
        <v>247</v>
      </c>
      <c r="K55" s="8" t="s">
        <v>72</v>
      </c>
      <c r="L55" s="8" t="s">
        <v>1600</v>
      </c>
      <c r="M55" s="8" t="s">
        <v>123</v>
      </c>
      <c r="N55" s="47">
        <v>1.92</v>
      </c>
      <c r="O55" s="107">
        <v>15</v>
      </c>
      <c r="P55" s="8" t="s">
        <v>60</v>
      </c>
      <c r="Q55" s="8" t="s">
        <v>1058</v>
      </c>
      <c r="R55" s="47" t="s">
        <v>0</v>
      </c>
      <c r="S55" s="8">
        <v>55</v>
      </c>
      <c r="T55" s="8" t="s">
        <v>64</v>
      </c>
      <c r="U55" s="8">
        <v>5.5</v>
      </c>
      <c r="V55" s="8" t="s">
        <v>1059</v>
      </c>
      <c r="W55" s="8"/>
      <c r="X55" s="47" t="s">
        <v>1060</v>
      </c>
      <c r="Y55" s="8" t="s">
        <v>1603</v>
      </c>
      <c r="Z55" s="47" t="s">
        <v>1052</v>
      </c>
      <c r="AA55" s="47" t="s">
        <v>1604</v>
      </c>
      <c r="AB55" s="125" t="s">
        <v>0</v>
      </c>
      <c r="AC55" s="46"/>
      <c r="AD55" s="142">
        <v>0.11</v>
      </c>
      <c r="AE55" s="46" t="s">
        <v>0</v>
      </c>
      <c r="AF55" s="148" t="s">
        <v>0</v>
      </c>
      <c r="AG55" s="46" t="s">
        <v>0</v>
      </c>
      <c r="AH55" s="46" t="s">
        <v>0</v>
      </c>
      <c r="AI55" s="112" t="s">
        <v>0</v>
      </c>
      <c r="AJ55" s="148" t="s">
        <v>0</v>
      </c>
      <c r="AK55" s="46" t="s">
        <v>0</v>
      </c>
      <c r="AL55" s="46" t="s">
        <v>0</v>
      </c>
      <c r="AM55" s="46" t="s">
        <v>0</v>
      </c>
      <c r="AN55" s="148" t="s">
        <v>0</v>
      </c>
      <c r="AO55" s="46" t="s">
        <v>0</v>
      </c>
      <c r="AP55" s="46" t="s">
        <v>0</v>
      </c>
      <c r="AQ55" s="46" t="s">
        <v>0</v>
      </c>
      <c r="AR55" s="47" t="s">
        <v>0</v>
      </c>
      <c r="AS55" s="46" t="s">
        <v>69</v>
      </c>
      <c r="AT55" s="46"/>
      <c r="AU55" s="46"/>
    </row>
    <row r="56" spans="1:47" x14ac:dyDescent="0.25">
      <c r="A56" s="47" t="s">
        <v>1598</v>
      </c>
      <c r="B56" s="8" t="s">
        <v>2</v>
      </c>
      <c r="C56" s="47" t="s">
        <v>1055</v>
      </c>
      <c r="D56" s="8" t="s">
        <v>1056</v>
      </c>
      <c r="E56" s="8" t="s">
        <v>1057</v>
      </c>
      <c r="F56" s="8" t="s">
        <v>69</v>
      </c>
      <c r="G56" s="8" t="s">
        <v>69</v>
      </c>
      <c r="H56" s="8">
        <v>5</v>
      </c>
      <c r="I56" s="8" t="s">
        <v>1</v>
      </c>
      <c r="J56" s="47" t="s">
        <v>1062</v>
      </c>
      <c r="K56" s="8" t="s">
        <v>72</v>
      </c>
      <c r="L56" s="8" t="s">
        <v>1600</v>
      </c>
      <c r="M56" s="8" t="s">
        <v>123</v>
      </c>
      <c r="N56" s="47">
        <v>1.92</v>
      </c>
      <c r="O56" s="107">
        <v>15</v>
      </c>
      <c r="P56" s="8" t="s">
        <v>60</v>
      </c>
      <c r="Q56" s="8" t="s">
        <v>1058</v>
      </c>
      <c r="R56" s="47" t="s">
        <v>0</v>
      </c>
      <c r="S56" s="8">
        <v>30</v>
      </c>
      <c r="T56" s="8" t="s">
        <v>64</v>
      </c>
      <c r="U56" s="8">
        <v>5.5</v>
      </c>
      <c r="V56" s="8" t="s">
        <v>1059</v>
      </c>
      <c r="W56" s="8"/>
      <c r="X56" s="47" t="s">
        <v>1060</v>
      </c>
      <c r="Y56" s="8" t="s">
        <v>1603</v>
      </c>
      <c r="Z56" s="47" t="s">
        <v>1052</v>
      </c>
      <c r="AA56" s="47" t="s">
        <v>1604</v>
      </c>
      <c r="AB56" s="46" t="s">
        <v>0</v>
      </c>
      <c r="AC56" s="46"/>
      <c r="AD56" s="142">
        <v>0.18</v>
      </c>
      <c r="AE56" s="46" t="s">
        <v>0</v>
      </c>
      <c r="AF56" s="148" t="s">
        <v>0</v>
      </c>
      <c r="AG56" s="46" t="s">
        <v>0</v>
      </c>
      <c r="AH56" s="46" t="s">
        <v>0</v>
      </c>
      <c r="AI56" s="112" t="s">
        <v>0</v>
      </c>
      <c r="AJ56" s="148" t="s">
        <v>0</v>
      </c>
      <c r="AK56" s="46" t="s">
        <v>0</v>
      </c>
      <c r="AL56" s="46" t="s">
        <v>0</v>
      </c>
      <c r="AM56" s="46" t="s">
        <v>0</v>
      </c>
      <c r="AN56" s="148" t="s">
        <v>0</v>
      </c>
      <c r="AO56" s="46" t="s">
        <v>0</v>
      </c>
      <c r="AP56" s="46" t="s">
        <v>0</v>
      </c>
      <c r="AQ56" s="46" t="s">
        <v>0</v>
      </c>
      <c r="AR56" s="47" t="s">
        <v>0</v>
      </c>
      <c r="AS56" s="46" t="s">
        <v>69</v>
      </c>
      <c r="AT56" s="46"/>
      <c r="AU56" s="46"/>
    </row>
    <row r="57" spans="1:47" x14ac:dyDescent="0.25">
      <c r="A57" s="47" t="s">
        <v>1598</v>
      </c>
      <c r="B57" s="8" t="s">
        <v>2</v>
      </c>
      <c r="C57" s="47" t="s">
        <v>1055</v>
      </c>
      <c r="D57" s="8" t="s">
        <v>1056</v>
      </c>
      <c r="E57" s="8" t="s">
        <v>1057</v>
      </c>
      <c r="F57" s="8" t="s">
        <v>1599</v>
      </c>
      <c r="G57" s="8" t="s">
        <v>1061</v>
      </c>
      <c r="H57" s="8">
        <v>5</v>
      </c>
      <c r="I57" s="8" t="s">
        <v>1</v>
      </c>
      <c r="J57" s="47" t="s">
        <v>1062</v>
      </c>
      <c r="K57" s="8" t="s">
        <v>72</v>
      </c>
      <c r="L57" s="8" t="s">
        <v>1600</v>
      </c>
      <c r="M57" s="8" t="s">
        <v>123</v>
      </c>
      <c r="N57" s="47">
        <v>1.92</v>
      </c>
      <c r="O57" s="107">
        <v>15</v>
      </c>
      <c r="P57" s="8" t="s">
        <v>60</v>
      </c>
      <c r="Q57" s="8" t="s">
        <v>1058</v>
      </c>
      <c r="R57" s="47" t="s">
        <v>0</v>
      </c>
      <c r="S57" s="8">
        <v>30</v>
      </c>
      <c r="T57" s="8" t="s">
        <v>64</v>
      </c>
      <c r="U57" s="8">
        <v>5.5</v>
      </c>
      <c r="V57" s="8" t="s">
        <v>1059</v>
      </c>
      <c r="W57" s="8"/>
      <c r="X57" s="47" t="s">
        <v>1060</v>
      </c>
      <c r="Y57" s="8" t="s">
        <v>1603</v>
      </c>
      <c r="Z57" s="47" t="s">
        <v>1052</v>
      </c>
      <c r="AA57" s="47" t="s">
        <v>1604</v>
      </c>
      <c r="AB57" s="125" t="s">
        <v>0</v>
      </c>
      <c r="AC57" s="46"/>
      <c r="AD57" s="142">
        <v>0.32</v>
      </c>
      <c r="AE57" s="46" t="s">
        <v>0</v>
      </c>
      <c r="AF57" s="148" t="s">
        <v>0</v>
      </c>
      <c r="AG57" s="46" t="s">
        <v>0</v>
      </c>
      <c r="AH57" s="46" t="s">
        <v>0</v>
      </c>
      <c r="AI57" s="112" t="s">
        <v>0</v>
      </c>
      <c r="AJ57" s="148" t="s">
        <v>0</v>
      </c>
      <c r="AK57" s="46" t="s">
        <v>0</v>
      </c>
      <c r="AL57" s="46" t="s">
        <v>0</v>
      </c>
      <c r="AM57" s="46" t="s">
        <v>0</v>
      </c>
      <c r="AN57" s="148" t="s">
        <v>0</v>
      </c>
      <c r="AO57" s="46" t="s">
        <v>0</v>
      </c>
      <c r="AP57" s="46" t="s">
        <v>0</v>
      </c>
      <c r="AQ57" s="46" t="s">
        <v>0</v>
      </c>
      <c r="AR57" s="47" t="s">
        <v>0</v>
      </c>
      <c r="AS57" s="46" t="s">
        <v>69</v>
      </c>
      <c r="AT57" s="46"/>
      <c r="AU57" s="46"/>
    </row>
    <row r="58" spans="1:47" x14ac:dyDescent="0.25">
      <c r="A58" s="43" t="s">
        <v>1610</v>
      </c>
      <c r="B58" s="4" t="s">
        <v>2</v>
      </c>
      <c r="C58" s="43" t="s">
        <v>1063</v>
      </c>
      <c r="D58" s="4" t="s">
        <v>1064</v>
      </c>
      <c r="E58" s="4" t="s">
        <v>1023</v>
      </c>
      <c r="F58" s="4" t="s">
        <v>69</v>
      </c>
      <c r="G58" s="4" t="s">
        <v>69</v>
      </c>
      <c r="H58" s="4">
        <v>0.7</v>
      </c>
      <c r="I58" s="4">
        <v>0.42499999999999999</v>
      </c>
      <c r="J58" s="43">
        <v>6</v>
      </c>
      <c r="K58" s="4" t="s">
        <v>1609</v>
      </c>
      <c r="L58" s="4" t="s">
        <v>1065</v>
      </c>
      <c r="M58" s="4" t="s">
        <v>123</v>
      </c>
      <c r="N58" s="158">
        <f>30.21/O58</f>
        <v>51.78857142857143</v>
      </c>
      <c r="O58" s="162">
        <f>14/24</f>
        <v>0.58333333333333337</v>
      </c>
      <c r="P58" s="4" t="s">
        <v>60</v>
      </c>
      <c r="Q58" s="4" t="s">
        <v>1058</v>
      </c>
      <c r="R58" s="43" t="s">
        <v>1066</v>
      </c>
      <c r="S58" s="4">
        <v>30</v>
      </c>
      <c r="T58" s="4" t="s">
        <v>64</v>
      </c>
      <c r="U58" s="4">
        <v>5.6</v>
      </c>
      <c r="V58" s="4" t="s">
        <v>1067</v>
      </c>
      <c r="W58" s="4" t="s">
        <v>1068</v>
      </c>
      <c r="X58" s="43" t="s">
        <v>1069</v>
      </c>
      <c r="Y58" s="4" t="s">
        <v>539</v>
      </c>
      <c r="Z58" s="43" t="s">
        <v>1584</v>
      </c>
      <c r="AA58" s="43" t="s">
        <v>0</v>
      </c>
      <c r="AB58" s="42" t="s">
        <v>0</v>
      </c>
      <c r="AC58" s="42"/>
      <c r="AD58" s="138" t="s">
        <v>0</v>
      </c>
      <c r="AE58" s="42" t="s">
        <v>0</v>
      </c>
      <c r="AF58" s="149" t="s">
        <v>0</v>
      </c>
      <c r="AG58" s="42" t="s">
        <v>0</v>
      </c>
      <c r="AH58" s="42" t="s">
        <v>0</v>
      </c>
      <c r="AI58" s="113" t="s">
        <v>0</v>
      </c>
      <c r="AJ58" s="149" t="s">
        <v>0</v>
      </c>
      <c r="AK58" s="42" t="s">
        <v>0</v>
      </c>
      <c r="AL58" s="42" t="s">
        <v>0</v>
      </c>
      <c r="AM58" s="42" t="s">
        <v>0</v>
      </c>
      <c r="AN58" s="149" t="s">
        <v>0</v>
      </c>
      <c r="AO58" s="42" t="s">
        <v>0</v>
      </c>
      <c r="AP58" s="42" t="s">
        <v>0</v>
      </c>
      <c r="AQ58" s="42" t="s">
        <v>0</v>
      </c>
      <c r="AR58" s="43" t="s">
        <v>0</v>
      </c>
      <c r="AS58" s="42" t="s">
        <v>69</v>
      </c>
      <c r="AT58" s="42"/>
      <c r="AU58" s="42"/>
    </row>
    <row r="59" spans="1:47" x14ac:dyDescent="0.25">
      <c r="A59" s="43" t="s">
        <v>1610</v>
      </c>
      <c r="B59" s="4" t="s">
        <v>2</v>
      </c>
      <c r="C59" s="43" t="s">
        <v>1063</v>
      </c>
      <c r="D59" s="4" t="s">
        <v>1064</v>
      </c>
      <c r="E59" s="4" t="s">
        <v>1023</v>
      </c>
      <c r="F59" s="4" t="s">
        <v>69</v>
      </c>
      <c r="G59" s="4" t="s">
        <v>69</v>
      </c>
      <c r="H59" s="4">
        <v>0.7</v>
      </c>
      <c r="I59" s="4">
        <v>0.42499999999999999</v>
      </c>
      <c r="J59" s="133" t="s">
        <v>1615</v>
      </c>
      <c r="K59" s="4" t="s">
        <v>1609</v>
      </c>
      <c r="L59" s="4" t="s">
        <v>1065</v>
      </c>
      <c r="M59" s="4" t="s">
        <v>123</v>
      </c>
      <c r="N59" s="158">
        <f>30.21/O59</f>
        <v>51.78857142857143</v>
      </c>
      <c r="O59" s="162">
        <f>14/24</f>
        <v>0.58333333333333337</v>
      </c>
      <c r="P59" s="4" t="s">
        <v>60</v>
      </c>
      <c r="Q59" s="4" t="s">
        <v>1058</v>
      </c>
      <c r="R59" s="43" t="s">
        <v>1066</v>
      </c>
      <c r="S59" s="4">
        <v>30</v>
      </c>
      <c r="T59" s="4" t="s">
        <v>64</v>
      </c>
      <c r="U59" s="4">
        <v>6.5</v>
      </c>
      <c r="V59" s="4" t="s">
        <v>1067</v>
      </c>
      <c r="W59" s="4" t="s">
        <v>1068</v>
      </c>
      <c r="X59" s="43" t="s">
        <v>1069</v>
      </c>
      <c r="Y59" s="4" t="s">
        <v>539</v>
      </c>
      <c r="Z59" s="43" t="s">
        <v>1070</v>
      </c>
      <c r="AA59" s="43" t="s">
        <v>0</v>
      </c>
      <c r="AB59" s="42" t="s">
        <v>0</v>
      </c>
      <c r="AC59" s="42"/>
      <c r="AD59" s="138" t="s">
        <v>0</v>
      </c>
      <c r="AE59" s="42" t="s">
        <v>0</v>
      </c>
      <c r="AF59" s="149" t="s">
        <v>0</v>
      </c>
      <c r="AG59" s="42" t="s">
        <v>0</v>
      </c>
      <c r="AH59" s="42" t="s">
        <v>0</v>
      </c>
      <c r="AI59" s="113" t="s">
        <v>0</v>
      </c>
      <c r="AJ59" s="149" t="s">
        <v>0</v>
      </c>
      <c r="AK59" s="42" t="s">
        <v>0</v>
      </c>
      <c r="AL59" s="42" t="s">
        <v>0</v>
      </c>
      <c r="AM59" s="42" t="s">
        <v>0</v>
      </c>
      <c r="AN59" s="149" t="s">
        <v>0</v>
      </c>
      <c r="AO59" s="42" t="s">
        <v>0</v>
      </c>
      <c r="AP59" s="42" t="s">
        <v>0</v>
      </c>
      <c r="AQ59" s="42" t="s">
        <v>0</v>
      </c>
      <c r="AR59" s="43" t="s">
        <v>0</v>
      </c>
      <c r="AS59" s="42" t="s">
        <v>69</v>
      </c>
      <c r="AT59" s="42"/>
      <c r="AU59" s="42"/>
    </row>
    <row r="60" spans="1:47" x14ac:dyDescent="0.25">
      <c r="A60" s="43" t="s">
        <v>1610</v>
      </c>
      <c r="B60" s="4" t="s">
        <v>2</v>
      </c>
      <c r="C60" s="43" t="s">
        <v>1063</v>
      </c>
      <c r="D60" s="4" t="s">
        <v>1064</v>
      </c>
      <c r="E60" s="4" t="s">
        <v>1023</v>
      </c>
      <c r="F60" s="4" t="s">
        <v>69</v>
      </c>
      <c r="G60" s="4" t="s">
        <v>69</v>
      </c>
      <c r="H60" s="4">
        <v>0.7</v>
      </c>
      <c r="I60" s="4">
        <v>0.42499999999999999</v>
      </c>
      <c r="J60" s="133" t="s">
        <v>1616</v>
      </c>
      <c r="K60" s="4" t="s">
        <v>1609</v>
      </c>
      <c r="L60" s="4" t="s">
        <v>1065</v>
      </c>
      <c r="M60" s="4" t="s">
        <v>123</v>
      </c>
      <c r="N60" s="158">
        <f>30.21/O60</f>
        <v>51.78857142857143</v>
      </c>
      <c r="O60" s="162">
        <f>14/24</f>
        <v>0.58333333333333337</v>
      </c>
      <c r="P60" s="4" t="s">
        <v>60</v>
      </c>
      <c r="Q60" s="4" t="s">
        <v>1058</v>
      </c>
      <c r="R60" s="43" t="s">
        <v>1066</v>
      </c>
      <c r="S60" s="4">
        <v>30</v>
      </c>
      <c r="T60" s="4" t="s">
        <v>64</v>
      </c>
      <c r="U60" s="4">
        <v>5.5</v>
      </c>
      <c r="V60" s="4" t="s">
        <v>1067</v>
      </c>
      <c r="W60" s="4" t="s">
        <v>1068</v>
      </c>
      <c r="X60" s="43" t="s">
        <v>1069</v>
      </c>
      <c r="Y60" s="4" t="s">
        <v>539</v>
      </c>
      <c r="Z60" s="43" t="s">
        <v>1071</v>
      </c>
      <c r="AA60" s="43" t="s">
        <v>0</v>
      </c>
      <c r="AB60" s="42" t="s">
        <v>1072</v>
      </c>
      <c r="AC60" s="42"/>
      <c r="AD60" s="138" t="s">
        <v>1073</v>
      </c>
      <c r="AE60" s="42" t="s">
        <v>0</v>
      </c>
      <c r="AF60" s="149" t="s">
        <v>0</v>
      </c>
      <c r="AG60" s="42" t="s">
        <v>1605</v>
      </c>
      <c r="AH60" s="42" t="s">
        <v>0</v>
      </c>
      <c r="AI60" s="42" t="s">
        <v>0</v>
      </c>
      <c r="AJ60" s="42" t="s">
        <v>0</v>
      </c>
      <c r="AK60" s="42">
        <f>1*8*32/114</f>
        <v>2.2456140350877192</v>
      </c>
      <c r="AL60" s="42" t="s">
        <v>0</v>
      </c>
      <c r="AM60" s="42" t="s">
        <v>0</v>
      </c>
      <c r="AN60" s="149" t="s">
        <v>0</v>
      </c>
      <c r="AO60" s="42">
        <v>3.8</v>
      </c>
      <c r="AP60" s="42" t="s">
        <v>0</v>
      </c>
      <c r="AQ60" s="42" t="s">
        <v>0</v>
      </c>
      <c r="AR60" s="43" t="s">
        <v>0</v>
      </c>
      <c r="AS60" s="42" t="s">
        <v>69</v>
      </c>
      <c r="AT60" s="42"/>
      <c r="AU60" s="42"/>
    </row>
    <row r="61" spans="1:47" x14ac:dyDescent="0.25">
      <c r="A61" s="47" t="s">
        <v>1612</v>
      </c>
      <c r="B61" s="8" t="s">
        <v>2</v>
      </c>
      <c r="C61" s="47" t="s">
        <v>1074</v>
      </c>
      <c r="D61" s="8" t="s">
        <v>875</v>
      </c>
      <c r="E61" s="8" t="s">
        <v>876</v>
      </c>
      <c r="F61" s="8" t="s">
        <v>69</v>
      </c>
      <c r="G61" s="8" t="s">
        <v>69</v>
      </c>
      <c r="H61" s="8">
        <v>10</v>
      </c>
      <c r="I61" s="8">
        <v>5</v>
      </c>
      <c r="J61" s="47">
        <v>70</v>
      </c>
      <c r="K61" s="8" t="s">
        <v>72</v>
      </c>
      <c r="L61" s="8" t="s">
        <v>1075</v>
      </c>
      <c r="M61" s="8" t="s">
        <v>1076</v>
      </c>
      <c r="N61" s="157">
        <f>101/7/5</f>
        <v>2.8857142857142857</v>
      </c>
      <c r="O61" s="107">
        <v>7</v>
      </c>
      <c r="P61" s="8" t="s">
        <v>60</v>
      </c>
      <c r="Q61" s="8" t="s">
        <v>1058</v>
      </c>
      <c r="R61" s="47" t="s">
        <v>1077</v>
      </c>
      <c r="S61" s="8">
        <v>35</v>
      </c>
      <c r="T61" s="8" t="s">
        <v>64</v>
      </c>
      <c r="U61" s="8">
        <v>5.5</v>
      </c>
      <c r="V61" s="8" t="s">
        <v>1059</v>
      </c>
      <c r="W61" s="8" t="s">
        <v>0</v>
      </c>
      <c r="X61" s="47" t="s">
        <v>901</v>
      </c>
      <c r="Y61" s="8" t="s">
        <v>539</v>
      </c>
      <c r="Z61" s="47" t="s">
        <v>1584</v>
      </c>
      <c r="AA61" s="47" t="s">
        <v>1604</v>
      </c>
      <c r="AB61" s="46" t="s">
        <v>1608</v>
      </c>
      <c r="AC61" s="46"/>
      <c r="AD61" s="139" t="s">
        <v>1607</v>
      </c>
      <c r="AE61" s="46" t="s">
        <v>0</v>
      </c>
      <c r="AF61" s="148" t="s">
        <v>1606</v>
      </c>
      <c r="AG61" s="46" t="s">
        <v>0</v>
      </c>
      <c r="AH61" s="46" t="s">
        <v>0</v>
      </c>
      <c r="AI61" s="112" t="s">
        <v>0</v>
      </c>
      <c r="AJ61" s="148" t="s">
        <v>0</v>
      </c>
      <c r="AK61" s="46">
        <f>8.1*8*32/116</f>
        <v>17.875862068965517</v>
      </c>
      <c r="AL61" s="46" t="s">
        <v>0</v>
      </c>
      <c r="AM61" s="46">
        <f>3.2*11*32/144</f>
        <v>7.8222222222222229</v>
      </c>
      <c r="AN61" s="148" t="s">
        <v>0</v>
      </c>
      <c r="AO61" s="46" t="s">
        <v>0</v>
      </c>
      <c r="AP61" s="46" t="s">
        <v>0</v>
      </c>
      <c r="AQ61" s="46" t="s">
        <v>0</v>
      </c>
      <c r="AR61" s="47" t="s">
        <v>0</v>
      </c>
      <c r="AS61" s="46" t="s">
        <v>64</v>
      </c>
      <c r="AT61" s="46"/>
      <c r="AU61" s="46"/>
    </row>
    <row r="62" spans="1:47" x14ac:dyDescent="0.25">
      <c r="A62" s="43" t="s">
        <v>1614</v>
      </c>
      <c r="B62" s="4" t="s">
        <v>55</v>
      </c>
      <c r="C62" s="43" t="s">
        <v>1613</v>
      </c>
      <c r="D62" s="4" t="s">
        <v>1056</v>
      </c>
      <c r="E62" s="4" t="s">
        <v>1078</v>
      </c>
      <c r="F62" s="4" t="s">
        <v>69</v>
      </c>
      <c r="G62" s="4" t="s">
        <v>1079</v>
      </c>
      <c r="H62" s="4">
        <v>5</v>
      </c>
      <c r="I62" s="4">
        <v>5</v>
      </c>
      <c r="J62" s="43">
        <v>163</v>
      </c>
      <c r="K62" s="4" t="s">
        <v>72</v>
      </c>
      <c r="L62" s="4" t="s">
        <v>1080</v>
      </c>
      <c r="M62" s="4" t="s">
        <v>156</v>
      </c>
      <c r="N62" s="43">
        <v>1.92</v>
      </c>
      <c r="O62" s="108">
        <v>25</v>
      </c>
      <c r="P62" s="4" t="s">
        <v>60</v>
      </c>
      <c r="Q62" s="4" t="s">
        <v>1081</v>
      </c>
      <c r="R62" s="43" t="s">
        <v>1082</v>
      </c>
      <c r="S62" s="4">
        <v>55</v>
      </c>
      <c r="T62" s="4" t="s">
        <v>64</v>
      </c>
      <c r="U62" s="4">
        <v>5.5</v>
      </c>
      <c r="V62" s="4" t="s">
        <v>1083</v>
      </c>
      <c r="W62" s="4" t="s">
        <v>0</v>
      </c>
      <c r="X62" s="43" t="s">
        <v>1084</v>
      </c>
      <c r="Y62" s="4" t="s">
        <v>539</v>
      </c>
      <c r="Z62" s="43" t="s">
        <v>1085</v>
      </c>
      <c r="AA62" s="43" t="s">
        <v>1604</v>
      </c>
      <c r="AB62" s="42" t="s">
        <v>1086</v>
      </c>
      <c r="AC62" s="42"/>
      <c r="AD62" s="138" t="s">
        <v>0</v>
      </c>
      <c r="AE62" s="42" t="s">
        <v>0</v>
      </c>
      <c r="AF62" s="149" t="s">
        <v>0</v>
      </c>
      <c r="AG62" s="42" t="s">
        <v>0</v>
      </c>
      <c r="AH62" s="42" t="s">
        <v>0</v>
      </c>
      <c r="AI62" s="42" t="s">
        <v>0</v>
      </c>
      <c r="AJ62" s="149" t="s">
        <v>0</v>
      </c>
      <c r="AK62" s="42" t="s">
        <v>0</v>
      </c>
      <c r="AL62" s="42" t="s">
        <v>0</v>
      </c>
      <c r="AM62" s="42" t="s">
        <v>0</v>
      </c>
      <c r="AN62" s="149" t="s">
        <v>0</v>
      </c>
      <c r="AO62" s="42" t="s">
        <v>0</v>
      </c>
      <c r="AP62" s="42" t="s">
        <v>0</v>
      </c>
      <c r="AQ62" s="42" t="s">
        <v>0</v>
      </c>
      <c r="AR62" s="43" t="s">
        <v>0</v>
      </c>
      <c r="AS62" s="42" t="s">
        <v>64</v>
      </c>
      <c r="AT62" s="42"/>
      <c r="AU62" s="42"/>
    </row>
    <row r="63" spans="1:47" x14ac:dyDescent="0.25">
      <c r="A63" s="43" t="s">
        <v>1614</v>
      </c>
      <c r="B63" s="4" t="s">
        <v>55</v>
      </c>
      <c r="C63" s="43" t="s">
        <v>1613</v>
      </c>
      <c r="D63" s="4" t="s">
        <v>1056</v>
      </c>
      <c r="E63" s="4" t="s">
        <v>1078</v>
      </c>
      <c r="F63" s="4" t="s">
        <v>69</v>
      </c>
      <c r="G63" s="4" t="s">
        <v>1079</v>
      </c>
      <c r="H63" s="4">
        <v>5</v>
      </c>
      <c r="I63" s="4">
        <v>5</v>
      </c>
      <c r="J63" s="43">
        <f>243-163</f>
        <v>80</v>
      </c>
      <c r="K63" s="4" t="s">
        <v>72</v>
      </c>
      <c r="L63" s="4" t="s">
        <v>1080</v>
      </c>
      <c r="M63" s="4" t="s">
        <v>156</v>
      </c>
      <c r="N63" s="43">
        <v>1.92</v>
      </c>
      <c r="O63" s="108">
        <v>20</v>
      </c>
      <c r="P63" s="4" t="s">
        <v>60</v>
      </c>
      <c r="Q63" s="4" t="s">
        <v>1081</v>
      </c>
      <c r="R63" s="43" t="s">
        <v>1082</v>
      </c>
      <c r="S63" s="4">
        <v>55</v>
      </c>
      <c r="T63" s="4" t="s">
        <v>64</v>
      </c>
      <c r="U63" s="4">
        <v>5.5</v>
      </c>
      <c r="V63" s="4" t="s">
        <v>1083</v>
      </c>
      <c r="W63" s="4" t="s">
        <v>0</v>
      </c>
      <c r="X63" s="43" t="s">
        <v>1084</v>
      </c>
      <c r="Y63" s="4" t="s">
        <v>539</v>
      </c>
      <c r="Z63" s="43" t="s">
        <v>1085</v>
      </c>
      <c r="AA63" s="43" t="s">
        <v>1604</v>
      </c>
      <c r="AB63" s="42" t="s">
        <v>1087</v>
      </c>
      <c r="AC63" s="42"/>
      <c r="AD63" s="138" t="s">
        <v>0</v>
      </c>
      <c r="AE63" s="42" t="s">
        <v>0</v>
      </c>
      <c r="AF63" s="149" t="s">
        <v>0</v>
      </c>
      <c r="AG63" s="42" t="s">
        <v>0</v>
      </c>
      <c r="AH63" s="42" t="s">
        <v>0</v>
      </c>
      <c r="AI63" s="42" t="s">
        <v>0</v>
      </c>
      <c r="AJ63" s="149" t="s">
        <v>0</v>
      </c>
      <c r="AK63" s="42" t="s">
        <v>0</v>
      </c>
      <c r="AL63" s="42" t="s">
        <v>0</v>
      </c>
      <c r="AM63" s="42" t="s">
        <v>0</v>
      </c>
      <c r="AN63" s="149" t="s">
        <v>0</v>
      </c>
      <c r="AO63" s="42" t="s">
        <v>0</v>
      </c>
      <c r="AP63" s="42" t="s">
        <v>0</v>
      </c>
      <c r="AQ63" s="42" t="s">
        <v>0</v>
      </c>
      <c r="AR63" s="43" t="s">
        <v>0</v>
      </c>
      <c r="AS63" s="42" t="s">
        <v>64</v>
      </c>
      <c r="AT63" s="42"/>
      <c r="AU63" s="42"/>
    </row>
    <row r="64" spans="1:47" x14ac:dyDescent="0.25">
      <c r="A64" s="43" t="s">
        <v>1614</v>
      </c>
      <c r="B64" s="4" t="s">
        <v>55</v>
      </c>
      <c r="C64" s="43" t="s">
        <v>1613</v>
      </c>
      <c r="D64" s="4" t="s">
        <v>1056</v>
      </c>
      <c r="E64" s="4" t="s">
        <v>1078</v>
      </c>
      <c r="F64" s="4" t="s">
        <v>69</v>
      </c>
      <c r="G64" s="4" t="s">
        <v>1079</v>
      </c>
      <c r="H64" s="4">
        <v>5</v>
      </c>
      <c r="I64" s="4">
        <v>5</v>
      </c>
      <c r="J64" s="43">
        <f xml:space="preserve"> 337-243</f>
        <v>94</v>
      </c>
      <c r="K64" s="4" t="s">
        <v>72</v>
      </c>
      <c r="L64" s="4" t="s">
        <v>1080</v>
      </c>
      <c r="M64" s="4" t="s">
        <v>156</v>
      </c>
      <c r="N64" s="43">
        <v>1.92</v>
      </c>
      <c r="O64" s="108">
        <v>15</v>
      </c>
      <c r="P64" s="4" t="s">
        <v>60</v>
      </c>
      <c r="Q64" s="4" t="s">
        <v>1081</v>
      </c>
      <c r="R64" s="43" t="s">
        <v>1082</v>
      </c>
      <c r="S64" s="4">
        <v>55</v>
      </c>
      <c r="T64" s="4" t="s">
        <v>64</v>
      </c>
      <c r="U64" s="4">
        <v>5.5</v>
      </c>
      <c r="V64" s="4" t="s">
        <v>1083</v>
      </c>
      <c r="W64" s="4" t="s">
        <v>0</v>
      </c>
      <c r="X64" s="43" t="s">
        <v>1084</v>
      </c>
      <c r="Y64" s="4" t="s">
        <v>539</v>
      </c>
      <c r="Z64" s="43" t="s">
        <v>1085</v>
      </c>
      <c r="AA64" s="43" t="s">
        <v>1604</v>
      </c>
      <c r="AB64" s="42" t="s">
        <v>1088</v>
      </c>
      <c r="AC64" s="42"/>
      <c r="AD64" s="138" t="s">
        <v>0</v>
      </c>
      <c r="AE64" s="42" t="s">
        <v>0</v>
      </c>
      <c r="AF64" s="149" t="s">
        <v>0</v>
      </c>
      <c r="AG64" s="129" t="s">
        <v>1089</v>
      </c>
      <c r="AH64" s="42" t="s">
        <v>0</v>
      </c>
      <c r="AI64" s="42" t="s">
        <v>0</v>
      </c>
      <c r="AJ64" s="149" t="s">
        <v>0</v>
      </c>
      <c r="AK64" s="42" t="s">
        <v>0</v>
      </c>
      <c r="AL64" s="42" t="s">
        <v>0</v>
      </c>
      <c r="AM64" s="42" t="s">
        <v>0</v>
      </c>
      <c r="AN64" s="149" t="s">
        <v>0</v>
      </c>
      <c r="AO64" s="42">
        <v>0.6</v>
      </c>
      <c r="AP64" s="42" t="s">
        <v>0</v>
      </c>
      <c r="AQ64" s="42" t="s">
        <v>0</v>
      </c>
      <c r="AR64" s="43" t="s">
        <v>0</v>
      </c>
      <c r="AS64" s="42" t="s">
        <v>64</v>
      </c>
      <c r="AT64" s="42"/>
      <c r="AU64" s="42"/>
    </row>
    <row r="65" spans="1:47" x14ac:dyDescent="0.25">
      <c r="A65" s="43" t="s">
        <v>1614</v>
      </c>
      <c r="B65" s="4" t="s">
        <v>55</v>
      </c>
      <c r="C65" s="43" t="s">
        <v>1613</v>
      </c>
      <c r="D65" s="4" t="s">
        <v>1056</v>
      </c>
      <c r="E65" s="4" t="s">
        <v>1078</v>
      </c>
      <c r="F65" s="4" t="s">
        <v>69</v>
      </c>
      <c r="G65" s="4" t="s">
        <v>1079</v>
      </c>
      <c r="H65" s="4">
        <v>5</v>
      </c>
      <c r="I65" s="4">
        <v>5</v>
      </c>
      <c r="J65" s="43">
        <f>419-338</f>
        <v>81</v>
      </c>
      <c r="K65" s="4" t="s">
        <v>72</v>
      </c>
      <c r="L65" s="4" t="s">
        <v>1080</v>
      </c>
      <c r="M65" s="4" t="s">
        <v>156</v>
      </c>
      <c r="N65" s="43">
        <v>1.92</v>
      </c>
      <c r="O65" s="108">
        <v>15</v>
      </c>
      <c r="P65" s="4" t="s">
        <v>60</v>
      </c>
      <c r="Q65" s="4" t="s">
        <v>1081</v>
      </c>
      <c r="R65" s="43" t="s">
        <v>1082</v>
      </c>
      <c r="S65" s="4">
        <v>55</v>
      </c>
      <c r="T65" s="4" t="s">
        <v>64</v>
      </c>
      <c r="U65" s="4">
        <v>5.8</v>
      </c>
      <c r="V65" s="4" t="s">
        <v>1083</v>
      </c>
      <c r="W65" s="4" t="s">
        <v>0</v>
      </c>
      <c r="X65" s="43" t="s">
        <v>1084</v>
      </c>
      <c r="Y65" s="4" t="s">
        <v>539</v>
      </c>
      <c r="Z65" s="43" t="s">
        <v>1085</v>
      </c>
      <c r="AA65" s="43" t="s">
        <v>1604</v>
      </c>
      <c r="AB65" s="42" t="s">
        <v>1090</v>
      </c>
      <c r="AC65" s="42"/>
      <c r="AD65" s="138" t="s">
        <v>0</v>
      </c>
      <c r="AE65" s="42" t="s">
        <v>0</v>
      </c>
      <c r="AF65" s="149" t="s">
        <v>0</v>
      </c>
      <c r="AG65" s="42" t="s">
        <v>0</v>
      </c>
      <c r="AH65" s="42" t="s">
        <v>0</v>
      </c>
      <c r="AI65" s="42" t="s">
        <v>0</v>
      </c>
      <c r="AJ65" s="149" t="s">
        <v>0</v>
      </c>
      <c r="AK65" s="42" t="s">
        <v>0</v>
      </c>
      <c r="AL65" s="42" t="s">
        <v>0</v>
      </c>
      <c r="AM65" s="42" t="s">
        <v>0</v>
      </c>
      <c r="AN65" s="149" t="s">
        <v>0</v>
      </c>
      <c r="AO65" s="42" t="s">
        <v>0</v>
      </c>
      <c r="AP65" s="42" t="s">
        <v>0</v>
      </c>
      <c r="AQ65" s="42" t="s">
        <v>0</v>
      </c>
      <c r="AR65" s="43" t="s">
        <v>0</v>
      </c>
      <c r="AS65" s="42" t="s">
        <v>64</v>
      </c>
      <c r="AT65" s="42"/>
      <c r="AU65" s="42"/>
    </row>
    <row r="66" spans="1:47" x14ac:dyDescent="0.25">
      <c r="A66" s="43" t="s">
        <v>1614</v>
      </c>
      <c r="B66" s="4" t="s">
        <v>55</v>
      </c>
      <c r="C66" s="43" t="s">
        <v>1613</v>
      </c>
      <c r="D66" s="4" t="s">
        <v>1056</v>
      </c>
      <c r="E66" s="4" t="s">
        <v>1078</v>
      </c>
      <c r="F66" s="4" t="s">
        <v>69</v>
      </c>
      <c r="G66" s="4" t="s">
        <v>1079</v>
      </c>
      <c r="H66" s="4">
        <v>5</v>
      </c>
      <c r="I66" s="4">
        <v>5</v>
      </c>
      <c r="J66" s="43">
        <v>163</v>
      </c>
      <c r="K66" s="4" t="s">
        <v>72</v>
      </c>
      <c r="L66" s="4" t="s">
        <v>1091</v>
      </c>
      <c r="M66" s="4" t="s">
        <v>156</v>
      </c>
      <c r="N66" s="43">
        <v>1.92</v>
      </c>
      <c r="O66" s="108">
        <v>25</v>
      </c>
      <c r="P66" s="4" t="s">
        <v>60</v>
      </c>
      <c r="Q66" s="4" t="s">
        <v>1081</v>
      </c>
      <c r="R66" s="43" t="s">
        <v>1082</v>
      </c>
      <c r="S66" s="4">
        <v>55</v>
      </c>
      <c r="T66" s="4" t="s">
        <v>64</v>
      </c>
      <c r="U66" s="4">
        <v>5.5</v>
      </c>
      <c r="V66" s="4" t="s">
        <v>1083</v>
      </c>
      <c r="W66" s="4" t="s">
        <v>0</v>
      </c>
      <c r="X66" s="43" t="s">
        <v>1084</v>
      </c>
      <c r="Y66" s="4" t="s">
        <v>539</v>
      </c>
      <c r="Z66" s="43" t="s">
        <v>1085</v>
      </c>
      <c r="AA66" s="43" t="s">
        <v>1604</v>
      </c>
      <c r="AB66" s="42" t="s">
        <v>1092</v>
      </c>
      <c r="AC66" s="42"/>
      <c r="AD66" s="138" t="s">
        <v>0</v>
      </c>
      <c r="AE66" s="42" t="s">
        <v>0</v>
      </c>
      <c r="AF66" s="149" t="s">
        <v>0</v>
      </c>
      <c r="AG66" s="42" t="s">
        <v>0</v>
      </c>
      <c r="AH66" s="42" t="s">
        <v>0</v>
      </c>
      <c r="AI66" s="42" t="s">
        <v>0</v>
      </c>
      <c r="AJ66" s="149" t="s">
        <v>0</v>
      </c>
      <c r="AK66" s="42" t="s">
        <v>0</v>
      </c>
      <c r="AL66" s="42" t="s">
        <v>0</v>
      </c>
      <c r="AM66" s="42" t="s">
        <v>0</v>
      </c>
      <c r="AN66" s="149" t="s">
        <v>0</v>
      </c>
      <c r="AO66" s="42" t="s">
        <v>0</v>
      </c>
      <c r="AP66" s="42" t="s">
        <v>0</v>
      </c>
      <c r="AQ66" s="42" t="s">
        <v>0</v>
      </c>
      <c r="AR66" s="43" t="s">
        <v>0</v>
      </c>
      <c r="AS66" s="42" t="s">
        <v>64</v>
      </c>
      <c r="AT66" s="42"/>
      <c r="AU66" s="42"/>
    </row>
    <row r="67" spans="1:47" x14ac:dyDescent="0.25">
      <c r="A67" s="43" t="s">
        <v>1614</v>
      </c>
      <c r="B67" s="4" t="s">
        <v>55</v>
      </c>
      <c r="C67" s="43" t="s">
        <v>1613</v>
      </c>
      <c r="D67" s="4" t="s">
        <v>1056</v>
      </c>
      <c r="E67" s="4" t="s">
        <v>1078</v>
      </c>
      <c r="F67" s="4" t="s">
        <v>69</v>
      </c>
      <c r="G67" s="4" t="s">
        <v>1079</v>
      </c>
      <c r="H67" s="4">
        <v>5</v>
      </c>
      <c r="I67" s="4">
        <v>5</v>
      </c>
      <c r="J67" s="43">
        <f>243-163</f>
        <v>80</v>
      </c>
      <c r="K67" s="4" t="s">
        <v>72</v>
      </c>
      <c r="L67" s="4" t="s">
        <v>1091</v>
      </c>
      <c r="M67" s="4" t="s">
        <v>156</v>
      </c>
      <c r="N67" s="43">
        <v>1.92</v>
      </c>
      <c r="O67" s="108">
        <v>20</v>
      </c>
      <c r="P67" s="4" t="s">
        <v>60</v>
      </c>
      <c r="Q67" s="4" t="s">
        <v>1081</v>
      </c>
      <c r="R67" s="43" t="s">
        <v>1082</v>
      </c>
      <c r="S67" s="4">
        <v>55</v>
      </c>
      <c r="T67" s="4" t="s">
        <v>64</v>
      </c>
      <c r="U67" s="4">
        <v>5.5</v>
      </c>
      <c r="V67" s="4" t="s">
        <v>1083</v>
      </c>
      <c r="W67" s="4" t="s">
        <v>0</v>
      </c>
      <c r="X67" s="43" t="s">
        <v>1084</v>
      </c>
      <c r="Y67" s="4" t="s">
        <v>539</v>
      </c>
      <c r="Z67" s="43" t="s">
        <v>1085</v>
      </c>
      <c r="AA67" s="43" t="s">
        <v>1604</v>
      </c>
      <c r="AB67" s="42" t="s">
        <v>1093</v>
      </c>
      <c r="AC67" s="42"/>
      <c r="AD67" s="138" t="s">
        <v>0</v>
      </c>
      <c r="AE67" s="42" t="s">
        <v>0</v>
      </c>
      <c r="AF67" s="149" t="s">
        <v>0</v>
      </c>
      <c r="AG67" s="42" t="s">
        <v>0</v>
      </c>
      <c r="AH67" s="42" t="s">
        <v>0</v>
      </c>
      <c r="AI67" s="42" t="s">
        <v>0</v>
      </c>
      <c r="AJ67" s="149" t="s">
        <v>0</v>
      </c>
      <c r="AK67" s="42" t="s">
        <v>0</v>
      </c>
      <c r="AL67" s="42" t="s">
        <v>0</v>
      </c>
      <c r="AM67" s="42" t="s">
        <v>0</v>
      </c>
      <c r="AN67" s="149" t="s">
        <v>0</v>
      </c>
      <c r="AO67" s="42" t="s">
        <v>0</v>
      </c>
      <c r="AP67" s="42" t="s">
        <v>0</v>
      </c>
      <c r="AQ67" s="42" t="s">
        <v>0</v>
      </c>
      <c r="AR67" s="43" t="s">
        <v>0</v>
      </c>
      <c r="AS67" s="42" t="s">
        <v>64</v>
      </c>
      <c r="AT67" s="42"/>
      <c r="AU67" s="42"/>
    </row>
    <row r="68" spans="1:47" x14ac:dyDescent="0.25">
      <c r="A68" s="43" t="s">
        <v>1614</v>
      </c>
      <c r="B68" s="4" t="s">
        <v>55</v>
      </c>
      <c r="C68" s="43" t="s">
        <v>1613</v>
      </c>
      <c r="D68" s="4" t="s">
        <v>1056</v>
      </c>
      <c r="E68" s="4" t="s">
        <v>1078</v>
      </c>
      <c r="F68" s="4" t="s">
        <v>69</v>
      </c>
      <c r="G68" s="4" t="s">
        <v>1079</v>
      </c>
      <c r="H68" s="4">
        <v>5</v>
      </c>
      <c r="I68" s="4">
        <v>5</v>
      </c>
      <c r="J68" s="43">
        <f xml:space="preserve"> 337-243</f>
        <v>94</v>
      </c>
      <c r="K68" s="4" t="s">
        <v>72</v>
      </c>
      <c r="L68" s="4" t="s">
        <v>1091</v>
      </c>
      <c r="M68" s="4" t="s">
        <v>156</v>
      </c>
      <c r="N68" s="43">
        <v>1.92</v>
      </c>
      <c r="O68" s="108">
        <v>15</v>
      </c>
      <c r="P68" s="4" t="s">
        <v>60</v>
      </c>
      <c r="Q68" s="4" t="s">
        <v>1081</v>
      </c>
      <c r="R68" s="43" t="s">
        <v>1082</v>
      </c>
      <c r="S68" s="4">
        <v>55</v>
      </c>
      <c r="T68" s="4" t="s">
        <v>64</v>
      </c>
      <c r="U68" s="4">
        <v>5.5</v>
      </c>
      <c r="V68" s="4" t="s">
        <v>1083</v>
      </c>
      <c r="W68" s="4" t="s">
        <v>0</v>
      </c>
      <c r="X68" s="43" t="s">
        <v>1084</v>
      </c>
      <c r="Y68" s="4" t="s">
        <v>539</v>
      </c>
      <c r="Z68" s="43" t="s">
        <v>1085</v>
      </c>
      <c r="AA68" s="43" t="s">
        <v>1604</v>
      </c>
      <c r="AB68" s="42" t="s">
        <v>1094</v>
      </c>
      <c r="AC68" s="42"/>
      <c r="AD68" s="138" t="s">
        <v>0</v>
      </c>
      <c r="AE68" s="42" t="s">
        <v>0</v>
      </c>
      <c r="AF68" s="149" t="s">
        <v>0</v>
      </c>
      <c r="AG68" s="129" t="s">
        <v>1095</v>
      </c>
      <c r="AH68" s="42" t="s">
        <v>0</v>
      </c>
      <c r="AI68" s="42" t="s">
        <v>0</v>
      </c>
      <c r="AJ68" s="149" t="s">
        <v>0</v>
      </c>
      <c r="AK68" s="42" t="s">
        <v>0</v>
      </c>
      <c r="AL68" s="42" t="s">
        <v>0</v>
      </c>
      <c r="AM68" s="42" t="s">
        <v>0</v>
      </c>
      <c r="AN68" s="149" t="s">
        <v>0</v>
      </c>
      <c r="AO68" s="42">
        <v>0.09</v>
      </c>
      <c r="AP68" s="42" t="s">
        <v>0</v>
      </c>
      <c r="AQ68" s="42" t="s">
        <v>0</v>
      </c>
      <c r="AR68" s="43" t="s">
        <v>0</v>
      </c>
      <c r="AS68" s="42" t="s">
        <v>64</v>
      </c>
      <c r="AT68" s="42"/>
      <c r="AU68" s="42"/>
    </row>
    <row r="69" spans="1:47" x14ac:dyDescent="0.25">
      <c r="A69" s="43" t="s">
        <v>1614</v>
      </c>
      <c r="B69" s="4" t="s">
        <v>55</v>
      </c>
      <c r="C69" s="43" t="s">
        <v>1613</v>
      </c>
      <c r="D69" s="4" t="s">
        <v>1056</v>
      </c>
      <c r="E69" s="4" t="s">
        <v>1078</v>
      </c>
      <c r="F69" s="4" t="s">
        <v>69</v>
      </c>
      <c r="G69" s="4" t="s">
        <v>1079</v>
      </c>
      <c r="H69" s="4">
        <v>5</v>
      </c>
      <c r="I69" s="4">
        <v>5</v>
      </c>
      <c r="J69" s="43">
        <f>419-338</f>
        <v>81</v>
      </c>
      <c r="K69" s="4" t="s">
        <v>72</v>
      </c>
      <c r="L69" s="4" t="s">
        <v>1091</v>
      </c>
      <c r="M69" s="4" t="s">
        <v>156</v>
      </c>
      <c r="N69" s="43">
        <v>1.92</v>
      </c>
      <c r="O69" s="108">
        <v>15</v>
      </c>
      <c r="P69" s="4" t="s">
        <v>60</v>
      </c>
      <c r="Q69" s="4" t="s">
        <v>1081</v>
      </c>
      <c r="R69" s="43" t="s">
        <v>1082</v>
      </c>
      <c r="S69" s="4">
        <v>55</v>
      </c>
      <c r="T69" s="4" t="s">
        <v>64</v>
      </c>
      <c r="U69" s="4">
        <v>5.8</v>
      </c>
      <c r="V69" s="4" t="s">
        <v>1083</v>
      </c>
      <c r="W69" s="4" t="s">
        <v>0</v>
      </c>
      <c r="X69" s="43" t="s">
        <v>1084</v>
      </c>
      <c r="Y69" s="4" t="s">
        <v>539</v>
      </c>
      <c r="Z69" s="43" t="s">
        <v>1085</v>
      </c>
      <c r="AA69" s="43" t="s">
        <v>1604</v>
      </c>
      <c r="AB69" s="42" t="s">
        <v>1096</v>
      </c>
      <c r="AC69" s="42"/>
      <c r="AD69" s="138" t="s">
        <v>0</v>
      </c>
      <c r="AE69" s="42" t="s">
        <v>0</v>
      </c>
      <c r="AF69" s="149" t="s">
        <v>0</v>
      </c>
      <c r="AG69" s="42" t="s">
        <v>0</v>
      </c>
      <c r="AH69" s="42" t="s">
        <v>0</v>
      </c>
      <c r="AI69" s="42" t="s">
        <v>0</v>
      </c>
      <c r="AJ69" s="149" t="s">
        <v>0</v>
      </c>
      <c r="AK69" s="42" t="s">
        <v>0</v>
      </c>
      <c r="AL69" s="42" t="s">
        <v>0</v>
      </c>
      <c r="AM69" s="42" t="s">
        <v>0</v>
      </c>
      <c r="AN69" s="149" t="s">
        <v>0</v>
      </c>
      <c r="AO69" s="42" t="s">
        <v>0</v>
      </c>
      <c r="AP69" s="42" t="s">
        <v>0</v>
      </c>
      <c r="AQ69" s="42" t="s">
        <v>0</v>
      </c>
      <c r="AR69" s="43" t="s">
        <v>0</v>
      </c>
      <c r="AS69" s="42" t="s">
        <v>64</v>
      </c>
      <c r="AT69" s="42"/>
      <c r="AU69" s="42"/>
    </row>
    <row r="70" spans="1:47" x14ac:dyDescent="0.25">
      <c r="A70" s="43" t="s">
        <v>1614</v>
      </c>
      <c r="B70" s="4" t="s">
        <v>55</v>
      </c>
      <c r="C70" s="43" t="s">
        <v>1613</v>
      </c>
      <c r="D70" s="4" t="s">
        <v>1056</v>
      </c>
      <c r="E70" s="4" t="s">
        <v>1078</v>
      </c>
      <c r="F70" s="4" t="s">
        <v>69</v>
      </c>
      <c r="G70" s="4" t="s">
        <v>1079</v>
      </c>
      <c r="H70" s="4">
        <v>5</v>
      </c>
      <c r="I70" s="4">
        <v>5</v>
      </c>
      <c r="J70" s="43">
        <v>163</v>
      </c>
      <c r="K70" s="4" t="s">
        <v>72</v>
      </c>
      <c r="L70" s="4" t="s">
        <v>1097</v>
      </c>
      <c r="M70" s="4" t="s">
        <v>156</v>
      </c>
      <c r="N70" s="43">
        <v>1.92</v>
      </c>
      <c r="O70" s="108">
        <v>25</v>
      </c>
      <c r="P70" s="4" t="s">
        <v>60</v>
      </c>
      <c r="Q70" s="4" t="s">
        <v>1081</v>
      </c>
      <c r="R70" s="43" t="s">
        <v>1082</v>
      </c>
      <c r="S70" s="4">
        <v>55</v>
      </c>
      <c r="T70" s="4" t="s">
        <v>64</v>
      </c>
      <c r="U70" s="4">
        <v>5.5</v>
      </c>
      <c r="V70" s="4" t="s">
        <v>1083</v>
      </c>
      <c r="W70" s="4" t="s">
        <v>0</v>
      </c>
      <c r="X70" s="43" t="s">
        <v>1084</v>
      </c>
      <c r="Y70" s="4" t="s">
        <v>539</v>
      </c>
      <c r="Z70" s="43" t="s">
        <v>1098</v>
      </c>
      <c r="AA70" s="43" t="s">
        <v>1604</v>
      </c>
      <c r="AB70" s="42" t="s">
        <v>1099</v>
      </c>
      <c r="AC70" s="42"/>
      <c r="AD70" s="138" t="s">
        <v>0</v>
      </c>
      <c r="AE70" s="42" t="s">
        <v>0</v>
      </c>
      <c r="AF70" s="149" t="s">
        <v>0</v>
      </c>
      <c r="AG70" s="42" t="s">
        <v>0</v>
      </c>
      <c r="AH70" s="42" t="s">
        <v>0</v>
      </c>
      <c r="AI70" s="42" t="s">
        <v>0</v>
      </c>
      <c r="AJ70" s="149" t="s">
        <v>0</v>
      </c>
      <c r="AK70" s="42" t="s">
        <v>0</v>
      </c>
      <c r="AL70" s="42" t="s">
        <v>0</v>
      </c>
      <c r="AM70" s="42" t="s">
        <v>0</v>
      </c>
      <c r="AN70" s="149" t="s">
        <v>0</v>
      </c>
      <c r="AO70" s="42" t="s">
        <v>0</v>
      </c>
      <c r="AP70" s="42" t="s">
        <v>0</v>
      </c>
      <c r="AQ70" s="42" t="s">
        <v>0</v>
      </c>
      <c r="AR70" s="43" t="s">
        <v>0</v>
      </c>
      <c r="AS70" s="42" t="s">
        <v>64</v>
      </c>
      <c r="AT70" s="42"/>
      <c r="AU70" s="42"/>
    </row>
    <row r="71" spans="1:47" x14ac:dyDescent="0.25">
      <c r="A71" s="43" t="s">
        <v>1614</v>
      </c>
      <c r="B71" s="4" t="s">
        <v>55</v>
      </c>
      <c r="C71" s="43" t="s">
        <v>1613</v>
      </c>
      <c r="D71" s="4" t="s">
        <v>1056</v>
      </c>
      <c r="E71" s="4" t="s">
        <v>1078</v>
      </c>
      <c r="F71" s="4" t="s">
        <v>69</v>
      </c>
      <c r="G71" s="4" t="s">
        <v>1079</v>
      </c>
      <c r="H71" s="4">
        <v>5</v>
      </c>
      <c r="I71" s="4">
        <v>5</v>
      </c>
      <c r="J71" s="43">
        <f>243-163</f>
        <v>80</v>
      </c>
      <c r="K71" s="4" t="s">
        <v>72</v>
      </c>
      <c r="L71" s="4" t="s">
        <v>1097</v>
      </c>
      <c r="M71" s="4" t="s">
        <v>156</v>
      </c>
      <c r="N71" s="43">
        <v>1.92</v>
      </c>
      <c r="O71" s="108">
        <v>20</v>
      </c>
      <c r="P71" s="4" t="s">
        <v>60</v>
      </c>
      <c r="Q71" s="4" t="s">
        <v>1081</v>
      </c>
      <c r="R71" s="43" t="s">
        <v>1082</v>
      </c>
      <c r="S71" s="4">
        <v>55</v>
      </c>
      <c r="T71" s="4" t="s">
        <v>64</v>
      </c>
      <c r="U71" s="4">
        <v>5.5</v>
      </c>
      <c r="V71" s="4" t="s">
        <v>1083</v>
      </c>
      <c r="W71" s="4" t="s">
        <v>0</v>
      </c>
      <c r="X71" s="43" t="s">
        <v>1084</v>
      </c>
      <c r="Y71" s="4" t="s">
        <v>539</v>
      </c>
      <c r="Z71" s="43" t="s">
        <v>1098</v>
      </c>
      <c r="AA71" s="43" t="s">
        <v>1604</v>
      </c>
      <c r="AB71" s="42" t="s">
        <v>1100</v>
      </c>
      <c r="AC71" s="42"/>
      <c r="AD71" s="138" t="s">
        <v>0</v>
      </c>
      <c r="AE71" s="42" t="s">
        <v>0</v>
      </c>
      <c r="AF71" s="149" t="s">
        <v>0</v>
      </c>
      <c r="AG71" s="42" t="s">
        <v>0</v>
      </c>
      <c r="AH71" s="42" t="s">
        <v>0</v>
      </c>
      <c r="AI71" s="42" t="s">
        <v>0</v>
      </c>
      <c r="AJ71" s="149" t="s">
        <v>0</v>
      </c>
      <c r="AK71" s="42" t="s">
        <v>0</v>
      </c>
      <c r="AL71" s="42" t="s">
        <v>0</v>
      </c>
      <c r="AM71" s="42" t="s">
        <v>0</v>
      </c>
      <c r="AN71" s="149" t="s">
        <v>0</v>
      </c>
      <c r="AO71" s="42" t="s">
        <v>0</v>
      </c>
      <c r="AP71" s="42" t="s">
        <v>0</v>
      </c>
      <c r="AQ71" s="42" t="s">
        <v>0</v>
      </c>
      <c r="AR71" s="43" t="s">
        <v>0</v>
      </c>
      <c r="AS71" s="42" t="s">
        <v>64</v>
      </c>
      <c r="AT71" s="42"/>
      <c r="AU71" s="42"/>
    </row>
    <row r="72" spans="1:47" x14ac:dyDescent="0.25">
      <c r="A72" s="43" t="s">
        <v>1614</v>
      </c>
      <c r="B72" s="4" t="s">
        <v>55</v>
      </c>
      <c r="C72" s="43" t="s">
        <v>1613</v>
      </c>
      <c r="D72" s="4" t="s">
        <v>1056</v>
      </c>
      <c r="E72" s="4" t="s">
        <v>1078</v>
      </c>
      <c r="F72" s="4" t="s">
        <v>69</v>
      </c>
      <c r="G72" s="4" t="s">
        <v>1079</v>
      </c>
      <c r="H72" s="4">
        <v>5</v>
      </c>
      <c r="I72" s="4">
        <v>5</v>
      </c>
      <c r="J72" s="43">
        <f xml:space="preserve"> 337-243</f>
        <v>94</v>
      </c>
      <c r="K72" s="4" t="s">
        <v>72</v>
      </c>
      <c r="L72" s="4" t="s">
        <v>1097</v>
      </c>
      <c r="M72" s="4" t="s">
        <v>156</v>
      </c>
      <c r="N72" s="43">
        <v>1.92</v>
      </c>
      <c r="O72" s="108">
        <v>15</v>
      </c>
      <c r="P72" s="4" t="s">
        <v>60</v>
      </c>
      <c r="Q72" s="4" t="s">
        <v>1081</v>
      </c>
      <c r="R72" s="43" t="s">
        <v>1082</v>
      </c>
      <c r="S72" s="4">
        <v>55</v>
      </c>
      <c r="T72" s="4" t="s">
        <v>64</v>
      </c>
      <c r="U72" s="4">
        <v>5.5</v>
      </c>
      <c r="V72" s="4" t="s">
        <v>1083</v>
      </c>
      <c r="W72" s="4" t="s">
        <v>0</v>
      </c>
      <c r="X72" s="43" t="s">
        <v>1084</v>
      </c>
      <c r="Y72" s="4" t="s">
        <v>539</v>
      </c>
      <c r="Z72" s="43" t="s">
        <v>1098</v>
      </c>
      <c r="AA72" s="43" t="s">
        <v>1604</v>
      </c>
      <c r="AB72" s="42" t="s">
        <v>1101</v>
      </c>
      <c r="AC72" s="42"/>
      <c r="AD72" s="138" t="s">
        <v>0</v>
      </c>
      <c r="AE72" s="42" t="s">
        <v>0</v>
      </c>
      <c r="AF72" s="149" t="s">
        <v>0</v>
      </c>
      <c r="AG72" s="129" t="s">
        <v>1102</v>
      </c>
      <c r="AH72" s="42" t="s">
        <v>0</v>
      </c>
      <c r="AI72" s="42" t="s">
        <v>0</v>
      </c>
      <c r="AJ72" s="149" t="s">
        <v>0</v>
      </c>
      <c r="AK72" s="42" t="s">
        <v>0</v>
      </c>
      <c r="AL72" s="42" t="s">
        <v>0</v>
      </c>
      <c r="AM72" s="42" t="s">
        <v>0</v>
      </c>
      <c r="AN72" s="149" t="s">
        <v>0</v>
      </c>
      <c r="AO72" s="42">
        <v>0.12</v>
      </c>
      <c r="AP72" s="42" t="s">
        <v>0</v>
      </c>
      <c r="AQ72" s="42" t="s">
        <v>0</v>
      </c>
      <c r="AR72" s="43" t="s">
        <v>0</v>
      </c>
      <c r="AS72" s="42" t="s">
        <v>64</v>
      </c>
      <c r="AT72" s="42"/>
      <c r="AU72" s="42"/>
    </row>
    <row r="73" spans="1:47" x14ac:dyDescent="0.25">
      <c r="A73" s="43" t="s">
        <v>1614</v>
      </c>
      <c r="B73" s="4" t="s">
        <v>55</v>
      </c>
      <c r="C73" s="43" t="s">
        <v>1613</v>
      </c>
      <c r="D73" s="4" t="s">
        <v>1056</v>
      </c>
      <c r="E73" s="4" t="s">
        <v>1078</v>
      </c>
      <c r="F73" s="4" t="s">
        <v>69</v>
      </c>
      <c r="G73" s="4" t="s">
        <v>1079</v>
      </c>
      <c r="H73" s="4">
        <v>5</v>
      </c>
      <c r="I73" s="4">
        <v>5</v>
      </c>
      <c r="J73" s="43">
        <f>419-338</f>
        <v>81</v>
      </c>
      <c r="K73" s="4" t="s">
        <v>72</v>
      </c>
      <c r="L73" s="4" t="s">
        <v>1097</v>
      </c>
      <c r="M73" s="4" t="s">
        <v>156</v>
      </c>
      <c r="N73" s="43">
        <v>1.92</v>
      </c>
      <c r="O73" s="108">
        <v>15</v>
      </c>
      <c r="P73" s="4" t="s">
        <v>60</v>
      </c>
      <c r="Q73" s="4" t="s">
        <v>1081</v>
      </c>
      <c r="R73" s="43" t="s">
        <v>1082</v>
      </c>
      <c r="S73" s="4">
        <v>55</v>
      </c>
      <c r="T73" s="4" t="s">
        <v>64</v>
      </c>
      <c r="U73" s="4">
        <v>5.8</v>
      </c>
      <c r="V73" s="4" t="s">
        <v>1083</v>
      </c>
      <c r="W73" s="4" t="s">
        <v>0</v>
      </c>
      <c r="X73" s="43" t="s">
        <v>1084</v>
      </c>
      <c r="Y73" s="4" t="s">
        <v>539</v>
      </c>
      <c r="Z73" s="43" t="s">
        <v>1098</v>
      </c>
      <c r="AA73" s="43" t="s">
        <v>1604</v>
      </c>
      <c r="AB73" s="42" t="s">
        <v>1103</v>
      </c>
      <c r="AC73" s="42"/>
      <c r="AD73" s="138" t="s">
        <v>0</v>
      </c>
      <c r="AE73" s="42" t="s">
        <v>0</v>
      </c>
      <c r="AF73" s="149" t="s">
        <v>0</v>
      </c>
      <c r="AG73" s="42" t="s">
        <v>0</v>
      </c>
      <c r="AH73" s="42" t="s">
        <v>0</v>
      </c>
      <c r="AI73" s="42" t="s">
        <v>0</v>
      </c>
      <c r="AJ73" s="149" t="s">
        <v>0</v>
      </c>
      <c r="AK73" s="42" t="s">
        <v>0</v>
      </c>
      <c r="AL73" s="42" t="s">
        <v>0</v>
      </c>
      <c r="AM73" s="42" t="s">
        <v>0</v>
      </c>
      <c r="AN73" s="149" t="s">
        <v>0</v>
      </c>
      <c r="AO73" s="42" t="s">
        <v>0</v>
      </c>
      <c r="AP73" s="42" t="s">
        <v>0</v>
      </c>
      <c r="AQ73" s="42" t="s">
        <v>0</v>
      </c>
      <c r="AR73" s="43" t="s">
        <v>0</v>
      </c>
      <c r="AS73" s="42" t="s">
        <v>64</v>
      </c>
      <c r="AT73" s="42"/>
      <c r="AU73" s="42"/>
    </row>
    <row r="74" spans="1:47" x14ac:dyDescent="0.25">
      <c r="A74" s="43" t="s">
        <v>1614</v>
      </c>
      <c r="B74" s="4" t="s">
        <v>55</v>
      </c>
      <c r="C74" s="43" t="s">
        <v>1613</v>
      </c>
      <c r="D74" s="4" t="s">
        <v>1056</v>
      </c>
      <c r="E74" s="4" t="s">
        <v>1078</v>
      </c>
      <c r="F74" s="4" t="s">
        <v>69</v>
      </c>
      <c r="G74" s="4" t="s">
        <v>1079</v>
      </c>
      <c r="H74" s="4">
        <v>5</v>
      </c>
      <c r="I74" s="4">
        <v>5</v>
      </c>
      <c r="J74" s="43">
        <v>100</v>
      </c>
      <c r="K74" s="4" t="s">
        <v>72</v>
      </c>
      <c r="L74" s="4" t="s">
        <v>1104</v>
      </c>
      <c r="M74" s="4" t="s">
        <v>156</v>
      </c>
      <c r="N74" s="43">
        <v>1.92</v>
      </c>
      <c r="O74" s="108">
        <v>25</v>
      </c>
      <c r="P74" s="4" t="s">
        <v>60</v>
      </c>
      <c r="Q74" s="4" t="s">
        <v>1081</v>
      </c>
      <c r="R74" s="43" t="s">
        <v>1082</v>
      </c>
      <c r="S74" s="4">
        <v>55</v>
      </c>
      <c r="T74" s="4" t="s">
        <v>64</v>
      </c>
      <c r="U74" s="4">
        <v>5.5</v>
      </c>
      <c r="V74" s="4" t="s">
        <v>1083</v>
      </c>
      <c r="W74" s="4" t="s">
        <v>0</v>
      </c>
      <c r="X74" s="43" t="s">
        <v>1084</v>
      </c>
      <c r="Y74" s="4" t="s">
        <v>539</v>
      </c>
      <c r="Z74" s="43" t="s">
        <v>1617</v>
      </c>
      <c r="AA74" s="43" t="s">
        <v>1604</v>
      </c>
      <c r="AB74" s="42" t="s">
        <v>0</v>
      </c>
      <c r="AC74" s="42"/>
      <c r="AD74" s="138" t="s">
        <v>0</v>
      </c>
      <c r="AE74" s="42" t="s">
        <v>0</v>
      </c>
      <c r="AF74" s="149" t="s">
        <v>0</v>
      </c>
      <c r="AG74" s="42" t="s">
        <v>0</v>
      </c>
      <c r="AH74" s="42" t="s">
        <v>0</v>
      </c>
      <c r="AI74" s="42" t="s">
        <v>0</v>
      </c>
      <c r="AJ74" s="149" t="s">
        <v>0</v>
      </c>
      <c r="AK74" s="42" t="s">
        <v>0</v>
      </c>
      <c r="AL74" s="42" t="s">
        <v>0</v>
      </c>
      <c r="AM74" s="42" t="s">
        <v>0</v>
      </c>
      <c r="AN74" s="149" t="s">
        <v>0</v>
      </c>
      <c r="AO74" s="42" t="s">
        <v>0</v>
      </c>
      <c r="AP74" s="42" t="s">
        <v>0</v>
      </c>
      <c r="AQ74" s="42" t="s">
        <v>0</v>
      </c>
      <c r="AR74" s="43" t="s">
        <v>0</v>
      </c>
      <c r="AS74" s="42" t="s">
        <v>64</v>
      </c>
      <c r="AT74" s="42"/>
      <c r="AU74" s="42"/>
    </row>
    <row r="75" spans="1:47" x14ac:dyDescent="0.25">
      <c r="A75" s="43" t="s">
        <v>1614</v>
      </c>
      <c r="B75" s="4" t="s">
        <v>55</v>
      </c>
      <c r="C75" s="43" t="s">
        <v>1613</v>
      </c>
      <c r="D75" s="4" t="s">
        <v>1056</v>
      </c>
      <c r="E75" s="4" t="s">
        <v>1078</v>
      </c>
      <c r="F75" s="4" t="s">
        <v>69</v>
      </c>
      <c r="G75" s="4" t="s">
        <v>1079</v>
      </c>
      <c r="H75" s="4">
        <v>5</v>
      </c>
      <c r="I75" s="4">
        <v>5</v>
      </c>
      <c r="J75" s="43">
        <v>28</v>
      </c>
      <c r="K75" s="4" t="s">
        <v>72</v>
      </c>
      <c r="L75" s="4" t="s">
        <v>1080</v>
      </c>
      <c r="M75" s="4" t="s">
        <v>156</v>
      </c>
      <c r="N75" s="43">
        <v>1.92</v>
      </c>
      <c r="O75" s="108">
        <v>15</v>
      </c>
      <c r="P75" s="4" t="s">
        <v>60</v>
      </c>
      <c r="Q75" s="4" t="s">
        <v>1081</v>
      </c>
      <c r="R75" s="43" t="s">
        <v>1082</v>
      </c>
      <c r="S75" s="4">
        <v>55</v>
      </c>
      <c r="T75" s="4" t="s">
        <v>64</v>
      </c>
      <c r="U75" s="4">
        <v>5.5</v>
      </c>
      <c r="V75" s="4" t="s">
        <v>1083</v>
      </c>
      <c r="W75" s="4" t="s">
        <v>0</v>
      </c>
      <c r="X75" s="43" t="s">
        <v>1084</v>
      </c>
      <c r="Y75" s="4" t="s">
        <v>539</v>
      </c>
      <c r="Z75" s="43" t="s">
        <v>1085</v>
      </c>
      <c r="AA75" s="43" t="s">
        <v>1105</v>
      </c>
      <c r="AB75" s="42" t="s">
        <v>1106</v>
      </c>
      <c r="AC75" s="42"/>
      <c r="AD75" s="138" t="s">
        <v>0</v>
      </c>
      <c r="AE75" s="42" t="s">
        <v>0</v>
      </c>
      <c r="AF75" s="149" t="s">
        <v>0</v>
      </c>
      <c r="AG75" s="129" t="s">
        <v>1107</v>
      </c>
      <c r="AH75" s="42" t="s">
        <v>0</v>
      </c>
      <c r="AI75" s="42" t="s">
        <v>0</v>
      </c>
      <c r="AJ75" s="149" t="s">
        <v>0</v>
      </c>
      <c r="AK75" s="42" t="s">
        <v>0</v>
      </c>
      <c r="AL75" s="42" t="s">
        <v>0</v>
      </c>
      <c r="AM75" s="42" t="s">
        <v>0</v>
      </c>
      <c r="AN75" s="149" t="s">
        <v>0</v>
      </c>
      <c r="AO75" s="42">
        <v>0.1</v>
      </c>
      <c r="AP75" s="42" t="s">
        <v>0</v>
      </c>
      <c r="AQ75" s="42" t="s">
        <v>0</v>
      </c>
      <c r="AR75" s="43" t="s">
        <v>0</v>
      </c>
      <c r="AS75" s="42" t="s">
        <v>64</v>
      </c>
      <c r="AT75" s="42"/>
      <c r="AU75" s="42"/>
    </row>
    <row r="76" spans="1:47" x14ac:dyDescent="0.25">
      <c r="A76" s="43" t="s">
        <v>1614</v>
      </c>
      <c r="B76" s="4" t="s">
        <v>55</v>
      </c>
      <c r="C76" s="43" t="s">
        <v>1613</v>
      </c>
      <c r="D76" s="4" t="s">
        <v>1056</v>
      </c>
      <c r="E76" s="4" t="s">
        <v>1078</v>
      </c>
      <c r="F76" s="4" t="s">
        <v>69</v>
      </c>
      <c r="G76" s="4" t="s">
        <v>1079</v>
      </c>
      <c r="H76" s="4">
        <v>5</v>
      </c>
      <c r="I76" s="4">
        <v>5</v>
      </c>
      <c r="J76" s="43">
        <f>200-28</f>
        <v>172</v>
      </c>
      <c r="K76" s="4" t="s">
        <v>72</v>
      </c>
      <c r="L76" s="4" t="s">
        <v>1080</v>
      </c>
      <c r="M76" s="4" t="s">
        <v>156</v>
      </c>
      <c r="N76" s="43">
        <v>1.92</v>
      </c>
      <c r="O76" s="108">
        <v>15</v>
      </c>
      <c r="P76" s="4" t="s">
        <v>60</v>
      </c>
      <c r="Q76" s="4" t="s">
        <v>1081</v>
      </c>
      <c r="R76" s="43" t="s">
        <v>1082</v>
      </c>
      <c r="S76" s="4">
        <v>55</v>
      </c>
      <c r="T76" s="4" t="s">
        <v>64</v>
      </c>
      <c r="U76" s="4">
        <v>5.5</v>
      </c>
      <c r="V76" s="4" t="s">
        <v>1083</v>
      </c>
      <c r="W76" s="4" t="s">
        <v>0</v>
      </c>
      <c r="X76" s="43" t="s">
        <v>1084</v>
      </c>
      <c r="Y76" s="4" t="s">
        <v>539</v>
      </c>
      <c r="Z76" s="43" t="s">
        <v>1085</v>
      </c>
      <c r="AA76" s="43" t="s">
        <v>1105</v>
      </c>
      <c r="AB76" s="42" t="s">
        <v>1108</v>
      </c>
      <c r="AC76" s="42"/>
      <c r="AD76" s="138" t="s">
        <v>0</v>
      </c>
      <c r="AE76" s="42" t="s">
        <v>0</v>
      </c>
      <c r="AF76" s="149" t="s">
        <v>0</v>
      </c>
      <c r="AG76" s="129" t="s">
        <v>1109</v>
      </c>
      <c r="AH76" s="42" t="s">
        <v>0</v>
      </c>
      <c r="AI76" s="42" t="s">
        <v>0</v>
      </c>
      <c r="AJ76" s="149" t="s">
        <v>0</v>
      </c>
      <c r="AK76" s="42" t="s">
        <v>0</v>
      </c>
      <c r="AL76" s="42" t="s">
        <v>0</v>
      </c>
      <c r="AM76" s="42" t="s">
        <v>0</v>
      </c>
      <c r="AN76" s="149" t="s">
        <v>0</v>
      </c>
      <c r="AO76" s="42">
        <v>0.06</v>
      </c>
      <c r="AP76" s="42" t="s">
        <v>0</v>
      </c>
      <c r="AQ76" s="42" t="s">
        <v>0</v>
      </c>
      <c r="AR76" s="43" t="s">
        <v>0</v>
      </c>
      <c r="AS76" s="42" t="s">
        <v>64</v>
      </c>
      <c r="AT76" s="42"/>
      <c r="AU76" s="42"/>
    </row>
    <row r="77" spans="1:47" x14ac:dyDescent="0.25">
      <c r="A77" s="47" t="s">
        <v>671</v>
      </c>
      <c r="B77" s="8" t="s">
        <v>55</v>
      </c>
      <c r="C77" s="47" t="s">
        <v>1110</v>
      </c>
      <c r="D77" s="8" t="s">
        <v>1111</v>
      </c>
      <c r="E77" s="8" t="s">
        <v>1111</v>
      </c>
      <c r="F77" s="8" t="s">
        <v>69</v>
      </c>
      <c r="G77" s="8" t="s">
        <v>69</v>
      </c>
      <c r="H77" s="8">
        <v>5</v>
      </c>
      <c r="I77" s="8">
        <v>3</v>
      </c>
      <c r="J77" s="47">
        <v>64</v>
      </c>
      <c r="K77" s="8" t="s">
        <v>72</v>
      </c>
      <c r="L77" s="8" t="s">
        <v>83</v>
      </c>
      <c r="M77" s="8" t="s">
        <v>156</v>
      </c>
      <c r="N77" s="47">
        <v>23</v>
      </c>
      <c r="O77" s="107">
        <v>2</v>
      </c>
      <c r="P77" s="8" t="s">
        <v>60</v>
      </c>
      <c r="Q77" s="8" t="s">
        <v>1620</v>
      </c>
      <c r="R77" s="47" t="s">
        <v>0</v>
      </c>
      <c r="S77" s="8">
        <v>30</v>
      </c>
      <c r="T77" s="8" t="s">
        <v>46</v>
      </c>
      <c r="U77" s="8">
        <v>4</v>
      </c>
      <c r="V77" s="8" t="s">
        <v>1112</v>
      </c>
      <c r="W77" s="8" t="s">
        <v>0</v>
      </c>
      <c r="X77" s="47" t="s">
        <v>286</v>
      </c>
      <c r="Y77" s="8" t="s">
        <v>1621</v>
      </c>
      <c r="Z77" s="47" t="s">
        <v>1584</v>
      </c>
      <c r="AA77" s="47" t="s">
        <v>1622</v>
      </c>
      <c r="AB77" s="46" t="s">
        <v>1623</v>
      </c>
      <c r="AC77" s="46" t="s">
        <v>1623</v>
      </c>
      <c r="AD77" s="139">
        <v>0</v>
      </c>
      <c r="AE77" s="46" t="s">
        <v>0</v>
      </c>
      <c r="AF77" s="148" t="s">
        <v>0</v>
      </c>
      <c r="AG77" s="46" t="s">
        <v>0</v>
      </c>
      <c r="AH77" s="46" t="s">
        <v>0</v>
      </c>
      <c r="AI77" s="112" t="s">
        <v>0</v>
      </c>
      <c r="AJ77" s="148" t="s">
        <v>0</v>
      </c>
      <c r="AK77" s="46">
        <v>0</v>
      </c>
      <c r="AL77" s="46" t="s">
        <v>0</v>
      </c>
      <c r="AM77" s="46" t="s">
        <v>0</v>
      </c>
      <c r="AN77" s="148" t="s">
        <v>0</v>
      </c>
      <c r="AO77" s="46">
        <v>0</v>
      </c>
      <c r="AP77" s="46" t="s">
        <v>0</v>
      </c>
      <c r="AQ77" s="46" t="s">
        <v>0</v>
      </c>
      <c r="AR77" s="47" t="s">
        <v>0</v>
      </c>
      <c r="AS77" s="46" t="s">
        <v>69</v>
      </c>
      <c r="AT77" s="92"/>
      <c r="AU77" s="46" t="s">
        <v>1624</v>
      </c>
    </row>
    <row r="78" spans="1:47" x14ac:dyDescent="0.25">
      <c r="A78" s="43" t="s">
        <v>1628</v>
      </c>
      <c r="B78" s="4" t="s">
        <v>2</v>
      </c>
      <c r="C78" s="43" t="s">
        <v>1113</v>
      </c>
      <c r="D78" s="4" t="s">
        <v>1056</v>
      </c>
      <c r="E78" s="4" t="s">
        <v>1078</v>
      </c>
      <c r="F78" s="4" t="s">
        <v>1114</v>
      </c>
      <c r="G78" s="4" t="s">
        <v>69</v>
      </c>
      <c r="H78" s="4">
        <v>1</v>
      </c>
      <c r="I78" s="4">
        <v>1.2</v>
      </c>
      <c r="J78" s="43">
        <v>42</v>
      </c>
      <c r="K78" s="4" t="s">
        <v>72</v>
      </c>
      <c r="L78" s="4" t="s">
        <v>1115</v>
      </c>
      <c r="M78" s="4" t="s">
        <v>59</v>
      </c>
      <c r="N78" s="117">
        <f>54/6</f>
        <v>9</v>
      </c>
      <c r="O78" s="108">
        <v>6</v>
      </c>
      <c r="P78" s="4" t="s">
        <v>60</v>
      </c>
      <c r="Q78" s="4" t="s">
        <v>1116</v>
      </c>
      <c r="R78" s="43" t="s">
        <v>0</v>
      </c>
      <c r="S78" s="4">
        <v>35</v>
      </c>
      <c r="T78" s="4" t="s">
        <v>64</v>
      </c>
      <c r="U78" s="4">
        <v>5.55</v>
      </c>
      <c r="V78" s="4" t="s">
        <v>1117</v>
      </c>
      <c r="W78" s="4" t="s">
        <v>0</v>
      </c>
      <c r="X78" s="43" t="s">
        <v>1028</v>
      </c>
      <c r="Y78" s="4" t="s">
        <v>0</v>
      </c>
      <c r="Z78" s="43" t="s">
        <v>0</v>
      </c>
      <c r="AA78" s="43" t="s">
        <v>0</v>
      </c>
      <c r="AB78" s="42" t="s">
        <v>1118</v>
      </c>
      <c r="AC78" s="42"/>
      <c r="AD78" s="138" t="s">
        <v>0</v>
      </c>
      <c r="AE78" s="42" t="s">
        <v>0</v>
      </c>
      <c r="AF78" s="149" t="s">
        <v>0</v>
      </c>
      <c r="AG78" s="42" t="s">
        <v>1119</v>
      </c>
      <c r="AH78" s="42" t="s">
        <v>0</v>
      </c>
      <c r="AI78" s="42" t="s">
        <v>0</v>
      </c>
      <c r="AJ78" s="149" t="s">
        <v>0</v>
      </c>
      <c r="AK78" s="42" t="s">
        <v>0</v>
      </c>
      <c r="AL78" s="42" t="s">
        <v>0</v>
      </c>
      <c r="AM78" s="42" t="s">
        <v>0</v>
      </c>
      <c r="AN78" s="149" t="s">
        <v>0</v>
      </c>
      <c r="AO78" s="42">
        <f>0.03*1.9</f>
        <v>5.6999999999999995E-2</v>
      </c>
      <c r="AP78" s="42" t="s">
        <v>0</v>
      </c>
      <c r="AQ78" s="42" t="s">
        <v>0</v>
      </c>
      <c r="AR78" s="43" t="s">
        <v>0</v>
      </c>
      <c r="AS78" s="42" t="s">
        <v>64</v>
      </c>
      <c r="AT78" s="42"/>
      <c r="AU78" s="42"/>
    </row>
    <row r="79" spans="1:47" x14ac:dyDescent="0.25">
      <c r="A79" s="43" t="s">
        <v>1628</v>
      </c>
      <c r="B79" s="4" t="s">
        <v>2</v>
      </c>
      <c r="C79" s="43" t="s">
        <v>1113</v>
      </c>
      <c r="D79" s="4" t="s">
        <v>1056</v>
      </c>
      <c r="E79" s="4" t="s">
        <v>876</v>
      </c>
      <c r="F79" s="4" t="s">
        <v>1114</v>
      </c>
      <c r="G79" s="4" t="s">
        <v>69</v>
      </c>
      <c r="H79" s="4">
        <v>1</v>
      </c>
      <c r="I79" s="4">
        <v>1.2</v>
      </c>
      <c r="J79" s="43">
        <v>42</v>
      </c>
      <c r="K79" s="4" t="s">
        <v>72</v>
      </c>
      <c r="L79" s="4" t="s">
        <v>1115</v>
      </c>
      <c r="M79" s="4" t="s">
        <v>59</v>
      </c>
      <c r="N79" s="117">
        <f>54/3</f>
        <v>18</v>
      </c>
      <c r="O79" s="108">
        <v>3</v>
      </c>
      <c r="P79" s="4" t="s">
        <v>60</v>
      </c>
      <c r="Q79" s="4" t="s">
        <v>1116</v>
      </c>
      <c r="R79" s="43" t="s">
        <v>0</v>
      </c>
      <c r="S79" s="4">
        <v>35</v>
      </c>
      <c r="T79" s="4" t="s">
        <v>64</v>
      </c>
      <c r="U79" s="4">
        <v>5.55</v>
      </c>
      <c r="V79" s="4" t="s">
        <v>1117</v>
      </c>
      <c r="W79" s="4" t="s">
        <v>0</v>
      </c>
      <c r="X79" s="43" t="s">
        <v>1028</v>
      </c>
      <c r="Y79" s="4" t="s">
        <v>0</v>
      </c>
      <c r="Z79" s="43" t="s">
        <v>0</v>
      </c>
      <c r="AA79" s="43" t="s">
        <v>0</v>
      </c>
      <c r="AB79" s="42" t="s">
        <v>1120</v>
      </c>
      <c r="AC79" s="42"/>
      <c r="AD79" s="138" t="s">
        <v>0</v>
      </c>
      <c r="AE79" s="42" t="s">
        <v>0</v>
      </c>
      <c r="AF79" s="149" t="s">
        <v>0</v>
      </c>
      <c r="AG79" s="42" t="s">
        <v>1121</v>
      </c>
      <c r="AH79" s="116">
        <v>0.01</v>
      </c>
      <c r="AI79" s="42" t="s">
        <v>0</v>
      </c>
      <c r="AJ79" s="149" t="s">
        <v>0</v>
      </c>
      <c r="AK79" s="42" t="s">
        <v>0</v>
      </c>
      <c r="AL79" s="42" t="s">
        <v>0</v>
      </c>
      <c r="AM79" s="42" t="s">
        <v>0</v>
      </c>
      <c r="AN79" s="149" t="s">
        <v>0</v>
      </c>
      <c r="AO79" s="42">
        <f>10.4*0.11</f>
        <v>1.1440000000000001</v>
      </c>
      <c r="AP79" s="42">
        <f>0.01*10.4</f>
        <v>0.10400000000000001</v>
      </c>
      <c r="AQ79" s="42" t="s">
        <v>0</v>
      </c>
      <c r="AR79" s="43" t="s">
        <v>0</v>
      </c>
      <c r="AS79" s="42" t="s">
        <v>64</v>
      </c>
      <c r="AT79" s="42"/>
      <c r="AU79" s="42"/>
    </row>
    <row r="80" spans="1:47" x14ac:dyDescent="0.25">
      <c r="A80" s="43" t="s">
        <v>1628</v>
      </c>
      <c r="B80" s="4" t="s">
        <v>2</v>
      </c>
      <c r="C80" s="43" t="s">
        <v>1113</v>
      </c>
      <c r="D80" s="4" t="s">
        <v>1056</v>
      </c>
      <c r="E80" s="4" t="s">
        <v>1078</v>
      </c>
      <c r="F80" s="4" t="s">
        <v>1114</v>
      </c>
      <c r="G80" s="4" t="s">
        <v>69</v>
      </c>
      <c r="H80" s="4">
        <v>1</v>
      </c>
      <c r="I80" s="4">
        <v>1.2</v>
      </c>
      <c r="J80" s="43">
        <v>42</v>
      </c>
      <c r="K80" s="4" t="s">
        <v>72</v>
      </c>
      <c r="L80" s="4" t="s">
        <v>1115</v>
      </c>
      <c r="M80" s="4" t="s">
        <v>59</v>
      </c>
      <c r="N80" s="117">
        <f>54/6</f>
        <v>9</v>
      </c>
      <c r="O80" s="108">
        <v>6</v>
      </c>
      <c r="P80" s="4" t="s">
        <v>60</v>
      </c>
      <c r="Q80" s="4" t="s">
        <v>1116</v>
      </c>
      <c r="R80" s="43" t="s">
        <v>0</v>
      </c>
      <c r="S80" s="4">
        <v>35</v>
      </c>
      <c r="T80" s="4" t="s">
        <v>64</v>
      </c>
      <c r="U80" s="4">
        <v>5.55</v>
      </c>
      <c r="V80" s="4" t="s">
        <v>1117</v>
      </c>
      <c r="W80" s="4" t="s">
        <v>0</v>
      </c>
      <c r="X80" s="43" t="s">
        <v>1028</v>
      </c>
      <c r="Y80" s="4" t="s">
        <v>0</v>
      </c>
      <c r="Z80" s="43" t="s">
        <v>0</v>
      </c>
      <c r="AA80" s="43" t="s">
        <v>0</v>
      </c>
      <c r="AB80" s="42" t="s">
        <v>0</v>
      </c>
      <c r="AC80" s="42"/>
      <c r="AD80" s="138" t="s">
        <v>0</v>
      </c>
      <c r="AE80" s="42" t="s">
        <v>0</v>
      </c>
      <c r="AF80" s="149" t="s">
        <v>0</v>
      </c>
      <c r="AG80" s="42" t="s">
        <v>0</v>
      </c>
      <c r="AH80" s="42" t="s">
        <v>0</v>
      </c>
      <c r="AI80" s="42" t="s">
        <v>0</v>
      </c>
      <c r="AJ80" s="149" t="s">
        <v>0</v>
      </c>
      <c r="AK80" s="42" t="s">
        <v>0</v>
      </c>
      <c r="AL80" s="42" t="s">
        <v>0</v>
      </c>
      <c r="AM80" s="42" t="s">
        <v>0</v>
      </c>
      <c r="AN80" s="149" t="s">
        <v>0</v>
      </c>
      <c r="AO80" s="42" t="s">
        <v>0</v>
      </c>
      <c r="AP80" s="42" t="s">
        <v>0</v>
      </c>
      <c r="AQ80" s="42" t="s">
        <v>0</v>
      </c>
      <c r="AR80" s="43" t="s">
        <v>0</v>
      </c>
      <c r="AS80" s="42" t="s">
        <v>64</v>
      </c>
      <c r="AT80" s="42"/>
      <c r="AU80" s="42"/>
    </row>
    <row r="81" spans="1:47" x14ac:dyDescent="0.25">
      <c r="A81" s="47" t="s">
        <v>1629</v>
      </c>
      <c r="B81" s="8" t="s">
        <v>2</v>
      </c>
      <c r="C81" s="47" t="s">
        <v>1122</v>
      </c>
      <c r="D81" s="8" t="s">
        <v>1056</v>
      </c>
      <c r="E81" s="8" t="s">
        <v>1078</v>
      </c>
      <c r="F81" s="8" t="s">
        <v>1123</v>
      </c>
      <c r="G81" s="8" t="s">
        <v>64</v>
      </c>
      <c r="H81" s="8">
        <v>5</v>
      </c>
      <c r="I81" s="8">
        <v>5</v>
      </c>
      <c r="J81" s="47">
        <f>120-30</f>
        <v>90</v>
      </c>
      <c r="K81" s="8" t="s">
        <v>72</v>
      </c>
      <c r="L81" s="8" t="s">
        <v>1124</v>
      </c>
      <c r="M81" s="8" t="s">
        <v>123</v>
      </c>
      <c r="N81" s="47">
        <v>4.5</v>
      </c>
      <c r="O81" s="107">
        <v>15</v>
      </c>
      <c r="P81" s="8" t="s">
        <v>60</v>
      </c>
      <c r="Q81" s="8" t="s">
        <v>1058</v>
      </c>
      <c r="R81" s="47" t="s">
        <v>1</v>
      </c>
      <c r="S81" s="8">
        <v>30</v>
      </c>
      <c r="T81" s="8" t="s">
        <v>64</v>
      </c>
      <c r="U81" s="8">
        <v>5.5</v>
      </c>
      <c r="V81" s="8" t="s">
        <v>1083</v>
      </c>
      <c r="W81" s="8" t="s">
        <v>0</v>
      </c>
      <c r="X81" s="47" t="s">
        <v>1125</v>
      </c>
      <c r="Y81" s="8" t="s">
        <v>539</v>
      </c>
      <c r="Z81" s="47" t="s">
        <v>1126</v>
      </c>
      <c r="AA81" s="47" t="s">
        <v>566</v>
      </c>
      <c r="AB81" s="46" t="s">
        <v>1623</v>
      </c>
      <c r="AC81" s="46" t="s">
        <v>1623</v>
      </c>
      <c r="AD81" s="139" t="s">
        <v>0</v>
      </c>
      <c r="AE81" s="46" t="s">
        <v>0</v>
      </c>
      <c r="AF81" s="148" t="s">
        <v>0</v>
      </c>
      <c r="AG81" s="46" t="s">
        <v>1127</v>
      </c>
      <c r="AH81" s="46" t="s">
        <v>0</v>
      </c>
      <c r="AI81" s="112" t="s">
        <v>0</v>
      </c>
      <c r="AJ81" s="148" t="s">
        <v>0</v>
      </c>
      <c r="AK81" s="46" t="s">
        <v>0</v>
      </c>
      <c r="AL81" s="46" t="s">
        <v>0</v>
      </c>
      <c r="AM81" s="46" t="s">
        <v>0</v>
      </c>
      <c r="AN81" s="148" t="s">
        <v>0</v>
      </c>
      <c r="AO81" s="125">
        <v>3.2639999999999998</v>
      </c>
      <c r="AP81" s="125" t="s">
        <v>0</v>
      </c>
      <c r="AQ81" s="46" t="s">
        <v>0</v>
      </c>
      <c r="AR81" s="47" t="s">
        <v>0</v>
      </c>
      <c r="AS81" s="46" t="s">
        <v>64</v>
      </c>
      <c r="AT81" s="46"/>
      <c r="AU81" s="46"/>
    </row>
    <row r="82" spans="1:47" x14ac:dyDescent="0.25">
      <c r="A82" s="47" t="s">
        <v>1629</v>
      </c>
      <c r="B82" s="8" t="s">
        <v>2</v>
      </c>
      <c r="C82" s="47" t="s">
        <v>1122</v>
      </c>
      <c r="D82" s="8" t="s">
        <v>1056</v>
      </c>
      <c r="E82" s="8" t="s">
        <v>1078</v>
      </c>
      <c r="F82" s="8" t="s">
        <v>1128</v>
      </c>
      <c r="G82" s="8" t="s">
        <v>64</v>
      </c>
      <c r="H82" s="8">
        <v>5</v>
      </c>
      <c r="I82" s="8">
        <v>5</v>
      </c>
      <c r="J82" s="47">
        <v>10</v>
      </c>
      <c r="K82" s="8" t="s">
        <v>72</v>
      </c>
      <c r="L82" s="8" t="s">
        <v>1124</v>
      </c>
      <c r="M82" s="8" t="s">
        <v>123</v>
      </c>
      <c r="N82" s="47">
        <v>5.7</v>
      </c>
      <c r="O82" s="107">
        <v>12</v>
      </c>
      <c r="P82" s="8" t="s">
        <v>60</v>
      </c>
      <c r="Q82" s="8" t="s">
        <v>1058</v>
      </c>
      <c r="R82" s="47" t="s">
        <v>1</v>
      </c>
      <c r="S82" s="8">
        <v>30</v>
      </c>
      <c r="T82" s="8" t="s">
        <v>64</v>
      </c>
      <c r="U82" s="8">
        <v>5.5</v>
      </c>
      <c r="V82" s="8" t="s">
        <v>1083</v>
      </c>
      <c r="W82" s="8" t="s">
        <v>0</v>
      </c>
      <c r="X82" s="47" t="s">
        <v>1125</v>
      </c>
      <c r="Y82" s="8" t="s">
        <v>539</v>
      </c>
      <c r="Z82" s="47" t="s">
        <v>1126</v>
      </c>
      <c r="AA82" s="47" t="s">
        <v>566</v>
      </c>
      <c r="AB82" s="46" t="s">
        <v>1623</v>
      </c>
      <c r="AC82" s="46" t="s">
        <v>1623</v>
      </c>
      <c r="AD82" s="139" t="s">
        <v>0</v>
      </c>
      <c r="AE82" s="46" t="s">
        <v>0</v>
      </c>
      <c r="AF82" s="148" t="s">
        <v>0</v>
      </c>
      <c r="AG82" s="46" t="s">
        <v>1129</v>
      </c>
      <c r="AH82" s="46" t="s">
        <v>0</v>
      </c>
      <c r="AI82" s="112" t="s">
        <v>0</v>
      </c>
      <c r="AJ82" s="148" t="s">
        <v>0</v>
      </c>
      <c r="AK82" s="46" t="s">
        <v>0</v>
      </c>
      <c r="AL82" s="46" t="s">
        <v>0</v>
      </c>
      <c r="AM82" s="46" t="s">
        <v>0</v>
      </c>
      <c r="AN82" s="148" t="s">
        <v>0</v>
      </c>
      <c r="AO82" s="125">
        <v>4.62</v>
      </c>
      <c r="AP82" s="125" t="s">
        <v>0</v>
      </c>
      <c r="AQ82" s="46" t="s">
        <v>0</v>
      </c>
      <c r="AR82" s="47" t="s">
        <v>0</v>
      </c>
      <c r="AS82" s="46" t="s">
        <v>64</v>
      </c>
      <c r="AT82" s="46"/>
      <c r="AU82" s="46"/>
    </row>
    <row r="83" spans="1:47" x14ac:dyDescent="0.25">
      <c r="A83" s="43" t="s">
        <v>700</v>
      </c>
      <c r="B83" s="4" t="s">
        <v>2</v>
      </c>
      <c r="C83" s="43" t="s">
        <v>1130</v>
      </c>
      <c r="D83" s="4" t="s">
        <v>1131</v>
      </c>
      <c r="E83" s="4" t="s">
        <v>1132</v>
      </c>
      <c r="F83" s="4" t="s">
        <v>69</v>
      </c>
      <c r="G83" s="4"/>
      <c r="H83" s="4">
        <v>1.5</v>
      </c>
      <c r="I83" s="4">
        <v>1.4</v>
      </c>
      <c r="J83" s="43">
        <v>105</v>
      </c>
      <c r="K83" s="4" t="s">
        <v>72</v>
      </c>
      <c r="L83" s="4" t="s">
        <v>1133</v>
      </c>
      <c r="M83" s="4" t="s">
        <v>1</v>
      </c>
      <c r="N83" s="158">
        <f>(102.93+122.96+16.64)*50/1400</f>
        <v>8.6617857142857133</v>
      </c>
      <c r="O83" s="108">
        <f>1400/50</f>
        <v>28</v>
      </c>
      <c r="P83" s="4" t="s">
        <v>60</v>
      </c>
      <c r="Q83" s="4" t="s">
        <v>1134</v>
      </c>
      <c r="R83" s="43" t="s">
        <v>1135</v>
      </c>
      <c r="S83" s="4">
        <v>30</v>
      </c>
      <c r="T83" s="4" t="s">
        <v>64</v>
      </c>
      <c r="U83" s="4">
        <v>6</v>
      </c>
      <c r="V83" s="4" t="s">
        <v>1136</v>
      </c>
      <c r="W83" s="4" t="s">
        <v>0</v>
      </c>
      <c r="X83" s="43" t="s">
        <v>77</v>
      </c>
      <c r="Y83" s="4" t="s">
        <v>0</v>
      </c>
      <c r="Z83" s="43" t="s">
        <v>861</v>
      </c>
      <c r="AA83" s="43" t="s">
        <v>1137</v>
      </c>
      <c r="AB83" s="42" t="s">
        <v>0</v>
      </c>
      <c r="AC83" s="42" t="s">
        <v>0</v>
      </c>
      <c r="AD83" s="138" t="s">
        <v>1138</v>
      </c>
      <c r="AE83" s="42" t="s">
        <v>0</v>
      </c>
      <c r="AF83" s="149" t="s">
        <v>0</v>
      </c>
      <c r="AG83" s="42" t="s">
        <v>0</v>
      </c>
      <c r="AH83" s="42" t="s">
        <v>0</v>
      </c>
      <c r="AI83" s="42" t="s">
        <v>0</v>
      </c>
      <c r="AJ83" s="149" t="s">
        <v>0</v>
      </c>
      <c r="AK83" s="42">
        <v>51.67</v>
      </c>
      <c r="AL83" s="42" t="s">
        <v>0</v>
      </c>
      <c r="AM83" s="42" t="s">
        <v>0</v>
      </c>
      <c r="AN83" s="149" t="s">
        <v>0</v>
      </c>
      <c r="AO83" s="126">
        <f>AK83/O83</f>
        <v>1.8453571428571429</v>
      </c>
      <c r="AP83" s="126" t="s">
        <v>0</v>
      </c>
      <c r="AQ83" s="42" t="s">
        <v>0</v>
      </c>
      <c r="AR83" s="43" t="s">
        <v>0</v>
      </c>
      <c r="AS83" s="42" t="s">
        <v>64</v>
      </c>
      <c r="AT83" s="42"/>
      <c r="AU83" s="42"/>
    </row>
    <row r="84" spans="1:47" x14ac:dyDescent="0.25">
      <c r="A84" s="47" t="s">
        <v>1631</v>
      </c>
      <c r="B84" s="8" t="s">
        <v>2</v>
      </c>
      <c r="C84" s="47" t="s">
        <v>1139</v>
      </c>
      <c r="D84" s="8" t="s">
        <v>1140</v>
      </c>
      <c r="E84" s="8" t="s">
        <v>1140</v>
      </c>
      <c r="F84" s="8" t="s">
        <v>69</v>
      </c>
      <c r="G84" s="8" t="s">
        <v>69</v>
      </c>
      <c r="H84" s="8"/>
      <c r="I84" s="8">
        <v>1</v>
      </c>
      <c r="J84" s="47">
        <v>177</v>
      </c>
      <c r="K84" s="8" t="s">
        <v>72</v>
      </c>
      <c r="L84" s="8" t="s">
        <v>1141</v>
      </c>
      <c r="M84" s="8" t="s">
        <v>156</v>
      </c>
      <c r="N84" s="47">
        <f>71.9/O84</f>
        <v>3.5950000000000002</v>
      </c>
      <c r="O84" s="107">
        <v>20</v>
      </c>
      <c r="P84" s="8" t="s">
        <v>60</v>
      </c>
      <c r="Q84" s="8" t="s">
        <v>319</v>
      </c>
      <c r="R84" s="47" t="s">
        <v>1142</v>
      </c>
      <c r="S84" s="8">
        <v>30</v>
      </c>
      <c r="T84" s="8" t="s">
        <v>64</v>
      </c>
      <c r="U84" s="8">
        <v>5.5</v>
      </c>
      <c r="V84" s="8" t="s">
        <v>563</v>
      </c>
      <c r="W84" s="8" t="s">
        <v>0</v>
      </c>
      <c r="X84" s="47" t="s">
        <v>1028</v>
      </c>
      <c r="Y84" s="8" t="s">
        <v>539</v>
      </c>
      <c r="Z84" s="47" t="s">
        <v>1143</v>
      </c>
      <c r="AA84" s="47" t="s">
        <v>0</v>
      </c>
      <c r="AB84" s="46" t="s">
        <v>1630</v>
      </c>
      <c r="AC84" s="46" t="s">
        <v>1144</v>
      </c>
      <c r="AD84" s="139" t="s">
        <v>0</v>
      </c>
      <c r="AE84" s="46" t="s">
        <v>0</v>
      </c>
      <c r="AF84" s="148" t="s">
        <v>0</v>
      </c>
      <c r="AG84" s="46" t="s">
        <v>1145</v>
      </c>
      <c r="AH84" s="46" t="s">
        <v>0</v>
      </c>
      <c r="AI84" s="46" t="s">
        <v>0</v>
      </c>
      <c r="AJ84" s="148" t="s">
        <v>0</v>
      </c>
      <c r="AK84" s="46" t="s">
        <v>0</v>
      </c>
      <c r="AL84" s="46" t="s">
        <v>0</v>
      </c>
      <c r="AM84" s="46" t="s">
        <v>0</v>
      </c>
      <c r="AN84" s="148" t="s">
        <v>0</v>
      </c>
      <c r="AO84" s="125">
        <v>0.54</v>
      </c>
      <c r="AP84" s="125" t="s">
        <v>0</v>
      </c>
      <c r="AQ84" s="46" t="s">
        <v>0</v>
      </c>
      <c r="AR84" s="47" t="s">
        <v>0</v>
      </c>
      <c r="AS84" s="46" t="s">
        <v>64</v>
      </c>
      <c r="AT84" s="46"/>
      <c r="AU84" s="46"/>
    </row>
    <row r="85" spans="1:47" x14ac:dyDescent="0.25">
      <c r="A85" s="47" t="s">
        <v>1631</v>
      </c>
      <c r="B85" s="8" t="s">
        <v>2</v>
      </c>
      <c r="C85" s="47" t="s">
        <v>1139</v>
      </c>
      <c r="D85" s="8" t="s">
        <v>1140</v>
      </c>
      <c r="E85" s="8" t="s">
        <v>1140</v>
      </c>
      <c r="F85" s="8" t="s">
        <v>69</v>
      </c>
      <c r="G85" s="8" t="s">
        <v>69</v>
      </c>
      <c r="H85" s="8"/>
      <c r="I85" s="8">
        <v>1</v>
      </c>
      <c r="J85" s="47">
        <f>230-177</f>
        <v>53</v>
      </c>
      <c r="K85" s="8" t="s">
        <v>72</v>
      </c>
      <c r="L85" s="8" t="s">
        <v>1141</v>
      </c>
      <c r="M85" s="8" t="s">
        <v>156</v>
      </c>
      <c r="N85" s="47">
        <f>71.9/O85</f>
        <v>7.19</v>
      </c>
      <c r="O85" s="107">
        <v>10</v>
      </c>
      <c r="P85" s="8" t="s">
        <v>60</v>
      </c>
      <c r="Q85" s="8" t="s">
        <v>319</v>
      </c>
      <c r="R85" s="47" t="s">
        <v>1142</v>
      </c>
      <c r="S85" s="8">
        <v>30</v>
      </c>
      <c r="T85" s="8" t="s">
        <v>64</v>
      </c>
      <c r="U85" s="8">
        <v>5.5</v>
      </c>
      <c r="V85" s="8" t="s">
        <v>563</v>
      </c>
      <c r="W85" s="8" t="s">
        <v>0</v>
      </c>
      <c r="X85" s="47" t="s">
        <v>1028</v>
      </c>
      <c r="Y85" s="8" t="s">
        <v>539</v>
      </c>
      <c r="Z85" s="47" t="s">
        <v>1143</v>
      </c>
      <c r="AA85" s="47" t="s">
        <v>0</v>
      </c>
      <c r="AB85" s="46" t="s">
        <v>1630</v>
      </c>
      <c r="AC85" s="46" t="s">
        <v>1146</v>
      </c>
      <c r="AD85" s="139" t="s">
        <v>0</v>
      </c>
      <c r="AE85" s="46" t="s">
        <v>0</v>
      </c>
      <c r="AF85" s="148" t="s">
        <v>0</v>
      </c>
      <c r="AG85" s="46" t="s">
        <v>1147</v>
      </c>
      <c r="AH85" s="46" t="s">
        <v>0</v>
      </c>
      <c r="AI85" s="46" t="s">
        <v>0</v>
      </c>
      <c r="AJ85" s="148" t="s">
        <v>0</v>
      </c>
      <c r="AK85" s="46" t="s">
        <v>0</v>
      </c>
      <c r="AL85" s="46" t="s">
        <v>0</v>
      </c>
      <c r="AM85" s="46" t="s">
        <v>0</v>
      </c>
      <c r="AN85" s="148" t="s">
        <v>0</v>
      </c>
      <c r="AO85" s="125">
        <v>1.45</v>
      </c>
      <c r="AP85" s="125" t="s">
        <v>0</v>
      </c>
      <c r="AQ85" s="46" t="s">
        <v>0</v>
      </c>
      <c r="AR85" s="47" t="s">
        <v>0</v>
      </c>
      <c r="AS85" s="46" t="s">
        <v>64</v>
      </c>
      <c r="AT85" s="46"/>
      <c r="AU85" s="46"/>
    </row>
    <row r="86" spans="1:47" x14ac:dyDescent="0.25">
      <c r="A86" s="47" t="s">
        <v>1631</v>
      </c>
      <c r="B86" s="8" t="s">
        <v>2</v>
      </c>
      <c r="C86" s="47" t="s">
        <v>1139</v>
      </c>
      <c r="D86" s="8" t="s">
        <v>1140</v>
      </c>
      <c r="E86" s="8" t="s">
        <v>1140</v>
      </c>
      <c r="F86" s="8" t="s">
        <v>69</v>
      </c>
      <c r="G86" s="8" t="s">
        <v>69</v>
      </c>
      <c r="H86" s="8"/>
      <c r="I86" s="8">
        <v>1</v>
      </c>
      <c r="J86" s="47">
        <f>350-231</f>
        <v>119</v>
      </c>
      <c r="K86" s="8" t="s">
        <v>72</v>
      </c>
      <c r="L86" s="8" t="s">
        <v>1141</v>
      </c>
      <c r="M86" s="8" t="s">
        <v>156</v>
      </c>
      <c r="N86" s="47">
        <f>71.9/O86</f>
        <v>14.38</v>
      </c>
      <c r="O86" s="107">
        <v>5</v>
      </c>
      <c r="P86" s="8" t="s">
        <v>60</v>
      </c>
      <c r="Q86" s="8" t="s">
        <v>319</v>
      </c>
      <c r="R86" s="47" t="s">
        <v>1142</v>
      </c>
      <c r="S86" s="8">
        <v>30</v>
      </c>
      <c r="T86" s="8" t="s">
        <v>64</v>
      </c>
      <c r="U86" s="8">
        <v>5.5</v>
      </c>
      <c r="V86" s="8" t="s">
        <v>563</v>
      </c>
      <c r="W86" s="8" t="s">
        <v>0</v>
      </c>
      <c r="X86" s="47" t="s">
        <v>1028</v>
      </c>
      <c r="Y86" s="8" t="s">
        <v>539</v>
      </c>
      <c r="Z86" s="47" t="s">
        <v>1143</v>
      </c>
      <c r="AA86" s="47" t="s">
        <v>0</v>
      </c>
      <c r="AB86" s="46" t="s">
        <v>1630</v>
      </c>
      <c r="AC86" s="46" t="s">
        <v>1148</v>
      </c>
      <c r="AD86" s="139" t="s">
        <v>0</v>
      </c>
      <c r="AE86" s="46" t="s">
        <v>0</v>
      </c>
      <c r="AF86" s="148" t="s">
        <v>0</v>
      </c>
      <c r="AG86" s="46" t="s">
        <v>1149</v>
      </c>
      <c r="AH86" s="46" t="s">
        <v>0</v>
      </c>
      <c r="AI86" s="46" t="s">
        <v>0</v>
      </c>
      <c r="AJ86" s="148" t="s">
        <v>0</v>
      </c>
      <c r="AK86" s="46" t="s">
        <v>0</v>
      </c>
      <c r="AL86" s="46" t="s">
        <v>0</v>
      </c>
      <c r="AM86" s="46" t="s">
        <v>0</v>
      </c>
      <c r="AN86" s="148" t="s">
        <v>0</v>
      </c>
      <c r="AO86" s="125">
        <v>2.8</v>
      </c>
      <c r="AP86" s="125" t="s">
        <v>0</v>
      </c>
      <c r="AQ86" s="46" t="s">
        <v>0</v>
      </c>
      <c r="AR86" s="47" t="s">
        <v>0</v>
      </c>
      <c r="AS86" s="46" t="s">
        <v>64</v>
      </c>
      <c r="AT86" s="46"/>
      <c r="AU86" s="46"/>
    </row>
    <row r="87" spans="1:47" x14ac:dyDescent="0.25">
      <c r="A87" s="47" t="s">
        <v>1631</v>
      </c>
      <c r="B87" s="8" t="s">
        <v>2</v>
      </c>
      <c r="C87" s="47" t="s">
        <v>1139</v>
      </c>
      <c r="D87" s="8" t="s">
        <v>1140</v>
      </c>
      <c r="E87" s="8" t="s">
        <v>1140</v>
      </c>
      <c r="F87" s="8" t="s">
        <v>69</v>
      </c>
      <c r="G87" s="8" t="s">
        <v>69</v>
      </c>
      <c r="H87" s="8"/>
      <c r="I87" s="8">
        <v>1</v>
      </c>
      <c r="J87" s="47">
        <f>410-350</f>
        <v>60</v>
      </c>
      <c r="K87" s="8" t="s">
        <v>72</v>
      </c>
      <c r="L87" s="8" t="s">
        <v>1141</v>
      </c>
      <c r="M87" s="8" t="s">
        <v>156</v>
      </c>
      <c r="N87" s="47">
        <f>71.9/O87</f>
        <v>28.76</v>
      </c>
      <c r="O87" s="107">
        <v>2.5</v>
      </c>
      <c r="P87" s="8" t="s">
        <v>60</v>
      </c>
      <c r="Q87" s="8" t="s">
        <v>319</v>
      </c>
      <c r="R87" s="47" t="s">
        <v>1142</v>
      </c>
      <c r="S87" s="8">
        <v>30</v>
      </c>
      <c r="T87" s="8" t="s">
        <v>64</v>
      </c>
      <c r="U87" s="8">
        <v>5.5</v>
      </c>
      <c r="V87" s="8" t="s">
        <v>563</v>
      </c>
      <c r="W87" s="8" t="s">
        <v>0</v>
      </c>
      <c r="X87" s="47" t="s">
        <v>1028</v>
      </c>
      <c r="Y87" s="8" t="s">
        <v>539</v>
      </c>
      <c r="Z87" s="47" t="s">
        <v>1143</v>
      </c>
      <c r="AA87" s="47" t="s">
        <v>0</v>
      </c>
      <c r="AB87" s="46" t="s">
        <v>1630</v>
      </c>
      <c r="AC87" s="46" t="s">
        <v>1150</v>
      </c>
      <c r="AD87" s="139" t="s">
        <v>0</v>
      </c>
      <c r="AE87" s="46" t="s">
        <v>0</v>
      </c>
      <c r="AF87" s="148" t="s">
        <v>0</v>
      </c>
      <c r="AG87" s="46" t="s">
        <v>1151</v>
      </c>
      <c r="AH87" s="46" t="s">
        <v>0</v>
      </c>
      <c r="AI87" s="46" t="s">
        <v>0</v>
      </c>
      <c r="AJ87" s="148" t="s">
        <v>0</v>
      </c>
      <c r="AK87" s="46" t="s">
        <v>0</v>
      </c>
      <c r="AL87" s="46" t="s">
        <v>0</v>
      </c>
      <c r="AM87" s="46" t="s">
        <v>0</v>
      </c>
      <c r="AN87" s="148" t="s">
        <v>0</v>
      </c>
      <c r="AO87" s="125">
        <v>5.12</v>
      </c>
      <c r="AP87" s="125" t="s">
        <v>0</v>
      </c>
      <c r="AQ87" s="46" t="s">
        <v>0</v>
      </c>
      <c r="AR87" s="47" t="s">
        <v>0</v>
      </c>
      <c r="AS87" s="46" t="s">
        <v>64</v>
      </c>
      <c r="AT87" s="46"/>
      <c r="AU87" s="46"/>
    </row>
    <row r="88" spans="1:47" x14ac:dyDescent="0.25">
      <c r="A88" s="43" t="s">
        <v>1632</v>
      </c>
      <c r="B88" s="4" t="s">
        <v>2</v>
      </c>
      <c r="C88" s="43" t="s">
        <v>1152</v>
      </c>
      <c r="D88" s="4" t="s">
        <v>1153</v>
      </c>
      <c r="E88" s="4" t="s">
        <v>1023</v>
      </c>
      <c r="F88" s="4" t="s">
        <v>1123</v>
      </c>
      <c r="G88" s="4" t="s">
        <v>69</v>
      </c>
      <c r="H88" s="4" t="s">
        <v>1</v>
      </c>
      <c r="I88" s="4">
        <v>0.55000000000000004</v>
      </c>
      <c r="J88" s="43">
        <f>4.5*30</f>
        <v>135</v>
      </c>
      <c r="K88" s="4" t="s">
        <v>72</v>
      </c>
      <c r="L88" s="4" t="s">
        <v>1154</v>
      </c>
      <c r="M88" s="4" t="s">
        <v>156</v>
      </c>
      <c r="N88" s="43"/>
      <c r="O88" s="108">
        <v>2.1</v>
      </c>
      <c r="P88" s="4" t="s">
        <v>60</v>
      </c>
      <c r="Q88" s="4" t="s">
        <v>1633</v>
      </c>
      <c r="R88" s="43" t="s">
        <v>0</v>
      </c>
      <c r="S88" s="4">
        <v>30</v>
      </c>
      <c r="T88" s="4" t="s">
        <v>64</v>
      </c>
      <c r="U88" s="4">
        <v>5</v>
      </c>
      <c r="V88" s="4" t="s">
        <v>1155</v>
      </c>
      <c r="W88" s="4" t="s">
        <v>0</v>
      </c>
      <c r="X88" s="43" t="s">
        <v>1156</v>
      </c>
      <c r="Y88" s="4" t="s">
        <v>539</v>
      </c>
      <c r="Z88" s="43" t="s">
        <v>0</v>
      </c>
      <c r="AA88" s="43" t="s">
        <v>1604</v>
      </c>
      <c r="AB88" s="42" t="s">
        <v>1623</v>
      </c>
      <c r="AC88" s="50"/>
      <c r="AD88" s="138" t="s">
        <v>0</v>
      </c>
      <c r="AE88" s="42" t="s">
        <v>0</v>
      </c>
      <c r="AF88" s="149" t="s">
        <v>0</v>
      </c>
      <c r="AG88" s="42" t="s">
        <v>0</v>
      </c>
      <c r="AH88" s="42" t="s">
        <v>0</v>
      </c>
      <c r="AI88" s="42" t="s">
        <v>0</v>
      </c>
      <c r="AJ88" s="149" t="s">
        <v>0</v>
      </c>
      <c r="AK88" s="42"/>
      <c r="AL88" s="42" t="s">
        <v>0</v>
      </c>
      <c r="AM88" s="42" t="s">
        <v>0</v>
      </c>
      <c r="AN88" s="149" t="s">
        <v>0</v>
      </c>
      <c r="AO88" s="42"/>
      <c r="AP88" s="42" t="s">
        <v>0</v>
      </c>
      <c r="AQ88" s="42" t="s">
        <v>0</v>
      </c>
      <c r="AR88" s="43" t="s">
        <v>0</v>
      </c>
      <c r="AS88" s="42" t="s">
        <v>69</v>
      </c>
      <c r="AT88" s="42"/>
      <c r="AU88" s="42"/>
    </row>
    <row r="89" spans="1:47" x14ac:dyDescent="0.25">
      <c r="A89" s="43" t="s">
        <v>1632</v>
      </c>
      <c r="B89" s="4" t="s">
        <v>2</v>
      </c>
      <c r="C89" s="43" t="s">
        <v>1152</v>
      </c>
      <c r="D89" s="4" t="s">
        <v>1153</v>
      </c>
      <c r="E89" s="4" t="s">
        <v>1023</v>
      </c>
      <c r="F89" s="4" t="s">
        <v>1123</v>
      </c>
      <c r="G89" s="4" t="s">
        <v>1157</v>
      </c>
      <c r="H89" s="4" t="s">
        <v>1</v>
      </c>
      <c r="I89" s="4">
        <v>0.55000000000000004</v>
      </c>
      <c r="J89" s="43">
        <v>57</v>
      </c>
      <c r="K89" s="4" t="s">
        <v>72</v>
      </c>
      <c r="L89" s="4" t="s">
        <v>1158</v>
      </c>
      <c r="M89" s="4" t="s">
        <v>156</v>
      </c>
      <c r="N89" s="43">
        <v>10.9</v>
      </c>
      <c r="O89" s="108">
        <v>2.09</v>
      </c>
      <c r="P89" s="4" t="s">
        <v>60</v>
      </c>
      <c r="Q89" s="4" t="s">
        <v>1633</v>
      </c>
      <c r="R89" s="43" t="s">
        <v>0</v>
      </c>
      <c r="S89" s="4">
        <v>30</v>
      </c>
      <c r="T89" s="4" t="s">
        <v>64</v>
      </c>
      <c r="U89" s="4">
        <v>5</v>
      </c>
      <c r="V89" s="4" t="s">
        <v>1155</v>
      </c>
      <c r="W89" s="4" t="s">
        <v>0</v>
      </c>
      <c r="X89" s="43" t="s">
        <v>1159</v>
      </c>
      <c r="Y89" s="4" t="s">
        <v>539</v>
      </c>
      <c r="Z89" s="43" t="s">
        <v>1634</v>
      </c>
      <c r="AA89" s="43" t="s">
        <v>1604</v>
      </c>
      <c r="AB89" s="42" t="s">
        <v>1623</v>
      </c>
      <c r="AC89" s="42" t="s">
        <v>1160</v>
      </c>
      <c r="AD89" s="138" t="s">
        <v>0</v>
      </c>
      <c r="AE89" s="42" t="s">
        <v>0</v>
      </c>
      <c r="AF89" s="149" t="s">
        <v>0</v>
      </c>
      <c r="AG89" s="42" t="s">
        <v>1161</v>
      </c>
      <c r="AH89" s="42" t="s">
        <v>1162</v>
      </c>
      <c r="AI89" s="42" t="s">
        <v>1163</v>
      </c>
      <c r="AJ89" s="149" t="s">
        <v>1164</v>
      </c>
      <c r="AK89" s="42" t="s">
        <v>903</v>
      </c>
      <c r="AL89" s="42" t="s">
        <v>903</v>
      </c>
      <c r="AM89" s="42" t="s">
        <v>903</v>
      </c>
      <c r="AN89" s="149" t="s">
        <v>903</v>
      </c>
      <c r="AO89" s="42">
        <v>3.08</v>
      </c>
      <c r="AP89" s="42">
        <v>0.48</v>
      </c>
      <c r="AQ89" s="42">
        <v>0.86</v>
      </c>
      <c r="AR89" s="43">
        <v>0.05</v>
      </c>
      <c r="AS89" s="42" t="s">
        <v>64</v>
      </c>
      <c r="AT89" s="42"/>
      <c r="AU89" s="42"/>
    </row>
    <row r="90" spans="1:47" x14ac:dyDescent="0.25">
      <c r="A90" s="43" t="s">
        <v>1632</v>
      </c>
      <c r="B90" s="4" t="s">
        <v>2</v>
      </c>
      <c r="C90" s="43" t="s">
        <v>1152</v>
      </c>
      <c r="D90" s="4" t="s">
        <v>1153</v>
      </c>
      <c r="E90" s="4" t="s">
        <v>1023</v>
      </c>
      <c r="F90" s="4" t="s">
        <v>1123</v>
      </c>
      <c r="G90" s="4" t="s">
        <v>1157</v>
      </c>
      <c r="H90" s="4" t="s">
        <v>1</v>
      </c>
      <c r="I90" s="4">
        <v>0.55000000000000004</v>
      </c>
      <c r="J90" s="43">
        <f>74-57</f>
        <v>17</v>
      </c>
      <c r="K90" s="4" t="s">
        <v>72</v>
      </c>
      <c r="L90" s="4" t="s">
        <v>1158</v>
      </c>
      <c r="M90" s="4" t="s">
        <v>156</v>
      </c>
      <c r="N90" s="43">
        <v>6.91</v>
      </c>
      <c r="O90" s="108">
        <v>1.76</v>
      </c>
      <c r="P90" s="4" t="s">
        <v>60</v>
      </c>
      <c r="Q90" s="4" t="s">
        <v>1633</v>
      </c>
      <c r="R90" s="43" t="s">
        <v>0</v>
      </c>
      <c r="S90" s="4">
        <v>30</v>
      </c>
      <c r="T90" s="4" t="s">
        <v>64</v>
      </c>
      <c r="U90" s="4">
        <v>5</v>
      </c>
      <c r="V90" s="4" t="s">
        <v>1155</v>
      </c>
      <c r="W90" s="4" t="s">
        <v>0</v>
      </c>
      <c r="X90" s="43" t="s">
        <v>1165</v>
      </c>
      <c r="Y90" s="4" t="s">
        <v>539</v>
      </c>
      <c r="Z90" s="43" t="s">
        <v>1635</v>
      </c>
      <c r="AA90" s="43" t="s">
        <v>1604</v>
      </c>
      <c r="AB90" s="42" t="s">
        <v>1623</v>
      </c>
      <c r="AC90" s="42"/>
      <c r="AD90" s="138" t="s">
        <v>0</v>
      </c>
      <c r="AE90" s="42" t="s">
        <v>0</v>
      </c>
      <c r="AF90" s="149" t="s">
        <v>0</v>
      </c>
      <c r="AG90" s="42" t="s">
        <v>1166</v>
      </c>
      <c r="AH90" s="42" t="s">
        <v>1167</v>
      </c>
      <c r="AI90" s="42" t="s">
        <v>1168</v>
      </c>
      <c r="AJ90" s="149" t="s">
        <v>1169</v>
      </c>
      <c r="AK90" s="42" t="s">
        <v>903</v>
      </c>
      <c r="AL90" s="42" t="s">
        <v>903</v>
      </c>
      <c r="AM90" s="42" t="s">
        <v>903</v>
      </c>
      <c r="AN90" s="149" t="s">
        <v>903</v>
      </c>
      <c r="AO90" s="42">
        <v>2.79</v>
      </c>
      <c r="AP90" s="42">
        <v>0.45</v>
      </c>
      <c r="AQ90" s="42">
        <v>0.87</v>
      </c>
      <c r="AR90" s="43">
        <v>0.05</v>
      </c>
      <c r="AS90" s="42" t="s">
        <v>64</v>
      </c>
      <c r="AT90" s="42"/>
      <c r="AU90" s="42"/>
    </row>
    <row r="91" spans="1:47" x14ac:dyDescent="0.25">
      <c r="A91" s="43" t="s">
        <v>1632</v>
      </c>
      <c r="B91" s="4" t="s">
        <v>2</v>
      </c>
      <c r="C91" s="43" t="s">
        <v>1170</v>
      </c>
      <c r="D91" s="4" t="s">
        <v>1153</v>
      </c>
      <c r="E91" s="4" t="s">
        <v>1023</v>
      </c>
      <c r="F91" s="4" t="s">
        <v>1123</v>
      </c>
      <c r="G91" s="4" t="s">
        <v>1157</v>
      </c>
      <c r="H91" s="4" t="s">
        <v>1</v>
      </c>
      <c r="I91" s="4">
        <v>0.55000000000000004</v>
      </c>
      <c r="J91" s="43">
        <f>92-74</f>
        <v>18</v>
      </c>
      <c r="K91" s="4" t="s">
        <v>72</v>
      </c>
      <c r="L91" s="4" t="s">
        <v>1158</v>
      </c>
      <c r="M91" s="4" t="s">
        <v>156</v>
      </c>
      <c r="N91" s="43">
        <v>7.77</v>
      </c>
      <c r="O91" s="108">
        <v>3.55</v>
      </c>
      <c r="P91" s="4" t="s">
        <v>60</v>
      </c>
      <c r="Q91" s="4" t="s">
        <v>1633</v>
      </c>
      <c r="R91" s="43" t="s">
        <v>0</v>
      </c>
      <c r="S91" s="4">
        <v>30</v>
      </c>
      <c r="T91" s="4" t="s">
        <v>64</v>
      </c>
      <c r="U91" s="4">
        <v>5</v>
      </c>
      <c r="V91" s="4" t="s">
        <v>1155</v>
      </c>
      <c r="W91" s="4" t="s">
        <v>0</v>
      </c>
      <c r="X91" s="43" t="s">
        <v>1171</v>
      </c>
      <c r="Y91" s="4" t="s">
        <v>539</v>
      </c>
      <c r="Z91" s="43" t="s">
        <v>1636</v>
      </c>
      <c r="AA91" s="43" t="s">
        <v>1604</v>
      </c>
      <c r="AB91" s="42" t="s">
        <v>1623</v>
      </c>
      <c r="AC91" s="42"/>
      <c r="AD91" s="138" t="s">
        <v>0</v>
      </c>
      <c r="AE91" s="42" t="s">
        <v>0</v>
      </c>
      <c r="AF91" s="149" t="s">
        <v>0</v>
      </c>
      <c r="AG91" s="42" t="s">
        <v>1172</v>
      </c>
      <c r="AH91" s="42" t="s">
        <v>1173</v>
      </c>
      <c r="AI91" s="42" t="s">
        <v>1174</v>
      </c>
      <c r="AJ91" s="149" t="s">
        <v>1175</v>
      </c>
      <c r="AK91" s="42" t="s">
        <v>903</v>
      </c>
      <c r="AL91" s="42" t="s">
        <v>903</v>
      </c>
      <c r="AM91" s="42" t="s">
        <v>903</v>
      </c>
      <c r="AN91" s="149" t="s">
        <v>903</v>
      </c>
      <c r="AO91" s="42">
        <v>3.46</v>
      </c>
      <c r="AP91" s="42">
        <v>0.62</v>
      </c>
      <c r="AQ91" s="42">
        <v>0.62</v>
      </c>
      <c r="AR91" s="43">
        <v>0.06</v>
      </c>
      <c r="AS91" s="42" t="s">
        <v>64</v>
      </c>
      <c r="AT91" s="42"/>
      <c r="AU91" s="42"/>
    </row>
    <row r="92" spans="1:47" x14ac:dyDescent="0.25">
      <c r="A92" s="47" t="s">
        <v>767</v>
      </c>
      <c r="B92" s="8" t="s">
        <v>2</v>
      </c>
      <c r="C92" s="47" t="s">
        <v>1176</v>
      </c>
      <c r="D92" s="8" t="s">
        <v>12</v>
      </c>
      <c r="E92" s="8" t="s">
        <v>1078</v>
      </c>
      <c r="F92" s="8" t="s">
        <v>1123</v>
      </c>
      <c r="G92" s="8" t="s">
        <v>1177</v>
      </c>
      <c r="H92" s="8">
        <v>5</v>
      </c>
      <c r="I92" s="8" t="s">
        <v>0</v>
      </c>
      <c r="J92" s="47">
        <f>4*365</f>
        <v>1460</v>
      </c>
      <c r="K92" s="8" t="s">
        <v>72</v>
      </c>
      <c r="L92" s="8" t="s">
        <v>1178</v>
      </c>
      <c r="M92" s="8" t="s">
        <v>123</v>
      </c>
      <c r="N92" s="47">
        <v>7.64</v>
      </c>
      <c r="O92" s="107">
        <v>15</v>
      </c>
      <c r="P92" s="8" t="s">
        <v>60</v>
      </c>
      <c r="Q92" s="8" t="s">
        <v>0</v>
      </c>
      <c r="R92" s="47" t="s">
        <v>0</v>
      </c>
      <c r="S92" s="8">
        <v>30</v>
      </c>
      <c r="T92" s="8" t="s">
        <v>64</v>
      </c>
      <c r="U92" s="8">
        <v>6.5</v>
      </c>
      <c r="V92" s="8" t="s">
        <v>0</v>
      </c>
      <c r="W92" s="8" t="s">
        <v>0</v>
      </c>
      <c r="X92" s="47" t="s">
        <v>286</v>
      </c>
      <c r="Y92" s="8" t="s">
        <v>322</v>
      </c>
      <c r="Z92" s="47" t="s">
        <v>1179</v>
      </c>
      <c r="AA92" s="47" t="s">
        <v>0</v>
      </c>
      <c r="AB92" s="46" t="s">
        <v>0</v>
      </c>
      <c r="AC92" s="46" t="s">
        <v>1180</v>
      </c>
      <c r="AD92" s="139" t="s">
        <v>0</v>
      </c>
      <c r="AE92" s="46" t="s">
        <v>0</v>
      </c>
      <c r="AF92" s="148" t="s">
        <v>0</v>
      </c>
      <c r="AG92" s="46">
        <v>1.7430000000000001</v>
      </c>
      <c r="AH92" s="46" t="s">
        <v>0</v>
      </c>
      <c r="AI92" s="46">
        <v>2.6949999999999998</v>
      </c>
      <c r="AJ92" s="148" t="s">
        <v>0</v>
      </c>
      <c r="AK92" s="46" t="s">
        <v>0</v>
      </c>
      <c r="AL92" s="46" t="s">
        <v>0</v>
      </c>
      <c r="AM92" s="46" t="s">
        <v>0</v>
      </c>
      <c r="AN92" s="148" t="s">
        <v>0</v>
      </c>
      <c r="AO92" s="46">
        <v>1.7430000000000001</v>
      </c>
      <c r="AP92" s="46" t="s">
        <v>0</v>
      </c>
      <c r="AQ92" s="46">
        <v>2.6949999999999998</v>
      </c>
      <c r="AR92" s="47" t="s">
        <v>0</v>
      </c>
      <c r="AS92" s="46" t="s">
        <v>69</v>
      </c>
      <c r="AT92" s="46"/>
      <c r="AU92" s="46"/>
    </row>
    <row r="93" spans="1:47" x14ac:dyDescent="0.25">
      <c r="A93" s="43" t="s">
        <v>1637</v>
      </c>
      <c r="B93" s="4" t="s">
        <v>2</v>
      </c>
      <c r="C93" s="43" t="s">
        <v>1181</v>
      </c>
      <c r="D93" s="4" t="s">
        <v>12</v>
      </c>
      <c r="E93" s="4" t="s">
        <v>876</v>
      </c>
      <c r="F93" s="4" t="s">
        <v>69</v>
      </c>
      <c r="G93" s="4" t="s">
        <v>1182</v>
      </c>
      <c r="H93" s="4">
        <v>0.1</v>
      </c>
      <c r="I93" s="4">
        <v>0.05</v>
      </c>
      <c r="J93" s="43">
        <v>30</v>
      </c>
      <c r="K93" s="4" t="s">
        <v>72</v>
      </c>
      <c r="L93" s="4" t="s">
        <v>1183</v>
      </c>
      <c r="M93" s="4" t="s">
        <v>156</v>
      </c>
      <c r="N93" s="49">
        <f>10.61/2</f>
        <v>5.3049999999999997</v>
      </c>
      <c r="O93" s="108">
        <v>2</v>
      </c>
      <c r="P93" s="4" t="s">
        <v>60</v>
      </c>
      <c r="Q93" s="4" t="s">
        <v>1058</v>
      </c>
      <c r="R93" s="43" t="s">
        <v>1184</v>
      </c>
      <c r="S93" s="4">
        <v>32</v>
      </c>
      <c r="T93" s="4" t="s">
        <v>69</v>
      </c>
      <c r="U93" s="4" t="s">
        <v>1185</v>
      </c>
      <c r="V93" s="4" t="s">
        <v>0</v>
      </c>
      <c r="W93" s="4" t="s">
        <v>0</v>
      </c>
      <c r="X93" s="43" t="s">
        <v>0</v>
      </c>
      <c r="Y93" s="4" t="s">
        <v>0</v>
      </c>
      <c r="Z93" s="43" t="s">
        <v>0</v>
      </c>
      <c r="AA93" s="43" t="s">
        <v>1186</v>
      </c>
      <c r="AB93" s="42" t="s">
        <v>1623</v>
      </c>
      <c r="AC93" s="42"/>
      <c r="AD93" s="138" t="s">
        <v>1187</v>
      </c>
      <c r="AE93" s="42">
        <v>0</v>
      </c>
      <c r="AF93" s="149">
        <v>0</v>
      </c>
      <c r="AG93" s="42" t="s">
        <v>0</v>
      </c>
      <c r="AH93" s="42" t="s">
        <v>0</v>
      </c>
      <c r="AI93" s="42" t="s">
        <v>0</v>
      </c>
      <c r="AJ93" s="149" t="s">
        <v>0</v>
      </c>
      <c r="AK93" s="42">
        <v>9.0299999999999994</v>
      </c>
      <c r="AL93" s="42">
        <v>0</v>
      </c>
      <c r="AM93" s="42">
        <v>0</v>
      </c>
      <c r="AN93" s="149" t="s">
        <v>0</v>
      </c>
      <c r="AO93" s="48">
        <f>AK93/2</f>
        <v>4.5149999999999997</v>
      </c>
      <c r="AP93" s="42">
        <v>0</v>
      </c>
      <c r="AQ93" s="42">
        <v>0</v>
      </c>
      <c r="AR93" s="43" t="s">
        <v>0</v>
      </c>
      <c r="AS93" s="42" t="s">
        <v>64</v>
      </c>
      <c r="AT93" s="42"/>
      <c r="AU93" s="42"/>
    </row>
    <row r="94" spans="1:47" x14ac:dyDescent="0.25">
      <c r="A94" s="43" t="s">
        <v>1637</v>
      </c>
      <c r="B94" s="4" t="s">
        <v>2</v>
      </c>
      <c r="C94" s="43" t="s">
        <v>1181</v>
      </c>
      <c r="D94" s="4" t="s">
        <v>1188</v>
      </c>
      <c r="E94" s="4" t="s">
        <v>876</v>
      </c>
      <c r="F94" s="4" t="s">
        <v>69</v>
      </c>
      <c r="G94" s="4" t="s">
        <v>1189</v>
      </c>
      <c r="H94" s="4">
        <v>0.05</v>
      </c>
      <c r="I94" s="4">
        <v>0.03</v>
      </c>
      <c r="J94" s="43">
        <v>6</v>
      </c>
      <c r="K94" s="4" t="s">
        <v>72</v>
      </c>
      <c r="L94" s="4" t="s">
        <v>1183</v>
      </c>
      <c r="M94" s="4" t="s">
        <v>156</v>
      </c>
      <c r="N94" s="49" t="s">
        <v>0</v>
      </c>
      <c r="O94" s="108">
        <v>2</v>
      </c>
      <c r="P94" s="4" t="s">
        <v>60</v>
      </c>
      <c r="Q94" s="4" t="s">
        <v>1058</v>
      </c>
      <c r="R94" s="43" t="s">
        <v>0</v>
      </c>
      <c r="S94" s="4">
        <v>32</v>
      </c>
      <c r="T94" s="4" t="s">
        <v>69</v>
      </c>
      <c r="U94" s="4" t="s">
        <v>1185</v>
      </c>
      <c r="V94" s="4" t="s">
        <v>0</v>
      </c>
      <c r="W94" s="4" t="s">
        <v>0</v>
      </c>
      <c r="X94" s="43" t="s">
        <v>0</v>
      </c>
      <c r="Y94" s="4" t="s">
        <v>0</v>
      </c>
      <c r="Z94" s="43" t="s">
        <v>0</v>
      </c>
      <c r="AA94" s="43" t="s">
        <v>0</v>
      </c>
      <c r="AB94" s="42" t="s">
        <v>1623</v>
      </c>
      <c r="AC94" s="42"/>
      <c r="AD94" s="138"/>
      <c r="AE94" s="42">
        <v>0</v>
      </c>
      <c r="AF94" s="149">
        <v>0</v>
      </c>
      <c r="AG94" s="42" t="s">
        <v>1190</v>
      </c>
      <c r="AH94" s="42" t="s">
        <v>0</v>
      </c>
      <c r="AI94" s="42" t="s">
        <v>0</v>
      </c>
      <c r="AJ94" s="149" t="s">
        <v>0</v>
      </c>
      <c r="AK94" s="42" t="s">
        <v>0</v>
      </c>
      <c r="AL94" s="42">
        <v>0</v>
      </c>
      <c r="AM94" s="42">
        <v>0</v>
      </c>
      <c r="AN94" s="149" t="s">
        <v>0</v>
      </c>
      <c r="AO94" s="48">
        <f>2.18*24</f>
        <v>52.320000000000007</v>
      </c>
      <c r="AP94" s="42">
        <v>0</v>
      </c>
      <c r="AQ94" s="42">
        <v>0</v>
      </c>
      <c r="AR94" s="43" t="s">
        <v>0</v>
      </c>
      <c r="AS94" s="42" t="s">
        <v>69</v>
      </c>
      <c r="AT94" s="42"/>
      <c r="AU94" s="42"/>
    </row>
    <row r="95" spans="1:47" x14ac:dyDescent="0.25">
      <c r="A95" s="43" t="s">
        <v>1637</v>
      </c>
      <c r="B95" s="4" t="s">
        <v>2</v>
      </c>
      <c r="C95" s="43" t="s">
        <v>1181</v>
      </c>
      <c r="D95" s="4" t="s">
        <v>1191</v>
      </c>
      <c r="E95" s="4" t="s">
        <v>876</v>
      </c>
      <c r="F95" s="4" t="s">
        <v>69</v>
      </c>
      <c r="G95" s="4" t="s">
        <v>1189</v>
      </c>
      <c r="H95" s="4">
        <v>0.1</v>
      </c>
      <c r="I95" s="4">
        <v>0.05</v>
      </c>
      <c r="J95" s="43">
        <v>30</v>
      </c>
      <c r="K95" s="4" t="s">
        <v>72</v>
      </c>
      <c r="L95" s="4" t="s">
        <v>1192</v>
      </c>
      <c r="M95" s="4" t="s">
        <v>156</v>
      </c>
      <c r="N95" s="49">
        <f>27/2</f>
        <v>13.5</v>
      </c>
      <c r="O95" s="108">
        <v>2</v>
      </c>
      <c r="P95" s="4" t="s">
        <v>60</v>
      </c>
      <c r="Q95" s="4" t="s">
        <v>1058</v>
      </c>
      <c r="R95" s="43" t="s">
        <v>0</v>
      </c>
      <c r="S95" s="4">
        <v>32</v>
      </c>
      <c r="T95" s="4" t="s">
        <v>69</v>
      </c>
      <c r="U95" s="4" t="s">
        <v>1185</v>
      </c>
      <c r="V95" s="4" t="s">
        <v>0</v>
      </c>
      <c r="W95" s="4" t="s">
        <v>0</v>
      </c>
      <c r="X95" s="43" t="s">
        <v>0</v>
      </c>
      <c r="Y95" s="4" t="s">
        <v>0</v>
      </c>
      <c r="Z95" s="43" t="s">
        <v>0</v>
      </c>
      <c r="AA95" s="43" t="s">
        <v>0</v>
      </c>
      <c r="AB95" s="42" t="s">
        <v>1623</v>
      </c>
      <c r="AC95" s="42"/>
      <c r="AD95" s="138" t="s">
        <v>1193</v>
      </c>
      <c r="AE95" s="42">
        <v>0</v>
      </c>
      <c r="AF95" s="149">
        <v>0</v>
      </c>
      <c r="AG95" s="42" t="s">
        <v>0</v>
      </c>
      <c r="AH95" s="42" t="s">
        <v>0</v>
      </c>
      <c r="AI95" s="42" t="s">
        <v>0</v>
      </c>
      <c r="AJ95" s="149" t="s">
        <v>0</v>
      </c>
      <c r="AK95" s="42">
        <v>24.1</v>
      </c>
      <c r="AL95" s="42">
        <v>0</v>
      </c>
      <c r="AM95" s="42">
        <v>0</v>
      </c>
      <c r="AN95" s="149" t="s">
        <v>0</v>
      </c>
      <c r="AO95" s="48">
        <f>AK95/2</f>
        <v>12.05</v>
      </c>
      <c r="AP95" s="42">
        <v>0</v>
      </c>
      <c r="AQ95" s="42">
        <v>0</v>
      </c>
      <c r="AR95" s="43" t="s">
        <v>0</v>
      </c>
      <c r="AS95" s="42" t="s">
        <v>69</v>
      </c>
      <c r="AT95" s="42"/>
      <c r="AU95" s="42"/>
    </row>
    <row r="96" spans="1:47" x14ac:dyDescent="0.25">
      <c r="A96" s="47" t="s">
        <v>1638</v>
      </c>
      <c r="B96" s="8" t="s">
        <v>2</v>
      </c>
      <c r="C96" s="47" t="s">
        <v>1194</v>
      </c>
      <c r="D96" s="8" t="s">
        <v>1195</v>
      </c>
      <c r="E96" s="8" t="s">
        <v>1078</v>
      </c>
      <c r="F96" s="8" t="s">
        <v>1196</v>
      </c>
      <c r="G96" s="8" t="s">
        <v>1197</v>
      </c>
      <c r="H96" s="8">
        <v>5</v>
      </c>
      <c r="I96" s="8"/>
      <c r="J96" s="47">
        <v>90</v>
      </c>
      <c r="K96" s="8" t="s">
        <v>72</v>
      </c>
      <c r="L96" s="8" t="s">
        <v>1198</v>
      </c>
      <c r="M96" s="8" t="s">
        <v>123</v>
      </c>
      <c r="N96" s="47">
        <v>3.89</v>
      </c>
      <c r="O96" s="107" t="s">
        <v>1199</v>
      </c>
      <c r="P96" s="8" t="s">
        <v>60</v>
      </c>
      <c r="Q96" s="8" t="s">
        <v>1058</v>
      </c>
      <c r="R96" s="47" t="s">
        <v>0</v>
      </c>
      <c r="S96" s="8">
        <v>30</v>
      </c>
      <c r="T96" s="8" t="s">
        <v>64</v>
      </c>
      <c r="U96" s="8">
        <v>5.5</v>
      </c>
      <c r="V96" s="8" t="s">
        <v>1083</v>
      </c>
      <c r="W96" s="8" t="s">
        <v>0</v>
      </c>
      <c r="X96" s="47" t="s">
        <v>1200</v>
      </c>
      <c r="Y96" s="8" t="s">
        <v>539</v>
      </c>
      <c r="Z96" s="47" t="s">
        <v>1201</v>
      </c>
      <c r="AA96" s="47" t="s">
        <v>0</v>
      </c>
      <c r="AB96" s="46" t="s">
        <v>1623</v>
      </c>
      <c r="AC96" s="46"/>
      <c r="AD96" s="139" t="s">
        <v>691</v>
      </c>
      <c r="AE96" s="46" t="s">
        <v>0</v>
      </c>
      <c r="AF96" s="148">
        <v>0</v>
      </c>
      <c r="AG96" s="46" t="s">
        <v>1202</v>
      </c>
      <c r="AH96" s="46" t="s">
        <v>0</v>
      </c>
      <c r="AI96" s="46" t="s">
        <v>0</v>
      </c>
      <c r="AJ96" s="148" t="s">
        <v>0</v>
      </c>
      <c r="AK96" s="46" t="s">
        <v>0</v>
      </c>
      <c r="AL96" s="46" t="s">
        <v>0</v>
      </c>
      <c r="AM96" s="46">
        <v>0</v>
      </c>
      <c r="AN96" s="148" t="s">
        <v>0</v>
      </c>
      <c r="AO96" s="46">
        <v>3.06</v>
      </c>
      <c r="AP96" s="46" t="s">
        <v>0</v>
      </c>
      <c r="AQ96" s="46">
        <v>0</v>
      </c>
      <c r="AR96" s="47" t="s">
        <v>0</v>
      </c>
      <c r="AS96" s="46" t="s">
        <v>69</v>
      </c>
      <c r="AT96" s="46"/>
      <c r="AU96" s="46"/>
    </row>
    <row r="97" spans="1:47" x14ac:dyDescent="0.25">
      <c r="A97" s="47" t="s">
        <v>1638</v>
      </c>
      <c r="B97" s="8" t="s">
        <v>2</v>
      </c>
      <c r="C97" s="47" t="s">
        <v>1203</v>
      </c>
      <c r="D97" s="8" t="s">
        <v>1195</v>
      </c>
      <c r="E97" s="8" t="s">
        <v>1078</v>
      </c>
      <c r="F97" s="8" t="s">
        <v>1196</v>
      </c>
      <c r="G97" s="8" t="s">
        <v>1197</v>
      </c>
      <c r="H97" s="8">
        <v>5</v>
      </c>
      <c r="I97" s="8"/>
      <c r="J97" s="47">
        <f>148-82</f>
        <v>66</v>
      </c>
      <c r="K97" s="8" t="s">
        <v>72</v>
      </c>
      <c r="L97" s="8" t="s">
        <v>1198</v>
      </c>
      <c r="M97" s="8" t="s">
        <v>123</v>
      </c>
      <c r="N97" s="47">
        <v>4.87</v>
      </c>
      <c r="O97" s="107" t="s">
        <v>1204</v>
      </c>
      <c r="P97" s="8" t="s">
        <v>60</v>
      </c>
      <c r="Q97" s="8" t="s">
        <v>1058</v>
      </c>
      <c r="R97" s="47" t="s">
        <v>0</v>
      </c>
      <c r="S97" s="8">
        <v>30</v>
      </c>
      <c r="T97" s="8" t="s">
        <v>64</v>
      </c>
      <c r="U97" s="8">
        <v>5.5</v>
      </c>
      <c r="V97" s="8" t="s">
        <v>1083</v>
      </c>
      <c r="W97" s="8" t="s">
        <v>0</v>
      </c>
      <c r="X97" s="47" t="s">
        <v>1200</v>
      </c>
      <c r="Y97" s="8" t="s">
        <v>539</v>
      </c>
      <c r="Z97" s="47" t="s">
        <v>1201</v>
      </c>
      <c r="AA97" s="47" t="s">
        <v>0</v>
      </c>
      <c r="AB97" s="46" t="s">
        <v>1623</v>
      </c>
      <c r="AC97" s="46"/>
      <c r="AD97" s="139" t="s">
        <v>1639</v>
      </c>
      <c r="AE97" s="46" t="s">
        <v>0</v>
      </c>
      <c r="AF97" s="148">
        <v>0</v>
      </c>
      <c r="AG97" s="46" t="s">
        <v>1205</v>
      </c>
      <c r="AH97" s="46" t="s">
        <v>0</v>
      </c>
      <c r="AI97" s="46" t="s">
        <v>0</v>
      </c>
      <c r="AJ97" s="148" t="s">
        <v>0</v>
      </c>
      <c r="AK97" s="46">
        <v>13.88</v>
      </c>
      <c r="AL97" s="46" t="s">
        <v>0</v>
      </c>
      <c r="AM97" s="46">
        <v>0</v>
      </c>
      <c r="AN97" s="148" t="s">
        <v>0</v>
      </c>
      <c r="AO97" s="46">
        <v>3.26</v>
      </c>
      <c r="AP97" s="46" t="s">
        <v>0</v>
      </c>
      <c r="AQ97" s="46">
        <v>0</v>
      </c>
      <c r="AR97" s="47" t="s">
        <v>0</v>
      </c>
      <c r="AS97" s="46" t="s">
        <v>69</v>
      </c>
      <c r="AT97" s="46"/>
      <c r="AU97" s="46"/>
    </row>
    <row r="98" spans="1:47" x14ac:dyDescent="0.25">
      <c r="A98" s="47" t="s">
        <v>1638</v>
      </c>
      <c r="B98" s="8" t="s">
        <v>2</v>
      </c>
      <c r="C98" s="47" t="s">
        <v>1206</v>
      </c>
      <c r="D98" s="8" t="s">
        <v>1195</v>
      </c>
      <c r="E98" s="8" t="s">
        <v>1078</v>
      </c>
      <c r="F98" s="8" t="s">
        <v>1207</v>
      </c>
      <c r="G98" s="8" t="s">
        <v>1197</v>
      </c>
      <c r="H98" s="8">
        <v>5</v>
      </c>
      <c r="I98" s="8"/>
      <c r="J98" s="47">
        <f>164-150</f>
        <v>14</v>
      </c>
      <c r="K98" s="8" t="s">
        <v>72</v>
      </c>
      <c r="L98" s="8" t="s">
        <v>1198</v>
      </c>
      <c r="M98" s="8" t="s">
        <v>123</v>
      </c>
      <c r="N98" s="47">
        <v>3.89</v>
      </c>
      <c r="O98" s="107" t="s">
        <v>1208</v>
      </c>
      <c r="P98" s="8" t="s">
        <v>60</v>
      </c>
      <c r="Q98" s="8" t="s">
        <v>1058</v>
      </c>
      <c r="R98" s="47" t="s">
        <v>0</v>
      </c>
      <c r="S98" s="8">
        <v>30</v>
      </c>
      <c r="T98" s="8" t="s">
        <v>64</v>
      </c>
      <c r="U98" s="8">
        <v>5.5</v>
      </c>
      <c r="V98" s="8" t="s">
        <v>1083</v>
      </c>
      <c r="W98" s="8" t="s">
        <v>0</v>
      </c>
      <c r="X98" s="47" t="s">
        <v>1200</v>
      </c>
      <c r="Y98" s="8" t="s">
        <v>539</v>
      </c>
      <c r="Z98" s="47" t="s">
        <v>1201</v>
      </c>
      <c r="AA98" s="47" t="s">
        <v>0</v>
      </c>
      <c r="AB98" s="46" t="s">
        <v>1623</v>
      </c>
      <c r="AC98" s="46"/>
      <c r="AD98" s="139" t="s">
        <v>691</v>
      </c>
      <c r="AE98" s="46" t="s">
        <v>0</v>
      </c>
      <c r="AF98" s="148">
        <v>0</v>
      </c>
      <c r="AG98" s="46" t="s">
        <v>0</v>
      </c>
      <c r="AH98" s="46" t="s">
        <v>0</v>
      </c>
      <c r="AI98" s="46" t="s">
        <v>0</v>
      </c>
      <c r="AJ98" s="148" t="s">
        <v>0</v>
      </c>
      <c r="AK98" s="46" t="s">
        <v>0</v>
      </c>
      <c r="AL98" s="46" t="s">
        <v>0</v>
      </c>
      <c r="AM98" s="46">
        <v>0</v>
      </c>
      <c r="AN98" s="148" t="s">
        <v>0</v>
      </c>
      <c r="AO98" s="46" t="s">
        <v>0</v>
      </c>
      <c r="AP98" s="46" t="s">
        <v>0</v>
      </c>
      <c r="AQ98" s="46">
        <v>0</v>
      </c>
      <c r="AR98" s="47" t="s">
        <v>0</v>
      </c>
      <c r="AS98" s="46" t="s">
        <v>69</v>
      </c>
      <c r="AT98" s="46"/>
      <c r="AU98" s="46"/>
    </row>
    <row r="99" spans="1:47" x14ac:dyDescent="0.25">
      <c r="A99" s="47" t="s">
        <v>1638</v>
      </c>
      <c r="B99" s="8" t="s">
        <v>2</v>
      </c>
      <c r="C99" s="47" t="s">
        <v>1209</v>
      </c>
      <c r="D99" s="8" t="s">
        <v>1195</v>
      </c>
      <c r="E99" s="8" t="s">
        <v>1078</v>
      </c>
      <c r="F99" s="8" t="s">
        <v>1207</v>
      </c>
      <c r="G99" s="8" t="s">
        <v>1197</v>
      </c>
      <c r="H99" s="8">
        <v>5</v>
      </c>
      <c r="I99" s="8"/>
      <c r="J99" s="47">
        <f>206-166</f>
        <v>40</v>
      </c>
      <c r="K99" s="8" t="s">
        <v>72</v>
      </c>
      <c r="L99" s="8" t="s">
        <v>1198</v>
      </c>
      <c r="M99" s="8" t="s">
        <v>123</v>
      </c>
      <c r="N99" s="47">
        <v>2.92</v>
      </c>
      <c r="O99" s="107" t="s">
        <v>1210</v>
      </c>
      <c r="P99" s="8" t="s">
        <v>60</v>
      </c>
      <c r="Q99" s="8" t="s">
        <v>1058</v>
      </c>
      <c r="R99" s="47" t="s">
        <v>0</v>
      </c>
      <c r="S99" s="8">
        <v>30</v>
      </c>
      <c r="T99" s="8" t="s">
        <v>64</v>
      </c>
      <c r="U99" s="8">
        <v>5.5</v>
      </c>
      <c r="V99" s="8" t="s">
        <v>1083</v>
      </c>
      <c r="W99" s="8" t="s">
        <v>0</v>
      </c>
      <c r="X99" s="47" t="s">
        <v>1200</v>
      </c>
      <c r="Y99" s="8" t="s">
        <v>539</v>
      </c>
      <c r="Z99" s="47" t="s">
        <v>1201</v>
      </c>
      <c r="AA99" s="47" t="s">
        <v>0</v>
      </c>
      <c r="AB99" s="46" t="s">
        <v>1623</v>
      </c>
      <c r="AC99" s="46"/>
      <c r="AD99" s="139" t="s">
        <v>691</v>
      </c>
      <c r="AE99" s="46" t="s">
        <v>0</v>
      </c>
      <c r="AF99" s="148">
        <v>0</v>
      </c>
      <c r="AG99" s="46" t="s">
        <v>0</v>
      </c>
      <c r="AH99" s="46" t="s">
        <v>0</v>
      </c>
      <c r="AI99" s="46" t="s">
        <v>0</v>
      </c>
      <c r="AJ99" s="148" t="s">
        <v>0</v>
      </c>
      <c r="AK99" s="46" t="s">
        <v>0</v>
      </c>
      <c r="AL99" s="46" t="s">
        <v>0</v>
      </c>
      <c r="AM99" s="46">
        <v>0</v>
      </c>
      <c r="AN99" s="148" t="s">
        <v>0</v>
      </c>
      <c r="AO99" s="46" t="s">
        <v>0</v>
      </c>
      <c r="AP99" s="46" t="s">
        <v>0</v>
      </c>
      <c r="AQ99" s="46">
        <v>0</v>
      </c>
      <c r="AR99" s="47" t="s">
        <v>0</v>
      </c>
      <c r="AS99" s="46" t="s">
        <v>69</v>
      </c>
      <c r="AT99" s="46"/>
      <c r="AU99" s="46"/>
    </row>
    <row r="100" spans="1:47" x14ac:dyDescent="0.25">
      <c r="A100" s="47" t="s">
        <v>1638</v>
      </c>
      <c r="B100" s="8" t="s">
        <v>2</v>
      </c>
      <c r="C100" s="47" t="s">
        <v>1211</v>
      </c>
      <c r="D100" s="8" t="s">
        <v>1195</v>
      </c>
      <c r="E100" s="8" t="s">
        <v>1078</v>
      </c>
      <c r="F100" s="8" t="s">
        <v>1207</v>
      </c>
      <c r="G100" s="8" t="s">
        <v>1197</v>
      </c>
      <c r="H100" s="8">
        <v>5</v>
      </c>
      <c r="I100" s="8"/>
      <c r="J100" s="47">
        <f>257-208</f>
        <v>49</v>
      </c>
      <c r="K100" s="8" t="s">
        <v>72</v>
      </c>
      <c r="L100" s="8" t="s">
        <v>1198</v>
      </c>
      <c r="M100" s="8" t="s">
        <v>123</v>
      </c>
      <c r="N100" s="47">
        <v>3.89</v>
      </c>
      <c r="O100" s="107" t="s">
        <v>1212</v>
      </c>
      <c r="P100" s="8" t="s">
        <v>60</v>
      </c>
      <c r="Q100" s="8" t="s">
        <v>1058</v>
      </c>
      <c r="R100" s="47" t="s">
        <v>0</v>
      </c>
      <c r="S100" s="8">
        <v>30</v>
      </c>
      <c r="T100" s="8" t="s">
        <v>64</v>
      </c>
      <c r="U100" s="8">
        <v>5.5</v>
      </c>
      <c r="V100" s="8" t="s">
        <v>1083</v>
      </c>
      <c r="W100" s="8" t="s">
        <v>0</v>
      </c>
      <c r="X100" s="47" t="s">
        <v>1200</v>
      </c>
      <c r="Y100" s="8" t="s">
        <v>539</v>
      </c>
      <c r="Z100" s="47" t="s">
        <v>1201</v>
      </c>
      <c r="AA100" s="47" t="s">
        <v>0</v>
      </c>
      <c r="AB100" s="46" t="s">
        <v>1623</v>
      </c>
      <c r="AC100" s="46"/>
      <c r="AD100" s="139" t="s">
        <v>691</v>
      </c>
      <c r="AE100" s="46" t="s">
        <v>0</v>
      </c>
      <c r="AF100" s="148">
        <v>0</v>
      </c>
      <c r="AG100" s="46" t="s">
        <v>0</v>
      </c>
      <c r="AH100" s="46" t="s">
        <v>0</v>
      </c>
      <c r="AI100" s="46" t="s">
        <v>0</v>
      </c>
      <c r="AJ100" s="148" t="s">
        <v>0</v>
      </c>
      <c r="AK100" s="46" t="s">
        <v>0</v>
      </c>
      <c r="AL100" s="46" t="s">
        <v>0</v>
      </c>
      <c r="AM100" s="46">
        <v>0</v>
      </c>
      <c r="AN100" s="148" t="s">
        <v>0</v>
      </c>
      <c r="AO100" s="46" t="s">
        <v>0</v>
      </c>
      <c r="AP100" s="46" t="s">
        <v>0</v>
      </c>
      <c r="AQ100" s="46">
        <v>0</v>
      </c>
      <c r="AR100" s="47" t="s">
        <v>0</v>
      </c>
      <c r="AS100" s="46" t="s">
        <v>69</v>
      </c>
      <c r="AT100" s="46"/>
      <c r="AU100" s="46"/>
    </row>
    <row r="101" spans="1:47" x14ac:dyDescent="0.25">
      <c r="A101" s="47" t="s">
        <v>1638</v>
      </c>
      <c r="B101" s="8" t="s">
        <v>2</v>
      </c>
      <c r="C101" s="47" t="s">
        <v>1213</v>
      </c>
      <c r="D101" s="8" t="s">
        <v>1195</v>
      </c>
      <c r="E101" s="8" t="s">
        <v>1078</v>
      </c>
      <c r="F101" s="8" t="s">
        <v>1214</v>
      </c>
      <c r="G101" s="8" t="s">
        <v>1197</v>
      </c>
      <c r="H101" s="8">
        <v>5</v>
      </c>
      <c r="I101" s="8"/>
      <c r="J101" s="47">
        <f>297-259</f>
        <v>38</v>
      </c>
      <c r="K101" s="8" t="s">
        <v>72</v>
      </c>
      <c r="L101" s="8" t="s">
        <v>1198</v>
      </c>
      <c r="M101" s="8" t="s">
        <v>123</v>
      </c>
      <c r="N101" s="47">
        <v>4.87</v>
      </c>
      <c r="O101" s="120" t="s">
        <v>1215</v>
      </c>
      <c r="P101" s="8" t="s">
        <v>60</v>
      </c>
      <c r="Q101" s="8" t="s">
        <v>1058</v>
      </c>
      <c r="R101" s="47" t="s">
        <v>0</v>
      </c>
      <c r="S101" s="8">
        <v>30</v>
      </c>
      <c r="T101" s="8" t="s">
        <v>64</v>
      </c>
      <c r="U101" s="8">
        <v>5.5</v>
      </c>
      <c r="V101" s="8" t="s">
        <v>1083</v>
      </c>
      <c r="W101" s="8" t="s">
        <v>0</v>
      </c>
      <c r="X101" s="47" t="s">
        <v>1200</v>
      </c>
      <c r="Y101" s="8" t="s">
        <v>539</v>
      </c>
      <c r="Z101" s="47" t="s">
        <v>1201</v>
      </c>
      <c r="AA101" s="47" t="s">
        <v>0</v>
      </c>
      <c r="AB101" s="46" t="s">
        <v>1623</v>
      </c>
      <c r="AC101" s="46"/>
      <c r="AD101" s="139" t="s">
        <v>691</v>
      </c>
      <c r="AE101" s="46" t="s">
        <v>1640</v>
      </c>
      <c r="AF101" s="148">
        <v>0</v>
      </c>
      <c r="AG101" s="46" t="s">
        <v>0</v>
      </c>
      <c r="AH101" s="46" t="s">
        <v>0</v>
      </c>
      <c r="AI101" s="46" t="s">
        <v>0</v>
      </c>
      <c r="AJ101" s="148" t="s">
        <v>0</v>
      </c>
      <c r="AK101" s="46" t="s">
        <v>0</v>
      </c>
      <c r="AL101" s="46" t="s">
        <v>0</v>
      </c>
      <c r="AM101" s="46">
        <v>0</v>
      </c>
      <c r="AN101" s="148" t="s">
        <v>0</v>
      </c>
      <c r="AO101" s="46" t="s">
        <v>0</v>
      </c>
      <c r="AP101" s="46" t="s">
        <v>0</v>
      </c>
      <c r="AQ101" s="46">
        <v>0</v>
      </c>
      <c r="AR101" s="47" t="s">
        <v>0</v>
      </c>
      <c r="AS101" s="46" t="s">
        <v>69</v>
      </c>
      <c r="AT101" s="46"/>
      <c r="AU101" s="46"/>
    </row>
    <row r="102" spans="1:47" x14ac:dyDescent="0.25">
      <c r="A102" s="47" t="s">
        <v>1638</v>
      </c>
      <c r="B102" s="8" t="s">
        <v>2</v>
      </c>
      <c r="C102" s="47" t="s">
        <v>1216</v>
      </c>
      <c r="D102" s="8" t="s">
        <v>1195</v>
      </c>
      <c r="E102" s="8" t="s">
        <v>1078</v>
      </c>
      <c r="F102" s="8" t="s">
        <v>1214</v>
      </c>
      <c r="G102" s="8" t="s">
        <v>1197</v>
      </c>
      <c r="H102" s="8">
        <v>5</v>
      </c>
      <c r="I102" s="8"/>
      <c r="J102" s="47">
        <f>301-299</f>
        <v>2</v>
      </c>
      <c r="K102" s="8" t="s">
        <v>72</v>
      </c>
      <c r="L102" s="8" t="s">
        <v>1198</v>
      </c>
      <c r="M102" s="8" t="s">
        <v>123</v>
      </c>
      <c r="N102" s="47">
        <v>5.83</v>
      </c>
      <c r="O102" s="120" t="s">
        <v>1217</v>
      </c>
      <c r="P102" s="8" t="s">
        <v>60</v>
      </c>
      <c r="Q102" s="8" t="s">
        <v>1058</v>
      </c>
      <c r="R102" s="47" t="s">
        <v>0</v>
      </c>
      <c r="S102" s="8">
        <v>30</v>
      </c>
      <c r="T102" s="8" t="s">
        <v>64</v>
      </c>
      <c r="U102" s="8">
        <v>5.5</v>
      </c>
      <c r="V102" s="8" t="s">
        <v>1083</v>
      </c>
      <c r="W102" s="8" t="s">
        <v>0</v>
      </c>
      <c r="X102" s="47" t="s">
        <v>1200</v>
      </c>
      <c r="Y102" s="8" t="s">
        <v>539</v>
      </c>
      <c r="Z102" s="47" t="s">
        <v>1201</v>
      </c>
      <c r="AA102" s="47" t="s">
        <v>0</v>
      </c>
      <c r="AB102" s="46" t="s">
        <v>1623</v>
      </c>
      <c r="AC102" s="46"/>
      <c r="AD102" s="139" t="s">
        <v>691</v>
      </c>
      <c r="AE102" s="46" t="s">
        <v>1640</v>
      </c>
      <c r="AF102" s="148">
        <v>0</v>
      </c>
      <c r="AG102" s="46" t="s">
        <v>0</v>
      </c>
      <c r="AH102" s="46" t="s">
        <v>0</v>
      </c>
      <c r="AI102" s="46" t="s">
        <v>0</v>
      </c>
      <c r="AJ102" s="148" t="s">
        <v>0</v>
      </c>
      <c r="AK102" s="46" t="s">
        <v>0</v>
      </c>
      <c r="AL102" s="46" t="s">
        <v>0</v>
      </c>
      <c r="AM102" s="46">
        <v>0</v>
      </c>
      <c r="AN102" s="148" t="s">
        <v>0</v>
      </c>
      <c r="AO102" s="46" t="s">
        <v>0</v>
      </c>
      <c r="AP102" s="46" t="s">
        <v>0</v>
      </c>
      <c r="AQ102" s="46">
        <v>0</v>
      </c>
      <c r="AR102" s="47" t="s">
        <v>0</v>
      </c>
      <c r="AS102" s="46" t="s">
        <v>69</v>
      </c>
      <c r="AT102" s="46"/>
      <c r="AU102" s="46"/>
    </row>
    <row r="103" spans="1:47" x14ac:dyDescent="0.25">
      <c r="A103" s="47" t="s">
        <v>1638</v>
      </c>
      <c r="B103" s="8" t="s">
        <v>2</v>
      </c>
      <c r="C103" s="47" t="s">
        <v>1218</v>
      </c>
      <c r="D103" s="8" t="s">
        <v>1195</v>
      </c>
      <c r="E103" s="8" t="s">
        <v>1078</v>
      </c>
      <c r="F103" s="8" t="s">
        <v>1214</v>
      </c>
      <c r="G103" s="8" t="s">
        <v>1197</v>
      </c>
      <c r="H103" s="8">
        <v>5</v>
      </c>
      <c r="I103" s="8"/>
      <c r="J103" s="47">
        <f>343-303</f>
        <v>40</v>
      </c>
      <c r="K103" s="8" t="s">
        <v>72</v>
      </c>
      <c r="L103" s="8" t="s">
        <v>1198</v>
      </c>
      <c r="M103" s="8" t="s">
        <v>123</v>
      </c>
      <c r="N103" s="47">
        <v>7.29</v>
      </c>
      <c r="O103" s="120" t="s">
        <v>1219</v>
      </c>
      <c r="P103" s="8" t="s">
        <v>60</v>
      </c>
      <c r="Q103" s="8" t="s">
        <v>1058</v>
      </c>
      <c r="R103" s="47" t="s">
        <v>0</v>
      </c>
      <c r="S103" s="8">
        <v>30</v>
      </c>
      <c r="T103" s="8" t="s">
        <v>64</v>
      </c>
      <c r="U103" s="8">
        <v>5.5</v>
      </c>
      <c r="V103" s="8" t="s">
        <v>1083</v>
      </c>
      <c r="W103" s="8" t="s">
        <v>0</v>
      </c>
      <c r="X103" s="47" t="s">
        <v>1200</v>
      </c>
      <c r="Y103" s="8" t="s">
        <v>539</v>
      </c>
      <c r="Z103" s="47" t="s">
        <v>1201</v>
      </c>
      <c r="AA103" s="47" t="s">
        <v>0</v>
      </c>
      <c r="AB103" s="46" t="s">
        <v>1623</v>
      </c>
      <c r="AC103" s="46"/>
      <c r="AD103" s="139" t="s">
        <v>691</v>
      </c>
      <c r="AE103" s="46" t="s">
        <v>1640</v>
      </c>
      <c r="AF103" s="148">
        <v>0</v>
      </c>
      <c r="AG103" s="46" t="s">
        <v>0</v>
      </c>
      <c r="AH103" s="46" t="s">
        <v>0</v>
      </c>
      <c r="AI103" s="46" t="s">
        <v>0</v>
      </c>
      <c r="AJ103" s="148" t="s">
        <v>0</v>
      </c>
      <c r="AK103" s="46" t="s">
        <v>0</v>
      </c>
      <c r="AL103" s="46" t="s">
        <v>0</v>
      </c>
      <c r="AM103" s="46">
        <v>0</v>
      </c>
      <c r="AN103" s="148" t="s">
        <v>0</v>
      </c>
      <c r="AO103" s="46" t="s">
        <v>0</v>
      </c>
      <c r="AP103" s="46" t="s">
        <v>0</v>
      </c>
      <c r="AQ103" s="46">
        <v>0</v>
      </c>
      <c r="AR103" s="47" t="s">
        <v>0</v>
      </c>
      <c r="AS103" s="46" t="s">
        <v>69</v>
      </c>
      <c r="AT103" s="46"/>
      <c r="AU103" s="46"/>
    </row>
    <row r="104" spans="1:47" x14ac:dyDescent="0.25">
      <c r="A104" s="47" t="s">
        <v>1638</v>
      </c>
      <c r="B104" s="8" t="s">
        <v>2</v>
      </c>
      <c r="C104" s="47" t="s">
        <v>1220</v>
      </c>
      <c r="D104" s="8" t="s">
        <v>1195</v>
      </c>
      <c r="E104" s="8" t="s">
        <v>1078</v>
      </c>
      <c r="F104" s="8" t="s">
        <v>1214</v>
      </c>
      <c r="G104" s="8" t="s">
        <v>1197</v>
      </c>
      <c r="H104" s="8">
        <v>5</v>
      </c>
      <c r="I104" s="8"/>
      <c r="J104" s="47">
        <f>361-345</f>
        <v>16</v>
      </c>
      <c r="K104" s="8" t="s">
        <v>72</v>
      </c>
      <c r="L104" s="8" t="s">
        <v>1221</v>
      </c>
      <c r="M104" s="8" t="s">
        <v>123</v>
      </c>
      <c r="N104" s="47">
        <v>8.0299999999999994</v>
      </c>
      <c r="O104" s="120" t="s">
        <v>1222</v>
      </c>
      <c r="P104" s="8" t="s">
        <v>60</v>
      </c>
      <c r="Q104" s="8" t="s">
        <v>1058</v>
      </c>
      <c r="R104" s="47" t="s">
        <v>0</v>
      </c>
      <c r="S104" s="8">
        <v>30</v>
      </c>
      <c r="T104" s="8" t="s">
        <v>64</v>
      </c>
      <c r="U104" s="8">
        <v>5.5</v>
      </c>
      <c r="V104" s="8" t="s">
        <v>1083</v>
      </c>
      <c r="W104" s="8" t="s">
        <v>0</v>
      </c>
      <c r="X104" s="47" t="s">
        <v>1200</v>
      </c>
      <c r="Y104" s="8" t="s">
        <v>539</v>
      </c>
      <c r="Z104" s="47" t="s">
        <v>1201</v>
      </c>
      <c r="AA104" s="47" t="s">
        <v>0</v>
      </c>
      <c r="AB104" s="46" t="s">
        <v>1623</v>
      </c>
      <c r="AC104" s="46"/>
      <c r="AD104" s="139" t="s">
        <v>691</v>
      </c>
      <c r="AE104" s="46" t="s">
        <v>1640</v>
      </c>
      <c r="AF104" s="148">
        <v>0</v>
      </c>
      <c r="AG104" s="46" t="s">
        <v>0</v>
      </c>
      <c r="AH104" s="46" t="s">
        <v>0</v>
      </c>
      <c r="AI104" s="46" t="s">
        <v>0</v>
      </c>
      <c r="AJ104" s="148" t="s">
        <v>0</v>
      </c>
      <c r="AK104" s="46" t="s">
        <v>0</v>
      </c>
      <c r="AL104" s="46" t="s">
        <v>0</v>
      </c>
      <c r="AM104" s="46">
        <v>0</v>
      </c>
      <c r="AN104" s="148" t="s">
        <v>0</v>
      </c>
      <c r="AO104" s="46" t="s">
        <v>0</v>
      </c>
      <c r="AP104" s="46" t="s">
        <v>0</v>
      </c>
      <c r="AQ104" s="46">
        <v>0</v>
      </c>
      <c r="AR104" s="47" t="s">
        <v>0</v>
      </c>
      <c r="AS104" s="46" t="s">
        <v>69</v>
      </c>
      <c r="AT104" s="46"/>
      <c r="AU104" s="46"/>
    </row>
    <row r="105" spans="1:47" x14ac:dyDescent="0.25">
      <c r="A105" s="47" t="s">
        <v>1638</v>
      </c>
      <c r="B105" s="8" t="s">
        <v>2</v>
      </c>
      <c r="C105" s="47" t="s">
        <v>1223</v>
      </c>
      <c r="D105" s="8" t="s">
        <v>1195</v>
      </c>
      <c r="E105" s="8" t="s">
        <v>1078</v>
      </c>
      <c r="F105" s="8" t="s">
        <v>1224</v>
      </c>
      <c r="G105" s="8" t="s">
        <v>1197</v>
      </c>
      <c r="H105" s="8">
        <v>5</v>
      </c>
      <c r="I105" s="8"/>
      <c r="J105" s="47">
        <f>421-363</f>
        <v>58</v>
      </c>
      <c r="K105" s="8" t="s">
        <v>72</v>
      </c>
      <c r="L105" s="8" t="s">
        <v>1225</v>
      </c>
      <c r="M105" s="8" t="s">
        <v>123</v>
      </c>
      <c r="N105" s="47">
        <v>8.83</v>
      </c>
      <c r="O105" s="120" t="s">
        <v>1226</v>
      </c>
      <c r="P105" s="8" t="s">
        <v>60</v>
      </c>
      <c r="Q105" s="8" t="s">
        <v>1058</v>
      </c>
      <c r="R105" s="47" t="s">
        <v>0</v>
      </c>
      <c r="S105" s="8">
        <v>30</v>
      </c>
      <c r="T105" s="8" t="s">
        <v>64</v>
      </c>
      <c r="U105" s="8">
        <v>5.5</v>
      </c>
      <c r="V105" s="8" t="s">
        <v>1083</v>
      </c>
      <c r="W105" s="8" t="s">
        <v>0</v>
      </c>
      <c r="X105" s="47" t="s">
        <v>1200</v>
      </c>
      <c r="Y105" s="8" t="s">
        <v>539</v>
      </c>
      <c r="Z105" s="47" t="s">
        <v>1201</v>
      </c>
      <c r="AA105" s="47" t="s">
        <v>0</v>
      </c>
      <c r="AB105" s="46" t="s">
        <v>1623</v>
      </c>
      <c r="AC105" s="46"/>
      <c r="AD105" s="139" t="s">
        <v>691</v>
      </c>
      <c r="AE105" s="46" t="s">
        <v>1640</v>
      </c>
      <c r="AF105" s="148">
        <v>0</v>
      </c>
      <c r="AG105" s="46" t="s">
        <v>1227</v>
      </c>
      <c r="AH105" s="46" t="s">
        <v>0</v>
      </c>
      <c r="AI105" s="46" t="s">
        <v>0</v>
      </c>
      <c r="AJ105" s="148" t="s">
        <v>0</v>
      </c>
      <c r="AK105" s="46" t="s">
        <v>0</v>
      </c>
      <c r="AL105" s="46" t="s">
        <v>0</v>
      </c>
      <c r="AM105" s="46">
        <v>0</v>
      </c>
      <c r="AN105" s="148" t="s">
        <v>0</v>
      </c>
      <c r="AO105" s="46">
        <v>4.0999999999999996</v>
      </c>
      <c r="AP105" s="46" t="s">
        <v>0</v>
      </c>
      <c r="AQ105" s="46">
        <v>0</v>
      </c>
      <c r="AR105" s="47" t="s">
        <v>0</v>
      </c>
      <c r="AS105" s="46" t="s">
        <v>69</v>
      </c>
      <c r="AT105" s="46"/>
      <c r="AU105" s="46"/>
    </row>
    <row r="106" spans="1:47" x14ac:dyDescent="0.25">
      <c r="A106" s="47" t="s">
        <v>1638</v>
      </c>
      <c r="B106" s="8" t="s">
        <v>2</v>
      </c>
      <c r="C106" s="47" t="s">
        <v>1228</v>
      </c>
      <c r="D106" s="8" t="s">
        <v>1195</v>
      </c>
      <c r="E106" s="8" t="s">
        <v>1078</v>
      </c>
      <c r="F106" s="8" t="s">
        <v>1224</v>
      </c>
      <c r="G106" s="8" t="s">
        <v>1197</v>
      </c>
      <c r="H106" s="8">
        <v>5</v>
      </c>
      <c r="I106" s="8"/>
      <c r="J106" s="47">
        <f>443-423</f>
        <v>20</v>
      </c>
      <c r="K106" s="8" t="s">
        <v>72</v>
      </c>
      <c r="L106" s="8" t="s">
        <v>1229</v>
      </c>
      <c r="M106" s="8" t="s">
        <v>123</v>
      </c>
      <c r="N106" s="47">
        <v>9.7200000000000006</v>
      </c>
      <c r="O106" s="120" t="s">
        <v>1230</v>
      </c>
      <c r="P106" s="8" t="s">
        <v>60</v>
      </c>
      <c r="Q106" s="8" t="s">
        <v>1058</v>
      </c>
      <c r="R106" s="47" t="s">
        <v>0</v>
      </c>
      <c r="S106" s="8">
        <v>30</v>
      </c>
      <c r="T106" s="8" t="s">
        <v>64</v>
      </c>
      <c r="U106" s="8">
        <v>5.5</v>
      </c>
      <c r="V106" s="8" t="s">
        <v>1083</v>
      </c>
      <c r="W106" s="8" t="s">
        <v>0</v>
      </c>
      <c r="X106" s="47" t="s">
        <v>1200</v>
      </c>
      <c r="Y106" s="8" t="s">
        <v>539</v>
      </c>
      <c r="Z106" s="47" t="s">
        <v>1201</v>
      </c>
      <c r="AA106" s="47" t="s">
        <v>0</v>
      </c>
      <c r="AB106" s="46" t="s">
        <v>1623</v>
      </c>
      <c r="AC106" s="46"/>
      <c r="AD106" s="139" t="s">
        <v>691</v>
      </c>
      <c r="AE106" s="46" t="s">
        <v>1640</v>
      </c>
      <c r="AF106" s="148">
        <v>0</v>
      </c>
      <c r="AG106" s="46" t="s">
        <v>1231</v>
      </c>
      <c r="AH106" s="46" t="s">
        <v>0</v>
      </c>
      <c r="AI106" s="46" t="s">
        <v>0</v>
      </c>
      <c r="AJ106" s="148" t="s">
        <v>0</v>
      </c>
      <c r="AK106" s="46" t="s">
        <v>0</v>
      </c>
      <c r="AL106" s="46" t="s">
        <v>0</v>
      </c>
      <c r="AM106" s="46">
        <v>0</v>
      </c>
      <c r="AN106" s="148" t="s">
        <v>0</v>
      </c>
      <c r="AO106" s="46">
        <v>3.96</v>
      </c>
      <c r="AP106" s="46" t="s">
        <v>0</v>
      </c>
      <c r="AQ106" s="46">
        <v>0</v>
      </c>
      <c r="AR106" s="47" t="s">
        <v>0</v>
      </c>
      <c r="AS106" s="46" t="s">
        <v>69</v>
      </c>
      <c r="AT106" s="46"/>
      <c r="AU106" s="46"/>
    </row>
    <row r="107" spans="1:47" x14ac:dyDescent="0.25">
      <c r="A107" s="47" t="s">
        <v>1638</v>
      </c>
      <c r="B107" s="8" t="s">
        <v>2</v>
      </c>
      <c r="C107" s="47" t="s">
        <v>1232</v>
      </c>
      <c r="D107" s="8" t="s">
        <v>1195</v>
      </c>
      <c r="E107" s="8" t="s">
        <v>1078</v>
      </c>
      <c r="F107" s="8" t="s">
        <v>1224</v>
      </c>
      <c r="G107" s="8" t="s">
        <v>1197</v>
      </c>
      <c r="H107" s="8">
        <v>5</v>
      </c>
      <c r="I107" s="8"/>
      <c r="J107" s="47">
        <f>483-445</f>
        <v>38</v>
      </c>
      <c r="K107" s="8" t="s">
        <v>72</v>
      </c>
      <c r="L107" s="8" t="s">
        <v>1233</v>
      </c>
      <c r="M107" s="8" t="s">
        <v>123</v>
      </c>
      <c r="N107" s="47">
        <v>9.7100000000000009</v>
      </c>
      <c r="O107" s="120" t="s">
        <v>1234</v>
      </c>
      <c r="P107" s="8" t="s">
        <v>60</v>
      </c>
      <c r="Q107" s="8" t="s">
        <v>1058</v>
      </c>
      <c r="R107" s="47" t="s">
        <v>0</v>
      </c>
      <c r="S107" s="8">
        <v>30</v>
      </c>
      <c r="T107" s="8" t="s">
        <v>64</v>
      </c>
      <c r="U107" s="8">
        <v>5.5</v>
      </c>
      <c r="V107" s="8" t="s">
        <v>1083</v>
      </c>
      <c r="W107" s="8" t="s">
        <v>0</v>
      </c>
      <c r="X107" s="47" t="s">
        <v>1200</v>
      </c>
      <c r="Y107" s="8" t="s">
        <v>539</v>
      </c>
      <c r="Z107" s="47" t="s">
        <v>1201</v>
      </c>
      <c r="AA107" s="47" t="s">
        <v>0</v>
      </c>
      <c r="AB107" s="46" t="s">
        <v>1623</v>
      </c>
      <c r="AC107" s="46"/>
      <c r="AD107" s="139" t="s">
        <v>691</v>
      </c>
      <c r="AE107" s="46" t="s">
        <v>1640</v>
      </c>
      <c r="AF107" s="148">
        <v>0</v>
      </c>
      <c r="AG107" s="46" t="s">
        <v>1235</v>
      </c>
      <c r="AH107" s="46" t="s">
        <v>0</v>
      </c>
      <c r="AI107" s="46" t="s">
        <v>0</v>
      </c>
      <c r="AJ107" s="148" t="s">
        <v>0</v>
      </c>
      <c r="AK107" s="46" t="s">
        <v>0</v>
      </c>
      <c r="AL107" s="46" t="s">
        <v>0</v>
      </c>
      <c r="AM107" s="46">
        <v>0</v>
      </c>
      <c r="AN107" s="148" t="s">
        <v>0</v>
      </c>
      <c r="AO107" s="46">
        <v>4.4800000000000004</v>
      </c>
      <c r="AP107" s="46" t="s">
        <v>0</v>
      </c>
      <c r="AQ107" s="46">
        <v>0</v>
      </c>
      <c r="AR107" s="47" t="s">
        <v>0</v>
      </c>
      <c r="AS107" s="46" t="s">
        <v>69</v>
      </c>
      <c r="AT107" s="46"/>
      <c r="AU107" s="46"/>
    </row>
    <row r="108" spans="1:47" x14ac:dyDescent="0.25">
      <c r="A108" s="47" t="s">
        <v>1638</v>
      </c>
      <c r="B108" s="8" t="s">
        <v>2</v>
      </c>
      <c r="C108" s="47" t="s">
        <v>1236</v>
      </c>
      <c r="D108" s="8" t="s">
        <v>1195</v>
      </c>
      <c r="E108" s="8" t="s">
        <v>1078</v>
      </c>
      <c r="F108" s="8" t="s">
        <v>1224</v>
      </c>
      <c r="G108" s="8" t="s">
        <v>1197</v>
      </c>
      <c r="H108" s="8">
        <v>5</v>
      </c>
      <c r="I108" s="8"/>
      <c r="J108" s="47">
        <f>547-485</f>
        <v>62</v>
      </c>
      <c r="K108" s="8" t="s">
        <v>72</v>
      </c>
      <c r="L108" s="8" t="s">
        <v>1237</v>
      </c>
      <c r="M108" s="8" t="s">
        <v>123</v>
      </c>
      <c r="N108" s="47">
        <v>10.7</v>
      </c>
      <c r="O108" s="120" t="s">
        <v>1238</v>
      </c>
      <c r="P108" s="8" t="s">
        <v>60</v>
      </c>
      <c r="Q108" s="8" t="s">
        <v>1058</v>
      </c>
      <c r="R108" s="47" t="s">
        <v>0</v>
      </c>
      <c r="S108" s="8">
        <v>30</v>
      </c>
      <c r="T108" s="8" t="s">
        <v>64</v>
      </c>
      <c r="U108" s="8">
        <v>5.5</v>
      </c>
      <c r="V108" s="8" t="s">
        <v>1083</v>
      </c>
      <c r="W108" s="8" t="s">
        <v>0</v>
      </c>
      <c r="X108" s="47" t="s">
        <v>1200</v>
      </c>
      <c r="Y108" s="8" t="s">
        <v>539</v>
      </c>
      <c r="Z108" s="47" t="s">
        <v>1201</v>
      </c>
      <c r="AA108" s="47" t="s">
        <v>0</v>
      </c>
      <c r="AB108" s="46" t="s">
        <v>1623</v>
      </c>
      <c r="AC108" s="46"/>
      <c r="AD108" s="139" t="s">
        <v>691</v>
      </c>
      <c r="AE108" s="46" t="s">
        <v>1640</v>
      </c>
      <c r="AF108" s="148">
        <v>0</v>
      </c>
      <c r="AG108" s="46" t="s">
        <v>1239</v>
      </c>
      <c r="AH108" s="46" t="s">
        <v>0</v>
      </c>
      <c r="AI108" s="46" t="s">
        <v>0</v>
      </c>
      <c r="AJ108" s="148" t="s">
        <v>0</v>
      </c>
      <c r="AK108" s="46" t="s">
        <v>0</v>
      </c>
      <c r="AL108" s="46" t="s">
        <v>0</v>
      </c>
      <c r="AM108" s="46">
        <v>0</v>
      </c>
      <c r="AN108" s="148" t="s">
        <v>0</v>
      </c>
      <c r="AO108" s="46">
        <v>7.52</v>
      </c>
      <c r="AP108" s="46" t="s">
        <v>0</v>
      </c>
      <c r="AQ108" s="46">
        <v>0</v>
      </c>
      <c r="AR108" s="47" t="s">
        <v>0</v>
      </c>
      <c r="AS108" s="46" t="s">
        <v>69</v>
      </c>
      <c r="AT108" s="46"/>
      <c r="AU108" s="46"/>
    </row>
    <row r="109" spans="1:47" x14ac:dyDescent="0.25">
      <c r="A109" s="43" t="s">
        <v>1641</v>
      </c>
      <c r="B109" s="4" t="s">
        <v>2</v>
      </c>
      <c r="C109" s="43" t="s">
        <v>1240</v>
      </c>
      <c r="D109" s="4" t="s">
        <v>1241</v>
      </c>
      <c r="E109" s="4" t="s">
        <v>1023</v>
      </c>
      <c r="F109" s="4" t="s">
        <v>69</v>
      </c>
      <c r="G109" s="4" t="s">
        <v>69</v>
      </c>
      <c r="H109" s="4">
        <f t="shared" ref="H109:H114" si="7">PI()*0.5^2*2.5</f>
        <v>1.9634954084936207</v>
      </c>
      <c r="I109" s="4">
        <v>0.8</v>
      </c>
      <c r="J109" s="43">
        <v>21</v>
      </c>
      <c r="K109" s="4" t="s">
        <v>57</v>
      </c>
      <c r="L109" s="4" t="s">
        <v>1242</v>
      </c>
      <c r="M109" s="4" t="s">
        <v>123</v>
      </c>
      <c r="N109" s="43">
        <f t="shared" ref="N109:N114" si="8">21.3/O109</f>
        <v>113.60000000000001</v>
      </c>
      <c r="O109" s="108">
        <f>4.5/24</f>
        <v>0.1875</v>
      </c>
      <c r="P109" s="4" t="s">
        <v>60</v>
      </c>
      <c r="Q109" s="4" t="s">
        <v>1243</v>
      </c>
      <c r="R109" s="43" t="s">
        <v>1244</v>
      </c>
      <c r="S109" s="4">
        <v>30</v>
      </c>
      <c r="T109" s="4" t="s">
        <v>69</v>
      </c>
      <c r="U109" s="4" t="s">
        <v>1245</v>
      </c>
      <c r="V109" s="4"/>
      <c r="W109" s="4" t="s">
        <v>1246</v>
      </c>
      <c r="X109" s="43" t="s">
        <v>0</v>
      </c>
      <c r="Y109" s="4" t="s">
        <v>1247</v>
      </c>
      <c r="Z109" s="43" t="s">
        <v>1143</v>
      </c>
      <c r="AA109" s="43" t="s">
        <v>0</v>
      </c>
      <c r="AB109" s="42" t="s">
        <v>1623</v>
      </c>
      <c r="AC109" s="42"/>
      <c r="AD109" s="138">
        <v>0</v>
      </c>
      <c r="AE109" s="42" t="s">
        <v>0</v>
      </c>
      <c r="AF109" s="149" t="s">
        <v>0</v>
      </c>
      <c r="AG109" s="42" t="s">
        <v>0</v>
      </c>
      <c r="AH109" s="42" t="s">
        <v>0</v>
      </c>
      <c r="AI109" s="42" t="s">
        <v>0</v>
      </c>
      <c r="AJ109" s="149" t="s">
        <v>0</v>
      </c>
      <c r="AK109" s="42">
        <v>0</v>
      </c>
      <c r="AL109" s="42" t="s">
        <v>0</v>
      </c>
      <c r="AM109" s="42" t="s">
        <v>0</v>
      </c>
      <c r="AN109" s="149" t="s">
        <v>0</v>
      </c>
      <c r="AO109" s="42">
        <f>AK109/O109</f>
        <v>0</v>
      </c>
      <c r="AP109" s="42" t="s">
        <v>0</v>
      </c>
      <c r="AQ109" s="42" t="s">
        <v>0</v>
      </c>
      <c r="AR109" s="43" t="s">
        <v>0</v>
      </c>
      <c r="AS109" s="42" t="s">
        <v>69</v>
      </c>
      <c r="AT109" s="42"/>
      <c r="AU109" s="42"/>
    </row>
    <row r="110" spans="1:47" x14ac:dyDescent="0.25">
      <c r="A110" s="43" t="s">
        <v>1641</v>
      </c>
      <c r="B110" s="4" t="s">
        <v>2</v>
      </c>
      <c r="C110" s="43" t="s">
        <v>1248</v>
      </c>
      <c r="D110" s="4" t="s">
        <v>1241</v>
      </c>
      <c r="E110" s="4" t="s">
        <v>1023</v>
      </c>
      <c r="F110" s="4" t="s">
        <v>69</v>
      </c>
      <c r="G110" s="4" t="s">
        <v>69</v>
      </c>
      <c r="H110" s="4">
        <f t="shared" si="7"/>
        <v>1.9634954084936207</v>
      </c>
      <c r="I110" s="4">
        <v>0.8</v>
      </c>
      <c r="J110" s="43">
        <v>14</v>
      </c>
      <c r="K110" s="4" t="s">
        <v>57</v>
      </c>
      <c r="L110" s="4" t="s">
        <v>1242</v>
      </c>
      <c r="M110" s="4" t="s">
        <v>123</v>
      </c>
      <c r="N110" s="43">
        <f t="shared" si="8"/>
        <v>127.80000000000001</v>
      </c>
      <c r="O110" s="108">
        <f>4/24</f>
        <v>0.16666666666666666</v>
      </c>
      <c r="P110" s="4" t="s">
        <v>60</v>
      </c>
      <c r="Q110" s="4" t="s">
        <v>1058</v>
      </c>
      <c r="R110" s="43" t="s">
        <v>1244</v>
      </c>
      <c r="S110" s="4">
        <v>30</v>
      </c>
      <c r="T110" s="4" t="s">
        <v>69</v>
      </c>
      <c r="U110" s="4" t="s">
        <v>1245</v>
      </c>
      <c r="V110" s="4"/>
      <c r="W110" s="4" t="s">
        <v>1246</v>
      </c>
      <c r="X110" s="43" t="s">
        <v>0</v>
      </c>
      <c r="Y110" s="4" t="s">
        <v>1247</v>
      </c>
      <c r="Z110" s="43" t="s">
        <v>1143</v>
      </c>
      <c r="AA110" s="43" t="s">
        <v>0</v>
      </c>
      <c r="AB110" s="42" t="s">
        <v>1623</v>
      </c>
      <c r="AC110" s="42"/>
      <c r="AD110" s="138">
        <v>0</v>
      </c>
      <c r="AE110" s="42" t="s">
        <v>0</v>
      </c>
      <c r="AF110" s="149" t="s">
        <v>0</v>
      </c>
      <c r="AG110" s="42" t="s">
        <v>0</v>
      </c>
      <c r="AH110" s="42" t="s">
        <v>0</v>
      </c>
      <c r="AI110" s="42" t="s">
        <v>0</v>
      </c>
      <c r="AJ110" s="149" t="s">
        <v>0</v>
      </c>
      <c r="AK110" s="42">
        <v>0</v>
      </c>
      <c r="AL110" s="42" t="s">
        <v>0</v>
      </c>
      <c r="AM110" s="42" t="s">
        <v>0</v>
      </c>
      <c r="AN110" s="149" t="s">
        <v>0</v>
      </c>
      <c r="AO110" s="42">
        <f t="shared" ref="AO110:AO114" si="9">AK110/O110</f>
        <v>0</v>
      </c>
      <c r="AP110" s="42" t="s">
        <v>0</v>
      </c>
      <c r="AQ110" s="42" t="s">
        <v>0</v>
      </c>
      <c r="AR110" s="43" t="s">
        <v>0</v>
      </c>
      <c r="AS110" s="42" t="s">
        <v>69</v>
      </c>
      <c r="AT110" s="42"/>
      <c r="AU110" s="42"/>
    </row>
    <row r="111" spans="1:47" x14ac:dyDescent="0.25">
      <c r="A111" s="43" t="s">
        <v>1641</v>
      </c>
      <c r="B111" s="4" t="s">
        <v>2</v>
      </c>
      <c r="C111" s="43" t="s">
        <v>1249</v>
      </c>
      <c r="D111" s="4" t="s">
        <v>1241</v>
      </c>
      <c r="E111" s="4" t="s">
        <v>1023</v>
      </c>
      <c r="F111" s="4" t="s">
        <v>69</v>
      </c>
      <c r="G111" s="4" t="s">
        <v>69</v>
      </c>
      <c r="H111" s="4">
        <f t="shared" si="7"/>
        <v>1.9634954084936207</v>
      </c>
      <c r="I111" s="4">
        <v>0.8</v>
      </c>
      <c r="J111" s="43">
        <v>5</v>
      </c>
      <c r="K111" s="4" t="s">
        <v>57</v>
      </c>
      <c r="L111" s="4" t="s">
        <v>1242</v>
      </c>
      <c r="M111" s="4" t="s">
        <v>123</v>
      </c>
      <c r="N111" s="43">
        <f t="shared" si="8"/>
        <v>146.05714285714285</v>
      </c>
      <c r="O111" s="108">
        <f>3.5/24</f>
        <v>0.14583333333333334</v>
      </c>
      <c r="P111" s="4" t="s">
        <v>60</v>
      </c>
      <c r="Q111" s="4" t="s">
        <v>1058</v>
      </c>
      <c r="R111" s="43" t="s">
        <v>1244</v>
      </c>
      <c r="S111" s="4">
        <v>30</v>
      </c>
      <c r="T111" s="4" t="s">
        <v>69</v>
      </c>
      <c r="U111" s="4" t="s">
        <v>1245</v>
      </c>
      <c r="V111" s="4"/>
      <c r="W111" s="4" t="s">
        <v>1246</v>
      </c>
      <c r="X111" s="43" t="s">
        <v>0</v>
      </c>
      <c r="Y111" s="4" t="s">
        <v>1247</v>
      </c>
      <c r="Z111" s="43" t="s">
        <v>1143</v>
      </c>
      <c r="AA111" s="43" t="s">
        <v>0</v>
      </c>
      <c r="AB111" s="42" t="s">
        <v>1623</v>
      </c>
      <c r="AC111" s="42"/>
      <c r="AD111" s="143" t="s">
        <v>1250</v>
      </c>
      <c r="AE111" s="42" t="s">
        <v>0</v>
      </c>
      <c r="AF111" s="149" t="s">
        <v>0</v>
      </c>
      <c r="AG111" s="42" t="s">
        <v>0</v>
      </c>
      <c r="AH111" s="42" t="s">
        <v>0</v>
      </c>
      <c r="AI111" s="42" t="s">
        <v>0</v>
      </c>
      <c r="AJ111" s="149" t="s">
        <v>0</v>
      </c>
      <c r="AK111" s="130">
        <v>1.28</v>
      </c>
      <c r="AL111" s="42" t="s">
        <v>0</v>
      </c>
      <c r="AM111" s="42" t="s">
        <v>0</v>
      </c>
      <c r="AN111" s="149" t="s">
        <v>0</v>
      </c>
      <c r="AO111" s="42">
        <f t="shared" si="9"/>
        <v>8.7771428571428576</v>
      </c>
      <c r="AP111" s="42" t="s">
        <v>0</v>
      </c>
      <c r="AQ111" s="42" t="s">
        <v>0</v>
      </c>
      <c r="AR111" s="43" t="s">
        <v>0</v>
      </c>
      <c r="AS111" s="42" t="s">
        <v>69</v>
      </c>
      <c r="AT111" s="42"/>
      <c r="AU111" s="42"/>
    </row>
    <row r="112" spans="1:47" x14ac:dyDescent="0.25">
      <c r="A112" s="43" t="s">
        <v>1641</v>
      </c>
      <c r="B112" s="4" t="s">
        <v>2</v>
      </c>
      <c r="C112" s="43" t="s">
        <v>1251</v>
      </c>
      <c r="D112" s="4" t="s">
        <v>1241</v>
      </c>
      <c r="E112" s="4" t="s">
        <v>1023</v>
      </c>
      <c r="F112" s="4" t="s">
        <v>69</v>
      </c>
      <c r="G112" s="4" t="s">
        <v>69</v>
      </c>
      <c r="H112" s="4">
        <f t="shared" si="7"/>
        <v>1.9634954084936207</v>
      </c>
      <c r="I112" s="4">
        <v>0.8</v>
      </c>
      <c r="J112" s="43">
        <v>20</v>
      </c>
      <c r="K112" s="4" t="s">
        <v>57</v>
      </c>
      <c r="L112" s="4" t="s">
        <v>1242</v>
      </c>
      <c r="M112" s="4" t="s">
        <v>123</v>
      </c>
      <c r="N112" s="43">
        <f t="shared" si="8"/>
        <v>170.4</v>
      </c>
      <c r="O112" s="108">
        <f>3/24</f>
        <v>0.125</v>
      </c>
      <c r="P112" s="4" t="s">
        <v>60</v>
      </c>
      <c r="Q112" s="4" t="s">
        <v>1058</v>
      </c>
      <c r="R112" s="43" t="s">
        <v>1244</v>
      </c>
      <c r="S112" s="4">
        <v>30</v>
      </c>
      <c r="T112" s="4" t="s">
        <v>69</v>
      </c>
      <c r="U112" s="4" t="s">
        <v>1245</v>
      </c>
      <c r="V112" s="4"/>
      <c r="W112" s="4" t="s">
        <v>1246</v>
      </c>
      <c r="X112" s="43" t="s">
        <v>0</v>
      </c>
      <c r="Y112" s="4" t="s">
        <v>1247</v>
      </c>
      <c r="Z112" s="43" t="s">
        <v>1143</v>
      </c>
      <c r="AA112" s="43" t="s">
        <v>0</v>
      </c>
      <c r="AB112" s="42" t="s">
        <v>1623</v>
      </c>
      <c r="AC112" s="42"/>
      <c r="AD112" s="143" t="s">
        <v>1250</v>
      </c>
      <c r="AE112" s="42" t="s">
        <v>0</v>
      </c>
      <c r="AF112" s="149" t="s">
        <v>0</v>
      </c>
      <c r="AG112" s="42" t="s">
        <v>0</v>
      </c>
      <c r="AH112" s="42" t="s">
        <v>0</v>
      </c>
      <c r="AI112" s="42" t="s">
        <v>0</v>
      </c>
      <c r="AJ112" s="149" t="s">
        <v>0</v>
      </c>
      <c r="AK112" s="130">
        <v>1.28</v>
      </c>
      <c r="AL112" s="42" t="s">
        <v>0</v>
      </c>
      <c r="AM112" s="42" t="s">
        <v>0</v>
      </c>
      <c r="AN112" s="149" t="s">
        <v>0</v>
      </c>
      <c r="AO112" s="42">
        <f t="shared" si="9"/>
        <v>10.24</v>
      </c>
      <c r="AP112" s="42" t="s">
        <v>0</v>
      </c>
      <c r="AQ112" s="42" t="s">
        <v>0</v>
      </c>
      <c r="AR112" s="43" t="s">
        <v>0</v>
      </c>
      <c r="AS112" s="42" t="s">
        <v>69</v>
      </c>
      <c r="AT112" s="42"/>
      <c r="AU112" s="42"/>
    </row>
    <row r="113" spans="1:47" x14ac:dyDescent="0.25">
      <c r="A113" s="43" t="s">
        <v>1641</v>
      </c>
      <c r="B113" s="4" t="s">
        <v>2</v>
      </c>
      <c r="C113" s="43" t="s">
        <v>1252</v>
      </c>
      <c r="D113" s="4" t="s">
        <v>1241</v>
      </c>
      <c r="E113" s="4" t="s">
        <v>1023</v>
      </c>
      <c r="F113" s="4" t="s">
        <v>69</v>
      </c>
      <c r="G113" s="4" t="s">
        <v>69</v>
      </c>
      <c r="H113" s="4">
        <f t="shared" si="7"/>
        <v>1.9634954084936207</v>
      </c>
      <c r="I113" s="4">
        <v>0.8</v>
      </c>
      <c r="J113" s="43">
        <v>7</v>
      </c>
      <c r="K113" s="4" t="s">
        <v>57</v>
      </c>
      <c r="L113" s="4" t="s">
        <v>1242</v>
      </c>
      <c r="M113" s="4" t="s">
        <v>123</v>
      </c>
      <c r="N113" s="43">
        <f t="shared" si="8"/>
        <v>204.48</v>
      </c>
      <c r="O113" s="108">
        <f>2.5/24</f>
        <v>0.10416666666666667</v>
      </c>
      <c r="P113" s="4" t="s">
        <v>60</v>
      </c>
      <c r="Q113" s="4" t="s">
        <v>1058</v>
      </c>
      <c r="R113" s="43" t="s">
        <v>1244</v>
      </c>
      <c r="S113" s="4">
        <v>30</v>
      </c>
      <c r="T113" s="4" t="s">
        <v>69</v>
      </c>
      <c r="U113" s="4" t="s">
        <v>1245</v>
      </c>
      <c r="V113" s="4"/>
      <c r="W113" s="4" t="s">
        <v>1246</v>
      </c>
      <c r="X113" s="43" t="s">
        <v>0</v>
      </c>
      <c r="Y113" s="4" t="s">
        <v>1247</v>
      </c>
      <c r="Z113" s="43" t="s">
        <v>1253</v>
      </c>
      <c r="AA113" s="43" t="s">
        <v>0</v>
      </c>
      <c r="AB113" s="42" t="s">
        <v>1623</v>
      </c>
      <c r="AC113" s="42"/>
      <c r="AD113" s="143" t="s">
        <v>1254</v>
      </c>
      <c r="AE113" s="42" t="s">
        <v>0</v>
      </c>
      <c r="AF113" s="149" t="s">
        <v>0</v>
      </c>
      <c r="AG113" s="42" t="s">
        <v>0</v>
      </c>
      <c r="AH113" s="42" t="s">
        <v>0</v>
      </c>
      <c r="AI113" s="42" t="s">
        <v>0</v>
      </c>
      <c r="AJ113" s="149" t="s">
        <v>0</v>
      </c>
      <c r="AK113" s="130">
        <v>3.84</v>
      </c>
      <c r="AL113" s="42" t="s">
        <v>0</v>
      </c>
      <c r="AM113" s="42" t="s">
        <v>0</v>
      </c>
      <c r="AN113" s="149" t="s">
        <v>0</v>
      </c>
      <c r="AO113" s="42">
        <f t="shared" si="9"/>
        <v>36.863999999999997</v>
      </c>
      <c r="AP113" s="42" t="s">
        <v>0</v>
      </c>
      <c r="AQ113" s="42" t="s">
        <v>0</v>
      </c>
      <c r="AR113" s="43" t="s">
        <v>0</v>
      </c>
      <c r="AS113" s="42" t="s">
        <v>69</v>
      </c>
      <c r="AT113" s="42"/>
      <c r="AU113" s="42"/>
    </row>
    <row r="114" spans="1:47" x14ac:dyDescent="0.25">
      <c r="A114" s="43" t="s">
        <v>1641</v>
      </c>
      <c r="B114" s="4" t="s">
        <v>2</v>
      </c>
      <c r="C114" s="43" t="s">
        <v>1255</v>
      </c>
      <c r="D114" s="4" t="s">
        <v>1241</v>
      </c>
      <c r="E114" s="4" t="s">
        <v>1023</v>
      </c>
      <c r="F114" s="4" t="s">
        <v>69</v>
      </c>
      <c r="G114" s="4" t="s">
        <v>69</v>
      </c>
      <c r="H114" s="4">
        <f t="shared" si="7"/>
        <v>1.9634954084936207</v>
      </c>
      <c r="I114" s="4">
        <v>0.8</v>
      </c>
      <c r="J114" s="43">
        <v>9</v>
      </c>
      <c r="K114" s="4"/>
      <c r="L114" s="4" t="s">
        <v>1242</v>
      </c>
      <c r="M114" s="4" t="s">
        <v>123</v>
      </c>
      <c r="N114" s="43">
        <f t="shared" si="8"/>
        <v>255.60000000000002</v>
      </c>
      <c r="O114" s="108">
        <f>2/24</f>
        <v>8.3333333333333329E-2</v>
      </c>
      <c r="P114" s="4" t="s">
        <v>60</v>
      </c>
      <c r="Q114" s="4" t="s">
        <v>1058</v>
      </c>
      <c r="R114" s="43" t="s">
        <v>1244</v>
      </c>
      <c r="S114" s="4">
        <v>30</v>
      </c>
      <c r="T114" s="4" t="s">
        <v>69</v>
      </c>
      <c r="U114" s="4" t="s">
        <v>1245</v>
      </c>
      <c r="V114" s="4"/>
      <c r="W114" s="4" t="s">
        <v>1246</v>
      </c>
      <c r="X114" s="43" t="s">
        <v>0</v>
      </c>
      <c r="Y114" s="4" t="s">
        <v>1247</v>
      </c>
      <c r="Z114" s="43" t="s">
        <v>1253</v>
      </c>
      <c r="AA114" s="43" t="s">
        <v>0</v>
      </c>
      <c r="AB114" s="42" t="s">
        <v>1623</v>
      </c>
      <c r="AC114" s="42"/>
      <c r="AD114" s="143" t="s">
        <v>1256</v>
      </c>
      <c r="AE114" s="42" t="s">
        <v>0</v>
      </c>
      <c r="AF114" s="149" t="s">
        <v>0</v>
      </c>
      <c r="AG114" s="42" t="s">
        <v>0</v>
      </c>
      <c r="AH114" s="42" t="s">
        <v>0</v>
      </c>
      <c r="AI114" s="42" t="s">
        <v>0</v>
      </c>
      <c r="AJ114" s="149" t="s">
        <v>0</v>
      </c>
      <c r="AK114" s="130">
        <v>1.792</v>
      </c>
      <c r="AL114" s="42" t="s">
        <v>0</v>
      </c>
      <c r="AM114" s="42" t="s">
        <v>0</v>
      </c>
      <c r="AN114" s="149" t="s">
        <v>0</v>
      </c>
      <c r="AO114" s="42">
        <f t="shared" si="9"/>
        <v>21.504000000000001</v>
      </c>
      <c r="AP114" s="42" t="s">
        <v>0</v>
      </c>
      <c r="AQ114" s="42" t="s">
        <v>0</v>
      </c>
      <c r="AR114" s="43" t="s">
        <v>0</v>
      </c>
      <c r="AS114" s="42" t="s">
        <v>69</v>
      </c>
      <c r="AT114" s="42"/>
      <c r="AU114" s="42"/>
    </row>
    <row r="115" spans="1:47" x14ac:dyDescent="0.25">
      <c r="A115" s="47" t="s">
        <v>1642</v>
      </c>
      <c r="B115" s="8" t="s">
        <v>2</v>
      </c>
      <c r="C115" s="47" t="s">
        <v>1257</v>
      </c>
      <c r="D115" s="8" t="s">
        <v>1258</v>
      </c>
      <c r="E115" s="8" t="s">
        <v>1259</v>
      </c>
      <c r="F115" s="8" t="s">
        <v>69</v>
      </c>
      <c r="G115" s="8" t="s">
        <v>1260</v>
      </c>
      <c r="H115" s="8"/>
      <c r="I115" s="8">
        <v>1</v>
      </c>
      <c r="J115" s="47">
        <f>58-19</f>
        <v>39</v>
      </c>
      <c r="K115" s="8" t="s">
        <v>72</v>
      </c>
      <c r="L115" s="8" t="s">
        <v>1261</v>
      </c>
      <c r="M115" s="8" t="s">
        <v>123</v>
      </c>
      <c r="N115" s="47">
        <f>115.5/4</f>
        <v>28.875</v>
      </c>
      <c r="O115" s="107" t="s">
        <v>1262</v>
      </c>
      <c r="P115" s="8" t="s">
        <v>60</v>
      </c>
      <c r="Q115" s="8" t="s">
        <v>1058</v>
      </c>
      <c r="R115" s="47" t="s">
        <v>0</v>
      </c>
      <c r="S115" s="8">
        <v>30</v>
      </c>
      <c r="T115" s="8" t="s">
        <v>64</v>
      </c>
      <c r="U115" s="8">
        <v>6.8</v>
      </c>
      <c r="V115" s="8" t="s">
        <v>1112</v>
      </c>
      <c r="W115" s="8" t="s">
        <v>0</v>
      </c>
      <c r="X115" s="47" t="s">
        <v>1263</v>
      </c>
      <c r="Y115" s="8" t="s">
        <v>0</v>
      </c>
      <c r="Z115" s="47" t="s">
        <v>1264</v>
      </c>
      <c r="AA115" s="47" t="s">
        <v>1265</v>
      </c>
      <c r="AB115" s="46" t="s">
        <v>1643</v>
      </c>
      <c r="AC115" s="46"/>
      <c r="AD115" s="139" t="s">
        <v>1266</v>
      </c>
      <c r="AE115" s="46" t="s">
        <v>1267</v>
      </c>
      <c r="AF115" s="148" t="s">
        <v>1268</v>
      </c>
      <c r="AG115" s="46" t="s">
        <v>1269</v>
      </c>
      <c r="AH115" s="46" t="s">
        <v>1270</v>
      </c>
      <c r="AI115" s="46" t="s">
        <v>1271</v>
      </c>
      <c r="AJ115" s="148" t="s">
        <v>0</v>
      </c>
      <c r="AK115" s="46">
        <v>51.640999999999998</v>
      </c>
      <c r="AL115" s="46">
        <v>1.3071999999999999</v>
      </c>
      <c r="AM115" s="46">
        <v>1.6544000000000001</v>
      </c>
      <c r="AN115" s="148" t="s">
        <v>0</v>
      </c>
      <c r="AO115" s="46">
        <v>12.138</v>
      </c>
      <c r="AP115" s="46">
        <v>0.33439999999999998</v>
      </c>
      <c r="AQ115" s="46">
        <v>0.4224</v>
      </c>
      <c r="AR115" s="47" t="s">
        <v>0</v>
      </c>
      <c r="AS115" s="46" t="s">
        <v>69</v>
      </c>
      <c r="AT115" s="46"/>
      <c r="AU115" s="46"/>
    </row>
    <row r="116" spans="1:47" x14ac:dyDescent="0.25">
      <c r="A116" s="47" t="s">
        <v>1642</v>
      </c>
      <c r="B116" s="8" t="s">
        <v>2</v>
      </c>
      <c r="C116" s="47" t="s">
        <v>1257</v>
      </c>
      <c r="D116" s="8" t="s">
        <v>1258</v>
      </c>
      <c r="E116" s="8" t="s">
        <v>1259</v>
      </c>
      <c r="F116" s="8" t="s">
        <v>69</v>
      </c>
      <c r="G116" s="8" t="s">
        <v>1260</v>
      </c>
      <c r="H116" s="8"/>
      <c r="I116" s="8">
        <v>1</v>
      </c>
      <c r="J116" s="47">
        <f>103-58</f>
        <v>45</v>
      </c>
      <c r="K116" s="8" t="s">
        <v>72</v>
      </c>
      <c r="L116" s="8" t="s">
        <v>1261</v>
      </c>
      <c r="M116" s="8" t="s">
        <v>123</v>
      </c>
      <c r="N116" s="47">
        <f>115.5</f>
        <v>115.5</v>
      </c>
      <c r="O116" s="107" t="s">
        <v>1272</v>
      </c>
      <c r="P116" s="8" t="s">
        <v>60</v>
      </c>
      <c r="Q116" s="8" t="s">
        <v>1058</v>
      </c>
      <c r="R116" s="47" t="s">
        <v>0</v>
      </c>
      <c r="S116" s="8">
        <v>30</v>
      </c>
      <c r="T116" s="8" t="s">
        <v>64</v>
      </c>
      <c r="U116" s="8">
        <v>6.8</v>
      </c>
      <c r="V116" s="8" t="s">
        <v>1112</v>
      </c>
      <c r="W116" s="8" t="s">
        <v>0</v>
      </c>
      <c r="X116" s="47" t="s">
        <v>1263</v>
      </c>
      <c r="Y116" s="8" t="s">
        <v>0</v>
      </c>
      <c r="Z116" s="47" t="s">
        <v>1273</v>
      </c>
      <c r="AA116" s="47" t="s">
        <v>1265</v>
      </c>
      <c r="AB116" s="46" t="s">
        <v>1643</v>
      </c>
      <c r="AC116" s="46"/>
      <c r="AD116" s="139" t="s">
        <v>1274</v>
      </c>
      <c r="AE116" s="46" t="s">
        <v>1275</v>
      </c>
      <c r="AF116" s="148" t="s">
        <v>1276</v>
      </c>
      <c r="AG116" s="46" t="s">
        <v>1277</v>
      </c>
      <c r="AH116" s="46" t="s">
        <v>1278</v>
      </c>
      <c r="AI116" s="46" t="s">
        <v>1279</v>
      </c>
      <c r="AJ116" s="148" t="s">
        <v>0</v>
      </c>
      <c r="AK116" s="46">
        <v>15.669</v>
      </c>
      <c r="AL116" s="46">
        <v>0.18240000000000001</v>
      </c>
      <c r="AM116" s="46">
        <v>0.17599999999999999</v>
      </c>
      <c r="AN116" s="148" t="s">
        <v>0</v>
      </c>
      <c r="AO116" s="46">
        <v>12.359</v>
      </c>
      <c r="AP116" s="46">
        <v>0.18240000000000001</v>
      </c>
      <c r="AQ116" s="46">
        <v>0.17599999999999999</v>
      </c>
      <c r="AR116" s="47" t="s">
        <v>0</v>
      </c>
      <c r="AS116" s="46" t="s">
        <v>69</v>
      </c>
      <c r="AT116" s="46"/>
      <c r="AU116" s="46"/>
    </row>
    <row r="117" spans="1:47" x14ac:dyDescent="0.25">
      <c r="A117" s="47" t="s">
        <v>1642</v>
      </c>
      <c r="B117" s="8" t="s">
        <v>2</v>
      </c>
      <c r="C117" s="47" t="s">
        <v>1257</v>
      </c>
      <c r="D117" s="8" t="s">
        <v>1258</v>
      </c>
      <c r="E117" s="8" t="s">
        <v>1259</v>
      </c>
      <c r="F117" s="8" t="s">
        <v>69</v>
      </c>
      <c r="G117" s="8" t="s">
        <v>1260</v>
      </c>
      <c r="H117" s="8"/>
      <c r="I117" s="8">
        <v>1</v>
      </c>
      <c r="J117" s="47">
        <f>152-130</f>
        <v>22</v>
      </c>
      <c r="K117" s="8" t="s">
        <v>72</v>
      </c>
      <c r="L117" s="8" t="s">
        <v>1261</v>
      </c>
      <c r="M117" s="8" t="s">
        <v>123</v>
      </c>
      <c r="N117" s="47">
        <f>115.5/4</f>
        <v>28.875</v>
      </c>
      <c r="O117" s="107" t="s">
        <v>1262</v>
      </c>
      <c r="P117" s="8" t="s">
        <v>60</v>
      </c>
      <c r="Q117" s="8" t="s">
        <v>1058</v>
      </c>
      <c r="R117" s="47" t="s">
        <v>0</v>
      </c>
      <c r="S117" s="8">
        <v>30</v>
      </c>
      <c r="T117" s="8" t="s">
        <v>64</v>
      </c>
      <c r="U117" s="8">
        <v>6.8</v>
      </c>
      <c r="V117" s="8" t="s">
        <v>1112</v>
      </c>
      <c r="W117" s="8" t="s">
        <v>0</v>
      </c>
      <c r="X117" s="47" t="s">
        <v>1263</v>
      </c>
      <c r="Y117" s="8" t="s">
        <v>0</v>
      </c>
      <c r="Z117" s="47" t="s">
        <v>0</v>
      </c>
      <c r="AA117" s="47" t="s">
        <v>1265</v>
      </c>
      <c r="AB117" s="46" t="s">
        <v>1643</v>
      </c>
      <c r="AC117" s="46"/>
      <c r="AD117" s="139" t="s">
        <v>1280</v>
      </c>
      <c r="AE117" s="46" t="s">
        <v>0</v>
      </c>
      <c r="AF117" s="148" t="s">
        <v>0</v>
      </c>
      <c r="AG117" s="46">
        <f>23.2/4</f>
        <v>5.8</v>
      </c>
      <c r="AH117" s="46" t="s">
        <v>0</v>
      </c>
      <c r="AI117" s="46" t="s">
        <v>0</v>
      </c>
      <c r="AJ117" s="148" t="s">
        <v>0</v>
      </c>
      <c r="AK117" s="46">
        <v>51.2</v>
      </c>
      <c r="AL117" s="46" t="s">
        <v>0</v>
      </c>
      <c r="AM117" s="46" t="s">
        <v>0</v>
      </c>
      <c r="AN117" s="148" t="s">
        <v>0</v>
      </c>
      <c r="AO117" s="46">
        <v>12.8</v>
      </c>
      <c r="AP117" s="46" t="s">
        <v>0</v>
      </c>
      <c r="AQ117" s="46" t="s">
        <v>0</v>
      </c>
      <c r="AR117" s="47" t="s">
        <v>0</v>
      </c>
      <c r="AS117" s="46" t="s">
        <v>69</v>
      </c>
      <c r="AT117" s="46"/>
      <c r="AU117" s="46"/>
    </row>
    <row r="118" spans="1:47" x14ac:dyDescent="0.25">
      <c r="A118" s="43" t="s">
        <v>1644</v>
      </c>
      <c r="B118" s="4" t="s">
        <v>2</v>
      </c>
      <c r="C118" s="43" t="s">
        <v>1281</v>
      </c>
      <c r="D118" s="4" t="s">
        <v>1282</v>
      </c>
      <c r="E118" s="4" t="s">
        <v>1023</v>
      </c>
      <c r="F118" s="4" t="s">
        <v>69</v>
      </c>
      <c r="G118" s="4" t="s">
        <v>69</v>
      </c>
      <c r="H118" s="4">
        <v>1</v>
      </c>
      <c r="I118" s="4"/>
      <c r="J118" s="43">
        <f>4</f>
        <v>4</v>
      </c>
      <c r="K118" s="4" t="s">
        <v>121</v>
      </c>
      <c r="L118" s="4" t="s">
        <v>1283</v>
      </c>
      <c r="M118" s="4" t="s">
        <v>123</v>
      </c>
      <c r="N118" s="43">
        <f>9.6+50.4</f>
        <v>60</v>
      </c>
      <c r="O118" s="162">
        <f>16/24</f>
        <v>0.66666666666666663</v>
      </c>
      <c r="P118" s="4" t="s">
        <v>60</v>
      </c>
      <c r="Q118" s="4" t="s">
        <v>1058</v>
      </c>
      <c r="R118" s="43" t="s">
        <v>0</v>
      </c>
      <c r="S118" s="4">
        <v>30</v>
      </c>
      <c r="T118" s="4" t="s">
        <v>64</v>
      </c>
      <c r="U118" s="4" t="s">
        <v>1284</v>
      </c>
      <c r="V118" s="4" t="s">
        <v>1285</v>
      </c>
      <c r="W118" s="4" t="s">
        <v>1286</v>
      </c>
      <c r="X118" s="43" t="s">
        <v>1287</v>
      </c>
      <c r="Y118" s="4" t="s">
        <v>558</v>
      </c>
      <c r="Z118" s="43" t="s">
        <v>1288</v>
      </c>
      <c r="AA118" s="43" t="s">
        <v>1289</v>
      </c>
      <c r="AB118" s="42" t="s">
        <v>1623</v>
      </c>
      <c r="AC118" s="42" t="s">
        <v>1290</v>
      </c>
      <c r="AD118" s="138" t="s">
        <v>1291</v>
      </c>
      <c r="AE118" s="42" t="s">
        <v>0</v>
      </c>
      <c r="AF118" s="149" t="s">
        <v>328</v>
      </c>
      <c r="AG118" s="42" t="s">
        <v>0</v>
      </c>
      <c r="AH118" s="42" t="s">
        <v>0</v>
      </c>
      <c r="AI118" s="42" t="s">
        <v>0</v>
      </c>
      <c r="AJ118" s="149" t="s">
        <v>0</v>
      </c>
      <c r="AK118" s="126">
        <f>12*32*8/116</f>
        <v>26.482758620689655</v>
      </c>
      <c r="AL118" s="126" t="s">
        <v>0</v>
      </c>
      <c r="AM118" s="126">
        <f>0.9*11/144*32</f>
        <v>2.2000000000000002</v>
      </c>
      <c r="AN118" s="155" t="s">
        <v>0</v>
      </c>
      <c r="AO118" s="126">
        <f>AK118/$O118</f>
        <v>39.724137931034484</v>
      </c>
      <c r="AP118" s="126" t="s">
        <v>0</v>
      </c>
      <c r="AQ118" s="126">
        <f>AM118/$O118</f>
        <v>3.3000000000000003</v>
      </c>
      <c r="AR118" s="43" t="s">
        <v>0</v>
      </c>
      <c r="AS118" s="42" t="s">
        <v>69</v>
      </c>
      <c r="AT118" s="42"/>
      <c r="AU118" s="42"/>
    </row>
    <row r="119" spans="1:47" x14ac:dyDescent="0.25">
      <c r="A119" s="43" t="s">
        <v>1644</v>
      </c>
      <c r="B119" s="4" t="s">
        <v>2</v>
      </c>
      <c r="C119" s="43" t="s">
        <v>1292</v>
      </c>
      <c r="D119" s="4" t="s">
        <v>1282</v>
      </c>
      <c r="E119" s="4" t="s">
        <v>1023</v>
      </c>
      <c r="F119" s="4" t="s">
        <v>69</v>
      </c>
      <c r="G119" s="4" t="s">
        <v>69</v>
      </c>
      <c r="H119" s="4">
        <v>1</v>
      </c>
      <c r="I119" s="4"/>
      <c r="J119" s="43">
        <v>7</v>
      </c>
      <c r="K119" s="4" t="s">
        <v>121</v>
      </c>
      <c r="L119" s="4" t="s">
        <v>1293</v>
      </c>
      <c r="M119" s="4" t="s">
        <v>123</v>
      </c>
      <c r="N119" s="43">
        <f>19.2+100.8</f>
        <v>120</v>
      </c>
      <c r="O119" s="162">
        <f>8/24</f>
        <v>0.33333333333333331</v>
      </c>
      <c r="P119" s="4" t="s">
        <v>60</v>
      </c>
      <c r="Q119" s="4" t="s">
        <v>1058</v>
      </c>
      <c r="R119" s="43" t="s">
        <v>0</v>
      </c>
      <c r="S119" s="4">
        <v>30</v>
      </c>
      <c r="T119" s="4" t="s">
        <v>64</v>
      </c>
      <c r="U119" s="4" t="s">
        <v>1284</v>
      </c>
      <c r="V119" s="4" t="s">
        <v>1285</v>
      </c>
      <c r="W119" s="4" t="s">
        <v>1286</v>
      </c>
      <c r="X119" s="43" t="s">
        <v>1287</v>
      </c>
      <c r="Y119" s="4" t="s">
        <v>558</v>
      </c>
      <c r="Z119" s="43" t="s">
        <v>1288</v>
      </c>
      <c r="AA119" s="43" t="s">
        <v>1289</v>
      </c>
      <c r="AB119" s="42" t="s">
        <v>1623</v>
      </c>
      <c r="AC119" s="42" t="s">
        <v>1294</v>
      </c>
      <c r="AD119" s="138" t="s">
        <v>1295</v>
      </c>
      <c r="AE119" s="42" t="s">
        <v>0</v>
      </c>
      <c r="AF119" s="149" t="s">
        <v>1296</v>
      </c>
      <c r="AG119" s="42" t="s">
        <v>0</v>
      </c>
      <c r="AH119" s="42" t="s">
        <v>0</v>
      </c>
      <c r="AI119" s="42" t="s">
        <v>0</v>
      </c>
      <c r="AJ119" s="149" t="s">
        <v>0</v>
      </c>
      <c r="AK119" s="126">
        <f>8.7*32*8/116</f>
        <v>19.2</v>
      </c>
      <c r="AL119" s="126" t="s">
        <v>0</v>
      </c>
      <c r="AM119" s="126">
        <f>0.4*11/144*32</f>
        <v>0.97777777777777786</v>
      </c>
      <c r="AN119" s="155" t="s">
        <v>0</v>
      </c>
      <c r="AO119" s="126">
        <f>AK119/$O119</f>
        <v>57.6</v>
      </c>
      <c r="AP119" s="126" t="s">
        <v>0</v>
      </c>
      <c r="AQ119" s="126">
        <f>AM119/$O119</f>
        <v>2.9333333333333336</v>
      </c>
      <c r="AR119" s="43" t="s">
        <v>0</v>
      </c>
      <c r="AS119" s="42" t="s">
        <v>69</v>
      </c>
      <c r="AT119" s="42"/>
      <c r="AU119" s="42"/>
    </row>
    <row r="120" spans="1:47" x14ac:dyDescent="0.25">
      <c r="A120" s="43" t="s">
        <v>1644</v>
      </c>
      <c r="B120" s="4" t="s">
        <v>2</v>
      </c>
      <c r="C120" s="43" t="s">
        <v>1297</v>
      </c>
      <c r="D120" s="4" t="s">
        <v>1282</v>
      </c>
      <c r="E120" s="4" t="s">
        <v>1023</v>
      </c>
      <c r="F120" s="4" t="s">
        <v>69</v>
      </c>
      <c r="G120" s="4" t="s">
        <v>69</v>
      </c>
      <c r="H120" s="4">
        <v>1</v>
      </c>
      <c r="I120" s="4"/>
      <c r="J120" s="43">
        <f>59-45+1</f>
        <v>15</v>
      </c>
      <c r="K120" s="4" t="s">
        <v>121</v>
      </c>
      <c r="L120" s="4" t="s">
        <v>1298</v>
      </c>
      <c r="M120" s="4" t="s">
        <v>123</v>
      </c>
      <c r="N120" s="43">
        <f>19.2+100.8</f>
        <v>120</v>
      </c>
      <c r="O120" s="162">
        <f>8/24</f>
        <v>0.33333333333333331</v>
      </c>
      <c r="P120" s="4" t="s">
        <v>60</v>
      </c>
      <c r="Q120" s="4" t="s">
        <v>1058</v>
      </c>
      <c r="R120" s="43" t="s">
        <v>0</v>
      </c>
      <c r="S120" s="4">
        <v>30</v>
      </c>
      <c r="T120" s="4" t="s">
        <v>64</v>
      </c>
      <c r="U120" s="4" t="s">
        <v>1284</v>
      </c>
      <c r="V120" s="4" t="s">
        <v>1285</v>
      </c>
      <c r="W120" s="4" t="s">
        <v>1286</v>
      </c>
      <c r="X120" s="43" t="s">
        <v>1287</v>
      </c>
      <c r="Y120" s="4" t="s">
        <v>558</v>
      </c>
      <c r="Z120" s="43" t="s">
        <v>1288</v>
      </c>
      <c r="AA120" s="43" t="s">
        <v>1289</v>
      </c>
      <c r="AB120" s="42" t="s">
        <v>1623</v>
      </c>
      <c r="AC120" s="42" t="s">
        <v>1299</v>
      </c>
      <c r="AD120" s="138" t="s">
        <v>1300</v>
      </c>
      <c r="AE120" s="42" t="s">
        <v>0</v>
      </c>
      <c r="AF120" s="149" t="s">
        <v>1301</v>
      </c>
      <c r="AG120" s="42" t="s">
        <v>0</v>
      </c>
      <c r="AH120" s="42" t="s">
        <v>0</v>
      </c>
      <c r="AI120" s="42" t="s">
        <v>0</v>
      </c>
      <c r="AJ120" s="149" t="s">
        <v>0</v>
      </c>
      <c r="AK120" s="126">
        <v>24.937999999999999</v>
      </c>
      <c r="AL120" s="126" t="s">
        <v>0</v>
      </c>
      <c r="AM120" s="126">
        <f>0.6*32*11/144</f>
        <v>1.4666666666666666</v>
      </c>
      <c r="AN120" s="155" t="s">
        <v>0</v>
      </c>
      <c r="AO120" s="126">
        <f>AK120/$O120</f>
        <v>74.814000000000007</v>
      </c>
      <c r="AP120" s="126" t="s">
        <v>0</v>
      </c>
      <c r="AQ120" s="126">
        <f>AM120/$O120</f>
        <v>4.4000000000000004</v>
      </c>
      <c r="AR120" s="43" t="s">
        <v>0</v>
      </c>
      <c r="AS120" s="42" t="s">
        <v>69</v>
      </c>
      <c r="AT120" s="42"/>
      <c r="AU120" s="42"/>
    </row>
    <row r="121" spans="1:47" x14ac:dyDescent="0.25">
      <c r="A121" s="43" t="s">
        <v>1644</v>
      </c>
      <c r="B121" s="4" t="s">
        <v>2</v>
      </c>
      <c r="C121" s="43" t="s">
        <v>1297</v>
      </c>
      <c r="D121" s="4" t="s">
        <v>1282</v>
      </c>
      <c r="E121" s="4" t="s">
        <v>1023</v>
      </c>
      <c r="F121" s="4" t="s">
        <v>69</v>
      </c>
      <c r="G121" s="4" t="s">
        <v>69</v>
      </c>
      <c r="H121" s="4">
        <v>1</v>
      </c>
      <c r="I121" s="4"/>
      <c r="J121" s="43">
        <v>9</v>
      </c>
      <c r="K121" s="4" t="s">
        <v>121</v>
      </c>
      <c r="L121" s="4" t="s">
        <v>1302</v>
      </c>
      <c r="M121" s="4" t="s">
        <v>123</v>
      </c>
      <c r="N121" s="43">
        <f>N120*2</f>
        <v>240</v>
      </c>
      <c r="O121" s="162">
        <f>4/24</f>
        <v>0.16666666666666666</v>
      </c>
      <c r="P121" s="4" t="s">
        <v>60</v>
      </c>
      <c r="Q121" s="4" t="s">
        <v>1058</v>
      </c>
      <c r="R121" s="43" t="s">
        <v>0</v>
      </c>
      <c r="S121" s="4">
        <v>30</v>
      </c>
      <c r="T121" s="4" t="s">
        <v>64</v>
      </c>
      <c r="U121" s="4" t="s">
        <v>1284</v>
      </c>
      <c r="V121" s="4" t="s">
        <v>1285</v>
      </c>
      <c r="W121" s="4" t="s">
        <v>1286</v>
      </c>
      <c r="X121" s="43" t="s">
        <v>1287</v>
      </c>
      <c r="Y121" s="4" t="s">
        <v>558</v>
      </c>
      <c r="Z121" s="43" t="s">
        <v>1288</v>
      </c>
      <c r="AA121" s="43" t="s">
        <v>1289</v>
      </c>
      <c r="AB121" s="42" t="s">
        <v>1623</v>
      </c>
      <c r="AC121" s="42" t="s">
        <v>1303</v>
      </c>
      <c r="AD121" s="138" t="s">
        <v>1295</v>
      </c>
      <c r="AE121" s="42" t="s">
        <v>0</v>
      </c>
      <c r="AF121" s="149" t="s">
        <v>1304</v>
      </c>
      <c r="AG121" s="42" t="s">
        <v>0</v>
      </c>
      <c r="AH121" s="42" t="s">
        <v>0</v>
      </c>
      <c r="AI121" s="42" t="s">
        <v>0</v>
      </c>
      <c r="AJ121" s="149" t="s">
        <v>0</v>
      </c>
      <c r="AK121" s="126">
        <v>19.2</v>
      </c>
      <c r="AL121" s="126" t="s">
        <v>0</v>
      </c>
      <c r="AM121" s="126">
        <v>0.73329999999999995</v>
      </c>
      <c r="AN121" s="155" t="s">
        <v>0</v>
      </c>
      <c r="AO121" s="126">
        <f>AK121/$O121</f>
        <v>115.2</v>
      </c>
      <c r="AP121" s="126" t="s">
        <v>0</v>
      </c>
      <c r="AQ121" s="126">
        <f>AM121/$O121</f>
        <v>4.3997999999999999</v>
      </c>
      <c r="AR121" s="43" t="s">
        <v>0</v>
      </c>
      <c r="AS121" s="42" t="s">
        <v>69</v>
      </c>
      <c r="AT121" s="42"/>
      <c r="AU121" s="42"/>
    </row>
    <row r="122" spans="1:47" x14ac:dyDescent="0.25">
      <c r="A122" s="47" t="s">
        <v>1645</v>
      </c>
      <c r="B122" s="8" t="s">
        <v>460</v>
      </c>
      <c r="C122" s="47" t="s">
        <v>1305</v>
      </c>
      <c r="D122" s="8" t="s">
        <v>1306</v>
      </c>
      <c r="E122" s="8" t="s">
        <v>1023</v>
      </c>
      <c r="F122" s="8" t="s">
        <v>1123</v>
      </c>
      <c r="G122" s="8" t="s">
        <v>0</v>
      </c>
      <c r="H122" s="8">
        <v>5</v>
      </c>
      <c r="I122" s="8">
        <v>4.5999999999999996</v>
      </c>
      <c r="J122" s="47">
        <f>84-16</f>
        <v>68</v>
      </c>
      <c r="K122" s="8" t="s">
        <v>72</v>
      </c>
      <c r="L122" s="8" t="s">
        <v>1307</v>
      </c>
      <c r="M122" s="8" t="s">
        <v>123</v>
      </c>
      <c r="N122" s="47">
        <v>6</v>
      </c>
      <c r="O122" s="107">
        <v>9.1999999999999993</v>
      </c>
      <c r="P122" s="8" t="s">
        <v>60</v>
      </c>
      <c r="Q122" s="8" t="s">
        <v>1058</v>
      </c>
      <c r="R122" s="47" t="s">
        <v>0</v>
      </c>
      <c r="S122" s="8">
        <v>37</v>
      </c>
      <c r="T122" s="8" t="s">
        <v>64</v>
      </c>
      <c r="U122" s="8">
        <v>5.2</v>
      </c>
      <c r="V122" s="8" t="s">
        <v>1155</v>
      </c>
      <c r="W122" s="8" t="s">
        <v>0</v>
      </c>
      <c r="X122" s="47" t="s">
        <v>1308</v>
      </c>
      <c r="Y122" s="8" t="s">
        <v>539</v>
      </c>
      <c r="Z122" s="47" t="s">
        <v>1309</v>
      </c>
      <c r="AA122" s="47" t="s">
        <v>0</v>
      </c>
      <c r="AB122" s="46" t="s">
        <v>1643</v>
      </c>
      <c r="AC122" s="46" t="s">
        <v>1643</v>
      </c>
      <c r="AD122" s="139" t="s">
        <v>0</v>
      </c>
      <c r="AE122" s="46" t="s">
        <v>0</v>
      </c>
      <c r="AF122" s="148" t="s">
        <v>0</v>
      </c>
      <c r="AG122" s="46">
        <v>0.4</v>
      </c>
      <c r="AH122" s="46">
        <v>0</v>
      </c>
      <c r="AI122" s="46">
        <v>0</v>
      </c>
      <c r="AJ122" s="148" t="s">
        <v>0</v>
      </c>
      <c r="AK122" s="46" t="s">
        <v>0</v>
      </c>
      <c r="AL122" s="46" t="s">
        <v>0</v>
      </c>
      <c r="AM122" s="46" t="s">
        <v>0</v>
      </c>
      <c r="AN122" s="148" t="s">
        <v>0</v>
      </c>
      <c r="AO122" s="46">
        <v>0.4</v>
      </c>
      <c r="AP122" s="46">
        <v>0</v>
      </c>
      <c r="AQ122" s="46">
        <v>0</v>
      </c>
      <c r="AR122" s="47" t="s">
        <v>0</v>
      </c>
      <c r="AS122" s="46" t="s">
        <v>64</v>
      </c>
      <c r="AT122" s="46"/>
      <c r="AU122" s="46"/>
    </row>
    <row r="123" spans="1:47" x14ac:dyDescent="0.25">
      <c r="A123" s="47" t="s">
        <v>1645</v>
      </c>
      <c r="B123" s="8" t="s">
        <v>460</v>
      </c>
      <c r="C123" s="47" t="s">
        <v>1310</v>
      </c>
      <c r="D123" s="8" t="s">
        <v>1306</v>
      </c>
      <c r="E123" s="8" t="s">
        <v>1023</v>
      </c>
      <c r="F123" s="8" t="s">
        <v>1123</v>
      </c>
      <c r="G123" s="8" t="s">
        <v>0</v>
      </c>
      <c r="H123" s="8">
        <v>5</v>
      </c>
      <c r="I123" s="8">
        <v>4.8</v>
      </c>
      <c r="J123" s="47">
        <f>84-16</f>
        <v>68</v>
      </c>
      <c r="K123" s="8" t="s">
        <v>72</v>
      </c>
      <c r="L123" s="8" t="s">
        <v>1307</v>
      </c>
      <c r="M123" s="8" t="s">
        <v>123</v>
      </c>
      <c r="N123" s="47">
        <v>5.8</v>
      </c>
      <c r="O123" s="107">
        <v>9.6</v>
      </c>
      <c r="P123" s="8" t="s">
        <v>60</v>
      </c>
      <c r="Q123" s="8" t="s">
        <v>1058</v>
      </c>
      <c r="R123" s="47" t="s">
        <v>0</v>
      </c>
      <c r="S123" s="8">
        <v>37</v>
      </c>
      <c r="T123" s="8" t="s">
        <v>64</v>
      </c>
      <c r="U123" s="8">
        <v>5.2</v>
      </c>
      <c r="V123" s="8" t="s">
        <v>1155</v>
      </c>
      <c r="W123" s="8" t="s">
        <v>0</v>
      </c>
      <c r="X123" s="47" t="s">
        <v>1311</v>
      </c>
      <c r="Y123" s="8" t="s">
        <v>539</v>
      </c>
      <c r="Z123" s="47" t="s">
        <v>1648</v>
      </c>
      <c r="AA123" s="47" t="s">
        <v>0</v>
      </c>
      <c r="AB123" s="46" t="s">
        <v>1643</v>
      </c>
      <c r="AC123" s="46" t="s">
        <v>1312</v>
      </c>
      <c r="AD123" s="139" t="s">
        <v>0</v>
      </c>
      <c r="AE123" s="46" t="s">
        <v>0</v>
      </c>
      <c r="AF123" s="148" t="s">
        <v>0</v>
      </c>
      <c r="AG123" s="46" t="s">
        <v>1313</v>
      </c>
      <c r="AH123" s="46" t="s">
        <v>1314</v>
      </c>
      <c r="AI123" s="46" t="s">
        <v>1315</v>
      </c>
      <c r="AJ123" s="148" t="s">
        <v>0</v>
      </c>
      <c r="AK123" s="46" t="s">
        <v>0</v>
      </c>
      <c r="AL123" s="46" t="s">
        <v>0</v>
      </c>
      <c r="AM123" s="46" t="s">
        <v>0</v>
      </c>
      <c r="AN123" s="148" t="s">
        <v>0</v>
      </c>
      <c r="AO123" s="46">
        <v>1.6</v>
      </c>
      <c r="AP123" s="46">
        <v>0.6</v>
      </c>
      <c r="AQ123" s="46">
        <v>1.7</v>
      </c>
      <c r="AR123" s="47" t="s">
        <v>0</v>
      </c>
      <c r="AS123" s="46" t="s">
        <v>64</v>
      </c>
      <c r="AT123" s="46"/>
      <c r="AU123" s="46"/>
    </row>
    <row r="124" spans="1:47" x14ac:dyDescent="0.25">
      <c r="A124" s="47" t="s">
        <v>1645</v>
      </c>
      <c r="B124" s="8" t="s">
        <v>460</v>
      </c>
      <c r="C124" s="47" t="s">
        <v>1316</v>
      </c>
      <c r="D124" s="8" t="s">
        <v>1317</v>
      </c>
      <c r="E124" s="8" t="s">
        <v>1023</v>
      </c>
      <c r="F124" s="8" t="s">
        <v>1123</v>
      </c>
      <c r="G124" s="8" t="s">
        <v>0</v>
      </c>
      <c r="H124" s="8">
        <v>5</v>
      </c>
      <c r="I124" s="8">
        <v>4.7</v>
      </c>
      <c r="J124" s="47">
        <f>130-84</f>
        <v>46</v>
      </c>
      <c r="K124" s="8" t="s">
        <v>72</v>
      </c>
      <c r="L124" s="8" t="s">
        <v>1307</v>
      </c>
      <c r="M124" s="8" t="s">
        <v>123</v>
      </c>
      <c r="N124" s="47">
        <v>5.9</v>
      </c>
      <c r="O124" s="107">
        <v>9.5</v>
      </c>
      <c r="P124" s="8" t="s">
        <v>60</v>
      </c>
      <c r="Q124" s="8" t="s">
        <v>1058</v>
      </c>
      <c r="R124" s="47" t="s">
        <v>0</v>
      </c>
      <c r="S124" s="8">
        <v>37</v>
      </c>
      <c r="T124" s="8" t="s">
        <v>64</v>
      </c>
      <c r="U124" s="8">
        <v>5.2</v>
      </c>
      <c r="V124" s="8" t="s">
        <v>1155</v>
      </c>
      <c r="W124" s="8" t="s">
        <v>0</v>
      </c>
      <c r="X124" s="47" t="s">
        <v>1318</v>
      </c>
      <c r="Y124" s="8" t="s">
        <v>539</v>
      </c>
      <c r="Z124" s="47" t="s">
        <v>1649</v>
      </c>
      <c r="AA124" s="47" t="s">
        <v>0</v>
      </c>
      <c r="AB124" s="46" t="s">
        <v>1643</v>
      </c>
      <c r="AC124" s="46" t="s">
        <v>1643</v>
      </c>
      <c r="AD124" s="139" t="s">
        <v>0</v>
      </c>
      <c r="AE124" s="46" t="s">
        <v>0</v>
      </c>
      <c r="AF124" s="148" t="s">
        <v>0</v>
      </c>
      <c r="AG124" s="46" t="s">
        <v>1319</v>
      </c>
      <c r="AH124" s="46" t="s">
        <v>1320</v>
      </c>
      <c r="AI124" s="46" t="s">
        <v>1321</v>
      </c>
      <c r="AJ124" s="148" t="s">
        <v>0</v>
      </c>
      <c r="AK124" s="46" t="s">
        <v>0</v>
      </c>
      <c r="AL124" s="46" t="s">
        <v>0</v>
      </c>
      <c r="AM124" s="46" t="s">
        <v>0</v>
      </c>
      <c r="AN124" s="148" t="s">
        <v>0</v>
      </c>
      <c r="AO124" s="46">
        <v>1.8</v>
      </c>
      <c r="AP124" s="46">
        <v>0.5</v>
      </c>
      <c r="AQ124" s="46">
        <v>1.2</v>
      </c>
      <c r="AR124" s="47" t="s">
        <v>0</v>
      </c>
      <c r="AS124" s="46" t="s">
        <v>64</v>
      </c>
      <c r="AT124" s="46"/>
      <c r="AU124" s="46"/>
    </row>
    <row r="125" spans="1:47" x14ac:dyDescent="0.25">
      <c r="A125" s="47" t="s">
        <v>1645</v>
      </c>
      <c r="B125" s="8" t="s">
        <v>460</v>
      </c>
      <c r="C125" s="47" t="s">
        <v>1322</v>
      </c>
      <c r="D125" s="8" t="s">
        <v>1317</v>
      </c>
      <c r="E125" s="8" t="s">
        <v>1023</v>
      </c>
      <c r="F125" s="8" t="s">
        <v>1123</v>
      </c>
      <c r="G125" s="8" t="s">
        <v>0</v>
      </c>
      <c r="H125" s="8">
        <v>5</v>
      </c>
      <c r="I125" s="8">
        <v>4.0999999999999996</v>
      </c>
      <c r="J125" s="47">
        <f>130-84</f>
        <v>46</v>
      </c>
      <c r="K125" s="8" t="s">
        <v>72</v>
      </c>
      <c r="L125" s="8" t="s">
        <v>1307</v>
      </c>
      <c r="M125" s="8" t="s">
        <v>123</v>
      </c>
      <c r="N125" s="47">
        <v>8.1999999999999993</v>
      </c>
      <c r="O125" s="107">
        <v>1.2</v>
      </c>
      <c r="P125" s="8" t="s">
        <v>60</v>
      </c>
      <c r="Q125" s="8" t="s">
        <v>1058</v>
      </c>
      <c r="R125" s="47" t="s">
        <v>0</v>
      </c>
      <c r="S125" s="8">
        <v>37</v>
      </c>
      <c r="T125" s="8" t="s">
        <v>64</v>
      </c>
      <c r="U125" s="8">
        <v>5.2</v>
      </c>
      <c r="V125" s="8" t="s">
        <v>1155</v>
      </c>
      <c r="W125" s="8" t="s">
        <v>0</v>
      </c>
      <c r="X125" s="47" t="s">
        <v>1318</v>
      </c>
      <c r="Y125" s="8" t="s">
        <v>539</v>
      </c>
      <c r="Z125" s="47" t="s">
        <v>1650</v>
      </c>
      <c r="AA125" s="47" t="s">
        <v>0</v>
      </c>
      <c r="AB125" s="46" t="s">
        <v>1643</v>
      </c>
      <c r="AC125" s="46" t="s">
        <v>1643</v>
      </c>
      <c r="AD125" s="139" t="s">
        <v>0</v>
      </c>
      <c r="AE125" s="46" t="s">
        <v>0</v>
      </c>
      <c r="AF125" s="148" t="s">
        <v>0</v>
      </c>
      <c r="AG125" s="46" t="s">
        <v>1323</v>
      </c>
      <c r="AH125" s="46" t="s">
        <v>1324</v>
      </c>
      <c r="AI125" s="46" t="s">
        <v>1325</v>
      </c>
      <c r="AJ125" s="148" t="s">
        <v>0</v>
      </c>
      <c r="AK125" s="46" t="s">
        <v>0</v>
      </c>
      <c r="AL125" s="46" t="s">
        <v>0</v>
      </c>
      <c r="AM125" s="46" t="s">
        <v>0</v>
      </c>
      <c r="AN125" s="148" t="s">
        <v>0</v>
      </c>
      <c r="AO125" s="46">
        <v>1.3</v>
      </c>
      <c r="AP125" s="46">
        <v>0.6</v>
      </c>
      <c r="AQ125" s="46">
        <v>1.1000000000000001</v>
      </c>
      <c r="AR125" s="47" t="s">
        <v>0</v>
      </c>
      <c r="AS125" s="46" t="s">
        <v>64</v>
      </c>
      <c r="AT125" s="46"/>
      <c r="AU125" s="46"/>
    </row>
    <row r="126" spans="1:47" x14ac:dyDescent="0.25">
      <c r="A126" s="47" t="s">
        <v>1645</v>
      </c>
      <c r="B126" s="8" t="s">
        <v>460</v>
      </c>
      <c r="C126" s="47" t="s">
        <v>1326</v>
      </c>
      <c r="D126" s="8" t="s">
        <v>1317</v>
      </c>
      <c r="E126" s="8" t="s">
        <v>1023</v>
      </c>
      <c r="F126" s="8" t="s">
        <v>1123</v>
      </c>
      <c r="G126" s="8" t="s">
        <v>0</v>
      </c>
      <c r="H126" s="8">
        <v>5</v>
      </c>
      <c r="I126" s="8">
        <v>4.0999999999999996</v>
      </c>
      <c r="J126" s="47">
        <f>130-84</f>
        <v>46</v>
      </c>
      <c r="K126" s="8" t="s">
        <v>72</v>
      </c>
      <c r="L126" s="8" t="s">
        <v>1307</v>
      </c>
      <c r="M126" s="8" t="s">
        <v>123</v>
      </c>
      <c r="N126" s="47">
        <v>51.9</v>
      </c>
      <c r="O126" s="107">
        <v>0.9</v>
      </c>
      <c r="P126" s="8" t="s">
        <v>60</v>
      </c>
      <c r="Q126" s="8" t="s">
        <v>1058</v>
      </c>
      <c r="R126" s="47" t="s">
        <v>0</v>
      </c>
      <c r="S126" s="8">
        <v>37</v>
      </c>
      <c r="T126" s="8" t="s">
        <v>64</v>
      </c>
      <c r="U126" s="8">
        <v>5.2</v>
      </c>
      <c r="V126" s="8" t="s">
        <v>1155</v>
      </c>
      <c r="W126" s="8" t="s">
        <v>0</v>
      </c>
      <c r="X126" s="47" t="s">
        <v>1318</v>
      </c>
      <c r="Y126" s="8" t="s">
        <v>539</v>
      </c>
      <c r="Z126" s="47" t="s">
        <v>1309</v>
      </c>
      <c r="AA126" s="47" t="s">
        <v>0</v>
      </c>
      <c r="AB126" s="46" t="s">
        <v>1643</v>
      </c>
      <c r="AC126" s="46" t="s">
        <v>1327</v>
      </c>
      <c r="AD126" s="139" t="s">
        <v>0</v>
      </c>
      <c r="AE126" s="46" t="s">
        <v>0</v>
      </c>
      <c r="AF126" s="148" t="s">
        <v>0</v>
      </c>
      <c r="AG126" s="46" t="s">
        <v>1328</v>
      </c>
      <c r="AH126" s="46" t="s">
        <v>1329</v>
      </c>
      <c r="AI126" s="46" t="s">
        <v>1330</v>
      </c>
      <c r="AJ126" s="148" t="s">
        <v>0</v>
      </c>
      <c r="AK126" s="46" t="s">
        <v>0</v>
      </c>
      <c r="AL126" s="46" t="s">
        <v>0</v>
      </c>
      <c r="AM126" s="46" t="s">
        <v>0</v>
      </c>
      <c r="AN126" s="148" t="s">
        <v>0</v>
      </c>
      <c r="AO126" s="46">
        <v>4.0999999999999996</v>
      </c>
      <c r="AP126" s="46">
        <v>0.3</v>
      </c>
      <c r="AQ126" s="46">
        <v>2.5</v>
      </c>
      <c r="AR126" s="47" t="s">
        <v>0</v>
      </c>
      <c r="AS126" s="46" t="s">
        <v>64</v>
      </c>
      <c r="AT126" s="46"/>
      <c r="AU126" s="46"/>
    </row>
    <row r="127" spans="1:47" x14ac:dyDescent="0.25">
      <c r="A127" s="47" t="s">
        <v>1645</v>
      </c>
      <c r="B127" s="8" t="s">
        <v>460</v>
      </c>
      <c r="C127" s="47" t="s">
        <v>1331</v>
      </c>
      <c r="D127" s="8" t="s">
        <v>1317</v>
      </c>
      <c r="E127" s="8" t="s">
        <v>1023</v>
      </c>
      <c r="F127" s="8" t="s">
        <v>1123</v>
      </c>
      <c r="G127" s="8" t="s">
        <v>0</v>
      </c>
      <c r="H127" s="8">
        <v>5</v>
      </c>
      <c r="I127" s="8">
        <v>4</v>
      </c>
      <c r="J127" s="47">
        <f>130-84</f>
        <v>46</v>
      </c>
      <c r="K127" s="8" t="s">
        <v>72</v>
      </c>
      <c r="L127" s="8" t="s">
        <v>1307</v>
      </c>
      <c r="M127" s="8" t="s">
        <v>123</v>
      </c>
      <c r="N127" s="47">
        <v>39</v>
      </c>
      <c r="O127" s="107">
        <v>1</v>
      </c>
      <c r="P127" s="8" t="s">
        <v>60</v>
      </c>
      <c r="Q127" s="8" t="s">
        <v>1058</v>
      </c>
      <c r="R127" s="47" t="s">
        <v>0</v>
      </c>
      <c r="S127" s="8">
        <v>37</v>
      </c>
      <c r="T127" s="8" t="s">
        <v>64</v>
      </c>
      <c r="U127" s="8">
        <v>5.2</v>
      </c>
      <c r="V127" s="8" t="s">
        <v>1155</v>
      </c>
      <c r="W127" s="8" t="s">
        <v>0</v>
      </c>
      <c r="X127" s="47" t="s">
        <v>1318</v>
      </c>
      <c r="Y127" s="8" t="s">
        <v>539</v>
      </c>
      <c r="Z127" s="47" t="s">
        <v>1332</v>
      </c>
      <c r="AA127" s="47" t="s">
        <v>0</v>
      </c>
      <c r="AB127" s="46" t="s">
        <v>1643</v>
      </c>
      <c r="AC127" s="46" t="s">
        <v>1643</v>
      </c>
      <c r="AD127" s="139" t="s">
        <v>0</v>
      </c>
      <c r="AE127" s="46" t="s">
        <v>0</v>
      </c>
      <c r="AF127" s="148" t="s">
        <v>0</v>
      </c>
      <c r="AG127" s="46" t="s">
        <v>1333</v>
      </c>
      <c r="AH127" s="46" t="s">
        <v>1334</v>
      </c>
      <c r="AI127" s="46" t="s">
        <v>1335</v>
      </c>
      <c r="AJ127" s="148" t="s">
        <v>0</v>
      </c>
      <c r="AK127" s="46" t="s">
        <v>0</v>
      </c>
      <c r="AL127" s="46" t="s">
        <v>0</v>
      </c>
      <c r="AM127" s="46" t="s">
        <v>0</v>
      </c>
      <c r="AN127" s="148" t="s">
        <v>0</v>
      </c>
      <c r="AO127" s="46">
        <v>3.6</v>
      </c>
      <c r="AP127" s="46">
        <v>0.2</v>
      </c>
      <c r="AQ127" s="46">
        <v>1.9</v>
      </c>
      <c r="AR127" s="47" t="s">
        <v>0</v>
      </c>
      <c r="AS127" s="46" t="s">
        <v>64</v>
      </c>
      <c r="AT127" s="46"/>
      <c r="AU127" s="46"/>
    </row>
    <row r="128" spans="1:47" x14ac:dyDescent="0.25">
      <c r="A128" s="43" t="s">
        <v>1646</v>
      </c>
      <c r="B128" s="4" t="s">
        <v>2</v>
      </c>
      <c r="C128" s="43" t="s">
        <v>1336</v>
      </c>
      <c r="D128" s="4" t="s">
        <v>1337</v>
      </c>
      <c r="E128" s="4" t="s">
        <v>1023</v>
      </c>
      <c r="F128" s="4" t="s">
        <v>69</v>
      </c>
      <c r="G128" s="4" t="s">
        <v>1338</v>
      </c>
      <c r="H128" s="4">
        <v>1</v>
      </c>
      <c r="I128" s="4">
        <v>1</v>
      </c>
      <c r="J128" s="43">
        <v>70</v>
      </c>
      <c r="K128" s="4" t="s">
        <v>72</v>
      </c>
      <c r="L128" s="4" t="s">
        <v>1339</v>
      </c>
      <c r="M128" s="4" t="s">
        <v>123</v>
      </c>
      <c r="N128" s="67" t="s">
        <v>0</v>
      </c>
      <c r="O128" s="121">
        <f>11/24</f>
        <v>0.45833333333333331</v>
      </c>
      <c r="P128" s="4" t="s">
        <v>60</v>
      </c>
      <c r="Q128" s="4" t="s">
        <v>1058</v>
      </c>
      <c r="R128" s="43" t="s">
        <v>0</v>
      </c>
      <c r="S128" s="4">
        <v>30</v>
      </c>
      <c r="T128" s="4" t="s">
        <v>1340</v>
      </c>
      <c r="U128" s="4">
        <v>6.75</v>
      </c>
      <c r="V128" s="4" t="s">
        <v>1341</v>
      </c>
      <c r="W128" s="4" t="s">
        <v>0</v>
      </c>
      <c r="X128" s="43" t="s">
        <v>1342</v>
      </c>
      <c r="Y128" s="4" t="s">
        <v>1247</v>
      </c>
      <c r="Z128" s="43" t="s">
        <v>1647</v>
      </c>
      <c r="AA128" s="43" t="s">
        <v>1343</v>
      </c>
      <c r="AB128" s="42" t="s">
        <v>1623</v>
      </c>
      <c r="AC128" s="42"/>
      <c r="AD128" s="138" t="s">
        <v>1344</v>
      </c>
      <c r="AE128" s="42" t="s">
        <v>1344</v>
      </c>
      <c r="AF128" s="149" t="s">
        <v>1344</v>
      </c>
      <c r="AG128" s="42" t="s">
        <v>0</v>
      </c>
      <c r="AH128" s="42" t="s">
        <v>0</v>
      </c>
      <c r="AI128" s="42" t="s">
        <v>0</v>
      </c>
      <c r="AJ128" s="149" t="s">
        <v>0</v>
      </c>
      <c r="AK128" s="42" t="s">
        <v>0</v>
      </c>
      <c r="AL128" s="42" t="s">
        <v>0</v>
      </c>
      <c r="AM128" s="42" t="s">
        <v>0</v>
      </c>
      <c r="AN128" s="149" t="s">
        <v>0</v>
      </c>
      <c r="AO128" s="42" t="s">
        <v>0</v>
      </c>
      <c r="AP128" s="42" t="s">
        <v>0</v>
      </c>
      <c r="AQ128" s="42" t="s">
        <v>0</v>
      </c>
      <c r="AR128" s="43" t="s">
        <v>0</v>
      </c>
      <c r="AS128" s="42" t="s">
        <v>69</v>
      </c>
      <c r="AT128" s="42"/>
      <c r="AU128" s="42"/>
    </row>
    <row r="129" spans="1:47" x14ac:dyDescent="0.25">
      <c r="A129" s="43" t="s">
        <v>1646</v>
      </c>
      <c r="B129" s="4" t="s">
        <v>2</v>
      </c>
      <c r="C129" s="43" t="s">
        <v>1345</v>
      </c>
      <c r="D129" s="4" t="s">
        <v>1337</v>
      </c>
      <c r="E129" s="4" t="s">
        <v>1023</v>
      </c>
      <c r="F129" s="4" t="s">
        <v>69</v>
      </c>
      <c r="G129" s="4" t="s">
        <v>1338</v>
      </c>
      <c r="H129" s="4">
        <v>1</v>
      </c>
      <c r="I129" s="4">
        <v>1</v>
      </c>
      <c r="J129" s="43">
        <f>102-70</f>
        <v>32</v>
      </c>
      <c r="K129" s="4" t="s">
        <v>72</v>
      </c>
      <c r="L129" s="4" t="s">
        <v>1339</v>
      </c>
      <c r="M129" s="4" t="s">
        <v>123</v>
      </c>
      <c r="N129" s="67" t="s">
        <v>0</v>
      </c>
      <c r="O129" s="121">
        <f>11/24</f>
        <v>0.45833333333333331</v>
      </c>
      <c r="P129" s="4" t="s">
        <v>60</v>
      </c>
      <c r="Q129" s="4" t="s">
        <v>1058</v>
      </c>
      <c r="R129" s="43" t="s">
        <v>0</v>
      </c>
      <c r="S129" s="4">
        <v>30</v>
      </c>
      <c r="T129" s="4" t="s">
        <v>1340</v>
      </c>
      <c r="U129" s="4">
        <v>6.75</v>
      </c>
      <c r="V129" s="4" t="s">
        <v>1341</v>
      </c>
      <c r="W129" s="4" t="s">
        <v>0</v>
      </c>
      <c r="X129" s="43" t="s">
        <v>1342</v>
      </c>
      <c r="Y129" s="4" t="s">
        <v>1247</v>
      </c>
      <c r="Z129" s="43" t="s">
        <v>0</v>
      </c>
      <c r="AA129" s="43" t="s">
        <v>1346</v>
      </c>
      <c r="AB129" s="42" t="s">
        <v>1623</v>
      </c>
      <c r="AC129" s="42"/>
      <c r="AD129" s="138" t="s">
        <v>1347</v>
      </c>
      <c r="AE129" s="42" t="s">
        <v>1347</v>
      </c>
      <c r="AF129" s="149" t="s">
        <v>1347</v>
      </c>
      <c r="AG129" s="42" t="s">
        <v>0</v>
      </c>
      <c r="AH129" s="42" t="s">
        <v>0</v>
      </c>
      <c r="AI129" s="42" t="s">
        <v>0</v>
      </c>
      <c r="AJ129" s="149" t="s">
        <v>0</v>
      </c>
      <c r="AK129" s="126" t="s">
        <v>0</v>
      </c>
      <c r="AL129" s="126" t="s">
        <v>0</v>
      </c>
      <c r="AM129" s="126" t="s">
        <v>0</v>
      </c>
      <c r="AN129" s="155" t="s">
        <v>0</v>
      </c>
      <c r="AO129" s="126" t="s">
        <v>0</v>
      </c>
      <c r="AP129" s="126" t="s">
        <v>0</v>
      </c>
      <c r="AQ129" s="126" t="s">
        <v>0</v>
      </c>
      <c r="AR129" s="43" t="s">
        <v>0</v>
      </c>
      <c r="AS129" s="42" t="s">
        <v>69</v>
      </c>
      <c r="AT129" s="42"/>
      <c r="AU129" s="42"/>
    </row>
    <row r="130" spans="1:47" x14ac:dyDescent="0.25">
      <c r="A130" s="43" t="s">
        <v>1646</v>
      </c>
      <c r="B130" s="4" t="s">
        <v>2</v>
      </c>
      <c r="C130" s="43" t="s">
        <v>1348</v>
      </c>
      <c r="D130" s="4" t="s">
        <v>1337</v>
      </c>
      <c r="E130" s="4" t="s">
        <v>1023</v>
      </c>
      <c r="F130" s="4" t="s">
        <v>69</v>
      </c>
      <c r="G130" s="4" t="s">
        <v>1338</v>
      </c>
      <c r="H130" s="4">
        <v>1</v>
      </c>
      <c r="I130" s="4">
        <v>1</v>
      </c>
      <c r="J130" s="43">
        <f>171-102</f>
        <v>69</v>
      </c>
      <c r="K130" s="4" t="s">
        <v>72</v>
      </c>
      <c r="L130" s="4" t="s">
        <v>1349</v>
      </c>
      <c r="M130" s="4" t="s">
        <v>123</v>
      </c>
      <c r="N130" s="67">
        <f>60.6/O130</f>
        <v>132.21818181818182</v>
      </c>
      <c r="O130" s="121">
        <f>11/24</f>
        <v>0.45833333333333331</v>
      </c>
      <c r="P130" s="4" t="s">
        <v>60</v>
      </c>
      <c r="Q130" s="4" t="s">
        <v>1058</v>
      </c>
      <c r="R130" s="43" t="s">
        <v>0</v>
      </c>
      <c r="S130" s="4">
        <v>30</v>
      </c>
      <c r="T130" s="4" t="s">
        <v>64</v>
      </c>
      <c r="U130" s="4">
        <v>6.75</v>
      </c>
      <c r="V130" s="4" t="s">
        <v>1341</v>
      </c>
      <c r="W130" s="4" t="s">
        <v>0</v>
      </c>
      <c r="X130" s="43" t="s">
        <v>1342</v>
      </c>
      <c r="Y130" s="4" t="s">
        <v>1247</v>
      </c>
      <c r="Z130" s="43" t="s">
        <v>0</v>
      </c>
      <c r="AA130" s="43" t="s">
        <v>1346</v>
      </c>
      <c r="AB130" s="42" t="s">
        <v>1623</v>
      </c>
      <c r="AC130" s="42" t="s">
        <v>1350</v>
      </c>
      <c r="AD130" s="138" t="s">
        <v>1351</v>
      </c>
      <c r="AE130" s="42" t="s">
        <v>403</v>
      </c>
      <c r="AF130" s="149" t="s">
        <v>1352</v>
      </c>
      <c r="AG130" s="42" t="s">
        <v>0</v>
      </c>
      <c r="AH130" s="42" t="s">
        <v>0</v>
      </c>
      <c r="AI130" s="42" t="s">
        <v>0</v>
      </c>
      <c r="AJ130" s="149" t="s">
        <v>0</v>
      </c>
      <c r="AK130" s="126">
        <v>27.806999999999999</v>
      </c>
      <c r="AL130" s="126">
        <v>2.1046</v>
      </c>
      <c r="AM130" s="126">
        <v>0.9778</v>
      </c>
      <c r="AN130" s="155" t="s">
        <v>0</v>
      </c>
      <c r="AO130" s="126">
        <f>AK130/$O130</f>
        <v>60.669818181818179</v>
      </c>
      <c r="AP130" s="126">
        <f t="shared" ref="AP130:AQ130" si="10">AL130/$O130</f>
        <v>4.5918545454545461</v>
      </c>
      <c r="AQ130" s="126">
        <f t="shared" si="10"/>
        <v>2.1333818181818183</v>
      </c>
      <c r="AR130" s="43" t="s">
        <v>0</v>
      </c>
      <c r="AS130" s="42" t="s">
        <v>69</v>
      </c>
      <c r="AT130" s="42"/>
      <c r="AU130" s="42"/>
    </row>
    <row r="131" spans="1:47" x14ac:dyDescent="0.25">
      <c r="A131" s="47" t="s">
        <v>1651</v>
      </c>
      <c r="B131" s="8" t="s">
        <v>216</v>
      </c>
      <c r="C131" s="47" t="s">
        <v>1353</v>
      </c>
      <c r="D131" s="8" t="s">
        <v>1337</v>
      </c>
      <c r="E131" s="8" t="s">
        <v>1049</v>
      </c>
      <c r="F131" s="8" t="s">
        <v>69</v>
      </c>
      <c r="G131" s="8" t="s">
        <v>69</v>
      </c>
      <c r="H131" s="8" t="s">
        <v>0</v>
      </c>
      <c r="I131" s="8">
        <v>4</v>
      </c>
      <c r="J131" s="68">
        <f t="shared" ref="J131:J144" si="11">10*O131</f>
        <v>7.0833333333333339</v>
      </c>
      <c r="K131" s="8" t="s">
        <v>57</v>
      </c>
      <c r="L131" s="8" t="s">
        <v>1354</v>
      </c>
      <c r="M131" s="8" t="s">
        <v>1</v>
      </c>
      <c r="N131" s="68">
        <f t="shared" ref="N131:N144" si="12">11.218/O131</f>
        <v>15.837176470588235</v>
      </c>
      <c r="O131" s="122">
        <f t="shared" ref="O131:O147" si="13">17/24</f>
        <v>0.70833333333333337</v>
      </c>
      <c r="P131" s="8" t="s">
        <v>60</v>
      </c>
      <c r="Q131" s="8" t="s">
        <v>319</v>
      </c>
      <c r="R131" s="47" t="s">
        <v>1355</v>
      </c>
      <c r="S131" s="8">
        <v>35</v>
      </c>
      <c r="T131" s="8" t="s">
        <v>64</v>
      </c>
      <c r="U131" s="8">
        <v>3.1</v>
      </c>
      <c r="V131" s="8" t="s">
        <v>1356</v>
      </c>
      <c r="W131" s="8" t="s">
        <v>0</v>
      </c>
      <c r="X131" s="47" t="s">
        <v>1287</v>
      </c>
      <c r="Y131" s="8" t="s">
        <v>322</v>
      </c>
      <c r="Z131" s="47" t="s">
        <v>1652</v>
      </c>
      <c r="AA131" s="47" t="s">
        <v>0</v>
      </c>
      <c r="AB131" s="46" t="s">
        <v>1357</v>
      </c>
      <c r="AC131" s="46"/>
      <c r="AD131" s="139" t="s">
        <v>1358</v>
      </c>
      <c r="AE131" s="46" t="s">
        <v>0</v>
      </c>
      <c r="AF131" s="148" t="s">
        <v>0</v>
      </c>
      <c r="AG131" s="46" t="s">
        <v>0</v>
      </c>
      <c r="AH131" s="46" t="s">
        <v>0</v>
      </c>
      <c r="AI131" s="46" t="s">
        <v>0</v>
      </c>
      <c r="AJ131" s="148" t="s">
        <v>0</v>
      </c>
      <c r="AK131" s="125">
        <f>0.4*3.215 *8*32/116</f>
        <v>2.8380689655172415</v>
      </c>
      <c r="AL131" s="125" t="s">
        <v>0</v>
      </c>
      <c r="AM131" s="125" t="s">
        <v>0</v>
      </c>
      <c r="AN131" s="154" t="s">
        <v>0</v>
      </c>
      <c r="AO131" s="125">
        <f>AK131/O131</f>
        <v>4.006685598377282</v>
      </c>
      <c r="AP131" s="125" t="s">
        <v>0</v>
      </c>
      <c r="AQ131" s="125" t="s">
        <v>0</v>
      </c>
      <c r="AR131" s="47" t="s">
        <v>0</v>
      </c>
      <c r="AS131" s="46" t="s">
        <v>69</v>
      </c>
      <c r="AT131" s="46"/>
      <c r="AU131" s="46"/>
    </row>
    <row r="132" spans="1:47" x14ac:dyDescent="0.25">
      <c r="A132" s="47" t="s">
        <v>1651</v>
      </c>
      <c r="B132" s="8" t="s">
        <v>216</v>
      </c>
      <c r="C132" s="47" t="s">
        <v>1353</v>
      </c>
      <c r="D132" s="8" t="s">
        <v>1337</v>
      </c>
      <c r="E132" s="8" t="s">
        <v>1049</v>
      </c>
      <c r="F132" s="8" t="s">
        <v>69</v>
      </c>
      <c r="G132" s="8" t="s">
        <v>69</v>
      </c>
      <c r="H132" s="8" t="s">
        <v>0</v>
      </c>
      <c r="I132" s="8">
        <v>4</v>
      </c>
      <c r="J132" s="68">
        <f t="shared" si="11"/>
        <v>7.0833333333333339</v>
      </c>
      <c r="K132" s="8" t="s">
        <v>57</v>
      </c>
      <c r="L132" s="8" t="s">
        <v>1354</v>
      </c>
      <c r="M132" s="8" t="s">
        <v>1</v>
      </c>
      <c r="N132" s="68">
        <f t="shared" si="12"/>
        <v>15.837176470588235</v>
      </c>
      <c r="O132" s="122">
        <f t="shared" si="13"/>
        <v>0.70833333333333337</v>
      </c>
      <c r="P132" s="8" t="s">
        <v>60</v>
      </c>
      <c r="Q132" s="8" t="s">
        <v>319</v>
      </c>
      <c r="R132" s="47" t="s">
        <v>1355</v>
      </c>
      <c r="S132" s="8">
        <v>35</v>
      </c>
      <c r="T132" s="8" t="s">
        <v>64</v>
      </c>
      <c r="U132" s="8">
        <v>3.6</v>
      </c>
      <c r="V132" s="8" t="s">
        <v>1356</v>
      </c>
      <c r="W132" s="8" t="s">
        <v>0</v>
      </c>
      <c r="X132" s="47" t="s">
        <v>1287</v>
      </c>
      <c r="Y132" s="8" t="s">
        <v>322</v>
      </c>
      <c r="Z132" s="47" t="s">
        <v>1652</v>
      </c>
      <c r="AA132" s="47" t="s">
        <v>0</v>
      </c>
      <c r="AB132" s="46" t="s">
        <v>1359</v>
      </c>
      <c r="AC132" s="46"/>
      <c r="AD132" s="139" t="s">
        <v>1360</v>
      </c>
      <c r="AE132" s="46" t="s">
        <v>0</v>
      </c>
      <c r="AF132" s="148" t="s">
        <v>0</v>
      </c>
      <c r="AG132" s="46" t="s">
        <v>0</v>
      </c>
      <c r="AH132" s="46" t="s">
        <v>0</v>
      </c>
      <c r="AI132" s="46" t="s">
        <v>0</v>
      </c>
      <c r="AJ132" s="148" t="s">
        <v>0</v>
      </c>
      <c r="AK132" s="125">
        <f>0.548*3.336*8*32/116</f>
        <v>4.0344893793103447</v>
      </c>
      <c r="AL132" s="125" t="s">
        <v>0</v>
      </c>
      <c r="AM132" s="125" t="s">
        <v>0</v>
      </c>
      <c r="AN132" s="154" t="s">
        <v>0</v>
      </c>
      <c r="AO132" s="125">
        <f t="shared" ref="AO132:AO144" si="14">AK132/O132</f>
        <v>5.6957497119675455</v>
      </c>
      <c r="AP132" s="125" t="s">
        <v>0</v>
      </c>
      <c r="AQ132" s="125" t="s">
        <v>0</v>
      </c>
      <c r="AR132" s="47" t="s">
        <v>0</v>
      </c>
      <c r="AS132" s="46" t="s">
        <v>69</v>
      </c>
      <c r="AT132" s="46"/>
      <c r="AU132" s="46"/>
    </row>
    <row r="133" spans="1:47" x14ac:dyDescent="0.25">
      <c r="A133" s="47" t="s">
        <v>1651</v>
      </c>
      <c r="B133" s="8" t="s">
        <v>216</v>
      </c>
      <c r="C133" s="47" t="s">
        <v>1353</v>
      </c>
      <c r="D133" s="8" t="s">
        <v>1337</v>
      </c>
      <c r="E133" s="8" t="s">
        <v>1049</v>
      </c>
      <c r="F133" s="8" t="s">
        <v>69</v>
      </c>
      <c r="G133" s="8" t="s">
        <v>69</v>
      </c>
      <c r="H133" s="8" t="s">
        <v>0</v>
      </c>
      <c r="I133" s="8">
        <v>4</v>
      </c>
      <c r="J133" s="68">
        <f t="shared" si="11"/>
        <v>7.0833333333333339</v>
      </c>
      <c r="K133" s="8" t="s">
        <v>57</v>
      </c>
      <c r="L133" s="8" t="s">
        <v>1354</v>
      </c>
      <c r="M133" s="8" t="s">
        <v>1</v>
      </c>
      <c r="N133" s="68">
        <f t="shared" si="12"/>
        <v>15.837176470588235</v>
      </c>
      <c r="O133" s="122">
        <f t="shared" si="13"/>
        <v>0.70833333333333337</v>
      </c>
      <c r="P133" s="8" t="s">
        <v>60</v>
      </c>
      <c r="Q133" s="8" t="s">
        <v>319</v>
      </c>
      <c r="R133" s="47" t="s">
        <v>1355</v>
      </c>
      <c r="S133" s="8">
        <v>35</v>
      </c>
      <c r="T133" s="8" t="s">
        <v>64</v>
      </c>
      <c r="U133" s="8">
        <v>4</v>
      </c>
      <c r="V133" s="8" t="s">
        <v>1356</v>
      </c>
      <c r="W133" s="8" t="s">
        <v>0</v>
      </c>
      <c r="X133" s="47" t="s">
        <v>1287</v>
      </c>
      <c r="Y133" s="8" t="s">
        <v>322</v>
      </c>
      <c r="Z133" s="47" t="s">
        <v>1652</v>
      </c>
      <c r="AA133" s="47" t="s">
        <v>0</v>
      </c>
      <c r="AB133" s="46" t="s">
        <v>1361</v>
      </c>
      <c r="AC133" s="46"/>
      <c r="AD133" s="139" t="s">
        <v>1362</v>
      </c>
      <c r="AE133" s="46" t="s">
        <v>0</v>
      </c>
      <c r="AF133" s="148" t="s">
        <v>0</v>
      </c>
      <c r="AG133" s="46" t="s">
        <v>0</v>
      </c>
      <c r="AH133" s="46" t="s">
        <v>0</v>
      </c>
      <c r="AI133" s="46" t="s">
        <v>0</v>
      </c>
      <c r="AJ133" s="148" t="s">
        <v>0</v>
      </c>
      <c r="AK133" s="125">
        <f>0.558*3.021*8*32/116</f>
        <v>3.7202052413793103</v>
      </c>
      <c r="AL133" s="125" t="s">
        <v>0</v>
      </c>
      <c r="AM133" s="125" t="s">
        <v>0</v>
      </c>
      <c r="AN133" s="154" t="s">
        <v>0</v>
      </c>
      <c r="AO133" s="125">
        <f t="shared" si="14"/>
        <v>5.2520544584178497</v>
      </c>
      <c r="AP133" s="125" t="s">
        <v>0</v>
      </c>
      <c r="AQ133" s="125" t="s">
        <v>0</v>
      </c>
      <c r="AR133" s="47" t="s">
        <v>0</v>
      </c>
      <c r="AS133" s="46" t="s">
        <v>69</v>
      </c>
      <c r="AT133" s="46"/>
      <c r="AU133" s="46"/>
    </row>
    <row r="134" spans="1:47" x14ac:dyDescent="0.25">
      <c r="A134" s="47" t="s">
        <v>1651</v>
      </c>
      <c r="B134" s="8" t="s">
        <v>216</v>
      </c>
      <c r="C134" s="47" t="s">
        <v>1353</v>
      </c>
      <c r="D134" s="8" t="s">
        <v>1337</v>
      </c>
      <c r="E134" s="8" t="s">
        <v>1049</v>
      </c>
      <c r="F134" s="8" t="s">
        <v>69</v>
      </c>
      <c r="G134" s="8" t="s">
        <v>69</v>
      </c>
      <c r="H134" s="8" t="s">
        <v>0</v>
      </c>
      <c r="I134" s="8">
        <v>4</v>
      </c>
      <c r="J134" s="68">
        <f t="shared" si="11"/>
        <v>7.0833333333333339</v>
      </c>
      <c r="K134" s="8" t="s">
        <v>57</v>
      </c>
      <c r="L134" s="8" t="s">
        <v>1354</v>
      </c>
      <c r="M134" s="8" t="s">
        <v>1</v>
      </c>
      <c r="N134" s="68">
        <f t="shared" si="12"/>
        <v>15.837176470588235</v>
      </c>
      <c r="O134" s="122">
        <f t="shared" si="13"/>
        <v>0.70833333333333337</v>
      </c>
      <c r="P134" s="8" t="s">
        <v>60</v>
      </c>
      <c r="Q134" s="8" t="s">
        <v>319</v>
      </c>
      <c r="R134" s="47" t="s">
        <v>1355</v>
      </c>
      <c r="S134" s="8">
        <v>35</v>
      </c>
      <c r="T134" s="8" t="s">
        <v>64</v>
      </c>
      <c r="U134" s="8">
        <v>4.5</v>
      </c>
      <c r="V134" s="8" t="s">
        <v>1356</v>
      </c>
      <c r="W134" s="8" t="s">
        <v>0</v>
      </c>
      <c r="X134" s="47" t="s">
        <v>1287</v>
      </c>
      <c r="Y134" s="8" t="s">
        <v>322</v>
      </c>
      <c r="Z134" s="47" t="s">
        <v>1652</v>
      </c>
      <c r="AA134" s="47" t="s">
        <v>0</v>
      </c>
      <c r="AB134" s="46" t="s">
        <v>1363</v>
      </c>
      <c r="AC134" s="46"/>
      <c r="AD134" s="139" t="s">
        <v>1364</v>
      </c>
      <c r="AE134" s="46" t="s">
        <v>0</v>
      </c>
      <c r="AF134" s="148" t="s">
        <v>0</v>
      </c>
      <c r="AG134" s="46" t="s">
        <v>0</v>
      </c>
      <c r="AH134" s="46" t="s">
        <v>0</v>
      </c>
      <c r="AI134" s="46" t="s">
        <v>0</v>
      </c>
      <c r="AJ134" s="148" t="s">
        <v>0</v>
      </c>
      <c r="AK134" s="125">
        <f>0.096*3.147*8*32/116</f>
        <v>0.66672993103448275</v>
      </c>
      <c r="AL134" s="125" t="s">
        <v>0</v>
      </c>
      <c r="AM134" s="125" t="s">
        <v>0</v>
      </c>
      <c r="AN134" s="154" t="s">
        <v>0</v>
      </c>
      <c r="AO134" s="125">
        <f t="shared" si="14"/>
        <v>0.94126578498985791</v>
      </c>
      <c r="AP134" s="125" t="s">
        <v>0</v>
      </c>
      <c r="AQ134" s="125" t="s">
        <v>0</v>
      </c>
      <c r="AR134" s="47" t="s">
        <v>0</v>
      </c>
      <c r="AS134" s="46" t="s">
        <v>69</v>
      </c>
      <c r="AT134" s="46"/>
      <c r="AU134" s="46"/>
    </row>
    <row r="135" spans="1:47" x14ac:dyDescent="0.25">
      <c r="A135" s="47" t="s">
        <v>1651</v>
      </c>
      <c r="B135" s="8" t="s">
        <v>216</v>
      </c>
      <c r="C135" s="47" t="s">
        <v>1353</v>
      </c>
      <c r="D135" s="8" t="s">
        <v>1337</v>
      </c>
      <c r="E135" s="8" t="s">
        <v>1049</v>
      </c>
      <c r="F135" s="8" t="s">
        <v>69</v>
      </c>
      <c r="G135" s="8" t="s">
        <v>69</v>
      </c>
      <c r="H135" s="8" t="s">
        <v>0</v>
      </c>
      <c r="I135" s="8">
        <v>4</v>
      </c>
      <c r="J135" s="68">
        <f t="shared" si="11"/>
        <v>7.0833333333333339</v>
      </c>
      <c r="K135" s="8" t="s">
        <v>57</v>
      </c>
      <c r="L135" s="8" t="s">
        <v>1354</v>
      </c>
      <c r="M135" s="8" t="s">
        <v>1</v>
      </c>
      <c r="N135" s="68">
        <f t="shared" si="12"/>
        <v>15.837176470588235</v>
      </c>
      <c r="O135" s="122">
        <f t="shared" si="13"/>
        <v>0.70833333333333337</v>
      </c>
      <c r="P135" s="8" t="s">
        <v>60</v>
      </c>
      <c r="Q135" s="8" t="s">
        <v>319</v>
      </c>
      <c r="R135" s="47" t="s">
        <v>1355</v>
      </c>
      <c r="S135" s="8">
        <v>35</v>
      </c>
      <c r="T135" s="8" t="s">
        <v>64</v>
      </c>
      <c r="U135" s="8">
        <v>5.0999999999999996</v>
      </c>
      <c r="V135" s="8" t="s">
        <v>1356</v>
      </c>
      <c r="W135" s="8" t="s">
        <v>0</v>
      </c>
      <c r="X135" s="47" t="s">
        <v>1287</v>
      </c>
      <c r="Y135" s="8" t="s">
        <v>322</v>
      </c>
      <c r="Z135" s="47" t="s">
        <v>1652</v>
      </c>
      <c r="AA135" s="47" t="s">
        <v>0</v>
      </c>
      <c r="AB135" s="46" t="s">
        <v>1365</v>
      </c>
      <c r="AC135" s="46"/>
      <c r="AD135" s="139" t="s">
        <v>1366</v>
      </c>
      <c r="AE135" s="46" t="s">
        <v>0</v>
      </c>
      <c r="AF135" s="148" t="s">
        <v>0</v>
      </c>
      <c r="AG135" s="46" t="s">
        <v>0</v>
      </c>
      <c r="AH135" s="46" t="s">
        <v>0</v>
      </c>
      <c r="AI135" s="46" t="s">
        <v>0</v>
      </c>
      <c r="AJ135" s="148" t="s">
        <v>0</v>
      </c>
      <c r="AK135" s="125">
        <f>0.1*3.239*8*32/116</f>
        <v>0.71481379310344828</v>
      </c>
      <c r="AL135" s="125" t="s">
        <v>0</v>
      </c>
      <c r="AM135" s="125" t="s">
        <v>0</v>
      </c>
      <c r="AN135" s="154" t="s">
        <v>0</v>
      </c>
      <c r="AO135" s="125">
        <f t="shared" si="14"/>
        <v>1.0091488843813388</v>
      </c>
      <c r="AP135" s="125" t="s">
        <v>0</v>
      </c>
      <c r="AQ135" s="125" t="s">
        <v>0</v>
      </c>
      <c r="AR135" s="47" t="s">
        <v>0</v>
      </c>
      <c r="AS135" s="46" t="s">
        <v>69</v>
      </c>
      <c r="AT135" s="46"/>
      <c r="AU135" s="46"/>
    </row>
    <row r="136" spans="1:47" x14ac:dyDescent="0.25">
      <c r="A136" s="47" t="s">
        <v>1651</v>
      </c>
      <c r="B136" s="8" t="s">
        <v>216</v>
      </c>
      <c r="C136" s="47" t="s">
        <v>1353</v>
      </c>
      <c r="D136" s="8" t="s">
        <v>1337</v>
      </c>
      <c r="E136" s="8" t="s">
        <v>1049</v>
      </c>
      <c r="F136" s="8" t="s">
        <v>69</v>
      </c>
      <c r="G136" s="8" t="s">
        <v>69</v>
      </c>
      <c r="H136" s="8" t="s">
        <v>0</v>
      </c>
      <c r="I136" s="8">
        <v>4</v>
      </c>
      <c r="J136" s="68">
        <f t="shared" si="11"/>
        <v>7.0833333333333339</v>
      </c>
      <c r="K136" s="8" t="s">
        <v>57</v>
      </c>
      <c r="L136" s="8" t="s">
        <v>1354</v>
      </c>
      <c r="M136" s="8" t="s">
        <v>1</v>
      </c>
      <c r="N136" s="68">
        <f t="shared" si="12"/>
        <v>15.837176470588235</v>
      </c>
      <c r="O136" s="122">
        <f t="shared" si="13"/>
        <v>0.70833333333333337</v>
      </c>
      <c r="P136" s="8" t="s">
        <v>60</v>
      </c>
      <c r="Q136" s="8" t="s">
        <v>319</v>
      </c>
      <c r="R136" s="47" t="s">
        <v>1355</v>
      </c>
      <c r="S136" s="8">
        <v>35</v>
      </c>
      <c r="T136" s="8" t="s">
        <v>64</v>
      </c>
      <c r="U136" s="8">
        <v>5.6</v>
      </c>
      <c r="V136" s="8" t="s">
        <v>1356</v>
      </c>
      <c r="W136" s="8" t="s">
        <v>0</v>
      </c>
      <c r="X136" s="47" t="s">
        <v>1287</v>
      </c>
      <c r="Y136" s="8" t="s">
        <v>322</v>
      </c>
      <c r="Z136" s="47" t="s">
        <v>1652</v>
      </c>
      <c r="AA136" s="47" t="s">
        <v>0</v>
      </c>
      <c r="AB136" s="46" t="s">
        <v>1367</v>
      </c>
      <c r="AC136" s="46"/>
      <c r="AD136" s="139" t="s">
        <v>1368</v>
      </c>
      <c r="AE136" s="46" t="s">
        <v>0</v>
      </c>
      <c r="AF136" s="148" t="s">
        <v>0</v>
      </c>
      <c r="AG136" s="46" t="s">
        <v>0</v>
      </c>
      <c r="AH136" s="46" t="s">
        <v>0</v>
      </c>
      <c r="AI136" s="46" t="s">
        <v>0</v>
      </c>
      <c r="AJ136" s="148" t="s">
        <v>0</v>
      </c>
      <c r="AK136" s="125">
        <f>0.113*4.047*8*32/116</f>
        <v>1.0092380689655172</v>
      </c>
      <c r="AL136" s="125" t="s">
        <v>0</v>
      </c>
      <c r="AM136" s="125" t="s">
        <v>0</v>
      </c>
      <c r="AN136" s="154" t="s">
        <v>0</v>
      </c>
      <c r="AO136" s="125">
        <f t="shared" si="14"/>
        <v>1.424806685598377</v>
      </c>
      <c r="AP136" s="125" t="s">
        <v>0</v>
      </c>
      <c r="AQ136" s="125" t="s">
        <v>0</v>
      </c>
      <c r="AR136" s="47" t="s">
        <v>0</v>
      </c>
      <c r="AS136" s="46" t="s">
        <v>69</v>
      </c>
      <c r="AT136" s="46"/>
      <c r="AU136" s="46"/>
    </row>
    <row r="137" spans="1:47" x14ac:dyDescent="0.25">
      <c r="A137" s="47" t="s">
        <v>1651</v>
      </c>
      <c r="B137" s="8" t="s">
        <v>216</v>
      </c>
      <c r="C137" s="47" t="s">
        <v>1353</v>
      </c>
      <c r="D137" s="8" t="s">
        <v>1337</v>
      </c>
      <c r="E137" s="8" t="s">
        <v>1049</v>
      </c>
      <c r="F137" s="8" t="s">
        <v>69</v>
      </c>
      <c r="G137" s="8" t="s">
        <v>69</v>
      </c>
      <c r="H137" s="8" t="s">
        <v>0</v>
      </c>
      <c r="I137" s="8">
        <v>4</v>
      </c>
      <c r="J137" s="68">
        <f t="shared" si="11"/>
        <v>7.0833333333333339</v>
      </c>
      <c r="K137" s="8" t="s">
        <v>57</v>
      </c>
      <c r="L137" s="8" t="s">
        <v>1354</v>
      </c>
      <c r="M137" s="8" t="s">
        <v>1</v>
      </c>
      <c r="N137" s="68">
        <f t="shared" si="12"/>
        <v>15.837176470588235</v>
      </c>
      <c r="O137" s="122">
        <f t="shared" si="13"/>
        <v>0.70833333333333337</v>
      </c>
      <c r="P137" s="8" t="s">
        <v>60</v>
      </c>
      <c r="Q137" s="8" t="s">
        <v>319</v>
      </c>
      <c r="R137" s="47" t="s">
        <v>1355</v>
      </c>
      <c r="S137" s="8">
        <v>35</v>
      </c>
      <c r="T137" s="8" t="s">
        <v>64</v>
      </c>
      <c r="U137" s="8">
        <v>6</v>
      </c>
      <c r="V137" s="8" t="s">
        <v>1356</v>
      </c>
      <c r="W137" s="8" t="s">
        <v>0</v>
      </c>
      <c r="X137" s="47" t="s">
        <v>1287</v>
      </c>
      <c r="Y137" s="8" t="s">
        <v>322</v>
      </c>
      <c r="Z137" s="47" t="s">
        <v>1369</v>
      </c>
      <c r="AA137" s="47" t="s">
        <v>0</v>
      </c>
      <c r="AB137" s="46" t="s">
        <v>1370</v>
      </c>
      <c r="AC137" s="46"/>
      <c r="AD137" s="139" t="s">
        <v>1371</v>
      </c>
      <c r="AE137" s="46" t="s">
        <v>0</v>
      </c>
      <c r="AF137" s="148" t="s">
        <v>0</v>
      </c>
      <c r="AG137" s="46" t="s">
        <v>0</v>
      </c>
      <c r="AH137" s="46" t="s">
        <v>0</v>
      </c>
      <c r="AI137" s="46" t="s">
        <v>0</v>
      </c>
      <c r="AJ137" s="148" t="s">
        <v>0</v>
      </c>
      <c r="AK137" s="125">
        <f>2.836*0.129*8*32/116</f>
        <v>0.8073798620689655</v>
      </c>
      <c r="AL137" s="125" t="s">
        <v>0</v>
      </c>
      <c r="AM137" s="125" t="s">
        <v>0</v>
      </c>
      <c r="AN137" s="154" t="s">
        <v>0</v>
      </c>
      <c r="AO137" s="125">
        <f t="shared" si="14"/>
        <v>1.1398303935091276</v>
      </c>
      <c r="AP137" s="125" t="s">
        <v>0</v>
      </c>
      <c r="AQ137" s="125" t="s">
        <v>0</v>
      </c>
      <c r="AR137" s="47" t="s">
        <v>0</v>
      </c>
      <c r="AS137" s="46" t="s">
        <v>69</v>
      </c>
      <c r="AT137" s="46"/>
      <c r="AU137" s="46"/>
    </row>
    <row r="138" spans="1:47" x14ac:dyDescent="0.25">
      <c r="A138" s="47" t="s">
        <v>1651</v>
      </c>
      <c r="B138" s="8" t="s">
        <v>216</v>
      </c>
      <c r="C138" s="47" t="s">
        <v>1353</v>
      </c>
      <c r="D138" s="8" t="s">
        <v>1337</v>
      </c>
      <c r="E138" s="8" t="s">
        <v>1049</v>
      </c>
      <c r="F138" s="8" t="s">
        <v>69</v>
      </c>
      <c r="G138" s="8" t="s">
        <v>69</v>
      </c>
      <c r="H138" s="8" t="s">
        <v>0</v>
      </c>
      <c r="I138" s="8">
        <v>4</v>
      </c>
      <c r="J138" s="68">
        <f t="shared" si="11"/>
        <v>7.0833333333333339</v>
      </c>
      <c r="K138" s="8" t="s">
        <v>57</v>
      </c>
      <c r="L138" s="8" t="s">
        <v>1354</v>
      </c>
      <c r="M138" s="8" t="s">
        <v>1</v>
      </c>
      <c r="N138" s="68">
        <f t="shared" si="12"/>
        <v>15.837176470588235</v>
      </c>
      <c r="O138" s="122">
        <f t="shared" si="13"/>
        <v>0.70833333333333337</v>
      </c>
      <c r="P138" s="8" t="s">
        <v>60</v>
      </c>
      <c r="Q138" s="8" t="s">
        <v>1372</v>
      </c>
      <c r="R138" s="47" t="s">
        <v>1355</v>
      </c>
      <c r="S138" s="8">
        <v>35</v>
      </c>
      <c r="T138" s="8" t="s">
        <v>64</v>
      </c>
      <c r="U138" s="8">
        <v>3.1</v>
      </c>
      <c r="V138" s="8" t="s">
        <v>1356</v>
      </c>
      <c r="W138" s="8" t="s">
        <v>0</v>
      </c>
      <c r="X138" s="47" t="s">
        <v>1287</v>
      </c>
      <c r="Y138" s="8" t="s">
        <v>1373</v>
      </c>
      <c r="Z138" s="47" t="s">
        <v>1652</v>
      </c>
      <c r="AA138" s="47" t="s">
        <v>0</v>
      </c>
      <c r="AB138" s="46" t="s">
        <v>1374</v>
      </c>
      <c r="AC138" s="46"/>
      <c r="AD138" s="139" t="s">
        <v>1375</v>
      </c>
      <c r="AE138" s="46" t="s">
        <v>0</v>
      </c>
      <c r="AF138" s="148" t="s">
        <v>0</v>
      </c>
      <c r="AG138" s="46" t="s">
        <v>0</v>
      </c>
      <c r="AH138" s="46" t="s">
        <v>0</v>
      </c>
      <c r="AI138" s="46" t="s">
        <v>0</v>
      </c>
      <c r="AJ138" s="148" t="s">
        <v>0</v>
      </c>
      <c r="AK138" s="125">
        <f>2.091*0.08*8*32/116</f>
        <v>0.36916965517241385</v>
      </c>
      <c r="AL138" s="125" t="s">
        <v>0</v>
      </c>
      <c r="AM138" s="125" t="s">
        <v>0</v>
      </c>
      <c r="AN138" s="154" t="s">
        <v>0</v>
      </c>
      <c r="AO138" s="125">
        <f t="shared" si="14"/>
        <v>0.5211806896551725</v>
      </c>
      <c r="AP138" s="125" t="s">
        <v>0</v>
      </c>
      <c r="AQ138" s="125" t="s">
        <v>0</v>
      </c>
      <c r="AR138" s="47" t="s">
        <v>0</v>
      </c>
      <c r="AS138" s="46" t="s">
        <v>69</v>
      </c>
      <c r="AT138" s="46"/>
      <c r="AU138" s="46"/>
    </row>
    <row r="139" spans="1:47" x14ac:dyDescent="0.25">
      <c r="A139" s="47" t="s">
        <v>1651</v>
      </c>
      <c r="B139" s="8" t="s">
        <v>216</v>
      </c>
      <c r="C139" s="47" t="s">
        <v>1353</v>
      </c>
      <c r="D139" s="8" t="s">
        <v>1337</v>
      </c>
      <c r="E139" s="8" t="s">
        <v>1049</v>
      </c>
      <c r="F139" s="8" t="s">
        <v>69</v>
      </c>
      <c r="G139" s="8" t="s">
        <v>69</v>
      </c>
      <c r="H139" s="8" t="s">
        <v>0</v>
      </c>
      <c r="I139" s="8">
        <v>4</v>
      </c>
      <c r="J139" s="68">
        <f t="shared" si="11"/>
        <v>7.0833333333333339</v>
      </c>
      <c r="K139" s="8" t="s">
        <v>57</v>
      </c>
      <c r="L139" s="8" t="s">
        <v>1354</v>
      </c>
      <c r="M139" s="8" t="s">
        <v>1</v>
      </c>
      <c r="N139" s="68">
        <f t="shared" si="12"/>
        <v>15.837176470588235</v>
      </c>
      <c r="O139" s="122">
        <f t="shared" si="13"/>
        <v>0.70833333333333337</v>
      </c>
      <c r="P139" s="8" t="s">
        <v>60</v>
      </c>
      <c r="Q139" s="8" t="s">
        <v>1372</v>
      </c>
      <c r="R139" s="47" t="s">
        <v>1355</v>
      </c>
      <c r="S139" s="8">
        <v>35</v>
      </c>
      <c r="T139" s="8" t="s">
        <v>64</v>
      </c>
      <c r="U139" s="8">
        <v>3.6</v>
      </c>
      <c r="V139" s="8" t="s">
        <v>1356</v>
      </c>
      <c r="W139" s="8" t="s">
        <v>0</v>
      </c>
      <c r="X139" s="47" t="s">
        <v>1287</v>
      </c>
      <c r="Y139" s="8" t="s">
        <v>1373</v>
      </c>
      <c r="Z139" s="47" t="s">
        <v>1652</v>
      </c>
      <c r="AA139" s="47" t="s">
        <v>0</v>
      </c>
      <c r="AB139" s="46" t="s">
        <v>1376</v>
      </c>
      <c r="AC139" s="46"/>
      <c r="AD139" s="139" t="s">
        <v>1377</v>
      </c>
      <c r="AE139" s="46" t="s">
        <v>0</v>
      </c>
      <c r="AF139" s="148" t="s">
        <v>0</v>
      </c>
      <c r="AG139" s="46" t="s">
        <v>0</v>
      </c>
      <c r="AH139" s="46" t="s">
        <v>0</v>
      </c>
      <c r="AI139" s="46" t="s">
        <v>0</v>
      </c>
      <c r="AJ139" s="148" t="s">
        <v>0</v>
      </c>
      <c r="AK139" s="125">
        <f>3.014*0.069*8*32/116</f>
        <v>0.4589594482758621</v>
      </c>
      <c r="AL139" s="125" t="s">
        <v>0</v>
      </c>
      <c r="AM139" s="125" t="s">
        <v>0</v>
      </c>
      <c r="AN139" s="154" t="s">
        <v>0</v>
      </c>
      <c r="AO139" s="125">
        <f t="shared" si="14"/>
        <v>0.64794275050709937</v>
      </c>
      <c r="AP139" s="125" t="s">
        <v>0</v>
      </c>
      <c r="AQ139" s="125" t="s">
        <v>0</v>
      </c>
      <c r="AR139" s="47" t="s">
        <v>0</v>
      </c>
      <c r="AS139" s="46" t="s">
        <v>69</v>
      </c>
      <c r="AT139" s="46"/>
      <c r="AU139" s="46"/>
    </row>
    <row r="140" spans="1:47" x14ac:dyDescent="0.25">
      <c r="A140" s="47" t="s">
        <v>1651</v>
      </c>
      <c r="B140" s="8" t="s">
        <v>216</v>
      </c>
      <c r="C140" s="47" t="s">
        <v>1353</v>
      </c>
      <c r="D140" s="8" t="s">
        <v>1337</v>
      </c>
      <c r="E140" s="8" t="s">
        <v>1049</v>
      </c>
      <c r="F140" s="8" t="s">
        <v>69</v>
      </c>
      <c r="G140" s="8" t="s">
        <v>69</v>
      </c>
      <c r="H140" s="8" t="s">
        <v>0</v>
      </c>
      <c r="I140" s="8">
        <v>4</v>
      </c>
      <c r="J140" s="68">
        <f t="shared" si="11"/>
        <v>7.0833333333333339</v>
      </c>
      <c r="K140" s="8" t="s">
        <v>57</v>
      </c>
      <c r="L140" s="8" t="s">
        <v>1354</v>
      </c>
      <c r="M140" s="8" t="s">
        <v>1</v>
      </c>
      <c r="N140" s="68">
        <f t="shared" si="12"/>
        <v>15.837176470588235</v>
      </c>
      <c r="O140" s="122">
        <f t="shared" si="13"/>
        <v>0.70833333333333337</v>
      </c>
      <c r="P140" s="8" t="s">
        <v>60</v>
      </c>
      <c r="Q140" s="8" t="s">
        <v>1372</v>
      </c>
      <c r="R140" s="47" t="s">
        <v>1355</v>
      </c>
      <c r="S140" s="8">
        <v>35</v>
      </c>
      <c r="T140" s="8" t="s">
        <v>64</v>
      </c>
      <c r="U140" s="8">
        <v>4</v>
      </c>
      <c r="V140" s="8" t="s">
        <v>1356</v>
      </c>
      <c r="W140" s="8" t="s">
        <v>0</v>
      </c>
      <c r="X140" s="47" t="s">
        <v>1287</v>
      </c>
      <c r="Y140" s="8" t="s">
        <v>1373</v>
      </c>
      <c r="Z140" s="47" t="s">
        <v>1652</v>
      </c>
      <c r="AA140" s="47" t="s">
        <v>0</v>
      </c>
      <c r="AB140" s="46" t="s">
        <v>1378</v>
      </c>
      <c r="AC140" s="46"/>
      <c r="AD140" s="139" t="s">
        <v>1379</v>
      </c>
      <c r="AE140" s="46" t="s">
        <v>0</v>
      </c>
      <c r="AF140" s="148" t="s">
        <v>0</v>
      </c>
      <c r="AG140" s="46" t="s">
        <v>0</v>
      </c>
      <c r="AH140" s="46" t="s">
        <v>0</v>
      </c>
      <c r="AI140" s="46" t="s">
        <v>0</v>
      </c>
      <c r="AJ140" s="148" t="s">
        <v>0</v>
      </c>
      <c r="AK140" s="125">
        <f>4.041*0.057*8*32/116</f>
        <v>0.50832993103448287</v>
      </c>
      <c r="AL140" s="125" t="s">
        <v>0</v>
      </c>
      <c r="AM140" s="125" t="s">
        <v>0</v>
      </c>
      <c r="AN140" s="154" t="s">
        <v>0</v>
      </c>
      <c r="AO140" s="125">
        <f t="shared" si="14"/>
        <v>0.71764225557809347</v>
      </c>
      <c r="AP140" s="125" t="s">
        <v>0</v>
      </c>
      <c r="AQ140" s="125" t="s">
        <v>0</v>
      </c>
      <c r="AR140" s="47" t="s">
        <v>0</v>
      </c>
      <c r="AS140" s="46" t="s">
        <v>69</v>
      </c>
      <c r="AT140" s="46"/>
      <c r="AU140" s="46"/>
    </row>
    <row r="141" spans="1:47" x14ac:dyDescent="0.25">
      <c r="A141" s="47" t="s">
        <v>1651</v>
      </c>
      <c r="B141" s="8" t="s">
        <v>216</v>
      </c>
      <c r="C141" s="47" t="s">
        <v>1353</v>
      </c>
      <c r="D141" s="8" t="s">
        <v>1337</v>
      </c>
      <c r="E141" s="8" t="s">
        <v>1049</v>
      </c>
      <c r="F141" s="8" t="s">
        <v>69</v>
      </c>
      <c r="G141" s="8" t="s">
        <v>69</v>
      </c>
      <c r="H141" s="8" t="s">
        <v>0</v>
      </c>
      <c r="I141" s="8">
        <v>4</v>
      </c>
      <c r="J141" s="68">
        <f t="shared" si="11"/>
        <v>7.0833333333333339</v>
      </c>
      <c r="K141" s="8" t="s">
        <v>57</v>
      </c>
      <c r="L141" s="8" t="s">
        <v>1354</v>
      </c>
      <c r="M141" s="8" t="s">
        <v>1</v>
      </c>
      <c r="N141" s="68">
        <f t="shared" si="12"/>
        <v>15.837176470588235</v>
      </c>
      <c r="O141" s="122">
        <f t="shared" si="13"/>
        <v>0.70833333333333337</v>
      </c>
      <c r="P141" s="8" t="s">
        <v>60</v>
      </c>
      <c r="Q141" s="8" t="s">
        <v>1372</v>
      </c>
      <c r="R141" s="47" t="s">
        <v>1355</v>
      </c>
      <c r="S141" s="8">
        <v>35</v>
      </c>
      <c r="T141" s="8" t="s">
        <v>64</v>
      </c>
      <c r="U141" s="8">
        <v>4.5</v>
      </c>
      <c r="V141" s="8" t="s">
        <v>1356</v>
      </c>
      <c r="W141" s="8" t="s">
        <v>0</v>
      </c>
      <c r="X141" s="47" t="s">
        <v>1287</v>
      </c>
      <c r="Y141" s="8" t="s">
        <v>1373</v>
      </c>
      <c r="Z141" s="47" t="s">
        <v>1652</v>
      </c>
      <c r="AA141" s="47" t="s">
        <v>0</v>
      </c>
      <c r="AB141" s="46" t="s">
        <v>1380</v>
      </c>
      <c r="AC141" s="46"/>
      <c r="AD141" s="139" t="s">
        <v>1381</v>
      </c>
      <c r="AE141" s="46" t="s">
        <v>0</v>
      </c>
      <c r="AF141" s="148" t="s">
        <v>0</v>
      </c>
      <c r="AG141" s="46" t="s">
        <v>0</v>
      </c>
      <c r="AH141" s="46" t="s">
        <v>0</v>
      </c>
      <c r="AI141" s="46" t="s">
        <v>0</v>
      </c>
      <c r="AJ141" s="148" t="s">
        <v>0</v>
      </c>
      <c r="AK141" s="125">
        <f>3.915*0.033*8*32/116</f>
        <v>0.28511999999999998</v>
      </c>
      <c r="AL141" s="125" t="s">
        <v>0</v>
      </c>
      <c r="AM141" s="125" t="s">
        <v>0</v>
      </c>
      <c r="AN141" s="154" t="s">
        <v>0</v>
      </c>
      <c r="AO141" s="125">
        <f t="shared" si="14"/>
        <v>0.40252235294117644</v>
      </c>
      <c r="AP141" s="125" t="s">
        <v>0</v>
      </c>
      <c r="AQ141" s="125" t="s">
        <v>0</v>
      </c>
      <c r="AR141" s="47" t="s">
        <v>0</v>
      </c>
      <c r="AS141" s="46" t="s">
        <v>69</v>
      </c>
      <c r="AT141" s="46"/>
      <c r="AU141" s="46"/>
    </row>
    <row r="142" spans="1:47" x14ac:dyDescent="0.25">
      <c r="A142" s="47" t="s">
        <v>1651</v>
      </c>
      <c r="B142" s="8" t="s">
        <v>216</v>
      </c>
      <c r="C142" s="47" t="s">
        <v>1353</v>
      </c>
      <c r="D142" s="8" t="s">
        <v>1337</v>
      </c>
      <c r="E142" s="8" t="s">
        <v>1049</v>
      </c>
      <c r="F142" s="8" t="s">
        <v>69</v>
      </c>
      <c r="G142" s="8" t="s">
        <v>69</v>
      </c>
      <c r="H142" s="8" t="s">
        <v>0</v>
      </c>
      <c r="I142" s="8">
        <v>4</v>
      </c>
      <c r="J142" s="68">
        <f t="shared" si="11"/>
        <v>7.0833333333333339</v>
      </c>
      <c r="K142" s="8" t="s">
        <v>57</v>
      </c>
      <c r="L142" s="8" t="s">
        <v>1354</v>
      </c>
      <c r="M142" s="8" t="s">
        <v>1</v>
      </c>
      <c r="N142" s="68">
        <f t="shared" si="12"/>
        <v>15.837176470588235</v>
      </c>
      <c r="O142" s="122">
        <f t="shared" si="13"/>
        <v>0.70833333333333337</v>
      </c>
      <c r="P142" s="8" t="s">
        <v>60</v>
      </c>
      <c r="Q142" s="8" t="s">
        <v>1372</v>
      </c>
      <c r="R142" s="47" t="s">
        <v>1355</v>
      </c>
      <c r="S142" s="8">
        <v>35</v>
      </c>
      <c r="T142" s="8" t="s">
        <v>64</v>
      </c>
      <c r="U142" s="8">
        <v>5.0999999999999996</v>
      </c>
      <c r="V142" s="8" t="s">
        <v>1356</v>
      </c>
      <c r="W142" s="8" t="s">
        <v>0</v>
      </c>
      <c r="X142" s="47" t="s">
        <v>1287</v>
      </c>
      <c r="Y142" s="8" t="s">
        <v>1373</v>
      </c>
      <c r="Z142" s="47" t="s">
        <v>1652</v>
      </c>
      <c r="AA142" s="47" t="s">
        <v>0</v>
      </c>
      <c r="AB142" s="46" t="s">
        <v>1382</v>
      </c>
      <c r="AC142" s="46"/>
      <c r="AD142" s="139" t="s">
        <v>1383</v>
      </c>
      <c r="AE142" s="46" t="s">
        <v>0</v>
      </c>
      <c r="AF142" s="148" t="s">
        <v>0</v>
      </c>
      <c r="AG142" s="46" t="s">
        <v>0</v>
      </c>
      <c r="AH142" s="46" t="s">
        <v>0</v>
      </c>
      <c r="AI142" s="46" t="s">
        <v>0</v>
      </c>
      <c r="AJ142" s="148" t="s">
        <v>0</v>
      </c>
      <c r="AK142" s="125">
        <f>4.018*0.04*8*32/116</f>
        <v>0.35469241379310346</v>
      </c>
      <c r="AL142" s="125" t="s">
        <v>0</v>
      </c>
      <c r="AM142" s="125" t="s">
        <v>0</v>
      </c>
      <c r="AN142" s="154" t="s">
        <v>0</v>
      </c>
      <c r="AO142" s="125">
        <f t="shared" si="14"/>
        <v>0.50074223123732253</v>
      </c>
      <c r="AP142" s="125" t="s">
        <v>0</v>
      </c>
      <c r="AQ142" s="125" t="s">
        <v>0</v>
      </c>
      <c r="AR142" s="47" t="s">
        <v>0</v>
      </c>
      <c r="AS142" s="46" t="s">
        <v>69</v>
      </c>
      <c r="AT142" s="46"/>
      <c r="AU142" s="46"/>
    </row>
    <row r="143" spans="1:47" x14ac:dyDescent="0.25">
      <c r="A143" s="47" t="s">
        <v>1651</v>
      </c>
      <c r="B143" s="8" t="s">
        <v>216</v>
      </c>
      <c r="C143" s="47" t="s">
        <v>1353</v>
      </c>
      <c r="D143" s="8" t="s">
        <v>1337</v>
      </c>
      <c r="E143" s="8" t="s">
        <v>1049</v>
      </c>
      <c r="F143" s="8" t="s">
        <v>69</v>
      </c>
      <c r="G143" s="8" t="s">
        <v>69</v>
      </c>
      <c r="H143" s="8" t="s">
        <v>0</v>
      </c>
      <c r="I143" s="8">
        <v>4</v>
      </c>
      <c r="J143" s="68">
        <f t="shared" si="11"/>
        <v>7.0833333333333339</v>
      </c>
      <c r="K143" s="8" t="s">
        <v>57</v>
      </c>
      <c r="L143" s="8" t="s">
        <v>1354</v>
      </c>
      <c r="M143" s="8" t="s">
        <v>1</v>
      </c>
      <c r="N143" s="68">
        <f t="shared" si="12"/>
        <v>15.837176470588235</v>
      </c>
      <c r="O143" s="122">
        <f t="shared" si="13"/>
        <v>0.70833333333333337</v>
      </c>
      <c r="P143" s="8" t="s">
        <v>60</v>
      </c>
      <c r="Q143" s="8" t="s">
        <v>1372</v>
      </c>
      <c r="R143" s="47" t="s">
        <v>1355</v>
      </c>
      <c r="S143" s="8">
        <v>35</v>
      </c>
      <c r="T143" s="8" t="s">
        <v>64</v>
      </c>
      <c r="U143" s="8">
        <v>5.6</v>
      </c>
      <c r="V143" s="8" t="s">
        <v>1356</v>
      </c>
      <c r="W143" s="8" t="s">
        <v>0</v>
      </c>
      <c r="X143" s="47" t="s">
        <v>1287</v>
      </c>
      <c r="Y143" s="8" t="s">
        <v>1373</v>
      </c>
      <c r="Z143" s="47" t="s">
        <v>1369</v>
      </c>
      <c r="AA143" s="47" t="s">
        <v>0</v>
      </c>
      <c r="AB143" s="46" t="s">
        <v>1384</v>
      </c>
      <c r="AC143" s="46"/>
      <c r="AD143" s="139" t="s">
        <v>1385</v>
      </c>
      <c r="AE143" s="46" t="s">
        <v>0</v>
      </c>
      <c r="AF143" s="148" t="s">
        <v>0</v>
      </c>
      <c r="AG143" s="46" t="s">
        <v>0</v>
      </c>
      <c r="AH143" s="46" t="s">
        <v>0</v>
      </c>
      <c r="AI143" s="46" t="s">
        <v>0</v>
      </c>
      <c r="AJ143" s="148" t="s">
        <v>0</v>
      </c>
      <c r="AK143" s="125">
        <f>4.23*0.033*8*32/116</f>
        <v>0.30806068965517247</v>
      </c>
      <c r="AL143" s="125" t="s">
        <v>0</v>
      </c>
      <c r="AM143" s="125" t="s">
        <v>0</v>
      </c>
      <c r="AN143" s="154" t="s">
        <v>0</v>
      </c>
      <c r="AO143" s="125">
        <f t="shared" si="14"/>
        <v>0.43490920892494933</v>
      </c>
      <c r="AP143" s="125" t="s">
        <v>0</v>
      </c>
      <c r="AQ143" s="125" t="s">
        <v>0</v>
      </c>
      <c r="AR143" s="47" t="s">
        <v>0</v>
      </c>
      <c r="AS143" s="46" t="s">
        <v>69</v>
      </c>
      <c r="AT143" s="46"/>
      <c r="AU143" s="46"/>
    </row>
    <row r="144" spans="1:47" x14ac:dyDescent="0.25">
      <c r="A144" s="47" t="s">
        <v>1651</v>
      </c>
      <c r="B144" s="8" t="s">
        <v>216</v>
      </c>
      <c r="C144" s="47" t="s">
        <v>1353</v>
      </c>
      <c r="D144" s="8" t="s">
        <v>1337</v>
      </c>
      <c r="E144" s="8" t="s">
        <v>1049</v>
      </c>
      <c r="F144" s="8" t="s">
        <v>69</v>
      </c>
      <c r="G144" s="8" t="s">
        <v>69</v>
      </c>
      <c r="H144" s="8" t="s">
        <v>0</v>
      </c>
      <c r="I144" s="8">
        <v>4</v>
      </c>
      <c r="J144" s="68">
        <f t="shared" si="11"/>
        <v>7.0833333333333339</v>
      </c>
      <c r="K144" s="8" t="s">
        <v>57</v>
      </c>
      <c r="L144" s="8" t="s">
        <v>1354</v>
      </c>
      <c r="M144" s="8" t="s">
        <v>1</v>
      </c>
      <c r="N144" s="68">
        <f t="shared" si="12"/>
        <v>15.837176470588235</v>
      </c>
      <c r="O144" s="122">
        <f t="shared" si="13"/>
        <v>0.70833333333333337</v>
      </c>
      <c r="P144" s="8" t="s">
        <v>60</v>
      </c>
      <c r="Q144" s="8" t="s">
        <v>1372</v>
      </c>
      <c r="R144" s="47" t="s">
        <v>1355</v>
      </c>
      <c r="S144" s="8">
        <v>35</v>
      </c>
      <c r="T144" s="8" t="s">
        <v>64</v>
      </c>
      <c r="U144" s="8">
        <v>6</v>
      </c>
      <c r="V144" s="8" t="s">
        <v>1356</v>
      </c>
      <c r="W144" s="8" t="s">
        <v>0</v>
      </c>
      <c r="X144" s="47" t="s">
        <v>1287</v>
      </c>
      <c r="Y144" s="8" t="s">
        <v>1373</v>
      </c>
      <c r="Z144" s="47" t="s">
        <v>1369</v>
      </c>
      <c r="AA144" s="47" t="s">
        <v>0</v>
      </c>
      <c r="AB144" s="46" t="s">
        <v>1386</v>
      </c>
      <c r="AC144" s="46"/>
      <c r="AD144" s="139" t="s">
        <v>1387</v>
      </c>
      <c r="AE144" s="46" t="s">
        <v>0</v>
      </c>
      <c r="AF144" s="148" t="s">
        <v>0</v>
      </c>
      <c r="AG144" s="46" t="s">
        <v>0</v>
      </c>
      <c r="AH144" s="46" t="s">
        <v>0</v>
      </c>
      <c r="AI144" s="46" t="s">
        <v>0</v>
      </c>
      <c r="AJ144" s="148" t="s">
        <v>0</v>
      </c>
      <c r="AK144" s="125">
        <f>5.68*0.041*8*32/116</f>
        <v>0.5139420689655172</v>
      </c>
      <c r="AL144" s="125" t="s">
        <v>0</v>
      </c>
      <c r="AM144" s="125" t="s">
        <v>0</v>
      </c>
      <c r="AN144" s="154" t="s">
        <v>0</v>
      </c>
      <c r="AO144" s="125">
        <f t="shared" si="14"/>
        <v>0.72556527383367131</v>
      </c>
      <c r="AP144" s="125" t="s">
        <v>0</v>
      </c>
      <c r="AQ144" s="125" t="s">
        <v>0</v>
      </c>
      <c r="AR144" s="47" t="s">
        <v>0</v>
      </c>
      <c r="AS144" s="46" t="s">
        <v>69</v>
      </c>
      <c r="AT144" s="46"/>
      <c r="AU144" s="46"/>
    </row>
    <row r="145" spans="1:47" x14ac:dyDescent="0.25">
      <c r="A145" s="43" t="s">
        <v>1653</v>
      </c>
      <c r="B145" s="4" t="s">
        <v>2</v>
      </c>
      <c r="C145" s="43" t="s">
        <v>1388</v>
      </c>
      <c r="D145" s="4" t="s">
        <v>1282</v>
      </c>
      <c r="E145" s="4" t="s">
        <v>1023</v>
      </c>
      <c r="F145" s="4" t="s">
        <v>69</v>
      </c>
      <c r="G145" s="4" t="s">
        <v>69</v>
      </c>
      <c r="H145" s="4">
        <v>1</v>
      </c>
      <c r="I145" s="4" t="s">
        <v>0</v>
      </c>
      <c r="J145" s="43">
        <v>7</v>
      </c>
      <c r="K145" s="4" t="s">
        <v>57</v>
      </c>
      <c r="L145" s="4" t="s">
        <v>1389</v>
      </c>
      <c r="M145" s="4" t="s">
        <v>59</v>
      </c>
      <c r="N145" s="43">
        <f>9.0667+31.652</f>
        <v>40.718699999999998</v>
      </c>
      <c r="O145" s="108">
        <f t="shared" si="13"/>
        <v>0.70833333333333337</v>
      </c>
      <c r="P145" s="4" t="s">
        <v>60</v>
      </c>
      <c r="Q145" s="4" t="s">
        <v>1058</v>
      </c>
      <c r="R145" s="43" t="s">
        <v>0</v>
      </c>
      <c r="S145" s="4">
        <v>30</v>
      </c>
      <c r="T145" s="4" t="s">
        <v>64</v>
      </c>
      <c r="U145" s="4" t="s">
        <v>1390</v>
      </c>
      <c r="V145" s="4" t="s">
        <v>159</v>
      </c>
      <c r="W145" s="4" t="s">
        <v>1286</v>
      </c>
      <c r="X145" s="43" t="s">
        <v>1391</v>
      </c>
      <c r="Y145" s="4" t="s">
        <v>1392</v>
      </c>
      <c r="Z145" s="43" t="s">
        <v>1393</v>
      </c>
      <c r="AA145" s="43" t="s">
        <v>566</v>
      </c>
      <c r="AB145" s="42" t="s">
        <v>1623</v>
      </c>
      <c r="AC145" s="42"/>
      <c r="AD145" s="138" t="s">
        <v>1394</v>
      </c>
      <c r="AE145" s="42" t="s">
        <v>0</v>
      </c>
      <c r="AF145" s="149" t="s">
        <v>1304</v>
      </c>
      <c r="AG145" s="42" t="s">
        <v>1395</v>
      </c>
      <c r="AH145" s="42" t="s">
        <v>0</v>
      </c>
      <c r="AI145" s="113" t="s">
        <v>0</v>
      </c>
      <c r="AJ145" s="149" t="s">
        <v>0</v>
      </c>
      <c r="AK145" s="126">
        <f>8*32*8/116</f>
        <v>17.655172413793103</v>
      </c>
      <c r="AL145" s="126" t="s">
        <v>0</v>
      </c>
      <c r="AM145" s="126">
        <f>0.3*32*11/144</f>
        <v>0.73333333333333328</v>
      </c>
      <c r="AN145" s="155" t="s">
        <v>0</v>
      </c>
      <c r="AO145" s="126">
        <f>11.3*32*8/116</f>
        <v>24.937931034482759</v>
      </c>
      <c r="AP145" s="126" t="s">
        <v>0</v>
      </c>
      <c r="AQ145" s="126">
        <f t="shared" ref="AQ145:AQ146" si="15">AM145/O145</f>
        <v>1.0352941176470587</v>
      </c>
      <c r="AR145" s="43" t="s">
        <v>0</v>
      </c>
      <c r="AS145" s="42" t="s">
        <v>69</v>
      </c>
      <c r="AT145" s="42"/>
      <c r="AU145" s="42"/>
    </row>
    <row r="146" spans="1:47" x14ac:dyDescent="0.25">
      <c r="A146" s="43" t="s">
        <v>1653</v>
      </c>
      <c r="B146" s="4" t="s">
        <v>2</v>
      </c>
      <c r="C146" s="43" t="s">
        <v>1396</v>
      </c>
      <c r="D146" s="4" t="s">
        <v>1282</v>
      </c>
      <c r="E146" s="4" t="s">
        <v>1023</v>
      </c>
      <c r="F146" s="4" t="s">
        <v>69</v>
      </c>
      <c r="G146" s="4" t="s">
        <v>69</v>
      </c>
      <c r="H146" s="4">
        <v>1</v>
      </c>
      <c r="I146" s="4" t="s">
        <v>0</v>
      </c>
      <c r="J146" s="43">
        <f>6</f>
        <v>6</v>
      </c>
      <c r="K146" s="4" t="s">
        <v>57</v>
      </c>
      <c r="L146" s="4" t="s">
        <v>1397</v>
      </c>
      <c r="M146" s="4" t="s">
        <v>59</v>
      </c>
      <c r="N146" s="43">
        <f>9.0667+47.478</f>
        <v>56.544700000000006</v>
      </c>
      <c r="O146" s="108">
        <f t="shared" si="13"/>
        <v>0.70833333333333337</v>
      </c>
      <c r="P146" s="4" t="s">
        <v>60</v>
      </c>
      <c r="Q146" s="4" t="s">
        <v>1058</v>
      </c>
      <c r="R146" s="43" t="s">
        <v>0</v>
      </c>
      <c r="S146" s="4">
        <v>30</v>
      </c>
      <c r="T146" s="4" t="s">
        <v>64</v>
      </c>
      <c r="U146" s="4" t="s">
        <v>1390</v>
      </c>
      <c r="V146" s="4" t="s">
        <v>159</v>
      </c>
      <c r="W146" s="4" t="s">
        <v>1286</v>
      </c>
      <c r="X146" s="43" t="s">
        <v>1391</v>
      </c>
      <c r="Y146" s="4" t="s">
        <v>1392</v>
      </c>
      <c r="Z146" s="43" t="s">
        <v>1393</v>
      </c>
      <c r="AA146" s="43" t="s">
        <v>566</v>
      </c>
      <c r="AB146" s="42" t="s">
        <v>1623</v>
      </c>
      <c r="AC146" s="42"/>
      <c r="AD146" s="138" t="s">
        <v>1398</v>
      </c>
      <c r="AE146" s="42" t="s">
        <v>0</v>
      </c>
      <c r="AF146" s="149" t="s">
        <v>1399</v>
      </c>
      <c r="AG146" s="42" t="s">
        <v>1400</v>
      </c>
      <c r="AH146" s="42" t="s">
        <v>0</v>
      </c>
      <c r="AI146" s="113" t="s">
        <v>0</v>
      </c>
      <c r="AJ146" s="149" t="s">
        <v>0</v>
      </c>
      <c r="AK146" s="126">
        <f>10.7/116*8*32</f>
        <v>23.613793103448273</v>
      </c>
      <c r="AL146" s="126" t="s">
        <v>0</v>
      </c>
      <c r="AM146" s="126">
        <f>0.5*11*32/144</f>
        <v>1.2222222222222223</v>
      </c>
      <c r="AN146" s="155" t="s">
        <v>0</v>
      </c>
      <c r="AO146" s="126">
        <f>15.1*8*32/116</f>
        <v>33.324137931034485</v>
      </c>
      <c r="AP146" s="126" t="s">
        <v>0</v>
      </c>
      <c r="AQ146" s="126">
        <f t="shared" si="15"/>
        <v>1.7254901960784315</v>
      </c>
      <c r="AR146" s="43" t="s">
        <v>0</v>
      </c>
      <c r="AS146" s="42" t="s">
        <v>69</v>
      </c>
      <c r="AT146" s="42"/>
      <c r="AU146" s="42"/>
    </row>
    <row r="147" spans="1:47" x14ac:dyDescent="0.25">
      <c r="A147" s="43" t="s">
        <v>1653</v>
      </c>
      <c r="B147" s="4" t="s">
        <v>2</v>
      </c>
      <c r="C147" s="43" t="s">
        <v>1401</v>
      </c>
      <c r="D147" s="4" t="s">
        <v>1282</v>
      </c>
      <c r="E147" s="4" t="s">
        <v>1023</v>
      </c>
      <c r="F147" s="4" t="s">
        <v>69</v>
      </c>
      <c r="G147" s="4" t="s">
        <v>69</v>
      </c>
      <c r="H147" s="4">
        <v>1</v>
      </c>
      <c r="I147" s="4" t="s">
        <v>0</v>
      </c>
      <c r="J147" s="43">
        <v>9</v>
      </c>
      <c r="K147" s="4" t="s">
        <v>57</v>
      </c>
      <c r="L147" s="4" t="s">
        <v>1402</v>
      </c>
      <c r="M147" s="4" t="s">
        <v>59</v>
      </c>
      <c r="N147" s="43">
        <f>9.0667+63.304</f>
        <v>72.370699999999999</v>
      </c>
      <c r="O147" s="108">
        <f t="shared" si="13"/>
        <v>0.70833333333333337</v>
      </c>
      <c r="P147" s="4" t="s">
        <v>60</v>
      </c>
      <c r="Q147" s="4" t="s">
        <v>1058</v>
      </c>
      <c r="R147" s="43" t="s">
        <v>0</v>
      </c>
      <c r="S147" s="4">
        <v>30</v>
      </c>
      <c r="T147" s="4" t="s">
        <v>64</v>
      </c>
      <c r="U147" s="4" t="s">
        <v>1390</v>
      </c>
      <c r="V147" s="4" t="s">
        <v>159</v>
      </c>
      <c r="W147" s="4" t="s">
        <v>1286</v>
      </c>
      <c r="X147" s="43" t="s">
        <v>1391</v>
      </c>
      <c r="Y147" s="4" t="s">
        <v>1392</v>
      </c>
      <c r="Z147" s="43" t="s">
        <v>1393</v>
      </c>
      <c r="AA147" s="43" t="s">
        <v>566</v>
      </c>
      <c r="AB147" s="42" t="s">
        <v>1623</v>
      </c>
      <c r="AC147" s="42"/>
      <c r="AD147" s="138" t="s">
        <v>1403</v>
      </c>
      <c r="AE147" s="42" t="s">
        <v>0</v>
      </c>
      <c r="AF147" s="149" t="s">
        <v>1301</v>
      </c>
      <c r="AG147" s="42" t="s">
        <v>1404</v>
      </c>
      <c r="AH147" s="42" t="s">
        <v>0</v>
      </c>
      <c r="AI147" s="113" t="s">
        <v>0</v>
      </c>
      <c r="AJ147" s="149" t="s">
        <v>0</v>
      </c>
      <c r="AK147" s="126">
        <f>11.1*8*32/116</f>
        <v>24.49655172413793</v>
      </c>
      <c r="AL147" s="126" t="s">
        <v>0</v>
      </c>
      <c r="AM147" s="126">
        <f>0.6/144*11*32</f>
        <v>1.4666666666666666</v>
      </c>
      <c r="AN147" s="155" t="s">
        <v>0</v>
      </c>
      <c r="AO147" s="126">
        <f>15.7*8*32/116</f>
        <v>34.648275862068964</v>
      </c>
      <c r="AP147" s="126" t="s">
        <v>0</v>
      </c>
      <c r="AQ147" s="126">
        <f>AM147/O147</f>
        <v>2.0705882352941174</v>
      </c>
      <c r="AR147" s="43" t="s">
        <v>0</v>
      </c>
      <c r="AS147" s="42" t="s">
        <v>69</v>
      </c>
      <c r="AT147" s="42"/>
      <c r="AU147" s="42"/>
    </row>
    <row r="148" spans="1:47" x14ac:dyDescent="0.25">
      <c r="A148" s="47" t="s">
        <v>735</v>
      </c>
      <c r="B148" s="8" t="s">
        <v>2</v>
      </c>
      <c r="C148" s="47" t="s">
        <v>1405</v>
      </c>
      <c r="D148" s="8" t="s">
        <v>1153</v>
      </c>
      <c r="E148" s="8" t="s">
        <v>1023</v>
      </c>
      <c r="F148" s="8" t="s">
        <v>1123</v>
      </c>
      <c r="G148" s="8" t="s">
        <v>69</v>
      </c>
      <c r="H148" s="8">
        <v>0.9</v>
      </c>
      <c r="I148" s="8">
        <v>0.7</v>
      </c>
      <c r="J148" s="47">
        <v>15</v>
      </c>
      <c r="K148" s="8" t="s">
        <v>121</v>
      </c>
      <c r="L148" s="8" t="s">
        <v>1406</v>
      </c>
      <c r="M148" s="8" t="s">
        <v>123</v>
      </c>
      <c r="N148" s="47">
        <v>2.1</v>
      </c>
      <c r="O148" s="107">
        <v>4.2</v>
      </c>
      <c r="P148" s="8" t="s">
        <v>60</v>
      </c>
      <c r="Q148" s="8" t="s">
        <v>0</v>
      </c>
      <c r="R148" s="47" t="s">
        <v>0</v>
      </c>
      <c r="S148" s="8">
        <v>30</v>
      </c>
      <c r="T148" s="8" t="s">
        <v>64</v>
      </c>
      <c r="U148" s="8">
        <v>5.8</v>
      </c>
      <c r="V148" s="8" t="s">
        <v>1407</v>
      </c>
      <c r="W148" s="8" t="s">
        <v>0</v>
      </c>
      <c r="X148" s="47" t="s">
        <v>1408</v>
      </c>
      <c r="Y148" s="8" t="s">
        <v>0</v>
      </c>
      <c r="Z148" s="47" t="s">
        <v>438</v>
      </c>
      <c r="AA148" s="47" t="s">
        <v>566</v>
      </c>
      <c r="AB148" s="46">
        <f>0.8+0.13+0.64+0.03</f>
        <v>1.6</v>
      </c>
      <c r="AC148" s="46" t="s">
        <v>0</v>
      </c>
      <c r="AD148" s="139" t="s">
        <v>1409</v>
      </c>
      <c r="AE148" s="46" t="s">
        <v>1640</v>
      </c>
      <c r="AF148" s="148" t="s">
        <v>1410</v>
      </c>
      <c r="AG148" s="46" t="s">
        <v>1411</v>
      </c>
      <c r="AH148" s="46" t="s">
        <v>0</v>
      </c>
      <c r="AI148" s="46">
        <v>0</v>
      </c>
      <c r="AJ148" s="148" t="s">
        <v>0</v>
      </c>
      <c r="AK148" s="46">
        <v>0.8</v>
      </c>
      <c r="AL148" s="46" t="s">
        <v>0</v>
      </c>
      <c r="AM148" s="46">
        <v>0</v>
      </c>
      <c r="AN148" s="148" t="s">
        <v>0</v>
      </c>
      <c r="AO148" s="46">
        <v>0.5</v>
      </c>
      <c r="AP148" s="46" t="s">
        <v>0</v>
      </c>
      <c r="AQ148" s="46">
        <v>0</v>
      </c>
      <c r="AR148" s="47" t="s">
        <v>0</v>
      </c>
      <c r="AS148" s="46" t="s">
        <v>64</v>
      </c>
      <c r="AT148" s="46"/>
      <c r="AU148" s="46"/>
    </row>
    <row r="149" spans="1:47" x14ac:dyDescent="0.25">
      <c r="A149" s="47" t="s">
        <v>735</v>
      </c>
      <c r="B149" s="8" t="s">
        <v>2</v>
      </c>
      <c r="C149" s="47" t="s">
        <v>1405</v>
      </c>
      <c r="D149" s="8" t="s">
        <v>1153</v>
      </c>
      <c r="E149" s="8" t="s">
        <v>1023</v>
      </c>
      <c r="F149" s="8" t="s">
        <v>1123</v>
      </c>
      <c r="G149" s="8" t="s">
        <v>69</v>
      </c>
      <c r="H149" s="8">
        <v>0.9</v>
      </c>
      <c r="I149" s="8">
        <v>0.7</v>
      </c>
      <c r="J149" s="47">
        <f>54-15</f>
        <v>39</v>
      </c>
      <c r="K149" s="8" t="s">
        <v>121</v>
      </c>
      <c r="L149" s="8" t="s">
        <v>1406</v>
      </c>
      <c r="M149" s="8" t="s">
        <v>123</v>
      </c>
      <c r="N149" s="47">
        <v>1.8</v>
      </c>
      <c r="O149" s="107">
        <v>4.8</v>
      </c>
      <c r="P149" s="8" t="s">
        <v>60</v>
      </c>
      <c r="Q149" s="8" t="s">
        <v>0</v>
      </c>
      <c r="R149" s="47" t="s">
        <v>0</v>
      </c>
      <c r="S149" s="8">
        <v>30</v>
      </c>
      <c r="T149" s="8" t="s">
        <v>64</v>
      </c>
      <c r="U149" s="8">
        <v>5.6</v>
      </c>
      <c r="V149" s="8" t="s">
        <v>1407</v>
      </c>
      <c r="W149" s="8" t="s">
        <v>0</v>
      </c>
      <c r="X149" s="47" t="s">
        <v>1408</v>
      </c>
      <c r="Y149" s="8" t="s">
        <v>0</v>
      </c>
      <c r="Z149" s="47" t="s">
        <v>438</v>
      </c>
      <c r="AA149" s="47" t="s">
        <v>566</v>
      </c>
      <c r="AB149" s="46">
        <f>0.19+0.11+0.57+0.02</f>
        <v>0.8899999999999999</v>
      </c>
      <c r="AC149" s="46" t="s">
        <v>0</v>
      </c>
      <c r="AD149" s="139" t="s">
        <v>1412</v>
      </c>
      <c r="AE149" s="46" t="s">
        <v>1640</v>
      </c>
      <c r="AF149" s="148" t="s">
        <v>1410</v>
      </c>
      <c r="AG149" s="46" t="s">
        <v>1413</v>
      </c>
      <c r="AH149" s="46" t="s">
        <v>0</v>
      </c>
      <c r="AI149" s="46">
        <v>0</v>
      </c>
      <c r="AJ149" s="148" t="s">
        <v>0</v>
      </c>
      <c r="AK149" s="46">
        <v>0.19</v>
      </c>
      <c r="AL149" s="46" t="s">
        <v>0</v>
      </c>
      <c r="AM149" s="46">
        <v>0</v>
      </c>
      <c r="AN149" s="148" t="s">
        <v>0</v>
      </c>
      <c r="AO149" s="46">
        <v>0.3</v>
      </c>
      <c r="AP149" s="46" t="s">
        <v>0</v>
      </c>
      <c r="AQ149" s="46">
        <v>0</v>
      </c>
      <c r="AR149" s="47" t="s">
        <v>0</v>
      </c>
      <c r="AS149" s="46" t="s">
        <v>64</v>
      </c>
      <c r="AT149" s="46"/>
      <c r="AU149" s="46"/>
    </row>
    <row r="150" spans="1:47" x14ac:dyDescent="0.25">
      <c r="A150" s="47" t="s">
        <v>735</v>
      </c>
      <c r="B150" s="8" t="s">
        <v>2</v>
      </c>
      <c r="C150" s="47" t="s">
        <v>1405</v>
      </c>
      <c r="D150" s="8" t="s">
        <v>1153</v>
      </c>
      <c r="E150" s="8" t="s">
        <v>1023</v>
      </c>
      <c r="F150" s="8" t="s">
        <v>1123</v>
      </c>
      <c r="G150" s="8" t="s">
        <v>69</v>
      </c>
      <c r="H150" s="8">
        <v>0.9</v>
      </c>
      <c r="I150" s="8">
        <v>0.7</v>
      </c>
      <c r="J150" s="47">
        <f>64-54</f>
        <v>10</v>
      </c>
      <c r="K150" s="8" t="s">
        <v>121</v>
      </c>
      <c r="L150" s="8" t="s">
        <v>1406</v>
      </c>
      <c r="M150" s="8" t="s">
        <v>123</v>
      </c>
      <c r="N150" s="47">
        <v>1.7</v>
      </c>
      <c r="O150" s="107">
        <v>3.8</v>
      </c>
      <c r="P150" s="8" t="s">
        <v>60</v>
      </c>
      <c r="Q150" s="8" t="s">
        <v>0</v>
      </c>
      <c r="R150" s="47" t="s">
        <v>0</v>
      </c>
      <c r="S150" s="8">
        <v>30</v>
      </c>
      <c r="T150" s="8" t="s">
        <v>64</v>
      </c>
      <c r="U150" s="8">
        <v>5.4</v>
      </c>
      <c r="V150" s="8" t="s">
        <v>1407</v>
      </c>
      <c r="W150" s="8" t="s">
        <v>0</v>
      </c>
      <c r="X150" s="47" t="s">
        <v>1408</v>
      </c>
      <c r="Y150" s="8" t="s">
        <v>0</v>
      </c>
      <c r="Z150" s="47" t="s">
        <v>438</v>
      </c>
      <c r="AA150" s="47" t="s">
        <v>566</v>
      </c>
      <c r="AB150" s="46">
        <f>0.05+0.03+0.01+0.39+0.01</f>
        <v>0.49</v>
      </c>
      <c r="AC150" s="46" t="s">
        <v>0</v>
      </c>
      <c r="AD150" s="139" t="s">
        <v>1414</v>
      </c>
      <c r="AE150" s="46" t="s">
        <v>1640</v>
      </c>
      <c r="AF150" s="148" t="s">
        <v>1415</v>
      </c>
      <c r="AG150" s="46" t="s">
        <v>1416</v>
      </c>
      <c r="AH150" s="46" t="s">
        <v>0</v>
      </c>
      <c r="AI150" s="46">
        <v>0</v>
      </c>
      <c r="AJ150" s="148" t="s">
        <v>0</v>
      </c>
      <c r="AK150" s="46">
        <v>0.03</v>
      </c>
      <c r="AL150" s="46" t="s">
        <v>0</v>
      </c>
      <c r="AM150" s="46">
        <v>0.05</v>
      </c>
      <c r="AN150" s="148" t="s">
        <v>0</v>
      </c>
      <c r="AO150" s="46">
        <v>0.6</v>
      </c>
      <c r="AP150" s="46" t="s">
        <v>0</v>
      </c>
      <c r="AQ150" s="46">
        <v>0</v>
      </c>
      <c r="AR150" s="47" t="s">
        <v>0</v>
      </c>
      <c r="AS150" s="46" t="s">
        <v>64</v>
      </c>
      <c r="AT150" s="46"/>
      <c r="AU150" s="46"/>
    </row>
    <row r="151" spans="1:47" x14ac:dyDescent="0.25">
      <c r="A151" s="47" t="s">
        <v>735</v>
      </c>
      <c r="B151" s="8" t="s">
        <v>2</v>
      </c>
      <c r="C151" s="47" t="s">
        <v>1405</v>
      </c>
      <c r="D151" s="8" t="s">
        <v>1153</v>
      </c>
      <c r="E151" s="8" t="s">
        <v>1023</v>
      </c>
      <c r="F151" s="8" t="s">
        <v>1123</v>
      </c>
      <c r="G151" s="8" t="s">
        <v>69</v>
      </c>
      <c r="H151" s="8">
        <v>0.9</v>
      </c>
      <c r="I151" s="8">
        <v>0.7</v>
      </c>
      <c r="J151" s="47">
        <f>16</f>
        <v>16</v>
      </c>
      <c r="K151" s="8" t="s">
        <v>121</v>
      </c>
      <c r="L151" s="8" t="s">
        <v>1406</v>
      </c>
      <c r="M151" s="8" t="s">
        <v>123</v>
      </c>
      <c r="N151" s="47">
        <v>1.8</v>
      </c>
      <c r="O151" s="107">
        <v>4.5</v>
      </c>
      <c r="P151" s="8" t="s">
        <v>60</v>
      </c>
      <c r="Q151" s="8" t="s">
        <v>0</v>
      </c>
      <c r="R151" s="47" t="s">
        <v>0</v>
      </c>
      <c r="S151" s="8">
        <v>30</v>
      </c>
      <c r="T151" s="8" t="s">
        <v>64</v>
      </c>
      <c r="U151" s="8">
        <v>5.5</v>
      </c>
      <c r="V151" s="8" t="s">
        <v>1407</v>
      </c>
      <c r="W151" s="8" t="s">
        <v>0</v>
      </c>
      <c r="X151" s="47" t="s">
        <v>1408</v>
      </c>
      <c r="Y151" s="8" t="s">
        <v>0</v>
      </c>
      <c r="Z151" s="47" t="s">
        <v>438</v>
      </c>
      <c r="AA151" s="47" t="s">
        <v>566</v>
      </c>
      <c r="AB151" s="46">
        <f>0.21+0.23+0.03+0.61+0.05</f>
        <v>1.1300000000000001</v>
      </c>
      <c r="AC151" s="46" t="s">
        <v>0</v>
      </c>
      <c r="AD151" s="139" t="s">
        <v>1417</v>
      </c>
      <c r="AE151" s="46" t="s">
        <v>1640</v>
      </c>
      <c r="AF151" s="148" t="s">
        <v>1418</v>
      </c>
      <c r="AG151" s="46" t="s">
        <v>1419</v>
      </c>
      <c r="AH151" s="46" t="s">
        <v>0</v>
      </c>
      <c r="AI151" s="46">
        <v>0</v>
      </c>
      <c r="AJ151" s="148" t="s">
        <v>0</v>
      </c>
      <c r="AK151" s="46">
        <v>0.23</v>
      </c>
      <c r="AL151" s="46" t="s">
        <v>0</v>
      </c>
      <c r="AM151" s="46">
        <v>0.21</v>
      </c>
      <c r="AN151" s="148" t="s">
        <v>0</v>
      </c>
      <c r="AO151" s="46">
        <v>0.1</v>
      </c>
      <c r="AP151" s="46" t="s">
        <v>0</v>
      </c>
      <c r="AQ151" s="46">
        <v>0</v>
      </c>
      <c r="AR151" s="47" t="s">
        <v>0</v>
      </c>
      <c r="AS151" s="46" t="s">
        <v>64</v>
      </c>
      <c r="AT151" s="46"/>
      <c r="AU151" s="46"/>
    </row>
    <row r="152" spans="1:47" x14ac:dyDescent="0.25">
      <c r="A152" s="47" t="s">
        <v>735</v>
      </c>
      <c r="B152" s="8" t="s">
        <v>2</v>
      </c>
      <c r="C152" s="47" t="s">
        <v>1405</v>
      </c>
      <c r="D152" s="8" t="s">
        <v>1153</v>
      </c>
      <c r="E152" s="8" t="s">
        <v>1023</v>
      </c>
      <c r="F152" s="8" t="s">
        <v>1123</v>
      </c>
      <c r="G152" s="8" t="s">
        <v>69</v>
      </c>
      <c r="H152" s="8">
        <v>0.9</v>
      </c>
      <c r="I152" s="8">
        <v>0.7</v>
      </c>
      <c r="J152" s="47">
        <v>18</v>
      </c>
      <c r="K152" s="8" t="s">
        <v>121</v>
      </c>
      <c r="L152" s="8" t="s">
        <v>1420</v>
      </c>
      <c r="M152" s="8" t="s">
        <v>123</v>
      </c>
      <c r="N152" s="47">
        <v>3.8</v>
      </c>
      <c r="O152" s="107">
        <v>4.4000000000000004</v>
      </c>
      <c r="P152" s="8" t="s">
        <v>60</v>
      </c>
      <c r="Q152" s="8" t="s">
        <v>0</v>
      </c>
      <c r="R152" s="47" t="s">
        <v>0</v>
      </c>
      <c r="S152" s="8">
        <v>30</v>
      </c>
      <c r="T152" s="8" t="s">
        <v>64</v>
      </c>
      <c r="U152" s="8">
        <v>5.3</v>
      </c>
      <c r="V152" s="8" t="s">
        <v>1407</v>
      </c>
      <c r="W152" s="8" t="s">
        <v>0</v>
      </c>
      <c r="X152" s="47" t="s">
        <v>1408</v>
      </c>
      <c r="Y152" s="8" t="s">
        <v>0</v>
      </c>
      <c r="Z152" s="47" t="s">
        <v>438</v>
      </c>
      <c r="AA152" s="47" t="s">
        <v>566</v>
      </c>
      <c r="AB152" s="46">
        <f>0.76+1.03+0.6+0.75+0.15</f>
        <v>3.29</v>
      </c>
      <c r="AC152" s="46" t="s">
        <v>0</v>
      </c>
      <c r="AD152" s="139" t="s">
        <v>1421</v>
      </c>
      <c r="AE152" s="46" t="s">
        <v>1640</v>
      </c>
      <c r="AF152" s="148" t="s">
        <v>1422</v>
      </c>
      <c r="AG152" s="46" t="s">
        <v>1423</v>
      </c>
      <c r="AH152" s="46" t="s">
        <v>0</v>
      </c>
      <c r="AI152" s="46" t="s">
        <v>1334</v>
      </c>
      <c r="AJ152" s="148" t="s">
        <v>0</v>
      </c>
      <c r="AK152" s="46">
        <v>1.03</v>
      </c>
      <c r="AL152" s="46" t="s">
        <v>0</v>
      </c>
      <c r="AM152" s="46">
        <v>0.76</v>
      </c>
      <c r="AN152" s="148" t="s">
        <v>0</v>
      </c>
      <c r="AO152" s="46">
        <v>0.2</v>
      </c>
      <c r="AP152" s="46" t="s">
        <v>0</v>
      </c>
      <c r="AQ152" s="46">
        <v>0.2</v>
      </c>
      <c r="AR152" s="47" t="s">
        <v>0</v>
      </c>
      <c r="AS152" s="46" t="s">
        <v>64</v>
      </c>
      <c r="AT152" s="46"/>
      <c r="AU152" s="46"/>
    </row>
    <row r="153" spans="1:47" x14ac:dyDescent="0.25">
      <c r="A153" s="47" t="s">
        <v>735</v>
      </c>
      <c r="B153" s="8" t="s">
        <v>2</v>
      </c>
      <c r="C153" s="47" t="s">
        <v>1405</v>
      </c>
      <c r="D153" s="8" t="s">
        <v>1153</v>
      </c>
      <c r="E153" s="8" t="s">
        <v>1023</v>
      </c>
      <c r="F153" s="8" t="s">
        <v>1123</v>
      </c>
      <c r="G153" s="8" t="s">
        <v>69</v>
      </c>
      <c r="H153" s="8">
        <v>0.9</v>
      </c>
      <c r="I153" s="8">
        <v>0.7</v>
      </c>
      <c r="J153" s="47">
        <v>30</v>
      </c>
      <c r="K153" s="8" t="s">
        <v>121</v>
      </c>
      <c r="L153" s="8" t="s">
        <v>1420</v>
      </c>
      <c r="M153" s="8" t="s">
        <v>123</v>
      </c>
      <c r="N153" s="47">
        <v>3.7</v>
      </c>
      <c r="O153" s="107">
        <v>3.7</v>
      </c>
      <c r="P153" s="8" t="s">
        <v>60</v>
      </c>
      <c r="Q153" s="8" t="s">
        <v>0</v>
      </c>
      <c r="R153" s="47" t="s">
        <v>0</v>
      </c>
      <c r="S153" s="8">
        <v>30</v>
      </c>
      <c r="T153" s="8" t="s">
        <v>64</v>
      </c>
      <c r="U153" s="8">
        <v>5.2</v>
      </c>
      <c r="V153" s="8" t="s">
        <v>1407</v>
      </c>
      <c r="W153" s="8" t="s">
        <v>0</v>
      </c>
      <c r="X153" s="47" t="s">
        <v>1408</v>
      </c>
      <c r="Y153" s="8" t="s">
        <v>0</v>
      </c>
      <c r="Z153" s="47" t="s">
        <v>438</v>
      </c>
      <c r="AA153" s="47" t="s">
        <v>566</v>
      </c>
      <c r="AB153" s="46">
        <f>0.03+0.07+0.08+0.22+0.01</f>
        <v>0.41000000000000003</v>
      </c>
      <c r="AC153" s="46" t="s">
        <v>0</v>
      </c>
      <c r="AD153" s="139" t="s">
        <v>1424</v>
      </c>
      <c r="AE153" s="46" t="s">
        <v>1640</v>
      </c>
      <c r="AF153" s="148" t="s">
        <v>1425</v>
      </c>
      <c r="AG153" s="46" t="s">
        <v>1321</v>
      </c>
      <c r="AH153" s="46" t="s">
        <v>0</v>
      </c>
      <c r="AI153" s="46" t="s">
        <v>1426</v>
      </c>
      <c r="AJ153" s="148" t="s">
        <v>0</v>
      </c>
      <c r="AK153" s="46">
        <v>7.0000000000000007E-2</v>
      </c>
      <c r="AL153" s="46" t="s">
        <v>0</v>
      </c>
      <c r="AM153" s="46">
        <v>0.03</v>
      </c>
      <c r="AN153" s="148" t="s">
        <v>0</v>
      </c>
      <c r="AO153" s="46">
        <v>1.2</v>
      </c>
      <c r="AP153" s="46" t="s">
        <v>0</v>
      </c>
      <c r="AQ153" s="46">
        <v>0.8</v>
      </c>
      <c r="AR153" s="47" t="s">
        <v>0</v>
      </c>
      <c r="AS153" s="46" t="s">
        <v>64</v>
      </c>
      <c r="AT153" s="46"/>
      <c r="AU153" s="46"/>
    </row>
    <row r="154" spans="1:47" x14ac:dyDescent="0.25">
      <c r="A154" s="47" t="s">
        <v>735</v>
      </c>
      <c r="B154" s="8" t="s">
        <v>2</v>
      </c>
      <c r="C154" s="47" t="s">
        <v>1405</v>
      </c>
      <c r="D154" s="8" t="s">
        <v>1153</v>
      </c>
      <c r="E154" s="8" t="s">
        <v>1023</v>
      </c>
      <c r="F154" s="8" t="s">
        <v>1123</v>
      </c>
      <c r="G154" s="8" t="s">
        <v>69</v>
      </c>
      <c r="H154" s="8">
        <v>0.9</v>
      </c>
      <c r="I154" s="8">
        <v>0.7</v>
      </c>
      <c r="J154" s="47">
        <f>142-128</f>
        <v>14</v>
      </c>
      <c r="K154" s="8" t="s">
        <v>121</v>
      </c>
      <c r="L154" s="8" t="s">
        <v>1420</v>
      </c>
      <c r="M154" s="8" t="s">
        <v>123</v>
      </c>
      <c r="N154" s="47">
        <v>6.3</v>
      </c>
      <c r="O154" s="107">
        <v>3.8</v>
      </c>
      <c r="P154" s="8" t="s">
        <v>60</v>
      </c>
      <c r="Q154" s="8" t="s">
        <v>0</v>
      </c>
      <c r="R154" s="47" t="s">
        <v>0</v>
      </c>
      <c r="S154" s="8">
        <v>30</v>
      </c>
      <c r="T154" s="8" t="s">
        <v>64</v>
      </c>
      <c r="U154" s="8">
        <v>5.0999999999999996</v>
      </c>
      <c r="V154" s="8" t="s">
        <v>1407</v>
      </c>
      <c r="W154" s="8" t="s">
        <v>0</v>
      </c>
      <c r="X154" s="47" t="s">
        <v>1408</v>
      </c>
      <c r="Y154" s="8" t="s">
        <v>0</v>
      </c>
      <c r="Z154" s="47" t="s">
        <v>438</v>
      </c>
      <c r="AA154" s="47" t="s">
        <v>566</v>
      </c>
      <c r="AB154" s="46">
        <f>0.04+0.09+0.07+0.13+0.03</f>
        <v>0.36</v>
      </c>
      <c r="AC154" s="46" t="s">
        <v>0</v>
      </c>
      <c r="AD154" s="139" t="s">
        <v>1427</v>
      </c>
      <c r="AE154" s="46" t="s">
        <v>1640</v>
      </c>
      <c r="AF154" s="148" t="s">
        <v>1428</v>
      </c>
      <c r="AG154" s="46" t="s">
        <v>1429</v>
      </c>
      <c r="AH154" s="46" t="s">
        <v>0</v>
      </c>
      <c r="AI154" s="46" t="s">
        <v>1430</v>
      </c>
      <c r="AJ154" s="148" t="s">
        <v>0</v>
      </c>
      <c r="AK154" s="46">
        <v>0.09</v>
      </c>
      <c r="AL154" s="46" t="s">
        <v>0</v>
      </c>
      <c r="AM154" s="46">
        <v>0.04</v>
      </c>
      <c r="AN154" s="148" t="s">
        <v>0</v>
      </c>
      <c r="AO154" s="46">
        <v>2.2000000000000002</v>
      </c>
      <c r="AP154" s="46" t="s">
        <v>0</v>
      </c>
      <c r="AQ154" s="46">
        <v>2.2999999999999998</v>
      </c>
      <c r="AR154" s="47" t="s">
        <v>0</v>
      </c>
      <c r="AS154" s="46" t="s">
        <v>64</v>
      </c>
      <c r="AT154" s="46"/>
      <c r="AU154" s="46"/>
    </row>
    <row r="155" spans="1:47" x14ac:dyDescent="0.25">
      <c r="A155" s="47" t="s">
        <v>735</v>
      </c>
      <c r="B155" s="8" t="s">
        <v>2</v>
      </c>
      <c r="C155" s="47" t="s">
        <v>1405</v>
      </c>
      <c r="D155" s="8" t="s">
        <v>1153</v>
      </c>
      <c r="E155" s="8" t="s">
        <v>1023</v>
      </c>
      <c r="F155" s="8" t="s">
        <v>1123</v>
      </c>
      <c r="G155" s="8" t="s">
        <v>69</v>
      </c>
      <c r="H155" s="8">
        <v>0.9</v>
      </c>
      <c r="I155" s="8">
        <v>0.7</v>
      </c>
      <c r="J155" s="47">
        <f>155-142</f>
        <v>13</v>
      </c>
      <c r="K155" s="8" t="s">
        <v>121</v>
      </c>
      <c r="L155" s="8" t="s">
        <v>1420</v>
      </c>
      <c r="M155" s="8" t="s">
        <v>123</v>
      </c>
      <c r="N155" s="47">
        <v>15</v>
      </c>
      <c r="O155" s="107">
        <v>3.3</v>
      </c>
      <c r="P155" s="8" t="s">
        <v>60</v>
      </c>
      <c r="Q155" s="8" t="s">
        <v>0</v>
      </c>
      <c r="R155" s="47" t="s">
        <v>0</v>
      </c>
      <c r="S155" s="8">
        <v>30</v>
      </c>
      <c r="T155" s="8" t="s">
        <v>64</v>
      </c>
      <c r="U155" s="8">
        <v>5</v>
      </c>
      <c r="V155" s="8" t="s">
        <v>1407</v>
      </c>
      <c r="W155" s="8" t="s">
        <v>0</v>
      </c>
      <c r="X155" s="47" t="s">
        <v>1408</v>
      </c>
      <c r="Y155" s="8" t="s">
        <v>0</v>
      </c>
      <c r="Z155" s="47" t="s">
        <v>438</v>
      </c>
      <c r="AA155" s="47" t="s">
        <v>566</v>
      </c>
      <c r="AB155" s="46">
        <f>0.09+0.06+0+0.01+0.06</f>
        <v>0.22</v>
      </c>
      <c r="AC155" s="46" t="s">
        <v>0</v>
      </c>
      <c r="AD155" s="139" t="s">
        <v>1431</v>
      </c>
      <c r="AE155" s="46" t="s">
        <v>1640</v>
      </c>
      <c r="AF155" s="148" t="s">
        <v>1427</v>
      </c>
      <c r="AG155" s="46" t="s">
        <v>1432</v>
      </c>
      <c r="AH155" s="46" t="s">
        <v>0</v>
      </c>
      <c r="AI155" s="46" t="s">
        <v>1433</v>
      </c>
      <c r="AJ155" s="148" t="s">
        <v>0</v>
      </c>
      <c r="AK155" s="46">
        <v>0.06</v>
      </c>
      <c r="AL155" s="46" t="s">
        <v>0</v>
      </c>
      <c r="AM155" s="46">
        <v>0.09</v>
      </c>
      <c r="AN155" s="148" t="s">
        <v>0</v>
      </c>
      <c r="AO155" s="46">
        <v>0.4</v>
      </c>
      <c r="AP155" s="46" t="s">
        <v>0</v>
      </c>
      <c r="AQ155" s="46">
        <v>10.6</v>
      </c>
      <c r="AR155" s="47" t="s">
        <v>0</v>
      </c>
      <c r="AS155" s="46" t="s">
        <v>64</v>
      </c>
      <c r="AT155" s="46"/>
      <c r="AU155" s="46"/>
    </row>
    <row r="156" spans="1:47" x14ac:dyDescent="0.25">
      <c r="A156" s="47" t="s">
        <v>735</v>
      </c>
      <c r="B156" s="8" t="s">
        <v>2</v>
      </c>
      <c r="C156" s="47" t="s">
        <v>1405</v>
      </c>
      <c r="D156" s="8" t="s">
        <v>1153</v>
      </c>
      <c r="E156" s="8" t="s">
        <v>1023</v>
      </c>
      <c r="F156" s="8" t="s">
        <v>1123</v>
      </c>
      <c r="G156" s="8" t="s">
        <v>69</v>
      </c>
      <c r="H156" s="8">
        <v>0.9</v>
      </c>
      <c r="I156" s="8">
        <v>0.7</v>
      </c>
      <c r="J156" s="47">
        <f>163-155</f>
        <v>8</v>
      </c>
      <c r="K156" s="8" t="s">
        <v>121</v>
      </c>
      <c r="L156" s="8" t="s">
        <v>1420</v>
      </c>
      <c r="M156" s="8" t="s">
        <v>123</v>
      </c>
      <c r="N156" s="47">
        <v>13.7</v>
      </c>
      <c r="O156" s="107">
        <v>1.6</v>
      </c>
      <c r="P156" s="8" t="s">
        <v>60</v>
      </c>
      <c r="Q156" s="8" t="s">
        <v>0</v>
      </c>
      <c r="R156" s="47" t="s">
        <v>0</v>
      </c>
      <c r="S156" s="8">
        <v>30</v>
      </c>
      <c r="T156" s="8" t="s">
        <v>64</v>
      </c>
      <c r="U156" s="8">
        <v>5.0999999999999996</v>
      </c>
      <c r="V156" s="8" t="s">
        <v>1407</v>
      </c>
      <c r="W156" s="8" t="s">
        <v>0</v>
      </c>
      <c r="X156" s="47" t="s">
        <v>1408</v>
      </c>
      <c r="Y156" s="8" t="s">
        <v>0</v>
      </c>
      <c r="Z156" s="47" t="s">
        <v>438</v>
      </c>
      <c r="AA156" s="47" t="s">
        <v>566</v>
      </c>
      <c r="AB156" s="46">
        <f>0.18+0.08+0.05+0.09+0.05</f>
        <v>0.45</v>
      </c>
      <c r="AC156" s="46" t="s">
        <v>0</v>
      </c>
      <c r="AD156" s="139" t="s">
        <v>1434</v>
      </c>
      <c r="AE156" s="46" t="s">
        <v>1640</v>
      </c>
      <c r="AF156" s="148" t="s">
        <v>1435</v>
      </c>
      <c r="AG156" s="46" t="s">
        <v>1436</v>
      </c>
      <c r="AH156" s="46" t="s">
        <v>0</v>
      </c>
      <c r="AI156" s="46" t="s">
        <v>1437</v>
      </c>
      <c r="AJ156" s="148" t="s">
        <v>0</v>
      </c>
      <c r="AK156" s="46">
        <v>0.08</v>
      </c>
      <c r="AL156" s="46" t="s">
        <v>0</v>
      </c>
      <c r="AM156" s="46">
        <v>0.18</v>
      </c>
      <c r="AN156" s="148" t="s">
        <v>0</v>
      </c>
      <c r="AO156" s="46">
        <v>1.7</v>
      </c>
      <c r="AP156" s="46" t="s">
        <v>0</v>
      </c>
      <c r="AQ156" s="46">
        <v>11.2</v>
      </c>
      <c r="AR156" s="47" t="s">
        <v>0</v>
      </c>
      <c r="AS156" s="46" t="s">
        <v>64</v>
      </c>
      <c r="AT156" s="46"/>
      <c r="AU156" s="46"/>
    </row>
    <row r="157" spans="1:47" x14ac:dyDescent="0.25">
      <c r="A157" s="47" t="s">
        <v>735</v>
      </c>
      <c r="B157" s="8" t="s">
        <v>2</v>
      </c>
      <c r="C157" s="47" t="s">
        <v>1405</v>
      </c>
      <c r="D157" s="8" t="s">
        <v>1153</v>
      </c>
      <c r="E157" s="8" t="s">
        <v>1023</v>
      </c>
      <c r="F157" s="8" t="s">
        <v>1123</v>
      </c>
      <c r="G157" s="8" t="s">
        <v>69</v>
      </c>
      <c r="H157" s="8">
        <v>0.9</v>
      </c>
      <c r="I157" s="8">
        <v>0.7</v>
      </c>
      <c r="J157" s="47">
        <f>174-163</f>
        <v>11</v>
      </c>
      <c r="K157" s="8" t="s">
        <v>121</v>
      </c>
      <c r="L157" s="8" t="s">
        <v>1420</v>
      </c>
      <c r="M157" s="8" t="s">
        <v>123</v>
      </c>
      <c r="N157" s="47">
        <v>34.700000000000003</v>
      </c>
      <c r="O157" s="107">
        <v>1.5</v>
      </c>
      <c r="P157" s="8" t="s">
        <v>60</v>
      </c>
      <c r="Q157" s="8" t="s">
        <v>0</v>
      </c>
      <c r="R157" s="47" t="s">
        <v>0</v>
      </c>
      <c r="S157" s="8">
        <v>30</v>
      </c>
      <c r="T157" s="8" t="s">
        <v>64</v>
      </c>
      <c r="U157" s="8">
        <v>5.0999999999999996</v>
      </c>
      <c r="V157" s="8" t="s">
        <v>1407</v>
      </c>
      <c r="W157" s="8" t="s">
        <v>0</v>
      </c>
      <c r="X157" s="47" t="s">
        <v>1408</v>
      </c>
      <c r="Y157" s="8" t="s">
        <v>0</v>
      </c>
      <c r="Z157" s="47" t="s">
        <v>438</v>
      </c>
      <c r="AA157" s="47" t="s">
        <v>566</v>
      </c>
      <c r="AB157" s="46">
        <f>0.34+0.28+0.11+0.13+0.09</f>
        <v>0.95000000000000007</v>
      </c>
      <c r="AC157" s="46" t="s">
        <v>0</v>
      </c>
      <c r="AD157" s="139" t="s">
        <v>1438</v>
      </c>
      <c r="AE157" s="46" t="s">
        <v>1640</v>
      </c>
      <c r="AF157" s="148" t="s">
        <v>1439</v>
      </c>
      <c r="AG157" s="46" t="s">
        <v>1436</v>
      </c>
      <c r="AH157" s="46" t="s">
        <v>0</v>
      </c>
      <c r="AI157" s="46" t="s">
        <v>1440</v>
      </c>
      <c r="AJ157" s="148" t="s">
        <v>0</v>
      </c>
      <c r="AK157" s="46">
        <v>0.28000000000000003</v>
      </c>
      <c r="AL157" s="46" t="s">
        <v>0</v>
      </c>
      <c r="AM157" s="46">
        <v>0.34</v>
      </c>
      <c r="AN157" s="148" t="s">
        <v>0</v>
      </c>
      <c r="AO157" s="46">
        <v>1.7</v>
      </c>
      <c r="AP157" s="46" t="s">
        <v>0</v>
      </c>
      <c r="AQ157" s="46">
        <v>19.399999999999999</v>
      </c>
      <c r="AR157" s="47" t="s">
        <v>0</v>
      </c>
      <c r="AS157" s="46" t="s">
        <v>64</v>
      </c>
      <c r="AT157" s="46"/>
      <c r="AU157" s="46"/>
    </row>
    <row r="158" spans="1:47" x14ac:dyDescent="0.25">
      <c r="A158" s="47" t="s">
        <v>735</v>
      </c>
      <c r="B158" s="8" t="s">
        <v>2</v>
      </c>
      <c r="C158" s="47" t="s">
        <v>1405</v>
      </c>
      <c r="D158" s="8" t="s">
        <v>1153</v>
      </c>
      <c r="E158" s="8" t="s">
        <v>1023</v>
      </c>
      <c r="F158" s="8" t="s">
        <v>1123</v>
      </c>
      <c r="G158" s="8" t="s">
        <v>69</v>
      </c>
      <c r="H158" s="8">
        <v>0.9</v>
      </c>
      <c r="I158" s="8">
        <v>0.7</v>
      </c>
      <c r="J158" s="47">
        <f>186-174</f>
        <v>12</v>
      </c>
      <c r="K158" s="8" t="s">
        <v>121</v>
      </c>
      <c r="L158" s="8" t="s">
        <v>1420</v>
      </c>
      <c r="M158" s="8" t="s">
        <v>123</v>
      </c>
      <c r="N158" s="47">
        <v>63.8</v>
      </c>
      <c r="O158" s="107">
        <v>1.5</v>
      </c>
      <c r="P158" s="8" t="s">
        <v>60</v>
      </c>
      <c r="Q158" s="8" t="s">
        <v>0</v>
      </c>
      <c r="R158" s="47" t="s">
        <v>0</v>
      </c>
      <c r="S158" s="8">
        <v>30</v>
      </c>
      <c r="T158" s="8" t="s">
        <v>64</v>
      </c>
      <c r="U158" s="8">
        <v>5.2</v>
      </c>
      <c r="V158" s="8" t="s">
        <v>1407</v>
      </c>
      <c r="W158" s="8" t="s">
        <v>0</v>
      </c>
      <c r="X158" s="47" t="s">
        <v>1408</v>
      </c>
      <c r="Y158" s="8" t="s">
        <v>0</v>
      </c>
      <c r="Z158" s="47" t="s">
        <v>1441</v>
      </c>
      <c r="AA158" s="47" t="s">
        <v>566</v>
      </c>
      <c r="AB158" s="46">
        <f>0.69+1.21+1.09+0.57+0.04</f>
        <v>3.6</v>
      </c>
      <c r="AC158" s="46" t="s">
        <v>0</v>
      </c>
      <c r="AD158" s="139" t="s">
        <v>1442</v>
      </c>
      <c r="AE158" s="46" t="s">
        <v>1640</v>
      </c>
      <c r="AF158" s="148" t="s">
        <v>1443</v>
      </c>
      <c r="AG158" s="46" t="s">
        <v>1444</v>
      </c>
      <c r="AH158" s="46" t="s">
        <v>0</v>
      </c>
      <c r="AI158" s="46" t="s">
        <v>1445</v>
      </c>
      <c r="AJ158" s="148" t="s">
        <v>0</v>
      </c>
      <c r="AK158" s="46">
        <v>1.21</v>
      </c>
      <c r="AL158" s="46" t="s">
        <v>0</v>
      </c>
      <c r="AM158" s="46">
        <v>0.69</v>
      </c>
      <c r="AN158" s="148" t="s">
        <v>0</v>
      </c>
      <c r="AO158" s="46">
        <v>7.5</v>
      </c>
      <c r="AP158" s="46" t="s">
        <v>0</v>
      </c>
      <c r="AQ158" s="46">
        <v>13.2</v>
      </c>
      <c r="AR158" s="47" t="s">
        <v>0</v>
      </c>
      <c r="AS158" s="46" t="s">
        <v>64</v>
      </c>
      <c r="AT158" s="46"/>
      <c r="AU158" s="46"/>
    </row>
    <row r="159" spans="1:47" x14ac:dyDescent="0.25">
      <c r="A159" s="43" t="s">
        <v>1654</v>
      </c>
      <c r="B159" s="4" t="s">
        <v>2</v>
      </c>
      <c r="C159" s="43" t="s">
        <v>1446</v>
      </c>
      <c r="D159" s="4" t="s">
        <v>1153</v>
      </c>
      <c r="E159" s="4" t="s">
        <v>1023</v>
      </c>
      <c r="F159" s="4" t="s">
        <v>1123</v>
      </c>
      <c r="G159" s="4" t="s">
        <v>69</v>
      </c>
      <c r="H159" s="4" t="s">
        <v>0</v>
      </c>
      <c r="I159" s="4">
        <v>0.55000000000000004</v>
      </c>
      <c r="J159" s="43">
        <f>59-33</f>
        <v>26</v>
      </c>
      <c r="K159" s="4" t="s">
        <v>57</v>
      </c>
      <c r="L159" s="4" t="s">
        <v>1447</v>
      </c>
      <c r="M159" s="4" t="s">
        <v>156</v>
      </c>
      <c r="N159" s="43">
        <v>6.8</v>
      </c>
      <c r="O159" s="108">
        <v>1.4</v>
      </c>
      <c r="P159" s="4" t="s">
        <v>60</v>
      </c>
      <c r="Q159" s="4" t="s">
        <v>1058</v>
      </c>
      <c r="R159" s="43" t="s">
        <v>0</v>
      </c>
      <c r="S159" s="4">
        <v>34</v>
      </c>
      <c r="T159" s="4" t="s">
        <v>64</v>
      </c>
      <c r="U159" s="4">
        <v>5</v>
      </c>
      <c r="V159" s="4" t="s">
        <v>1407</v>
      </c>
      <c r="W159" s="4" t="s">
        <v>0</v>
      </c>
      <c r="X159" s="43" t="s">
        <v>1448</v>
      </c>
      <c r="Y159" s="4" t="s">
        <v>539</v>
      </c>
      <c r="Z159" s="43" t="s">
        <v>438</v>
      </c>
      <c r="AA159" s="43" t="s">
        <v>566</v>
      </c>
      <c r="AB159" s="42">
        <f>0.4+0.03+0.44</f>
        <v>0.87000000000000011</v>
      </c>
      <c r="AC159" s="42"/>
      <c r="AD159" s="138" t="s">
        <v>1449</v>
      </c>
      <c r="AE159" s="42" t="s">
        <v>0</v>
      </c>
      <c r="AF159" s="149" t="s">
        <v>0</v>
      </c>
      <c r="AG159" s="42" t="s">
        <v>1450</v>
      </c>
      <c r="AH159" s="42" t="s">
        <v>0</v>
      </c>
      <c r="AI159" s="42" t="s">
        <v>0</v>
      </c>
      <c r="AJ159" s="149" t="s">
        <v>0</v>
      </c>
      <c r="AK159" s="42">
        <v>0</v>
      </c>
      <c r="AL159" s="42" t="s">
        <v>0</v>
      </c>
      <c r="AM159" s="42" t="s">
        <v>0</v>
      </c>
      <c r="AN159" s="149" t="s">
        <v>0</v>
      </c>
      <c r="AO159" s="42">
        <v>0</v>
      </c>
      <c r="AP159" s="42" t="s">
        <v>0</v>
      </c>
      <c r="AQ159" s="42" t="s">
        <v>0</v>
      </c>
      <c r="AR159" s="43" t="s">
        <v>0</v>
      </c>
      <c r="AS159" s="42" t="s">
        <v>64</v>
      </c>
      <c r="AT159" s="42"/>
      <c r="AU159" s="42"/>
    </row>
    <row r="160" spans="1:47" x14ac:dyDescent="0.25">
      <c r="A160" s="43" t="s">
        <v>1654</v>
      </c>
      <c r="B160" s="4" t="s">
        <v>2</v>
      </c>
      <c r="C160" s="43" t="s">
        <v>1451</v>
      </c>
      <c r="D160" s="4" t="s">
        <v>1153</v>
      </c>
      <c r="E160" s="4" t="s">
        <v>1023</v>
      </c>
      <c r="F160" s="4" t="s">
        <v>69</v>
      </c>
      <c r="G160" s="4" t="s">
        <v>69</v>
      </c>
      <c r="H160" s="4" t="s">
        <v>0</v>
      </c>
      <c r="I160" s="4">
        <v>0.55000000000000004</v>
      </c>
      <c r="J160" s="43">
        <f>76-59</f>
        <v>17</v>
      </c>
      <c r="K160" s="4" t="s">
        <v>57</v>
      </c>
      <c r="L160" s="4" t="s">
        <v>1452</v>
      </c>
      <c r="M160" s="4" t="s">
        <v>156</v>
      </c>
      <c r="N160" s="43">
        <v>6</v>
      </c>
      <c r="O160" s="108">
        <v>1.6</v>
      </c>
      <c r="P160" s="4" t="s">
        <v>60</v>
      </c>
      <c r="Q160" s="4" t="s">
        <v>1058</v>
      </c>
      <c r="R160" s="43" t="s">
        <v>0</v>
      </c>
      <c r="S160" s="4">
        <v>34</v>
      </c>
      <c r="T160" s="4" t="s">
        <v>64</v>
      </c>
      <c r="U160" s="4">
        <v>5</v>
      </c>
      <c r="V160" s="4" t="s">
        <v>1407</v>
      </c>
      <c r="W160" s="4" t="s">
        <v>0</v>
      </c>
      <c r="X160" s="43" t="s">
        <v>1448</v>
      </c>
      <c r="Y160" s="4" t="s">
        <v>539</v>
      </c>
      <c r="Z160" s="43" t="s">
        <v>438</v>
      </c>
      <c r="AA160" s="43" t="s">
        <v>566</v>
      </c>
      <c r="AB160" s="42">
        <f>0.15+4.45+0.16+1.33</f>
        <v>6.0900000000000007</v>
      </c>
      <c r="AC160" s="42"/>
      <c r="AD160" s="138" t="s">
        <v>1453</v>
      </c>
      <c r="AE160" s="42" t="s">
        <v>0</v>
      </c>
      <c r="AF160" s="149" t="s">
        <v>0</v>
      </c>
      <c r="AG160" s="42" t="s">
        <v>1454</v>
      </c>
      <c r="AH160" s="42" t="s">
        <v>0</v>
      </c>
      <c r="AI160" s="42" t="s">
        <v>0</v>
      </c>
      <c r="AJ160" s="149" t="s">
        <v>0</v>
      </c>
      <c r="AK160" s="42">
        <v>0.15</v>
      </c>
      <c r="AL160" s="42" t="s">
        <v>0</v>
      </c>
      <c r="AM160" s="42" t="s">
        <v>0</v>
      </c>
      <c r="AN160" s="149" t="s">
        <v>0</v>
      </c>
      <c r="AO160" s="42">
        <v>0.1</v>
      </c>
      <c r="AP160" s="42" t="s">
        <v>0</v>
      </c>
      <c r="AQ160" s="42" t="s">
        <v>0</v>
      </c>
      <c r="AR160" s="43" t="s">
        <v>0</v>
      </c>
      <c r="AS160" s="42" t="s">
        <v>64</v>
      </c>
      <c r="AT160" s="42"/>
      <c r="AU160" s="42"/>
    </row>
    <row r="161" spans="1:47" x14ac:dyDescent="0.25">
      <c r="A161" s="43" t="s">
        <v>1654</v>
      </c>
      <c r="B161" s="4" t="s">
        <v>2</v>
      </c>
      <c r="C161" s="43" t="s">
        <v>1455</v>
      </c>
      <c r="D161" s="4" t="s">
        <v>1153</v>
      </c>
      <c r="E161" s="4" t="s">
        <v>1023</v>
      </c>
      <c r="F161" s="4" t="s">
        <v>69</v>
      </c>
      <c r="G161" s="4" t="s">
        <v>69</v>
      </c>
      <c r="H161" s="4" t="s">
        <v>0</v>
      </c>
      <c r="I161" s="4">
        <v>0.55000000000000004</v>
      </c>
      <c r="J161" s="43">
        <f>84-76</f>
        <v>8</v>
      </c>
      <c r="K161" s="4" t="s">
        <v>57</v>
      </c>
      <c r="L161" s="4" t="s">
        <v>1456</v>
      </c>
      <c r="M161" s="4" t="s">
        <v>156</v>
      </c>
      <c r="N161" s="43">
        <v>5.7</v>
      </c>
      <c r="O161" s="108">
        <v>1.6</v>
      </c>
      <c r="P161" s="4" t="s">
        <v>60</v>
      </c>
      <c r="Q161" s="4" t="s">
        <v>1058</v>
      </c>
      <c r="R161" s="43" t="s">
        <v>0</v>
      </c>
      <c r="S161" s="4">
        <v>34</v>
      </c>
      <c r="T161" s="4" t="s">
        <v>64</v>
      </c>
      <c r="U161" s="4">
        <v>5</v>
      </c>
      <c r="V161" s="4" t="s">
        <v>1407</v>
      </c>
      <c r="W161" s="4" t="s">
        <v>0</v>
      </c>
      <c r="X161" s="43" t="s">
        <v>1448</v>
      </c>
      <c r="Y161" s="4" t="s">
        <v>539</v>
      </c>
      <c r="Z161" s="43" t="s">
        <v>438</v>
      </c>
      <c r="AA161" s="43" t="s">
        <v>566</v>
      </c>
      <c r="AB161" s="42">
        <f>0.91+3.69+0.49+1.59</f>
        <v>6.68</v>
      </c>
      <c r="AC161" s="42"/>
      <c r="AD161" s="138" t="s">
        <v>1457</v>
      </c>
      <c r="AE161" s="42" t="s">
        <v>0</v>
      </c>
      <c r="AF161" s="149" t="s">
        <v>0</v>
      </c>
      <c r="AG161" s="42" t="s">
        <v>1458</v>
      </c>
      <c r="AH161" s="42" t="s">
        <v>0</v>
      </c>
      <c r="AI161" s="42" t="s">
        <v>0</v>
      </c>
      <c r="AJ161" s="149" t="s">
        <v>0</v>
      </c>
      <c r="AK161" s="42">
        <v>0.91</v>
      </c>
      <c r="AL161" s="42" t="s">
        <v>0</v>
      </c>
      <c r="AM161" s="42" t="s">
        <v>0</v>
      </c>
      <c r="AN161" s="149" t="s">
        <v>0</v>
      </c>
      <c r="AO161" s="42">
        <v>0.6</v>
      </c>
      <c r="AP161" s="42" t="s">
        <v>0</v>
      </c>
      <c r="AQ161" s="42" t="s">
        <v>0</v>
      </c>
      <c r="AR161" s="43" t="s">
        <v>0</v>
      </c>
      <c r="AS161" s="42" t="s">
        <v>64</v>
      </c>
      <c r="AT161" s="42"/>
      <c r="AU161" s="42"/>
    </row>
    <row r="162" spans="1:47" x14ac:dyDescent="0.25">
      <c r="A162" s="43" t="s">
        <v>1654</v>
      </c>
      <c r="B162" s="4" t="s">
        <v>2</v>
      </c>
      <c r="C162" s="43" t="s">
        <v>1459</v>
      </c>
      <c r="D162" s="4" t="s">
        <v>1153</v>
      </c>
      <c r="E162" s="4" t="s">
        <v>1023</v>
      </c>
      <c r="F162" s="4" t="s">
        <v>1123</v>
      </c>
      <c r="G162" s="4" t="s">
        <v>69</v>
      </c>
      <c r="H162" s="4" t="s">
        <v>0</v>
      </c>
      <c r="I162" s="4">
        <v>0.55000000000000004</v>
      </c>
      <c r="J162" s="43">
        <f>112-84</f>
        <v>28</v>
      </c>
      <c r="K162" s="4" t="s">
        <v>57</v>
      </c>
      <c r="L162" s="4" t="s">
        <v>1456</v>
      </c>
      <c r="M162" s="4" t="s">
        <v>156</v>
      </c>
      <c r="N162" s="43">
        <v>5.9</v>
      </c>
      <c r="O162" s="108">
        <v>1.6</v>
      </c>
      <c r="P162" s="4" t="s">
        <v>60</v>
      </c>
      <c r="Q162" s="4" t="s">
        <v>1058</v>
      </c>
      <c r="R162" s="43" t="s">
        <v>0</v>
      </c>
      <c r="S162" s="4">
        <v>34</v>
      </c>
      <c r="T162" s="4" t="s">
        <v>64</v>
      </c>
      <c r="U162" s="4">
        <v>5</v>
      </c>
      <c r="V162" s="4" t="s">
        <v>1407</v>
      </c>
      <c r="W162" s="4" t="s">
        <v>0</v>
      </c>
      <c r="X162" s="43" t="s">
        <v>1448</v>
      </c>
      <c r="Y162" s="4" t="s">
        <v>539</v>
      </c>
      <c r="Z162" s="43" t="s">
        <v>438</v>
      </c>
      <c r="AA162" s="43" t="s">
        <v>566</v>
      </c>
      <c r="AB162" s="42">
        <f>0.56+0.08+0.63+0.2</f>
        <v>1.47</v>
      </c>
      <c r="AC162" s="42"/>
      <c r="AD162" s="138" t="s">
        <v>1460</v>
      </c>
      <c r="AE162" s="42" t="s">
        <v>0</v>
      </c>
      <c r="AF162" s="149" t="s">
        <v>0</v>
      </c>
      <c r="AG162" s="42" t="s">
        <v>1461</v>
      </c>
      <c r="AH162" s="42" t="s">
        <v>0</v>
      </c>
      <c r="AI162" s="42" t="s">
        <v>0</v>
      </c>
      <c r="AJ162" s="149" t="s">
        <v>0</v>
      </c>
      <c r="AK162" s="42">
        <v>0.2</v>
      </c>
      <c r="AL162" s="42" t="s">
        <v>0</v>
      </c>
      <c r="AM162" s="42" t="s">
        <v>0</v>
      </c>
      <c r="AN162" s="149" t="s">
        <v>0</v>
      </c>
      <c r="AO162" s="42">
        <v>1</v>
      </c>
      <c r="AP162" s="42" t="s">
        <v>0</v>
      </c>
      <c r="AQ162" s="42" t="s">
        <v>0</v>
      </c>
      <c r="AR162" s="43" t="s">
        <v>0</v>
      </c>
      <c r="AS162" s="42" t="s">
        <v>64</v>
      </c>
      <c r="AT162" s="42"/>
      <c r="AU162" s="42"/>
    </row>
    <row r="163" spans="1:47" x14ac:dyDescent="0.25">
      <c r="A163" s="43" t="s">
        <v>1654</v>
      </c>
      <c r="B163" s="4" t="s">
        <v>2</v>
      </c>
      <c r="C163" s="43" t="s">
        <v>1462</v>
      </c>
      <c r="D163" s="4" t="s">
        <v>1153</v>
      </c>
      <c r="E163" s="4" t="s">
        <v>1023</v>
      </c>
      <c r="F163" s="4" t="s">
        <v>1123</v>
      </c>
      <c r="G163" s="4" t="s">
        <v>69</v>
      </c>
      <c r="H163" s="4" t="s">
        <v>0</v>
      </c>
      <c r="I163" s="4">
        <v>0.55000000000000004</v>
      </c>
      <c r="J163" s="43">
        <f>120-112</f>
        <v>8</v>
      </c>
      <c r="K163" s="4" t="s">
        <v>57</v>
      </c>
      <c r="L163" s="4" t="s">
        <v>1463</v>
      </c>
      <c r="M163" s="4" t="s">
        <v>156</v>
      </c>
      <c r="N163" s="43">
        <v>6.4</v>
      </c>
      <c r="O163" s="108">
        <v>1.6</v>
      </c>
      <c r="P163" s="4" t="s">
        <v>60</v>
      </c>
      <c r="Q163" s="4" t="s">
        <v>1058</v>
      </c>
      <c r="R163" s="43" t="s">
        <v>0</v>
      </c>
      <c r="S163" s="4">
        <v>34</v>
      </c>
      <c r="T163" s="4" t="s">
        <v>64</v>
      </c>
      <c r="U163" s="4">
        <v>5</v>
      </c>
      <c r="V163" s="4" t="s">
        <v>1407</v>
      </c>
      <c r="W163" s="4" t="s">
        <v>0</v>
      </c>
      <c r="X163" s="43" t="s">
        <v>1448</v>
      </c>
      <c r="Y163" s="4" t="s">
        <v>539</v>
      </c>
      <c r="Z163" s="43" t="s">
        <v>438</v>
      </c>
      <c r="AA163" s="43" t="s">
        <v>566</v>
      </c>
      <c r="AB163" s="42">
        <f>0.17+0.05+0.05+0.61</f>
        <v>0.88</v>
      </c>
      <c r="AC163" s="42"/>
      <c r="AD163" s="138" t="s">
        <v>1464</v>
      </c>
      <c r="AE163" s="42" t="s">
        <v>0</v>
      </c>
      <c r="AF163" s="149" t="s">
        <v>0</v>
      </c>
      <c r="AG163" s="42" t="s">
        <v>1465</v>
      </c>
      <c r="AH163" s="42" t="s">
        <v>0</v>
      </c>
      <c r="AI163" s="42" t="s">
        <v>0</v>
      </c>
      <c r="AJ163" s="149" t="s">
        <v>0</v>
      </c>
      <c r="AK163" s="42">
        <v>0.05</v>
      </c>
      <c r="AL163" s="42" t="s">
        <v>0</v>
      </c>
      <c r="AM163" s="42" t="s">
        <v>0</v>
      </c>
      <c r="AN163" s="149" t="s">
        <v>0</v>
      </c>
      <c r="AO163" s="42">
        <v>1.3</v>
      </c>
      <c r="AP163" s="42" t="s">
        <v>0</v>
      </c>
      <c r="AQ163" s="42" t="s">
        <v>0</v>
      </c>
      <c r="AR163" s="43" t="s">
        <v>0</v>
      </c>
      <c r="AS163" s="42" t="s">
        <v>64</v>
      </c>
      <c r="AT163" s="42"/>
      <c r="AU163" s="42"/>
    </row>
    <row r="164" spans="1:47" x14ac:dyDescent="0.25">
      <c r="A164" s="43" t="s">
        <v>1654</v>
      </c>
      <c r="B164" s="4" t="s">
        <v>2</v>
      </c>
      <c r="C164" s="43" t="s">
        <v>1466</v>
      </c>
      <c r="D164" s="4" t="s">
        <v>1153</v>
      </c>
      <c r="E164" s="4" t="s">
        <v>1023</v>
      </c>
      <c r="F164" s="4" t="s">
        <v>1123</v>
      </c>
      <c r="G164" s="4" t="s">
        <v>69</v>
      </c>
      <c r="H164" s="4" t="s">
        <v>0</v>
      </c>
      <c r="I164" s="4">
        <v>0.55000000000000004</v>
      </c>
      <c r="J164" s="43">
        <f>146-120</f>
        <v>26</v>
      </c>
      <c r="K164" s="4" t="s">
        <v>57</v>
      </c>
      <c r="L164" s="4" t="s">
        <v>1467</v>
      </c>
      <c r="M164" s="4" t="s">
        <v>156</v>
      </c>
      <c r="N164" s="43">
        <v>7.9</v>
      </c>
      <c r="O164" s="108">
        <v>1.5</v>
      </c>
      <c r="P164" s="4" t="s">
        <v>60</v>
      </c>
      <c r="Q164" s="4" t="s">
        <v>1058</v>
      </c>
      <c r="R164" s="43" t="s">
        <v>0</v>
      </c>
      <c r="S164" s="4">
        <v>34</v>
      </c>
      <c r="T164" s="4" t="s">
        <v>64</v>
      </c>
      <c r="U164" s="4">
        <v>5</v>
      </c>
      <c r="V164" s="4" t="s">
        <v>1407</v>
      </c>
      <c r="W164" s="4" t="s">
        <v>0</v>
      </c>
      <c r="X164" s="43" t="s">
        <v>1448</v>
      </c>
      <c r="Y164" s="4" t="s">
        <v>539</v>
      </c>
      <c r="Z164" s="43" t="s">
        <v>438</v>
      </c>
      <c r="AA164" s="43" t="s">
        <v>566</v>
      </c>
      <c r="AB164" s="42">
        <f>0.04+0.17+0.21+0.57</f>
        <v>0.99</v>
      </c>
      <c r="AC164" s="42"/>
      <c r="AD164" s="138" t="s">
        <v>1468</v>
      </c>
      <c r="AE164" s="42" t="s">
        <v>0</v>
      </c>
      <c r="AF164" s="149" t="s">
        <v>0</v>
      </c>
      <c r="AG164" s="42" t="s">
        <v>1469</v>
      </c>
      <c r="AH164" s="42" t="s">
        <v>0</v>
      </c>
      <c r="AI164" s="42" t="s">
        <v>0</v>
      </c>
      <c r="AJ164" s="149" t="s">
        <v>0</v>
      </c>
      <c r="AK164" s="42">
        <v>0.04</v>
      </c>
      <c r="AL164" s="42" t="s">
        <v>0</v>
      </c>
      <c r="AM164" s="42" t="s">
        <v>0</v>
      </c>
      <c r="AN164" s="149" t="s">
        <v>0</v>
      </c>
      <c r="AO164" s="42">
        <v>2.4</v>
      </c>
      <c r="AP164" s="42" t="s">
        <v>0</v>
      </c>
      <c r="AQ164" s="42" t="s">
        <v>0</v>
      </c>
      <c r="AR164" s="43" t="s">
        <v>0</v>
      </c>
      <c r="AS164" s="42" t="s">
        <v>64</v>
      </c>
      <c r="AT164" s="42"/>
      <c r="AU164" s="42"/>
    </row>
    <row r="165" spans="1:47" x14ac:dyDescent="0.25">
      <c r="A165" s="43" t="s">
        <v>1654</v>
      </c>
      <c r="B165" s="4" t="s">
        <v>2</v>
      </c>
      <c r="C165" s="43" t="s">
        <v>1470</v>
      </c>
      <c r="D165" s="4" t="s">
        <v>1153</v>
      </c>
      <c r="E165" s="4" t="s">
        <v>1023</v>
      </c>
      <c r="F165" s="4" t="s">
        <v>1123</v>
      </c>
      <c r="G165" s="4" t="s">
        <v>69</v>
      </c>
      <c r="H165" s="4" t="s">
        <v>0</v>
      </c>
      <c r="I165" s="4">
        <v>0.55000000000000004</v>
      </c>
      <c r="J165" s="43">
        <f>162-146</f>
        <v>16</v>
      </c>
      <c r="K165" s="4" t="s">
        <v>57</v>
      </c>
      <c r="L165" s="4" t="s">
        <v>1471</v>
      </c>
      <c r="M165" s="4" t="s">
        <v>156</v>
      </c>
      <c r="N165" s="43">
        <v>9.1999999999999993</v>
      </c>
      <c r="O165" s="108">
        <v>1.6</v>
      </c>
      <c r="P165" s="4" t="s">
        <v>60</v>
      </c>
      <c r="Q165" s="4" t="s">
        <v>1058</v>
      </c>
      <c r="R165" s="43" t="s">
        <v>0</v>
      </c>
      <c r="S165" s="4">
        <v>34</v>
      </c>
      <c r="T165" s="4" t="s">
        <v>64</v>
      </c>
      <c r="U165" s="4">
        <v>5</v>
      </c>
      <c r="V165" s="4" t="s">
        <v>1407</v>
      </c>
      <c r="W165" s="4" t="s">
        <v>0</v>
      </c>
      <c r="X165" s="43" t="s">
        <v>1448</v>
      </c>
      <c r="Y165" s="4" t="s">
        <v>539</v>
      </c>
      <c r="Z165" s="43" t="s">
        <v>1369</v>
      </c>
      <c r="AA165" s="43" t="s">
        <v>566</v>
      </c>
      <c r="AB165" s="42">
        <f>0.06+0.27+0.19+0.57</f>
        <v>1.0899999999999999</v>
      </c>
      <c r="AC165" s="42"/>
      <c r="AD165" s="138" t="s">
        <v>1472</v>
      </c>
      <c r="AE165" s="42" t="s">
        <v>0</v>
      </c>
      <c r="AF165" s="149" t="s">
        <v>0</v>
      </c>
      <c r="AG165" s="42" t="s">
        <v>1473</v>
      </c>
      <c r="AH165" s="42" t="s">
        <v>0</v>
      </c>
      <c r="AI165" s="42" t="s">
        <v>0</v>
      </c>
      <c r="AJ165" s="149" t="s">
        <v>0</v>
      </c>
      <c r="AK165" s="42">
        <v>0.06</v>
      </c>
      <c r="AL165" s="42" t="s">
        <v>0</v>
      </c>
      <c r="AM165" s="42" t="s">
        <v>0</v>
      </c>
      <c r="AN165" s="149" t="s">
        <v>0</v>
      </c>
      <c r="AO165" s="42">
        <v>3.8</v>
      </c>
      <c r="AP165" s="42" t="s">
        <v>0</v>
      </c>
      <c r="AQ165" s="42" t="s">
        <v>0</v>
      </c>
      <c r="AR165" s="43" t="s">
        <v>0</v>
      </c>
      <c r="AS165" s="42" t="s">
        <v>64</v>
      </c>
      <c r="AT165" s="42"/>
      <c r="AU165" s="42"/>
    </row>
    <row r="166" spans="1:47" x14ac:dyDescent="0.25">
      <c r="A166" s="43" t="s">
        <v>1654</v>
      </c>
      <c r="B166" s="4" t="s">
        <v>2</v>
      </c>
      <c r="C166" s="43" t="s">
        <v>1474</v>
      </c>
      <c r="D166" s="4" t="s">
        <v>1153</v>
      </c>
      <c r="E166" s="4" t="s">
        <v>1023</v>
      </c>
      <c r="F166" s="4" t="s">
        <v>1123</v>
      </c>
      <c r="G166" s="4" t="s">
        <v>69</v>
      </c>
      <c r="H166" s="4" t="s">
        <v>0</v>
      </c>
      <c r="I166" s="4">
        <v>0.55000000000000004</v>
      </c>
      <c r="J166" s="43">
        <f>176-162</f>
        <v>14</v>
      </c>
      <c r="K166" s="4" t="s">
        <v>57</v>
      </c>
      <c r="L166" s="4" t="s">
        <v>1475</v>
      </c>
      <c r="M166" s="4" t="s">
        <v>156</v>
      </c>
      <c r="N166" s="43">
        <v>12.4</v>
      </c>
      <c r="O166" s="108">
        <v>1.4</v>
      </c>
      <c r="P166" s="4" t="s">
        <v>60</v>
      </c>
      <c r="Q166" s="4" t="s">
        <v>1058</v>
      </c>
      <c r="R166" s="43" t="s">
        <v>0</v>
      </c>
      <c r="S166" s="4">
        <v>34</v>
      </c>
      <c r="T166" s="4" t="s">
        <v>64</v>
      </c>
      <c r="U166" s="4">
        <v>5</v>
      </c>
      <c r="V166" s="4" t="s">
        <v>1407</v>
      </c>
      <c r="W166" s="4" t="s">
        <v>0</v>
      </c>
      <c r="X166" s="43" t="s">
        <v>1448</v>
      </c>
      <c r="Y166" s="4" t="s">
        <v>539</v>
      </c>
      <c r="Z166" s="43" t="s">
        <v>1369</v>
      </c>
      <c r="AA166" s="43" t="s">
        <v>566</v>
      </c>
      <c r="AB166" s="42">
        <f>0.32+0.75+0.34+0.85</f>
        <v>2.2600000000000002</v>
      </c>
      <c r="AC166" s="42"/>
      <c r="AD166" s="138" t="s">
        <v>1476</v>
      </c>
      <c r="AE166" s="42" t="s">
        <v>0</v>
      </c>
      <c r="AF166" s="149" t="s">
        <v>0</v>
      </c>
      <c r="AG166" s="42" t="s">
        <v>1477</v>
      </c>
      <c r="AH166" s="42" t="s">
        <v>0</v>
      </c>
      <c r="AI166" s="42" t="s">
        <v>0</v>
      </c>
      <c r="AJ166" s="149" t="s">
        <v>0</v>
      </c>
      <c r="AK166" s="42">
        <v>0.32</v>
      </c>
      <c r="AL166" s="42" t="s">
        <v>0</v>
      </c>
      <c r="AM166" s="42" t="s">
        <v>0</v>
      </c>
      <c r="AN166" s="149" t="s">
        <v>0</v>
      </c>
      <c r="AO166" s="42">
        <v>3.3</v>
      </c>
      <c r="AP166" s="42" t="s">
        <v>0</v>
      </c>
      <c r="AQ166" s="42" t="s">
        <v>0</v>
      </c>
      <c r="AR166" s="43" t="s">
        <v>0</v>
      </c>
      <c r="AS166" s="42" t="s">
        <v>64</v>
      </c>
      <c r="AT166" s="42"/>
      <c r="AU166" s="42"/>
    </row>
    <row r="167" spans="1:47" x14ac:dyDescent="0.25">
      <c r="A167" s="43" t="s">
        <v>1654</v>
      </c>
      <c r="B167" s="4" t="s">
        <v>2</v>
      </c>
      <c r="C167" s="43" t="s">
        <v>1478</v>
      </c>
      <c r="D167" s="4" t="s">
        <v>1153</v>
      </c>
      <c r="E167" s="4" t="s">
        <v>1023</v>
      </c>
      <c r="F167" s="4" t="s">
        <v>1123</v>
      </c>
      <c r="G167" s="4" t="s">
        <v>69</v>
      </c>
      <c r="H167" s="4" t="s">
        <v>0</v>
      </c>
      <c r="I167" s="4">
        <v>0.55000000000000004</v>
      </c>
      <c r="J167" s="43">
        <f>193-176</f>
        <v>17</v>
      </c>
      <c r="K167" s="4" t="s">
        <v>57</v>
      </c>
      <c r="L167" s="4" t="s">
        <v>1479</v>
      </c>
      <c r="M167" s="4" t="s">
        <v>156</v>
      </c>
      <c r="N167" s="43">
        <v>17.7</v>
      </c>
      <c r="O167" s="108">
        <v>1.9</v>
      </c>
      <c r="P167" s="4" t="s">
        <v>60</v>
      </c>
      <c r="Q167" s="4" t="s">
        <v>1058</v>
      </c>
      <c r="R167" s="43" t="s">
        <v>0</v>
      </c>
      <c r="S167" s="4">
        <v>34</v>
      </c>
      <c r="T167" s="4" t="s">
        <v>64</v>
      </c>
      <c r="U167" s="4">
        <v>5</v>
      </c>
      <c r="V167" s="4" t="s">
        <v>1407</v>
      </c>
      <c r="W167" s="4" t="s">
        <v>0</v>
      </c>
      <c r="X167" s="43" t="s">
        <v>1448</v>
      </c>
      <c r="Y167" s="4" t="s">
        <v>539</v>
      </c>
      <c r="Z167" s="43" t="s">
        <v>1369</v>
      </c>
      <c r="AA167" s="43" t="s">
        <v>566</v>
      </c>
      <c r="AB167" s="42">
        <f>0.06+0.89+0.9+0.99</f>
        <v>2.84</v>
      </c>
      <c r="AC167" s="42"/>
      <c r="AD167" s="138" t="s">
        <v>1480</v>
      </c>
      <c r="AE167" s="42" t="s">
        <v>0</v>
      </c>
      <c r="AF167" s="149" t="s">
        <v>0</v>
      </c>
      <c r="AG167" s="42" t="s">
        <v>1481</v>
      </c>
      <c r="AH167" s="42" t="s">
        <v>0</v>
      </c>
      <c r="AI167" s="42" t="s">
        <v>0</v>
      </c>
      <c r="AJ167" s="149" t="s">
        <v>0</v>
      </c>
      <c r="AK167" s="42">
        <v>0.06</v>
      </c>
      <c r="AL167" s="42" t="s">
        <v>0</v>
      </c>
      <c r="AM167" s="42" t="s">
        <v>0</v>
      </c>
      <c r="AN167" s="149" t="s">
        <v>0</v>
      </c>
      <c r="AO167" s="42">
        <v>6.9</v>
      </c>
      <c r="AP167" s="42" t="s">
        <v>0</v>
      </c>
      <c r="AQ167" s="42" t="s">
        <v>0</v>
      </c>
      <c r="AR167" s="43" t="s">
        <v>0</v>
      </c>
      <c r="AS167" s="42" t="s">
        <v>64</v>
      </c>
      <c r="AT167" s="42"/>
      <c r="AU167" s="42"/>
    </row>
    <row r="168" spans="1:47" x14ac:dyDescent="0.25">
      <c r="A168" s="43" t="s">
        <v>1654</v>
      </c>
      <c r="B168" s="4" t="s">
        <v>2</v>
      </c>
      <c r="C168" s="43" t="s">
        <v>1482</v>
      </c>
      <c r="D168" s="4" t="s">
        <v>1153</v>
      </c>
      <c r="E168" s="4" t="s">
        <v>1023</v>
      </c>
      <c r="F168" s="4" t="s">
        <v>1123</v>
      </c>
      <c r="G168" s="4" t="s">
        <v>69</v>
      </c>
      <c r="H168" s="4" t="s">
        <v>0</v>
      </c>
      <c r="I168" s="4">
        <v>0.55000000000000004</v>
      </c>
      <c r="J168" s="43">
        <f>204-193</f>
        <v>11</v>
      </c>
      <c r="K168" s="4" t="s">
        <v>57</v>
      </c>
      <c r="L168" s="4" t="s">
        <v>1483</v>
      </c>
      <c r="M168" s="4" t="s">
        <v>156</v>
      </c>
      <c r="N168" s="43">
        <v>30.8</v>
      </c>
      <c r="O168" s="108">
        <v>1.3</v>
      </c>
      <c r="P168" s="4" t="s">
        <v>60</v>
      </c>
      <c r="Q168" s="4" t="s">
        <v>1058</v>
      </c>
      <c r="R168" s="43" t="s">
        <v>0</v>
      </c>
      <c r="S168" s="4">
        <v>34</v>
      </c>
      <c r="T168" s="4" t="s">
        <v>64</v>
      </c>
      <c r="U168" s="4">
        <v>5</v>
      </c>
      <c r="V168" s="4" t="s">
        <v>1407</v>
      </c>
      <c r="W168" s="4" t="s">
        <v>0</v>
      </c>
      <c r="X168" s="43" t="s">
        <v>1448</v>
      </c>
      <c r="Y168" s="4" t="s">
        <v>539</v>
      </c>
      <c r="Z168" s="43" t="s">
        <v>1369</v>
      </c>
      <c r="AA168" s="43" t="s">
        <v>566</v>
      </c>
      <c r="AB168" s="42">
        <f>0.05+2.81+2.85+1.6</f>
        <v>7.3100000000000005</v>
      </c>
      <c r="AC168" s="42"/>
      <c r="AD168" s="138" t="s">
        <v>1484</v>
      </c>
      <c r="AE168" s="42" t="s">
        <v>0</v>
      </c>
      <c r="AF168" s="149" t="s">
        <v>0</v>
      </c>
      <c r="AG168" s="42" t="s">
        <v>1485</v>
      </c>
      <c r="AH168" s="42" t="s">
        <v>0</v>
      </c>
      <c r="AI168" s="42" t="s">
        <v>0</v>
      </c>
      <c r="AJ168" s="149" t="s">
        <v>0</v>
      </c>
      <c r="AK168" s="42">
        <v>0.05</v>
      </c>
      <c r="AL168" s="42" t="s">
        <v>0</v>
      </c>
      <c r="AM168" s="42" t="s">
        <v>0</v>
      </c>
      <c r="AN168" s="149" t="s">
        <v>0</v>
      </c>
      <c r="AO168" s="42">
        <v>3</v>
      </c>
      <c r="AP168" s="42" t="s">
        <v>0</v>
      </c>
      <c r="AQ168" s="42" t="s">
        <v>0</v>
      </c>
      <c r="AR168" s="43" t="s">
        <v>0</v>
      </c>
      <c r="AS168" s="42" t="s">
        <v>64</v>
      </c>
      <c r="AT168" s="42"/>
      <c r="AU168" s="42"/>
    </row>
    <row r="169" spans="1:47" x14ac:dyDescent="0.25">
      <c r="A169" s="43" t="s">
        <v>1654</v>
      </c>
      <c r="B169" s="4" t="s">
        <v>2</v>
      </c>
      <c r="C169" s="43" t="s">
        <v>1486</v>
      </c>
      <c r="D169" s="4" t="s">
        <v>1153</v>
      </c>
      <c r="E169" s="4" t="s">
        <v>1023</v>
      </c>
      <c r="F169" s="4" t="s">
        <v>1123</v>
      </c>
      <c r="G169" s="4" t="s">
        <v>69</v>
      </c>
      <c r="H169" s="4" t="s">
        <v>0</v>
      </c>
      <c r="I169" s="4">
        <v>0.55000000000000004</v>
      </c>
      <c r="J169" s="43">
        <f>213-204</f>
        <v>9</v>
      </c>
      <c r="K169" s="4" t="s">
        <v>57</v>
      </c>
      <c r="L169" s="4" t="s">
        <v>1487</v>
      </c>
      <c r="M169" s="4" t="s">
        <v>156</v>
      </c>
      <c r="N169" s="43">
        <v>14.1</v>
      </c>
      <c r="O169" s="108">
        <v>1.2</v>
      </c>
      <c r="P169" s="4" t="s">
        <v>60</v>
      </c>
      <c r="Q169" s="4" t="s">
        <v>1058</v>
      </c>
      <c r="R169" s="43" t="s">
        <v>0</v>
      </c>
      <c r="S169" s="4">
        <v>34</v>
      </c>
      <c r="T169" s="4" t="s">
        <v>64</v>
      </c>
      <c r="U169" s="4">
        <v>5</v>
      </c>
      <c r="V169" s="4" t="s">
        <v>1407</v>
      </c>
      <c r="W169" s="4" t="s">
        <v>0</v>
      </c>
      <c r="X169" s="43" t="s">
        <v>1448</v>
      </c>
      <c r="Y169" s="4" t="s">
        <v>539</v>
      </c>
      <c r="Z169" s="43" t="s">
        <v>1369</v>
      </c>
      <c r="AA169" s="43" t="s">
        <v>566</v>
      </c>
      <c r="AB169" s="42">
        <f>0.03+0.87+1.78+1.22</f>
        <v>3.9000000000000004</v>
      </c>
      <c r="AC169" s="42"/>
      <c r="AD169" s="138" t="s">
        <v>1425</v>
      </c>
      <c r="AE169" s="42" t="s">
        <v>0</v>
      </c>
      <c r="AF169" s="149" t="s">
        <v>0</v>
      </c>
      <c r="AG169" s="42" t="s">
        <v>1488</v>
      </c>
      <c r="AH169" s="42" t="s">
        <v>0</v>
      </c>
      <c r="AI169" s="42" t="s">
        <v>0</v>
      </c>
      <c r="AJ169" s="149" t="s">
        <v>0</v>
      </c>
      <c r="AK169" s="42">
        <v>0.03</v>
      </c>
      <c r="AL169" s="42" t="s">
        <v>0</v>
      </c>
      <c r="AM169" s="42" t="s">
        <v>0</v>
      </c>
      <c r="AN169" s="149" t="s">
        <v>0</v>
      </c>
      <c r="AO169" s="42">
        <v>4.2</v>
      </c>
      <c r="AP169" s="42" t="s">
        <v>0</v>
      </c>
      <c r="AQ169" s="42" t="s">
        <v>0</v>
      </c>
      <c r="AR169" s="43" t="s">
        <v>0</v>
      </c>
      <c r="AS169" s="42" t="s">
        <v>64</v>
      </c>
      <c r="AT169" s="42"/>
      <c r="AU169" s="42"/>
    </row>
    <row r="170" spans="1:47" x14ac:dyDescent="0.25">
      <c r="A170" s="43" t="s">
        <v>1654</v>
      </c>
      <c r="B170" s="4" t="s">
        <v>2</v>
      </c>
      <c r="C170" s="43" t="s">
        <v>1489</v>
      </c>
      <c r="D170" s="4" t="s">
        <v>1153</v>
      </c>
      <c r="E170" s="4" t="s">
        <v>1023</v>
      </c>
      <c r="F170" s="4" t="s">
        <v>1123</v>
      </c>
      <c r="G170" s="4" t="s">
        <v>69</v>
      </c>
      <c r="H170" s="4" t="s">
        <v>0</v>
      </c>
      <c r="I170" s="4">
        <v>0.55000000000000004</v>
      </c>
      <c r="J170" s="43">
        <f>225-213</f>
        <v>12</v>
      </c>
      <c r="K170" s="4" t="s">
        <v>57</v>
      </c>
      <c r="L170" s="4" t="s">
        <v>1490</v>
      </c>
      <c r="M170" s="4" t="s">
        <v>156</v>
      </c>
      <c r="N170" s="43">
        <v>12.1</v>
      </c>
      <c r="O170" s="108">
        <v>1.3</v>
      </c>
      <c r="P170" s="4" t="s">
        <v>60</v>
      </c>
      <c r="Q170" s="4" t="s">
        <v>1058</v>
      </c>
      <c r="R170" s="43" t="s">
        <v>0</v>
      </c>
      <c r="S170" s="4">
        <v>34</v>
      </c>
      <c r="T170" s="4" t="s">
        <v>64</v>
      </c>
      <c r="U170" s="4">
        <v>5</v>
      </c>
      <c r="V170" s="4" t="s">
        <v>1407</v>
      </c>
      <c r="W170" s="4" t="s">
        <v>0</v>
      </c>
      <c r="X170" s="43" t="s">
        <v>1448</v>
      </c>
      <c r="Y170" s="4" t="s">
        <v>539</v>
      </c>
      <c r="Z170" s="43" t="s">
        <v>1369</v>
      </c>
      <c r="AA170" s="43" t="s">
        <v>566</v>
      </c>
      <c r="AB170" s="42">
        <f>0.47+1.33+0.74</f>
        <v>2.54</v>
      </c>
      <c r="AC170" s="42"/>
      <c r="AD170" s="138" t="s">
        <v>1449</v>
      </c>
      <c r="AE170" s="42" t="s">
        <v>0</v>
      </c>
      <c r="AF170" s="149" t="s">
        <v>0</v>
      </c>
      <c r="AG170" s="42" t="s">
        <v>1491</v>
      </c>
      <c r="AH170" s="42" t="s">
        <v>0</v>
      </c>
      <c r="AI170" s="42" t="s">
        <v>0</v>
      </c>
      <c r="AJ170" s="149" t="s">
        <v>0</v>
      </c>
      <c r="AK170" s="42">
        <v>0</v>
      </c>
      <c r="AL170" s="42" t="s">
        <v>0</v>
      </c>
      <c r="AM170" s="42" t="s">
        <v>0</v>
      </c>
      <c r="AN170" s="149" t="s">
        <v>0</v>
      </c>
      <c r="AO170" s="42">
        <v>1.5</v>
      </c>
      <c r="AP170" s="42" t="s">
        <v>0</v>
      </c>
      <c r="AQ170" s="42" t="s">
        <v>0</v>
      </c>
      <c r="AR170" s="43" t="s">
        <v>0</v>
      </c>
      <c r="AS170" s="42" t="s">
        <v>64</v>
      </c>
      <c r="AT170" s="42"/>
      <c r="AU170" s="42"/>
    </row>
    <row r="171" spans="1:47" x14ac:dyDescent="0.25">
      <c r="A171" s="47" t="s">
        <v>1655</v>
      </c>
      <c r="B171" s="8" t="s">
        <v>2</v>
      </c>
      <c r="C171" s="47" t="s">
        <v>1492</v>
      </c>
      <c r="D171" s="8" t="s">
        <v>1258</v>
      </c>
      <c r="E171" s="8" t="s">
        <v>1259</v>
      </c>
      <c r="F171" s="8" t="s">
        <v>69</v>
      </c>
      <c r="G171" s="8" t="s">
        <v>69</v>
      </c>
      <c r="H171" s="8" t="s">
        <v>0</v>
      </c>
      <c r="I171" s="8">
        <v>1</v>
      </c>
      <c r="J171" s="47">
        <v>27</v>
      </c>
      <c r="K171" s="8" t="s">
        <v>57</v>
      </c>
      <c r="L171" s="8" t="s">
        <v>1493</v>
      </c>
      <c r="M171" s="8" t="s">
        <v>123</v>
      </c>
      <c r="N171" s="157">
        <f>11.654/O171+79.13</f>
        <v>95.58270588235294</v>
      </c>
      <c r="O171" s="107">
        <f>17/24</f>
        <v>0.70833333333333337</v>
      </c>
      <c r="P171" s="8" t="s">
        <v>60</v>
      </c>
      <c r="Q171" s="8" t="s">
        <v>1058</v>
      </c>
      <c r="R171" s="47" t="s">
        <v>0</v>
      </c>
      <c r="S171" s="8">
        <v>30</v>
      </c>
      <c r="T171" s="8" t="s">
        <v>64</v>
      </c>
      <c r="U171" s="8">
        <v>6.8</v>
      </c>
      <c r="V171" s="8" t="s">
        <v>563</v>
      </c>
      <c r="W171" s="8" t="s">
        <v>0</v>
      </c>
      <c r="X171" s="47" t="s">
        <v>1494</v>
      </c>
      <c r="Y171" s="8" t="s">
        <v>0</v>
      </c>
      <c r="Z171" s="47" t="s">
        <v>1369</v>
      </c>
      <c r="AA171" s="47" t="s">
        <v>1495</v>
      </c>
      <c r="AB171" s="46">
        <v>39.79</v>
      </c>
      <c r="AC171" s="148">
        <v>19.59</v>
      </c>
      <c r="AD171" s="139" t="s">
        <v>1496</v>
      </c>
      <c r="AE171" s="46" t="s">
        <v>1497</v>
      </c>
      <c r="AF171" s="148" t="s">
        <v>1498</v>
      </c>
      <c r="AG171" s="46" t="s">
        <v>1499</v>
      </c>
      <c r="AH171" s="46" t="s">
        <v>1500</v>
      </c>
      <c r="AI171" s="46" t="s">
        <v>1500</v>
      </c>
      <c r="AJ171" s="148" t="s">
        <v>0</v>
      </c>
      <c r="AK171" s="125">
        <f>7.4*8*32/116</f>
        <v>16.331034482758621</v>
      </c>
      <c r="AL171" s="125">
        <v>2.8062</v>
      </c>
      <c r="AM171" s="125">
        <v>0.4889</v>
      </c>
      <c r="AN171" s="148" t="s">
        <v>0</v>
      </c>
      <c r="AO171" s="125">
        <f>10.8*8*32/116</f>
        <v>23.834482758620691</v>
      </c>
      <c r="AP171" s="125">
        <v>4.2092000000000001</v>
      </c>
      <c r="AQ171" s="125">
        <v>0.73329999999999995</v>
      </c>
      <c r="AR171" s="47" t="s">
        <v>0</v>
      </c>
      <c r="AS171" s="46" t="s">
        <v>69</v>
      </c>
      <c r="AT171" s="46"/>
      <c r="AU171" s="46"/>
    </row>
    <row r="172" spans="1:47" x14ac:dyDescent="0.25">
      <c r="A172" s="43" t="s">
        <v>1656</v>
      </c>
      <c r="B172" s="4" t="s">
        <v>2</v>
      </c>
      <c r="C172" s="43" t="s">
        <v>1657</v>
      </c>
      <c r="D172" s="4" t="s">
        <v>1111</v>
      </c>
      <c r="E172" s="4" t="s">
        <v>1259</v>
      </c>
      <c r="F172" s="4" t="s">
        <v>69</v>
      </c>
      <c r="G172" s="4" t="s">
        <v>69</v>
      </c>
      <c r="H172" s="4" t="s">
        <v>0</v>
      </c>
      <c r="I172" s="4">
        <v>1</v>
      </c>
      <c r="J172" s="43">
        <v>40</v>
      </c>
      <c r="K172" s="4" t="s">
        <v>57</v>
      </c>
      <c r="L172" s="4" t="s">
        <v>1502</v>
      </c>
      <c r="M172" s="4" t="s">
        <v>123</v>
      </c>
      <c r="N172" s="158">
        <f t="shared" ref="N172:N174" si="16">11.654/O172+39.687</f>
        <v>56.139705882352942</v>
      </c>
      <c r="O172" s="108">
        <f t="shared" ref="O172:O174" si="17">17/24</f>
        <v>0.70833333333333337</v>
      </c>
      <c r="P172" s="4" t="s">
        <v>60</v>
      </c>
      <c r="Q172" s="4" t="s">
        <v>1058</v>
      </c>
      <c r="R172" s="43" t="s">
        <v>0</v>
      </c>
      <c r="S172" s="4">
        <v>30</v>
      </c>
      <c r="T172" s="4" t="s">
        <v>64</v>
      </c>
      <c r="U172" s="4">
        <v>6.8</v>
      </c>
      <c r="V172" s="4" t="s">
        <v>563</v>
      </c>
      <c r="W172" s="4" t="s">
        <v>0</v>
      </c>
      <c r="X172" s="43" t="s">
        <v>1494</v>
      </c>
      <c r="Y172" s="4" t="s">
        <v>0</v>
      </c>
      <c r="Z172" s="43" t="s">
        <v>1369</v>
      </c>
      <c r="AA172" s="43" t="s">
        <v>1503</v>
      </c>
      <c r="AB172" s="42">
        <v>28.86</v>
      </c>
      <c r="AC172" s="149">
        <v>9.7799999999999994</v>
      </c>
      <c r="AD172" s="138" t="s">
        <v>1659</v>
      </c>
      <c r="AE172" s="42" t="s">
        <v>1660</v>
      </c>
      <c r="AF172" s="149" t="s">
        <v>1661</v>
      </c>
      <c r="AG172" s="42" t="s">
        <v>1504</v>
      </c>
      <c r="AH172" s="42" t="s">
        <v>1505</v>
      </c>
      <c r="AI172" s="42" t="s">
        <v>1666</v>
      </c>
      <c r="AJ172" s="149" t="s">
        <v>0</v>
      </c>
      <c r="AK172" s="126">
        <v>6.8608000000000002</v>
      </c>
      <c r="AL172" s="126">
        <v>2.6751999999999998</v>
      </c>
      <c r="AM172" s="126">
        <v>0.1008</v>
      </c>
      <c r="AN172" s="149" t="s">
        <v>0</v>
      </c>
      <c r="AO172" s="126">
        <f>4.6*8*32/116</f>
        <v>10.151724137931033</v>
      </c>
      <c r="AP172" s="126">
        <v>3.9753846153846153</v>
      </c>
      <c r="AQ172" s="126">
        <v>0.35</v>
      </c>
      <c r="AR172" s="43" t="s">
        <v>0</v>
      </c>
      <c r="AS172" s="42" t="s">
        <v>64</v>
      </c>
      <c r="AT172" s="42"/>
      <c r="AU172" s="42"/>
    </row>
    <row r="173" spans="1:47" x14ac:dyDescent="0.25">
      <c r="A173" s="43" t="s">
        <v>1656</v>
      </c>
      <c r="B173" s="4" t="s">
        <v>2</v>
      </c>
      <c r="C173" s="43" t="s">
        <v>1506</v>
      </c>
      <c r="D173" s="4" t="s">
        <v>1111</v>
      </c>
      <c r="E173" s="4" t="s">
        <v>1259</v>
      </c>
      <c r="F173" s="4" t="s">
        <v>69</v>
      </c>
      <c r="G173" s="4" t="s">
        <v>69</v>
      </c>
      <c r="H173" s="4" t="s">
        <v>0</v>
      </c>
      <c r="I173" s="4">
        <v>1</v>
      </c>
      <c r="J173" s="43">
        <v>13</v>
      </c>
      <c r="K173" s="4" t="s">
        <v>57</v>
      </c>
      <c r="L173" s="4" t="s">
        <v>1507</v>
      </c>
      <c r="M173" s="4" t="s">
        <v>123</v>
      </c>
      <c r="N173" s="158">
        <f t="shared" si="16"/>
        <v>56.139705882352942</v>
      </c>
      <c r="O173" s="108">
        <f t="shared" si="17"/>
        <v>0.70833333333333337</v>
      </c>
      <c r="P173" s="4" t="s">
        <v>60</v>
      </c>
      <c r="Q173" s="4" t="s">
        <v>1058</v>
      </c>
      <c r="R173" s="43" t="s">
        <v>0</v>
      </c>
      <c r="S173" s="4">
        <v>30</v>
      </c>
      <c r="T173" s="4" t="s">
        <v>64</v>
      </c>
      <c r="U173" s="4">
        <v>6.8</v>
      </c>
      <c r="V173" s="4" t="s">
        <v>563</v>
      </c>
      <c r="W173" s="4" t="s">
        <v>0</v>
      </c>
      <c r="X173" s="43" t="s">
        <v>1494</v>
      </c>
      <c r="Y173" s="4" t="s">
        <v>0</v>
      </c>
      <c r="Z173" s="43" t="s">
        <v>1369</v>
      </c>
      <c r="AA173" s="43" t="s">
        <v>1508</v>
      </c>
      <c r="AB173" s="42">
        <v>24.68</v>
      </c>
      <c r="AC173" s="149">
        <v>6.98</v>
      </c>
      <c r="AD173" s="138" t="s">
        <v>1662</v>
      </c>
      <c r="AE173" s="42" t="s">
        <v>1663</v>
      </c>
      <c r="AF173" s="149" t="s">
        <v>1664</v>
      </c>
      <c r="AG173" s="42" t="s">
        <v>1509</v>
      </c>
      <c r="AH173" s="42" t="s">
        <v>1510</v>
      </c>
      <c r="AI173" s="42" t="s">
        <v>1665</v>
      </c>
      <c r="AJ173" s="149" t="s">
        <v>0</v>
      </c>
      <c r="AK173" s="126">
        <v>4.7615999999999996</v>
      </c>
      <c r="AL173" s="126">
        <v>2.0064000000000002</v>
      </c>
      <c r="AM173" s="126">
        <v>0.2112</v>
      </c>
      <c r="AN173" s="149" t="s">
        <v>0</v>
      </c>
      <c r="AO173" s="126">
        <f>2.9*8*32/116</f>
        <v>6.3999999999999995</v>
      </c>
      <c r="AP173" s="126">
        <v>2.8061538461538458</v>
      </c>
      <c r="AQ173" s="126">
        <v>0.25</v>
      </c>
      <c r="AR173" s="43" t="s">
        <v>0</v>
      </c>
      <c r="AS173" s="42" t="s">
        <v>64</v>
      </c>
      <c r="AT173" s="42"/>
      <c r="AU173" s="42"/>
    </row>
    <row r="174" spans="1:47" x14ac:dyDescent="0.25">
      <c r="A174" s="43" t="s">
        <v>1656</v>
      </c>
      <c r="B174" s="4" t="s">
        <v>2</v>
      </c>
      <c r="C174" s="43" t="s">
        <v>1511</v>
      </c>
      <c r="D174" s="4" t="s">
        <v>1111</v>
      </c>
      <c r="E174" s="4" t="s">
        <v>1259</v>
      </c>
      <c r="F174" s="4" t="s">
        <v>69</v>
      </c>
      <c r="G174" s="4" t="s">
        <v>69</v>
      </c>
      <c r="H174" s="4" t="s">
        <v>0</v>
      </c>
      <c r="I174" s="4">
        <v>1</v>
      </c>
      <c r="J174" s="43">
        <f>224-211</f>
        <v>13</v>
      </c>
      <c r="K174" s="4" t="s">
        <v>57</v>
      </c>
      <c r="L174" s="4" t="s">
        <v>1512</v>
      </c>
      <c r="M174" s="4" t="s">
        <v>123</v>
      </c>
      <c r="N174" s="158">
        <f t="shared" si="16"/>
        <v>56.139705882352942</v>
      </c>
      <c r="O174" s="108">
        <f t="shared" si="17"/>
        <v>0.70833333333333337</v>
      </c>
      <c r="P174" s="4" t="s">
        <v>60</v>
      </c>
      <c r="Q174" s="4" t="s">
        <v>1058</v>
      </c>
      <c r="R174" s="43" t="s">
        <v>0</v>
      </c>
      <c r="S174" s="4">
        <v>30</v>
      </c>
      <c r="T174" s="4" t="s">
        <v>64</v>
      </c>
      <c r="U174" s="4">
        <v>6.8</v>
      </c>
      <c r="V174" s="4" t="s">
        <v>563</v>
      </c>
      <c r="W174" s="4" t="s">
        <v>0</v>
      </c>
      <c r="X174" s="43" t="s">
        <v>1494</v>
      </c>
      <c r="Y174" s="4" t="s">
        <v>0</v>
      </c>
      <c r="Z174" s="43" t="s">
        <v>1369</v>
      </c>
      <c r="AA174" s="43" t="s">
        <v>1513</v>
      </c>
      <c r="AB174" s="42" t="s">
        <v>1658</v>
      </c>
      <c r="AC174" s="149" t="s">
        <v>1658</v>
      </c>
      <c r="AD174" s="138" t="s">
        <v>0</v>
      </c>
      <c r="AE174" s="42" t="s">
        <v>0</v>
      </c>
      <c r="AF174" s="149" t="s">
        <v>0</v>
      </c>
      <c r="AG174" s="42" t="s">
        <v>0</v>
      </c>
      <c r="AH174" s="42" t="s">
        <v>0</v>
      </c>
      <c r="AI174" s="42" t="s">
        <v>0</v>
      </c>
      <c r="AJ174" s="149" t="s">
        <v>0</v>
      </c>
      <c r="AK174" s="42" t="s">
        <v>0</v>
      </c>
      <c r="AL174" s="42" t="s">
        <v>0</v>
      </c>
      <c r="AM174" s="42" t="s">
        <v>0</v>
      </c>
      <c r="AN174" s="149" t="s">
        <v>0</v>
      </c>
      <c r="AO174" s="42" t="s">
        <v>0</v>
      </c>
      <c r="AP174" s="42" t="s">
        <v>0</v>
      </c>
      <c r="AQ174" s="42" t="s">
        <v>0</v>
      </c>
      <c r="AR174" s="43" t="s">
        <v>0</v>
      </c>
      <c r="AS174" s="42" t="s">
        <v>64</v>
      </c>
      <c r="AT174" s="42"/>
      <c r="AU174" s="42"/>
    </row>
    <row r="175" spans="1:47" x14ac:dyDescent="0.25">
      <c r="A175" s="47" t="s">
        <v>824</v>
      </c>
      <c r="B175" s="8" t="s">
        <v>2</v>
      </c>
      <c r="C175" s="47" t="s">
        <v>1514</v>
      </c>
      <c r="D175" s="8" t="s">
        <v>1515</v>
      </c>
      <c r="E175" s="8" t="s">
        <v>1023</v>
      </c>
      <c r="F175" s="8" t="s">
        <v>69</v>
      </c>
      <c r="G175" s="8" t="s">
        <v>69</v>
      </c>
      <c r="H175" s="8" t="s">
        <v>0</v>
      </c>
      <c r="I175" s="8">
        <v>17.3</v>
      </c>
      <c r="J175" s="47">
        <v>120</v>
      </c>
      <c r="K175" s="8" t="s">
        <v>57</v>
      </c>
      <c r="L175" s="8" t="s">
        <v>1516</v>
      </c>
      <c r="M175" s="8" t="s">
        <v>123</v>
      </c>
      <c r="N175" s="47">
        <f>5.6+1.0688</f>
        <v>6.6687999999999992</v>
      </c>
      <c r="O175" s="107">
        <v>15</v>
      </c>
      <c r="P175" s="8" t="s">
        <v>60</v>
      </c>
      <c r="Q175" s="8" t="s">
        <v>319</v>
      </c>
      <c r="R175" s="47" t="s">
        <v>1667</v>
      </c>
      <c r="S175" s="8">
        <v>35</v>
      </c>
      <c r="T175" s="8" t="s">
        <v>64</v>
      </c>
      <c r="U175" s="8">
        <v>5.5</v>
      </c>
      <c r="V175" s="8" t="s">
        <v>1668</v>
      </c>
      <c r="W175" s="8" t="s">
        <v>0</v>
      </c>
      <c r="X175" s="47" t="s">
        <v>1669</v>
      </c>
      <c r="Y175" s="8" t="s">
        <v>558</v>
      </c>
      <c r="Z175" s="47" t="s">
        <v>438</v>
      </c>
      <c r="AA175" s="47" t="s">
        <v>823</v>
      </c>
      <c r="AB175" s="46" t="s">
        <v>1672</v>
      </c>
      <c r="AC175" s="148"/>
      <c r="AD175" s="8" t="s">
        <v>821</v>
      </c>
      <c r="AE175" s="8" t="s">
        <v>0</v>
      </c>
      <c r="AF175" s="150" t="s">
        <v>1670</v>
      </c>
      <c r="AG175" s="46" t="s">
        <v>0</v>
      </c>
      <c r="AH175" s="46" t="s">
        <v>0</v>
      </c>
      <c r="AI175" s="46" t="s">
        <v>0</v>
      </c>
      <c r="AJ175" s="148" t="s">
        <v>0</v>
      </c>
      <c r="AK175" s="23">
        <f>21.1*8*32/116</f>
        <v>46.565517241379311</v>
      </c>
      <c r="AL175" s="46" t="s">
        <v>0</v>
      </c>
      <c r="AM175" s="46">
        <v>0.51329999999999998</v>
      </c>
      <c r="AN175" s="148" t="s">
        <v>0</v>
      </c>
      <c r="AO175" s="125">
        <f>AK175/$O175</f>
        <v>3.1043678160919539</v>
      </c>
      <c r="AP175" s="125" t="s">
        <v>0</v>
      </c>
      <c r="AQ175" s="125">
        <f>AM175/$O175</f>
        <v>3.422E-2</v>
      </c>
      <c r="AR175" s="47" t="s">
        <v>0</v>
      </c>
      <c r="AS175" s="46" t="s">
        <v>64</v>
      </c>
      <c r="AT175" s="46"/>
      <c r="AU175" s="46"/>
    </row>
    <row r="176" spans="1:47" x14ac:dyDescent="0.25">
      <c r="A176" s="47" t="s">
        <v>824</v>
      </c>
      <c r="B176" s="8" t="s">
        <v>2</v>
      </c>
      <c r="C176" s="47" t="s">
        <v>573</v>
      </c>
      <c r="D176" s="8" t="s">
        <v>1515</v>
      </c>
      <c r="E176" s="8" t="s">
        <v>1023</v>
      </c>
      <c r="F176" s="8" t="s">
        <v>69</v>
      </c>
      <c r="G176" s="8" t="s">
        <v>69</v>
      </c>
      <c r="H176" s="8" t="s">
        <v>0</v>
      </c>
      <c r="I176" s="8">
        <v>18.2</v>
      </c>
      <c r="J176" s="47">
        <v>120</v>
      </c>
      <c r="K176" s="8" t="s">
        <v>57</v>
      </c>
      <c r="L176" s="8" t="s">
        <v>1516</v>
      </c>
      <c r="M176" s="8" t="s">
        <v>123</v>
      </c>
      <c r="N176" s="47">
        <f>5.6+1.0688</f>
        <v>6.6687999999999992</v>
      </c>
      <c r="O176" s="107">
        <v>15</v>
      </c>
      <c r="P176" s="8" t="s">
        <v>60</v>
      </c>
      <c r="Q176" s="8" t="s">
        <v>319</v>
      </c>
      <c r="R176" s="47" t="s">
        <v>1667</v>
      </c>
      <c r="S176" s="8">
        <v>35</v>
      </c>
      <c r="T176" s="8" t="s">
        <v>64</v>
      </c>
      <c r="U176" s="8">
        <v>5.5</v>
      </c>
      <c r="V176" s="8" t="s">
        <v>1668</v>
      </c>
      <c r="W176" s="8" t="s">
        <v>0</v>
      </c>
      <c r="X176" s="47" t="s">
        <v>1669</v>
      </c>
      <c r="Y176" s="8" t="s">
        <v>558</v>
      </c>
      <c r="Z176" s="47" t="s">
        <v>438</v>
      </c>
      <c r="AA176" s="47" t="s">
        <v>823</v>
      </c>
      <c r="AB176" s="46" t="s">
        <v>1672</v>
      </c>
      <c r="AC176" s="148"/>
      <c r="AD176" s="8" t="s">
        <v>822</v>
      </c>
      <c r="AE176" s="8" t="s">
        <v>0</v>
      </c>
      <c r="AF176" s="150" t="s">
        <v>1671</v>
      </c>
      <c r="AG176" s="46" t="s">
        <v>0</v>
      </c>
      <c r="AH176" s="46" t="s">
        <v>0</v>
      </c>
      <c r="AI176" s="46" t="s">
        <v>0</v>
      </c>
      <c r="AJ176" s="148" t="s">
        <v>0</v>
      </c>
      <c r="AK176" s="23">
        <f>14.4*8*32/116</f>
        <v>31.779310344827586</v>
      </c>
      <c r="AL176" s="46" t="s">
        <v>0</v>
      </c>
      <c r="AM176" s="46">
        <v>0.29330000000000001</v>
      </c>
      <c r="AN176" s="148" t="s">
        <v>0</v>
      </c>
      <c r="AO176" s="125">
        <f>AK176/O176</f>
        <v>2.1186206896551725</v>
      </c>
      <c r="AP176" s="125" t="s">
        <v>0</v>
      </c>
      <c r="AQ176" s="125">
        <f>AM176/$O176</f>
        <v>1.9553333333333332E-2</v>
      </c>
      <c r="AR176" s="47" t="s">
        <v>0</v>
      </c>
      <c r="AS176" s="46" t="s">
        <v>64</v>
      </c>
      <c r="AT176" s="46"/>
      <c r="AU176" s="46"/>
    </row>
    <row r="177" spans="1:47" x14ac:dyDescent="0.25">
      <c r="A177" s="43" t="s">
        <v>1673</v>
      </c>
      <c r="B177" s="4" t="s">
        <v>2</v>
      </c>
      <c r="C177" s="43" t="s">
        <v>1517</v>
      </c>
      <c r="D177" s="4" t="s">
        <v>1153</v>
      </c>
      <c r="E177" s="4" t="s">
        <v>1023</v>
      </c>
      <c r="F177" s="4" t="s">
        <v>1123</v>
      </c>
      <c r="G177" s="4" t="s">
        <v>1518</v>
      </c>
      <c r="H177" s="4" t="s">
        <v>0</v>
      </c>
      <c r="I177" s="4">
        <v>0.7</v>
      </c>
      <c r="J177" s="43">
        <f t="shared" ref="J177:J187" si="18">8*30.5</f>
        <v>244</v>
      </c>
      <c r="K177" s="4" t="s">
        <v>57</v>
      </c>
      <c r="L177" s="4" t="s">
        <v>1519</v>
      </c>
      <c r="M177" s="4" t="s">
        <v>123</v>
      </c>
      <c r="N177" s="43">
        <v>18.7</v>
      </c>
      <c r="O177" s="108">
        <v>1.2</v>
      </c>
      <c r="P177" s="4" t="s">
        <v>60</v>
      </c>
      <c r="Q177" s="4" t="s">
        <v>1058</v>
      </c>
      <c r="R177" s="43" t="s">
        <v>0</v>
      </c>
      <c r="S177" s="4">
        <v>30</v>
      </c>
      <c r="T177" s="4" t="s">
        <v>64</v>
      </c>
      <c r="U177" s="4">
        <v>5.26</v>
      </c>
      <c r="V177" s="4" t="s">
        <v>1407</v>
      </c>
      <c r="W177" s="4" t="s">
        <v>1068</v>
      </c>
      <c r="X177" s="43" t="s">
        <v>1520</v>
      </c>
      <c r="Y177" s="4" t="s">
        <v>539</v>
      </c>
      <c r="Z177" s="43" t="s">
        <v>1674</v>
      </c>
      <c r="AA177" s="43" t="s">
        <v>566</v>
      </c>
      <c r="AB177" s="42" t="s">
        <v>1643</v>
      </c>
      <c r="AC177" s="42"/>
      <c r="AD177" s="138" t="s">
        <v>1685</v>
      </c>
      <c r="AE177" s="42" t="s">
        <v>0</v>
      </c>
      <c r="AF177" s="149" t="s">
        <v>1695</v>
      </c>
      <c r="AG177" s="42" t="s">
        <v>1521</v>
      </c>
      <c r="AH177" s="42" t="s">
        <v>0</v>
      </c>
      <c r="AI177" s="42" t="s">
        <v>1522</v>
      </c>
      <c r="AJ177" s="149" t="s">
        <v>0</v>
      </c>
      <c r="AK177" s="42">
        <f>4.5/1000*32*8</f>
        <v>1.1519999999999999</v>
      </c>
      <c r="AL177" s="42" t="s">
        <v>0</v>
      </c>
      <c r="AM177" s="42">
        <f>1.5/1000*32*11</f>
        <v>0.52800000000000002</v>
      </c>
      <c r="AN177" s="149" t="s">
        <v>0</v>
      </c>
      <c r="AO177" s="42">
        <v>4.21</v>
      </c>
      <c r="AP177" s="42" t="s">
        <v>0</v>
      </c>
      <c r="AQ177" s="42">
        <v>12.8</v>
      </c>
      <c r="AR177" s="43" t="s">
        <v>0</v>
      </c>
      <c r="AS177" s="42" t="s">
        <v>64</v>
      </c>
      <c r="AT177" s="42"/>
      <c r="AU177" s="42"/>
    </row>
    <row r="178" spans="1:47" x14ac:dyDescent="0.25">
      <c r="A178" s="43" t="s">
        <v>1673</v>
      </c>
      <c r="B178" s="4" t="s">
        <v>2</v>
      </c>
      <c r="C178" s="43" t="s">
        <v>1517</v>
      </c>
      <c r="D178" s="4" t="s">
        <v>1153</v>
      </c>
      <c r="E178" s="4" t="s">
        <v>1023</v>
      </c>
      <c r="F178" s="4" t="s">
        <v>1123</v>
      </c>
      <c r="G178" s="4" t="s">
        <v>1518</v>
      </c>
      <c r="H178" s="4" t="s">
        <v>0</v>
      </c>
      <c r="I178" s="4">
        <v>0.7</v>
      </c>
      <c r="J178" s="43">
        <f t="shared" si="18"/>
        <v>244</v>
      </c>
      <c r="K178" s="4" t="s">
        <v>57</v>
      </c>
      <c r="L178" s="4" t="s">
        <v>1523</v>
      </c>
      <c r="M178" s="4" t="s">
        <v>123</v>
      </c>
      <c r="N178" s="43">
        <v>25.2</v>
      </c>
      <c r="O178" s="108">
        <v>1.17</v>
      </c>
      <c r="P178" s="4" t="s">
        <v>60</v>
      </c>
      <c r="Q178" s="4" t="s">
        <v>1058</v>
      </c>
      <c r="R178" s="43" t="s">
        <v>0</v>
      </c>
      <c r="S178" s="4">
        <v>30</v>
      </c>
      <c r="T178" s="4" t="s">
        <v>64</v>
      </c>
      <c r="U178" s="4">
        <v>6.26</v>
      </c>
      <c r="V178" s="4" t="s">
        <v>1407</v>
      </c>
      <c r="W178" s="4" t="s">
        <v>1068</v>
      </c>
      <c r="X178" s="43" t="s">
        <v>1520</v>
      </c>
      <c r="Y178" s="4" t="s">
        <v>539</v>
      </c>
      <c r="Z178" s="43" t="s">
        <v>1678</v>
      </c>
      <c r="AA178" s="43" t="s">
        <v>566</v>
      </c>
      <c r="AB178" s="42" t="s">
        <v>1643</v>
      </c>
      <c r="AC178" s="42"/>
      <c r="AD178" s="138" t="s">
        <v>1686</v>
      </c>
      <c r="AE178" s="42" t="s">
        <v>0</v>
      </c>
      <c r="AF178" s="149" t="s">
        <v>1696</v>
      </c>
      <c r="AG178" s="42" t="s">
        <v>1524</v>
      </c>
      <c r="AH178" s="42" t="s">
        <v>0</v>
      </c>
      <c r="AI178" s="42" t="s">
        <v>1525</v>
      </c>
      <c r="AJ178" s="149" t="s">
        <v>0</v>
      </c>
      <c r="AK178" s="42">
        <f>2.9/1000*32*8</f>
        <v>0.74239999999999995</v>
      </c>
      <c r="AL178" s="42" t="s">
        <v>0</v>
      </c>
      <c r="AM178" s="42">
        <f>1.4/1000*32*11</f>
        <v>0.49280000000000002</v>
      </c>
      <c r="AN178" s="149" t="s">
        <v>0</v>
      </c>
      <c r="AO178" s="42">
        <v>1.83</v>
      </c>
      <c r="AP178" s="42" t="s">
        <v>0</v>
      </c>
      <c r="AQ178" s="42">
        <v>10.8</v>
      </c>
      <c r="AR178" s="43" t="s">
        <v>0</v>
      </c>
      <c r="AS178" s="42" t="s">
        <v>64</v>
      </c>
      <c r="AT178" s="42"/>
      <c r="AU178" s="42"/>
    </row>
    <row r="179" spans="1:47" x14ac:dyDescent="0.25">
      <c r="A179" s="43" t="s">
        <v>1673</v>
      </c>
      <c r="B179" s="4" t="s">
        <v>2</v>
      </c>
      <c r="C179" s="43" t="s">
        <v>1517</v>
      </c>
      <c r="D179" s="4" t="s">
        <v>1153</v>
      </c>
      <c r="E179" s="4" t="s">
        <v>1023</v>
      </c>
      <c r="F179" s="4" t="s">
        <v>1123</v>
      </c>
      <c r="G179" s="4" t="s">
        <v>1518</v>
      </c>
      <c r="H179" s="4" t="s">
        <v>0</v>
      </c>
      <c r="I179" s="4">
        <v>0.7</v>
      </c>
      <c r="J179" s="43">
        <f t="shared" si="18"/>
        <v>244</v>
      </c>
      <c r="K179" s="4" t="s">
        <v>57</v>
      </c>
      <c r="L179" s="4" t="s">
        <v>1526</v>
      </c>
      <c r="M179" s="4" t="s">
        <v>123</v>
      </c>
      <c r="N179" s="43">
        <v>23.9</v>
      </c>
      <c r="O179" s="108">
        <v>1.27</v>
      </c>
      <c r="P179" s="4" t="s">
        <v>60</v>
      </c>
      <c r="Q179" s="4" t="s">
        <v>1058</v>
      </c>
      <c r="R179" s="43" t="s">
        <v>0</v>
      </c>
      <c r="S179" s="4">
        <v>30</v>
      </c>
      <c r="T179" s="4" t="s">
        <v>64</v>
      </c>
      <c r="U179" s="4">
        <v>7.26</v>
      </c>
      <c r="V179" s="4" t="s">
        <v>1407</v>
      </c>
      <c r="W179" s="4" t="s">
        <v>1068</v>
      </c>
      <c r="X179" s="43" t="s">
        <v>1520</v>
      </c>
      <c r="Y179" s="4" t="s">
        <v>539</v>
      </c>
      <c r="Z179" s="43" t="s">
        <v>1677</v>
      </c>
      <c r="AA179" s="43" t="s">
        <v>566</v>
      </c>
      <c r="AB179" s="42" t="s">
        <v>1643</v>
      </c>
      <c r="AC179" s="42"/>
      <c r="AD179" s="138" t="s">
        <v>1687</v>
      </c>
      <c r="AE179" s="42" t="s">
        <v>0</v>
      </c>
      <c r="AF179" s="149" t="s">
        <v>1689</v>
      </c>
      <c r="AG179" s="42" t="s">
        <v>1527</v>
      </c>
      <c r="AH179" s="42" t="s">
        <v>0</v>
      </c>
      <c r="AI179" s="42" t="s">
        <v>1528</v>
      </c>
      <c r="AJ179" s="149" t="s">
        <v>0</v>
      </c>
      <c r="AK179" s="42">
        <f>2.8/1000*32*8</f>
        <v>0.71679999999999999</v>
      </c>
      <c r="AL179" s="42" t="s">
        <v>0</v>
      </c>
      <c r="AM179" s="42">
        <f>0.9/1000*32*11</f>
        <v>0.31679999999999997</v>
      </c>
      <c r="AN179" s="149" t="s">
        <v>0</v>
      </c>
      <c r="AO179" s="42">
        <v>4.72</v>
      </c>
      <c r="AP179" s="42" t="s">
        <v>0</v>
      </c>
      <c r="AQ179" s="42">
        <v>9.1999999999999993</v>
      </c>
      <c r="AR179" s="43" t="s">
        <v>0</v>
      </c>
      <c r="AS179" s="42" t="s">
        <v>64</v>
      </c>
      <c r="AT179" s="42"/>
      <c r="AU179" s="42"/>
    </row>
    <row r="180" spans="1:47" x14ac:dyDescent="0.25">
      <c r="A180" s="43" t="s">
        <v>1673</v>
      </c>
      <c r="B180" s="4" t="s">
        <v>2</v>
      </c>
      <c r="C180" s="43" t="s">
        <v>1517</v>
      </c>
      <c r="D180" s="4" t="s">
        <v>1153</v>
      </c>
      <c r="E180" s="4" t="s">
        <v>1023</v>
      </c>
      <c r="F180" s="4" t="s">
        <v>1123</v>
      </c>
      <c r="G180" s="4" t="s">
        <v>1518</v>
      </c>
      <c r="H180" s="4" t="s">
        <v>0</v>
      </c>
      <c r="I180" s="4">
        <v>0.7</v>
      </c>
      <c r="J180" s="43">
        <f t="shared" si="18"/>
        <v>244</v>
      </c>
      <c r="K180" s="4" t="s">
        <v>57</v>
      </c>
      <c r="L180" s="4" t="s">
        <v>1529</v>
      </c>
      <c r="M180" s="4" t="s">
        <v>123</v>
      </c>
      <c r="N180" s="43">
        <v>28.2</v>
      </c>
      <c r="O180" s="108">
        <v>1.1599999999999999</v>
      </c>
      <c r="P180" s="4" t="s">
        <v>60</v>
      </c>
      <c r="Q180" s="4" t="s">
        <v>1058</v>
      </c>
      <c r="R180" s="43" t="s">
        <v>0</v>
      </c>
      <c r="S180" s="4">
        <v>30</v>
      </c>
      <c r="T180" s="4" t="s">
        <v>64</v>
      </c>
      <c r="U180" s="4">
        <v>8.26</v>
      </c>
      <c r="V180" s="4" t="s">
        <v>1407</v>
      </c>
      <c r="W180" s="4" t="s">
        <v>1068</v>
      </c>
      <c r="X180" s="43" t="s">
        <v>1520</v>
      </c>
      <c r="Y180" s="4" t="s">
        <v>539</v>
      </c>
      <c r="Z180" s="43" t="s">
        <v>1676</v>
      </c>
      <c r="AA180" s="43" t="s">
        <v>566</v>
      </c>
      <c r="AB180" s="42" t="s">
        <v>1643</v>
      </c>
      <c r="AC180" s="42"/>
      <c r="AD180" s="138" t="s">
        <v>1688</v>
      </c>
      <c r="AE180" s="42" t="s">
        <v>0</v>
      </c>
      <c r="AF180" s="149" t="s">
        <v>1697</v>
      </c>
      <c r="AG180" s="42" t="s">
        <v>1530</v>
      </c>
      <c r="AH180" s="42" t="s">
        <v>0</v>
      </c>
      <c r="AI180" s="42" t="s">
        <v>1531</v>
      </c>
      <c r="AJ180" s="149" t="s">
        <v>0</v>
      </c>
      <c r="AK180" s="42">
        <f>2.5/1000*32*8</f>
        <v>0.64</v>
      </c>
      <c r="AL180" s="42" t="s">
        <v>0</v>
      </c>
      <c r="AM180" s="42">
        <f>0.3/1000*32*11</f>
        <v>0.10559999999999999</v>
      </c>
      <c r="AN180" s="149" t="s">
        <v>0</v>
      </c>
      <c r="AO180" s="42">
        <v>9.93</v>
      </c>
      <c r="AP180" s="42" t="s">
        <v>0</v>
      </c>
      <c r="AQ180" s="42">
        <v>6.67</v>
      </c>
      <c r="AR180" s="43" t="s">
        <v>0</v>
      </c>
      <c r="AS180" s="42" t="s">
        <v>64</v>
      </c>
      <c r="AT180" s="42"/>
      <c r="AU180" s="42"/>
    </row>
    <row r="181" spans="1:47" x14ac:dyDescent="0.25">
      <c r="A181" s="43" t="s">
        <v>1673</v>
      </c>
      <c r="B181" s="4" t="s">
        <v>2</v>
      </c>
      <c r="C181" s="43" t="s">
        <v>1517</v>
      </c>
      <c r="D181" s="4" t="s">
        <v>1153</v>
      </c>
      <c r="E181" s="4" t="s">
        <v>1023</v>
      </c>
      <c r="F181" s="4" t="s">
        <v>1123</v>
      </c>
      <c r="G181" s="4" t="s">
        <v>1518</v>
      </c>
      <c r="H181" s="4" t="s">
        <v>0</v>
      </c>
      <c r="I181" s="4">
        <v>0.7</v>
      </c>
      <c r="J181" s="43">
        <f t="shared" si="18"/>
        <v>244</v>
      </c>
      <c r="K181" s="4" t="s">
        <v>57</v>
      </c>
      <c r="L181" s="4" t="s">
        <v>1532</v>
      </c>
      <c r="M181" s="4" t="s">
        <v>123</v>
      </c>
      <c r="N181" s="43">
        <v>25.2</v>
      </c>
      <c r="O181" s="108">
        <v>1.17</v>
      </c>
      <c r="P181" s="4" t="s">
        <v>60</v>
      </c>
      <c r="Q181" s="4" t="s">
        <v>1058</v>
      </c>
      <c r="R181" s="43" t="s">
        <v>0</v>
      </c>
      <c r="S181" s="4">
        <v>30</v>
      </c>
      <c r="T181" s="4" t="s">
        <v>64</v>
      </c>
      <c r="U181" s="4">
        <v>9.26</v>
      </c>
      <c r="V181" s="4" t="s">
        <v>1407</v>
      </c>
      <c r="W181" s="4" t="s">
        <v>1068</v>
      </c>
      <c r="X181" s="43" t="s">
        <v>1520</v>
      </c>
      <c r="Y181" s="4" t="s">
        <v>539</v>
      </c>
      <c r="Z181" s="43" t="s">
        <v>1675</v>
      </c>
      <c r="AA181" s="43" t="s">
        <v>566</v>
      </c>
      <c r="AB181" s="42" t="s">
        <v>1643</v>
      </c>
      <c r="AC181" s="42"/>
      <c r="AD181" s="138" t="s">
        <v>1689</v>
      </c>
      <c r="AE181" s="42" t="s">
        <v>0</v>
      </c>
      <c r="AF181" s="149">
        <v>0</v>
      </c>
      <c r="AG181" s="42" t="s">
        <v>1533</v>
      </c>
      <c r="AH181" s="42" t="s">
        <v>0</v>
      </c>
      <c r="AI181" s="42" t="s">
        <v>1534</v>
      </c>
      <c r="AJ181" s="149" t="s">
        <v>0</v>
      </c>
      <c r="AK181" s="42">
        <f>0.9/1000*32*8</f>
        <v>0.23039999999999999</v>
      </c>
      <c r="AL181" s="42" t="s">
        <v>0</v>
      </c>
      <c r="AM181" s="42">
        <v>0</v>
      </c>
      <c r="AN181" s="149" t="s">
        <v>0</v>
      </c>
      <c r="AO181" s="42">
        <v>7.22</v>
      </c>
      <c r="AP181" s="42" t="s">
        <v>0</v>
      </c>
      <c r="AQ181" s="42">
        <v>4.5199999999999996</v>
      </c>
      <c r="AR181" s="43" t="s">
        <v>0</v>
      </c>
      <c r="AS181" s="42" t="s">
        <v>64</v>
      </c>
      <c r="AT181" s="42"/>
      <c r="AU181" s="42"/>
    </row>
    <row r="182" spans="1:47" x14ac:dyDescent="0.25">
      <c r="A182" s="43" t="s">
        <v>1673</v>
      </c>
      <c r="B182" s="4" t="s">
        <v>2</v>
      </c>
      <c r="C182" s="43" t="s">
        <v>1517</v>
      </c>
      <c r="D182" s="4" t="s">
        <v>1153</v>
      </c>
      <c r="E182" s="4" t="s">
        <v>1023</v>
      </c>
      <c r="F182" s="4" t="s">
        <v>1123</v>
      </c>
      <c r="G182" s="4" t="s">
        <v>1518</v>
      </c>
      <c r="H182" s="4" t="s">
        <v>0</v>
      </c>
      <c r="I182" s="4">
        <v>0.7</v>
      </c>
      <c r="J182" s="43">
        <f t="shared" si="18"/>
        <v>244</v>
      </c>
      <c r="K182" s="4" t="s">
        <v>57</v>
      </c>
      <c r="L182" s="4" t="s">
        <v>1535</v>
      </c>
      <c r="M182" s="4" t="s">
        <v>123</v>
      </c>
      <c r="N182" s="43">
        <v>24.6</v>
      </c>
      <c r="O182" s="108">
        <v>1.2</v>
      </c>
      <c r="P182" s="4" t="s">
        <v>60</v>
      </c>
      <c r="Q182" s="4" t="s">
        <v>1058</v>
      </c>
      <c r="R182" s="43" t="s">
        <v>0</v>
      </c>
      <c r="S182" s="4">
        <v>30</v>
      </c>
      <c r="T182" s="4" t="s">
        <v>64</v>
      </c>
      <c r="U182" s="4">
        <v>10.26</v>
      </c>
      <c r="V182" s="4" t="s">
        <v>1407</v>
      </c>
      <c r="W182" s="4" t="s">
        <v>1068</v>
      </c>
      <c r="X182" s="43" t="s">
        <v>1520</v>
      </c>
      <c r="Y182" s="4" t="s">
        <v>539</v>
      </c>
      <c r="Z182" s="43" t="s">
        <v>1679</v>
      </c>
      <c r="AA182" s="43" t="s">
        <v>566</v>
      </c>
      <c r="AB182" s="42" t="s">
        <v>1643</v>
      </c>
      <c r="AC182" s="42"/>
      <c r="AD182" s="138" t="s">
        <v>1690</v>
      </c>
      <c r="AE182" s="42" t="s">
        <v>0</v>
      </c>
      <c r="AF182" s="149">
        <v>0</v>
      </c>
      <c r="AG182" s="42" t="s">
        <v>1536</v>
      </c>
      <c r="AH182" s="42" t="s">
        <v>0</v>
      </c>
      <c r="AI182" s="42" t="s">
        <v>1537</v>
      </c>
      <c r="AJ182" s="149" t="s">
        <v>0</v>
      </c>
      <c r="AK182" s="42">
        <f>0.5/1000*32*8</f>
        <v>0.128</v>
      </c>
      <c r="AL182" s="42" t="s">
        <v>0</v>
      </c>
      <c r="AM182" s="42">
        <v>0</v>
      </c>
      <c r="AN182" s="149" t="s">
        <v>0</v>
      </c>
      <c r="AO182" s="42">
        <v>7.11</v>
      </c>
      <c r="AP182" s="42" t="s">
        <v>0</v>
      </c>
      <c r="AQ182" s="42">
        <v>4.7</v>
      </c>
      <c r="AR182" s="43" t="s">
        <v>0</v>
      </c>
      <c r="AS182" s="42" t="s">
        <v>64</v>
      </c>
      <c r="AT182" s="42"/>
      <c r="AU182" s="42"/>
    </row>
    <row r="183" spans="1:47" x14ac:dyDescent="0.25">
      <c r="A183" s="43" t="s">
        <v>1673</v>
      </c>
      <c r="B183" s="4" t="s">
        <v>2</v>
      </c>
      <c r="C183" s="43" t="s">
        <v>1517</v>
      </c>
      <c r="D183" s="4" t="s">
        <v>1153</v>
      </c>
      <c r="E183" s="4" t="s">
        <v>1023</v>
      </c>
      <c r="F183" s="4" t="s">
        <v>1123</v>
      </c>
      <c r="G183" s="4" t="s">
        <v>1518</v>
      </c>
      <c r="H183" s="4" t="s">
        <v>0</v>
      </c>
      <c r="I183" s="4">
        <v>0.7</v>
      </c>
      <c r="J183" s="43">
        <f t="shared" si="18"/>
        <v>244</v>
      </c>
      <c r="K183" s="4" t="s">
        <v>57</v>
      </c>
      <c r="L183" s="4" t="s">
        <v>1538</v>
      </c>
      <c r="M183" s="4" t="s">
        <v>123</v>
      </c>
      <c r="N183" s="43">
        <v>23.3</v>
      </c>
      <c r="O183" s="108">
        <v>1.2</v>
      </c>
      <c r="P183" s="4" t="s">
        <v>60</v>
      </c>
      <c r="Q183" s="4" t="s">
        <v>1058</v>
      </c>
      <c r="R183" s="43" t="s">
        <v>0</v>
      </c>
      <c r="S183" s="4">
        <v>30</v>
      </c>
      <c r="T183" s="4" t="s">
        <v>64</v>
      </c>
      <c r="U183" s="4">
        <v>11.26</v>
      </c>
      <c r="V183" s="4" t="s">
        <v>1407</v>
      </c>
      <c r="W183" s="4" t="s">
        <v>1068</v>
      </c>
      <c r="X183" s="43" t="s">
        <v>1520</v>
      </c>
      <c r="Y183" s="4" t="s">
        <v>539</v>
      </c>
      <c r="Z183" s="43" t="s">
        <v>1680</v>
      </c>
      <c r="AA183" s="43" t="s">
        <v>566</v>
      </c>
      <c r="AB183" s="42" t="s">
        <v>1643</v>
      </c>
      <c r="AC183" s="42"/>
      <c r="AD183" s="138" t="s">
        <v>1691</v>
      </c>
      <c r="AE183" s="42" t="s">
        <v>0</v>
      </c>
      <c r="AF183" s="149">
        <v>0</v>
      </c>
      <c r="AG183" s="42" t="s">
        <v>1539</v>
      </c>
      <c r="AH183" s="42" t="s">
        <v>0</v>
      </c>
      <c r="AI183" s="42" t="s">
        <v>841</v>
      </c>
      <c r="AJ183" s="149" t="s">
        <v>0</v>
      </c>
      <c r="AK183" s="42">
        <f>0.4/1000*32*8</f>
        <v>0.1024</v>
      </c>
      <c r="AL183" s="42" t="s">
        <v>0</v>
      </c>
      <c r="AM183" s="42">
        <v>0</v>
      </c>
      <c r="AN183" s="149" t="s">
        <v>0</v>
      </c>
      <c r="AO183" s="42">
        <v>0.09</v>
      </c>
      <c r="AP183" s="42" t="s">
        <v>0</v>
      </c>
      <c r="AQ183" s="42">
        <v>0</v>
      </c>
      <c r="AR183" s="43" t="s">
        <v>0</v>
      </c>
      <c r="AS183" s="42" t="s">
        <v>64</v>
      </c>
      <c r="AT183" s="42"/>
      <c r="AU183" s="42"/>
    </row>
    <row r="184" spans="1:47" x14ac:dyDescent="0.25">
      <c r="A184" s="43" t="s">
        <v>1673</v>
      </c>
      <c r="B184" s="4" t="s">
        <v>2</v>
      </c>
      <c r="C184" s="43" t="s">
        <v>1517</v>
      </c>
      <c r="D184" s="4" t="s">
        <v>1153</v>
      </c>
      <c r="E184" s="4" t="s">
        <v>1023</v>
      </c>
      <c r="F184" s="4" t="s">
        <v>1123</v>
      </c>
      <c r="G184" s="4" t="s">
        <v>1518</v>
      </c>
      <c r="H184" s="4" t="s">
        <v>0</v>
      </c>
      <c r="I184" s="4">
        <v>0.7</v>
      </c>
      <c r="J184" s="43">
        <f t="shared" si="18"/>
        <v>244</v>
      </c>
      <c r="K184" s="4" t="s">
        <v>57</v>
      </c>
      <c r="L184" s="4" t="s">
        <v>1540</v>
      </c>
      <c r="M184" s="4" t="s">
        <v>123</v>
      </c>
      <c r="N184" s="43">
        <v>23.5</v>
      </c>
      <c r="O184" s="108">
        <v>1.1399999999999999</v>
      </c>
      <c r="P184" s="4" t="s">
        <v>60</v>
      </c>
      <c r="Q184" s="4" t="s">
        <v>1058</v>
      </c>
      <c r="R184" s="43" t="s">
        <v>0</v>
      </c>
      <c r="S184" s="4">
        <v>30</v>
      </c>
      <c r="T184" s="4" t="s">
        <v>64</v>
      </c>
      <c r="U184" s="4">
        <v>12.26</v>
      </c>
      <c r="V184" s="4" t="s">
        <v>1407</v>
      </c>
      <c r="W184" s="4" t="s">
        <v>1068</v>
      </c>
      <c r="X184" s="43" t="s">
        <v>1520</v>
      </c>
      <c r="Y184" s="4" t="s">
        <v>539</v>
      </c>
      <c r="Z184" s="43" t="s">
        <v>1681</v>
      </c>
      <c r="AA184" s="43" t="s">
        <v>566</v>
      </c>
      <c r="AB184" s="42" t="s">
        <v>1643</v>
      </c>
      <c r="AC184" s="42"/>
      <c r="AD184" s="138" t="s">
        <v>1690</v>
      </c>
      <c r="AE184" s="42" t="s">
        <v>0</v>
      </c>
      <c r="AF184" s="149" t="s">
        <v>521</v>
      </c>
      <c r="AG184" s="42" t="s">
        <v>1541</v>
      </c>
      <c r="AH184" s="42" t="s">
        <v>0</v>
      </c>
      <c r="AI184" s="42" t="s">
        <v>1542</v>
      </c>
      <c r="AJ184" s="149" t="s">
        <v>0</v>
      </c>
      <c r="AK184" s="42">
        <f>0.5/1000*32*8</f>
        <v>0.128</v>
      </c>
      <c r="AL184" s="42" t="s">
        <v>0</v>
      </c>
      <c r="AM184" s="42">
        <f>0.2/1000*32*11</f>
        <v>7.0400000000000004E-2</v>
      </c>
      <c r="AN184" s="149" t="s">
        <v>0</v>
      </c>
      <c r="AO184" s="42">
        <v>2.06</v>
      </c>
      <c r="AP184" s="42" t="s">
        <v>0</v>
      </c>
      <c r="AQ184" s="42">
        <v>2.54</v>
      </c>
      <c r="AR184" s="43" t="s">
        <v>0</v>
      </c>
      <c r="AS184" s="42" t="s">
        <v>64</v>
      </c>
      <c r="AT184" s="42"/>
      <c r="AU184" s="42"/>
    </row>
    <row r="185" spans="1:47" x14ac:dyDescent="0.25">
      <c r="A185" s="43" t="s">
        <v>1673</v>
      </c>
      <c r="B185" s="4" t="s">
        <v>2</v>
      </c>
      <c r="C185" s="43" t="s">
        <v>1517</v>
      </c>
      <c r="D185" s="4" t="s">
        <v>1153</v>
      </c>
      <c r="E185" s="4" t="s">
        <v>1023</v>
      </c>
      <c r="F185" s="4" t="s">
        <v>69</v>
      </c>
      <c r="G185" s="4" t="s">
        <v>1518</v>
      </c>
      <c r="H185" s="4" t="s">
        <v>0</v>
      </c>
      <c r="I185" s="4">
        <v>0.7</v>
      </c>
      <c r="J185" s="43">
        <f t="shared" si="18"/>
        <v>244</v>
      </c>
      <c r="K185" s="4" t="s">
        <v>57</v>
      </c>
      <c r="L185" s="4" t="s">
        <v>1543</v>
      </c>
      <c r="M185" s="4" t="s">
        <v>123</v>
      </c>
      <c r="N185" s="43">
        <v>24</v>
      </c>
      <c r="O185" s="108">
        <v>1.2</v>
      </c>
      <c r="P185" s="4" t="s">
        <v>60</v>
      </c>
      <c r="Q185" s="4" t="s">
        <v>1058</v>
      </c>
      <c r="R185" s="43" t="s">
        <v>0</v>
      </c>
      <c r="S185" s="4">
        <v>30</v>
      </c>
      <c r="T185" s="4" t="s">
        <v>64</v>
      </c>
      <c r="U185" s="4">
        <v>13.26</v>
      </c>
      <c r="V185" s="4" t="s">
        <v>1407</v>
      </c>
      <c r="W185" s="4" t="s">
        <v>1068</v>
      </c>
      <c r="X185" s="43" t="s">
        <v>1520</v>
      </c>
      <c r="Y185" s="4" t="s">
        <v>539</v>
      </c>
      <c r="Z185" s="43" t="s">
        <v>1682</v>
      </c>
      <c r="AA185" s="43" t="s">
        <v>566</v>
      </c>
      <c r="AB185" s="42" t="s">
        <v>1643</v>
      </c>
      <c r="AC185" s="42"/>
      <c r="AD185" s="138" t="s">
        <v>1692</v>
      </c>
      <c r="AE185" s="42" t="s">
        <v>0</v>
      </c>
      <c r="AF185" s="149" t="s">
        <v>1698</v>
      </c>
      <c r="AG185" s="42" t="s">
        <v>1544</v>
      </c>
      <c r="AH185" s="42" t="s">
        <v>0</v>
      </c>
      <c r="AI185" s="42" t="s">
        <v>1545</v>
      </c>
      <c r="AJ185" s="149" t="s">
        <v>0</v>
      </c>
      <c r="AK185" s="42">
        <f>2.5/1000*32*8</f>
        <v>0.64</v>
      </c>
      <c r="AL185" s="42" t="s">
        <v>0</v>
      </c>
      <c r="AM185" s="42">
        <f>0.2/1000*32*11</f>
        <v>7.0400000000000004E-2</v>
      </c>
      <c r="AN185" s="149" t="s">
        <v>0</v>
      </c>
      <c r="AO185" s="42">
        <v>0.54</v>
      </c>
      <c r="AP185" s="42" t="s">
        <v>0</v>
      </c>
      <c r="AQ185" s="42">
        <v>7.0000000000000007E-2</v>
      </c>
      <c r="AR185" s="43" t="s">
        <v>0</v>
      </c>
      <c r="AS185" s="42" t="s">
        <v>64</v>
      </c>
      <c r="AT185" s="42"/>
      <c r="AU185" s="42"/>
    </row>
    <row r="186" spans="1:47" x14ac:dyDescent="0.25">
      <c r="A186" s="43" t="s">
        <v>1673</v>
      </c>
      <c r="B186" s="4" t="s">
        <v>2</v>
      </c>
      <c r="C186" s="43" t="s">
        <v>1517</v>
      </c>
      <c r="D186" s="4" t="s">
        <v>1153</v>
      </c>
      <c r="E186" s="4" t="s">
        <v>1023</v>
      </c>
      <c r="F186" s="4" t="s">
        <v>1123</v>
      </c>
      <c r="G186" s="4" t="s">
        <v>1518</v>
      </c>
      <c r="H186" s="4" t="s">
        <v>0</v>
      </c>
      <c r="I186" s="4">
        <v>0.7</v>
      </c>
      <c r="J186" s="43">
        <f t="shared" si="18"/>
        <v>244</v>
      </c>
      <c r="K186" s="4" t="s">
        <v>57</v>
      </c>
      <c r="L186" s="4" t="s">
        <v>1546</v>
      </c>
      <c r="M186" s="4" t="s">
        <v>123</v>
      </c>
      <c r="N186" s="43">
        <v>24</v>
      </c>
      <c r="O186" s="108">
        <v>1.1399999999999999</v>
      </c>
      <c r="P186" s="4" t="s">
        <v>60</v>
      </c>
      <c r="Q186" s="4" t="s">
        <v>1058</v>
      </c>
      <c r="R186" s="43" t="s">
        <v>0</v>
      </c>
      <c r="S186" s="4">
        <v>30</v>
      </c>
      <c r="T186" s="4" t="s">
        <v>64</v>
      </c>
      <c r="U186" s="4">
        <v>14.26</v>
      </c>
      <c r="V186" s="4" t="s">
        <v>1407</v>
      </c>
      <c r="W186" s="4" t="s">
        <v>1068</v>
      </c>
      <c r="X186" s="43" t="s">
        <v>1520</v>
      </c>
      <c r="Y186" s="4" t="s">
        <v>539</v>
      </c>
      <c r="Z186" s="43" t="s">
        <v>1683</v>
      </c>
      <c r="AA186" s="43" t="s">
        <v>566</v>
      </c>
      <c r="AB186" s="42" t="s">
        <v>1643</v>
      </c>
      <c r="AC186" s="42"/>
      <c r="AD186" s="138" t="s">
        <v>1693</v>
      </c>
      <c r="AE186" s="42" t="s">
        <v>0</v>
      </c>
      <c r="AF186" s="149">
        <v>0</v>
      </c>
      <c r="AG186" s="42" t="s">
        <v>1547</v>
      </c>
      <c r="AH186" s="42" t="s">
        <v>0</v>
      </c>
      <c r="AI186" s="42" t="s">
        <v>1548</v>
      </c>
      <c r="AJ186" s="149" t="s">
        <v>0</v>
      </c>
      <c r="AK186" s="42">
        <f>0.3/1000*32*8</f>
        <v>7.6799999999999993E-2</v>
      </c>
      <c r="AL186" s="42" t="s">
        <v>0</v>
      </c>
      <c r="AM186" s="42">
        <v>0</v>
      </c>
      <c r="AN186" s="149" t="s">
        <v>0</v>
      </c>
      <c r="AO186" s="42">
        <v>3.92</v>
      </c>
      <c r="AP186" s="42" t="s">
        <v>0</v>
      </c>
      <c r="AQ186" s="42">
        <v>3.94</v>
      </c>
      <c r="AR186" s="43" t="s">
        <v>0</v>
      </c>
      <c r="AS186" s="42" t="s">
        <v>64</v>
      </c>
      <c r="AT186" s="42"/>
      <c r="AU186" s="42"/>
    </row>
    <row r="187" spans="1:47" x14ac:dyDescent="0.25">
      <c r="A187" s="43" t="s">
        <v>1673</v>
      </c>
      <c r="B187" s="4" t="s">
        <v>2</v>
      </c>
      <c r="C187" s="43" t="s">
        <v>1517</v>
      </c>
      <c r="D187" s="4" t="s">
        <v>1153</v>
      </c>
      <c r="E187" s="4" t="s">
        <v>1023</v>
      </c>
      <c r="F187" s="4" t="s">
        <v>1123</v>
      </c>
      <c r="G187" s="4" t="s">
        <v>1518</v>
      </c>
      <c r="H187" s="4" t="s">
        <v>0</v>
      </c>
      <c r="I187" s="4">
        <v>0.7</v>
      </c>
      <c r="J187" s="43">
        <f t="shared" si="18"/>
        <v>244</v>
      </c>
      <c r="K187" s="4" t="s">
        <v>57</v>
      </c>
      <c r="L187" s="4" t="s">
        <v>1549</v>
      </c>
      <c r="M187" s="4" t="s">
        <v>123</v>
      </c>
      <c r="N187" s="43">
        <v>26.2</v>
      </c>
      <c r="O187" s="108">
        <v>1.1200000000000001</v>
      </c>
      <c r="P187" s="4" t="s">
        <v>60</v>
      </c>
      <c r="Q187" s="4" t="s">
        <v>1058</v>
      </c>
      <c r="R187" s="43" t="s">
        <v>0</v>
      </c>
      <c r="S187" s="4">
        <v>30</v>
      </c>
      <c r="T187" s="4" t="s">
        <v>64</v>
      </c>
      <c r="U187" s="4">
        <v>15.26</v>
      </c>
      <c r="V187" s="4" t="s">
        <v>1407</v>
      </c>
      <c r="W187" s="4" t="s">
        <v>1068</v>
      </c>
      <c r="X187" s="43" t="s">
        <v>1520</v>
      </c>
      <c r="Y187" s="4" t="s">
        <v>539</v>
      </c>
      <c r="Z187" s="43" t="s">
        <v>1684</v>
      </c>
      <c r="AA187" s="43" t="s">
        <v>566</v>
      </c>
      <c r="AB187" s="42" t="s">
        <v>1643</v>
      </c>
      <c r="AC187" s="42"/>
      <c r="AD187" s="138" t="s">
        <v>1694</v>
      </c>
      <c r="AE187" s="42" t="s">
        <v>0</v>
      </c>
      <c r="AF187" s="149" t="s">
        <v>1698</v>
      </c>
      <c r="AG187" s="42" t="s">
        <v>1550</v>
      </c>
      <c r="AH187" s="42" t="s">
        <v>0</v>
      </c>
      <c r="AI187" s="42" t="s">
        <v>1551</v>
      </c>
      <c r="AJ187" s="149" t="s">
        <v>0</v>
      </c>
      <c r="AK187" s="42">
        <f>0.6/1000*32*8</f>
        <v>0.15359999999999999</v>
      </c>
      <c r="AL187" s="42" t="s">
        <v>0</v>
      </c>
      <c r="AM187" s="42">
        <f>0.2/1000*32*11</f>
        <v>7.0400000000000004E-2</v>
      </c>
      <c r="AN187" s="149" t="s">
        <v>0</v>
      </c>
      <c r="AO187" s="42">
        <v>2.6</v>
      </c>
      <c r="AP187" s="42" t="s">
        <v>0</v>
      </c>
      <c r="AQ187" s="42">
        <v>1.21</v>
      </c>
      <c r="AR187" s="43" t="s">
        <v>0</v>
      </c>
      <c r="AS187" s="42" t="s">
        <v>64</v>
      </c>
      <c r="AT187" s="42"/>
      <c r="AU187" s="42"/>
    </row>
    <row r="188" spans="1:47" x14ac:dyDescent="0.25">
      <c r="A188" s="47" t="s">
        <v>1699</v>
      </c>
      <c r="B188" s="8" t="s">
        <v>2</v>
      </c>
      <c r="C188" s="47" t="s">
        <v>1552</v>
      </c>
      <c r="D188" s="8" t="s">
        <v>1553</v>
      </c>
      <c r="E188" s="8" t="s">
        <v>1111</v>
      </c>
      <c r="F188" s="8" t="s">
        <v>69</v>
      </c>
      <c r="G188" s="8" t="s">
        <v>1518</v>
      </c>
      <c r="H188" s="8" t="s">
        <v>0</v>
      </c>
      <c r="I188" s="8">
        <v>0.15</v>
      </c>
      <c r="J188" s="47">
        <v>6</v>
      </c>
      <c r="K188" s="8" t="s">
        <v>72</v>
      </c>
      <c r="L188" s="8" t="s">
        <v>1554</v>
      </c>
      <c r="M188" s="8" t="s">
        <v>0</v>
      </c>
      <c r="N188" s="115">
        <f t="shared" ref="N188:N193" si="19">0.075*95.65</f>
        <v>7.1737500000000001</v>
      </c>
      <c r="O188" s="107">
        <v>2</v>
      </c>
      <c r="P188" s="8" t="s">
        <v>60</v>
      </c>
      <c r="Q188" s="8" t="s">
        <v>1555</v>
      </c>
      <c r="R188" s="47" t="s">
        <v>0</v>
      </c>
      <c r="S188" s="8">
        <v>35</v>
      </c>
      <c r="T188" s="8" t="s">
        <v>69</v>
      </c>
      <c r="U188" s="8" t="s">
        <v>0</v>
      </c>
      <c r="V188" s="8" t="s">
        <v>0</v>
      </c>
      <c r="W188" s="8" t="s">
        <v>0</v>
      </c>
      <c r="X188" s="47" t="s">
        <v>286</v>
      </c>
      <c r="Y188" s="8" t="s">
        <v>0</v>
      </c>
      <c r="Z188" s="47" t="s">
        <v>0</v>
      </c>
      <c r="AA188" s="47" t="s">
        <v>1556</v>
      </c>
      <c r="AB188" s="46" t="s">
        <v>1623</v>
      </c>
      <c r="AC188" s="46"/>
      <c r="AD188" s="139" t="s">
        <v>691</v>
      </c>
      <c r="AE188" s="46" t="s">
        <v>691</v>
      </c>
      <c r="AF188" s="148" t="s">
        <v>691</v>
      </c>
      <c r="AG188" s="46" t="s">
        <v>0</v>
      </c>
      <c r="AH188" s="46" t="s">
        <v>0</v>
      </c>
      <c r="AI188" s="46" t="s">
        <v>0</v>
      </c>
      <c r="AJ188" s="148" t="s">
        <v>0</v>
      </c>
      <c r="AK188" s="46" t="s">
        <v>0</v>
      </c>
      <c r="AL188" s="46" t="s">
        <v>0</v>
      </c>
      <c r="AM188" s="46" t="s">
        <v>0</v>
      </c>
      <c r="AN188" s="148" t="s">
        <v>0</v>
      </c>
      <c r="AO188" s="46" t="s">
        <v>0</v>
      </c>
      <c r="AP188" s="46" t="s">
        <v>0</v>
      </c>
      <c r="AQ188" s="46" t="s">
        <v>0</v>
      </c>
      <c r="AR188" s="47" t="s">
        <v>0</v>
      </c>
      <c r="AS188" s="46" t="s">
        <v>64</v>
      </c>
      <c r="AT188" s="46"/>
      <c r="AU188" s="46"/>
    </row>
    <row r="189" spans="1:47" x14ac:dyDescent="0.25">
      <c r="A189" s="47" t="s">
        <v>1699</v>
      </c>
      <c r="B189" s="8" t="s">
        <v>2</v>
      </c>
      <c r="C189" s="47" t="s">
        <v>1552</v>
      </c>
      <c r="D189" s="8" t="s">
        <v>1553</v>
      </c>
      <c r="E189" s="8" t="s">
        <v>1111</v>
      </c>
      <c r="F189" s="8" t="s">
        <v>69</v>
      </c>
      <c r="G189" s="8" t="s">
        <v>1518</v>
      </c>
      <c r="H189" s="8" t="s">
        <v>0</v>
      </c>
      <c r="I189" s="8">
        <v>0.15</v>
      </c>
      <c r="J189" s="47">
        <v>6</v>
      </c>
      <c r="K189" s="8" t="s">
        <v>72</v>
      </c>
      <c r="L189" s="8" t="s">
        <v>1554</v>
      </c>
      <c r="M189" s="8" t="s">
        <v>0</v>
      </c>
      <c r="N189" s="115">
        <f t="shared" si="19"/>
        <v>7.1737500000000001</v>
      </c>
      <c r="O189" s="107">
        <v>2</v>
      </c>
      <c r="P189" s="8" t="s">
        <v>60</v>
      </c>
      <c r="Q189" s="8" t="s">
        <v>1555</v>
      </c>
      <c r="R189" s="47" t="s">
        <v>0</v>
      </c>
      <c r="S189" s="8">
        <v>35</v>
      </c>
      <c r="T189" s="8" t="s">
        <v>64</v>
      </c>
      <c r="U189" s="8">
        <v>5</v>
      </c>
      <c r="V189" s="8" t="s">
        <v>1557</v>
      </c>
      <c r="W189" s="8" t="s">
        <v>0</v>
      </c>
      <c r="X189" s="47" t="s">
        <v>286</v>
      </c>
      <c r="Y189" s="8" t="s">
        <v>0</v>
      </c>
      <c r="Z189" s="47" t="s">
        <v>0</v>
      </c>
      <c r="AA189" s="47" t="s">
        <v>1556</v>
      </c>
      <c r="AB189" s="46" t="s">
        <v>1623</v>
      </c>
      <c r="AC189" s="46"/>
      <c r="AD189" s="139" t="s">
        <v>691</v>
      </c>
      <c r="AE189" s="46" t="s">
        <v>691</v>
      </c>
      <c r="AF189" s="148" t="s">
        <v>691</v>
      </c>
      <c r="AG189" s="46" t="s">
        <v>0</v>
      </c>
      <c r="AH189" s="46" t="s">
        <v>0</v>
      </c>
      <c r="AI189" s="46" t="s">
        <v>0</v>
      </c>
      <c r="AJ189" s="148" t="s">
        <v>0</v>
      </c>
      <c r="AK189" s="46" t="s">
        <v>0</v>
      </c>
      <c r="AL189" s="46" t="s">
        <v>0</v>
      </c>
      <c r="AM189" s="46" t="s">
        <v>0</v>
      </c>
      <c r="AN189" s="148" t="s">
        <v>0</v>
      </c>
      <c r="AO189" s="46" t="s">
        <v>0</v>
      </c>
      <c r="AP189" s="46" t="s">
        <v>0</v>
      </c>
      <c r="AQ189" s="46" t="s">
        <v>0</v>
      </c>
      <c r="AR189" s="47" t="s">
        <v>0</v>
      </c>
      <c r="AS189" s="46" t="s">
        <v>64</v>
      </c>
      <c r="AT189" s="46"/>
      <c r="AU189" s="46"/>
    </row>
    <row r="190" spans="1:47" x14ac:dyDescent="0.25">
      <c r="A190" s="47" t="s">
        <v>1699</v>
      </c>
      <c r="B190" s="8" t="s">
        <v>2</v>
      </c>
      <c r="C190" s="47" t="s">
        <v>1552</v>
      </c>
      <c r="D190" s="8" t="s">
        <v>1553</v>
      </c>
      <c r="E190" s="8" t="s">
        <v>1111</v>
      </c>
      <c r="F190" s="8" t="s">
        <v>69</v>
      </c>
      <c r="G190" s="8" t="s">
        <v>1518</v>
      </c>
      <c r="H190" s="8" t="s">
        <v>0</v>
      </c>
      <c r="I190" s="8">
        <v>0.15</v>
      </c>
      <c r="J190" s="47">
        <v>6</v>
      </c>
      <c r="K190" s="8" t="s">
        <v>72</v>
      </c>
      <c r="L190" s="8" t="s">
        <v>1554</v>
      </c>
      <c r="M190" s="8" t="s">
        <v>0</v>
      </c>
      <c r="N190" s="115">
        <f t="shared" si="19"/>
        <v>7.1737500000000001</v>
      </c>
      <c r="O190" s="107">
        <v>2</v>
      </c>
      <c r="P190" s="8" t="s">
        <v>60</v>
      </c>
      <c r="Q190" s="8" t="s">
        <v>1555</v>
      </c>
      <c r="R190" s="47" t="s">
        <v>0</v>
      </c>
      <c r="S190" s="8">
        <v>35</v>
      </c>
      <c r="T190" s="8" t="s">
        <v>64</v>
      </c>
      <c r="U190" s="8">
        <v>5.5</v>
      </c>
      <c r="V190" s="8" t="s">
        <v>1557</v>
      </c>
      <c r="W190" s="8" t="s">
        <v>0</v>
      </c>
      <c r="X190" s="47" t="s">
        <v>286</v>
      </c>
      <c r="Y190" s="8" t="s">
        <v>0</v>
      </c>
      <c r="Z190" s="47" t="s">
        <v>0</v>
      </c>
      <c r="AA190" s="47" t="s">
        <v>1556</v>
      </c>
      <c r="AB190" s="46" t="s">
        <v>1623</v>
      </c>
      <c r="AC190" s="46"/>
      <c r="AD190" s="139" t="s">
        <v>691</v>
      </c>
      <c r="AE190" s="46" t="s">
        <v>691</v>
      </c>
      <c r="AF190" s="148" t="s">
        <v>691</v>
      </c>
      <c r="AG190" s="46" t="s">
        <v>0</v>
      </c>
      <c r="AH190" s="46" t="s">
        <v>0</v>
      </c>
      <c r="AI190" s="46" t="s">
        <v>0</v>
      </c>
      <c r="AJ190" s="148" t="s">
        <v>0</v>
      </c>
      <c r="AK190" s="46" t="s">
        <v>0</v>
      </c>
      <c r="AL190" s="46" t="s">
        <v>0</v>
      </c>
      <c r="AM190" s="46" t="s">
        <v>0</v>
      </c>
      <c r="AN190" s="148" t="s">
        <v>0</v>
      </c>
      <c r="AO190" s="46" t="s">
        <v>0</v>
      </c>
      <c r="AP190" s="46" t="s">
        <v>0</v>
      </c>
      <c r="AQ190" s="46" t="s">
        <v>0</v>
      </c>
      <c r="AR190" s="47" t="s">
        <v>0</v>
      </c>
      <c r="AS190" s="46" t="s">
        <v>64</v>
      </c>
      <c r="AT190" s="46"/>
      <c r="AU190" s="46"/>
    </row>
    <row r="191" spans="1:47" x14ac:dyDescent="0.25">
      <c r="A191" s="47" t="s">
        <v>1699</v>
      </c>
      <c r="B191" s="8" t="s">
        <v>2</v>
      </c>
      <c r="C191" s="47" t="s">
        <v>1552</v>
      </c>
      <c r="D191" s="8" t="s">
        <v>1553</v>
      </c>
      <c r="E191" s="8" t="s">
        <v>1111</v>
      </c>
      <c r="F191" s="8" t="s">
        <v>69</v>
      </c>
      <c r="G191" s="8" t="s">
        <v>1518</v>
      </c>
      <c r="H191" s="8" t="s">
        <v>0</v>
      </c>
      <c r="I191" s="8">
        <v>0.15</v>
      </c>
      <c r="J191" s="47">
        <v>6</v>
      </c>
      <c r="K191" s="8" t="s">
        <v>72</v>
      </c>
      <c r="L191" s="8" t="s">
        <v>1554</v>
      </c>
      <c r="M191" s="8" t="s">
        <v>0</v>
      </c>
      <c r="N191" s="115">
        <f t="shared" si="19"/>
        <v>7.1737500000000001</v>
      </c>
      <c r="O191" s="107">
        <v>2</v>
      </c>
      <c r="P191" s="8" t="s">
        <v>60</v>
      </c>
      <c r="Q191" s="8" t="s">
        <v>1555</v>
      </c>
      <c r="R191" s="47" t="s">
        <v>0</v>
      </c>
      <c r="S191" s="8">
        <v>35</v>
      </c>
      <c r="T191" s="8" t="s">
        <v>64</v>
      </c>
      <c r="U191" s="8">
        <v>6</v>
      </c>
      <c r="V191" s="8" t="s">
        <v>1557</v>
      </c>
      <c r="W191" s="8" t="s">
        <v>0</v>
      </c>
      <c r="X191" s="47" t="s">
        <v>286</v>
      </c>
      <c r="Y191" s="8" t="s">
        <v>0</v>
      </c>
      <c r="Z191" s="47" t="s">
        <v>0</v>
      </c>
      <c r="AA191" s="47" t="s">
        <v>1556</v>
      </c>
      <c r="AB191" s="46" t="s">
        <v>1623</v>
      </c>
      <c r="AC191" s="46"/>
      <c r="AD191" s="139" t="s">
        <v>691</v>
      </c>
      <c r="AE191" s="46" t="s">
        <v>691</v>
      </c>
      <c r="AF191" s="148" t="s">
        <v>691</v>
      </c>
      <c r="AG191" s="46" t="s">
        <v>0</v>
      </c>
      <c r="AH191" s="46" t="s">
        <v>0</v>
      </c>
      <c r="AI191" s="46" t="s">
        <v>0</v>
      </c>
      <c r="AJ191" s="148" t="s">
        <v>0</v>
      </c>
      <c r="AK191" s="46" t="s">
        <v>0</v>
      </c>
      <c r="AL191" s="46" t="s">
        <v>0</v>
      </c>
      <c r="AM191" s="46" t="s">
        <v>0</v>
      </c>
      <c r="AN191" s="148" t="s">
        <v>0</v>
      </c>
      <c r="AO191" s="46" t="s">
        <v>0</v>
      </c>
      <c r="AP191" s="46" t="s">
        <v>0</v>
      </c>
      <c r="AQ191" s="46" t="s">
        <v>0</v>
      </c>
      <c r="AR191" s="47" t="s">
        <v>0</v>
      </c>
      <c r="AS191" s="46" t="s">
        <v>64</v>
      </c>
      <c r="AT191" s="46"/>
      <c r="AU191" s="46"/>
    </row>
    <row r="192" spans="1:47" x14ac:dyDescent="0.25">
      <c r="A192" s="47" t="s">
        <v>1699</v>
      </c>
      <c r="B192" s="8" t="s">
        <v>2</v>
      </c>
      <c r="C192" s="47" t="s">
        <v>1552</v>
      </c>
      <c r="D192" s="8" t="s">
        <v>1553</v>
      </c>
      <c r="E192" s="8" t="s">
        <v>1111</v>
      </c>
      <c r="F192" s="8" t="s">
        <v>69</v>
      </c>
      <c r="G192" s="8" t="s">
        <v>1518</v>
      </c>
      <c r="H192" s="8" t="s">
        <v>0</v>
      </c>
      <c r="I192" s="8">
        <v>0.15</v>
      </c>
      <c r="J192" s="47">
        <v>6</v>
      </c>
      <c r="K192" s="8" t="s">
        <v>72</v>
      </c>
      <c r="L192" s="8" t="s">
        <v>1554</v>
      </c>
      <c r="M192" s="8" t="s">
        <v>0</v>
      </c>
      <c r="N192" s="115">
        <f t="shared" si="19"/>
        <v>7.1737500000000001</v>
      </c>
      <c r="O192" s="107">
        <v>2</v>
      </c>
      <c r="P192" s="8" t="s">
        <v>60</v>
      </c>
      <c r="Q192" s="8" t="s">
        <v>1555</v>
      </c>
      <c r="R192" s="47" t="s">
        <v>0</v>
      </c>
      <c r="S192" s="8">
        <v>35</v>
      </c>
      <c r="T192" s="8" t="s">
        <v>64</v>
      </c>
      <c r="U192" s="8">
        <v>6.5</v>
      </c>
      <c r="V192" s="8" t="s">
        <v>1557</v>
      </c>
      <c r="W192" s="8" t="s">
        <v>0</v>
      </c>
      <c r="X192" s="47" t="s">
        <v>286</v>
      </c>
      <c r="Y192" s="8" t="s">
        <v>0</v>
      </c>
      <c r="Z192" s="47" t="s">
        <v>0</v>
      </c>
      <c r="AA192" s="47" t="s">
        <v>1556</v>
      </c>
      <c r="AB192" s="46" t="s">
        <v>1623</v>
      </c>
      <c r="AC192" s="46"/>
      <c r="AD192" s="139" t="s">
        <v>1558</v>
      </c>
      <c r="AE192" s="46" t="s">
        <v>691</v>
      </c>
      <c r="AF192" s="148" t="s">
        <v>691</v>
      </c>
      <c r="AG192" s="46" t="s">
        <v>0</v>
      </c>
      <c r="AH192" s="46" t="s">
        <v>0</v>
      </c>
      <c r="AI192" s="46" t="s">
        <v>0</v>
      </c>
      <c r="AJ192" s="148" t="s">
        <v>0</v>
      </c>
      <c r="AK192" s="46" t="s">
        <v>0</v>
      </c>
      <c r="AL192" s="46" t="s">
        <v>0</v>
      </c>
      <c r="AM192" s="46" t="s">
        <v>0</v>
      </c>
      <c r="AN192" s="148" t="s">
        <v>0</v>
      </c>
      <c r="AO192" s="46" t="s">
        <v>0</v>
      </c>
      <c r="AP192" s="46" t="s">
        <v>0</v>
      </c>
      <c r="AQ192" s="46" t="s">
        <v>0</v>
      </c>
      <c r="AR192" s="47" t="s">
        <v>0</v>
      </c>
      <c r="AS192" s="46" t="s">
        <v>64</v>
      </c>
      <c r="AT192" s="46"/>
      <c r="AU192" s="46"/>
    </row>
    <row r="193" spans="1:47" x14ac:dyDescent="0.25">
      <c r="A193" s="47" t="s">
        <v>1699</v>
      </c>
      <c r="B193" s="8" t="s">
        <v>2</v>
      </c>
      <c r="C193" s="47" t="s">
        <v>1552</v>
      </c>
      <c r="D193" s="8" t="s">
        <v>1559</v>
      </c>
      <c r="E193" s="8" t="s">
        <v>1111</v>
      </c>
      <c r="F193" s="8" t="s">
        <v>69</v>
      </c>
      <c r="G193" s="8" t="s">
        <v>1518</v>
      </c>
      <c r="H193" s="8" t="s">
        <v>0</v>
      </c>
      <c r="I193" s="8">
        <v>0.15</v>
      </c>
      <c r="J193" s="47">
        <v>252</v>
      </c>
      <c r="K193" s="8" t="s">
        <v>72</v>
      </c>
      <c r="L193" s="8" t="s">
        <v>1554</v>
      </c>
      <c r="M193" s="8" t="s">
        <v>0</v>
      </c>
      <c r="N193" s="115">
        <f t="shared" si="19"/>
        <v>7.1737500000000001</v>
      </c>
      <c r="O193" s="107">
        <v>6</v>
      </c>
      <c r="P193" s="8" t="s">
        <v>60</v>
      </c>
      <c r="Q193" s="8" t="s">
        <v>1555</v>
      </c>
      <c r="R193" s="47" t="s">
        <v>0</v>
      </c>
      <c r="S193" s="8">
        <v>35</v>
      </c>
      <c r="T193" s="8" t="s">
        <v>64</v>
      </c>
      <c r="U193" s="8">
        <v>5.5</v>
      </c>
      <c r="V193" s="8" t="s">
        <v>1557</v>
      </c>
      <c r="W193" s="8" t="s">
        <v>0</v>
      </c>
      <c r="X193" s="47" t="s">
        <v>286</v>
      </c>
      <c r="Y193" s="8" t="s">
        <v>0</v>
      </c>
      <c r="Z193" s="47" t="s">
        <v>0</v>
      </c>
      <c r="AA193" s="47" t="s">
        <v>1556</v>
      </c>
      <c r="AB193" s="46" t="s">
        <v>1623</v>
      </c>
      <c r="AC193" s="46"/>
      <c r="AD193" s="139" t="s">
        <v>691</v>
      </c>
      <c r="AE193" s="46" t="s">
        <v>691</v>
      </c>
      <c r="AF193" s="148" t="s">
        <v>1560</v>
      </c>
      <c r="AG193" s="46" t="s">
        <v>1561</v>
      </c>
      <c r="AH193" s="46" t="s">
        <v>0</v>
      </c>
      <c r="AI193" s="46" t="s">
        <v>1562</v>
      </c>
      <c r="AJ193" s="148" t="s">
        <v>0</v>
      </c>
      <c r="AK193" s="46">
        <v>18.7</v>
      </c>
      <c r="AL193" s="46" t="s">
        <v>0</v>
      </c>
      <c r="AM193" s="46">
        <v>2.39</v>
      </c>
      <c r="AN193" s="148" t="s">
        <v>0</v>
      </c>
      <c r="AO193" s="46">
        <f>2.6*32*8/116</f>
        <v>5.7379310344827585</v>
      </c>
      <c r="AP193" s="46" t="s">
        <v>0</v>
      </c>
      <c r="AQ193" s="46">
        <f>0.27*32*11/144</f>
        <v>0.66</v>
      </c>
      <c r="AR193" s="47" t="s">
        <v>0</v>
      </c>
      <c r="AS193" s="46" t="s">
        <v>64</v>
      </c>
      <c r="AT193" s="46"/>
      <c r="AU193" s="46"/>
    </row>
    <row r="194" spans="1:47" x14ac:dyDescent="0.25">
      <c r="A194" s="3" t="s">
        <v>717</v>
      </c>
      <c r="B194" s="3" t="s">
        <v>2</v>
      </c>
      <c r="C194" s="14" t="s">
        <v>1763</v>
      </c>
      <c r="D194" s="3" t="s">
        <v>1752</v>
      </c>
      <c r="E194" s="3" t="s">
        <v>14</v>
      </c>
      <c r="F194" s="4" t="s">
        <v>69</v>
      </c>
      <c r="G194" s="4" t="s">
        <v>69</v>
      </c>
      <c r="H194" s="3" t="s">
        <v>0</v>
      </c>
      <c r="I194" s="3">
        <v>6</v>
      </c>
      <c r="J194" s="14">
        <v>14</v>
      </c>
      <c r="K194" s="3" t="s">
        <v>72</v>
      </c>
      <c r="L194" s="3" t="s">
        <v>1753</v>
      </c>
      <c r="M194" s="3" t="s">
        <v>1754</v>
      </c>
      <c r="N194" s="170">
        <f t="shared" ref="N194:N199" si="20">80*1.45/7</f>
        <v>16.571428571428573</v>
      </c>
      <c r="O194" s="176" t="s">
        <v>1755</v>
      </c>
      <c r="P194" s="3" t="s">
        <v>60</v>
      </c>
      <c r="Q194" s="3" t="s">
        <v>1757</v>
      </c>
      <c r="R194" s="3" t="s">
        <v>1768</v>
      </c>
      <c r="S194" s="3">
        <v>37</v>
      </c>
      <c r="T194" s="3" t="s">
        <v>64</v>
      </c>
      <c r="U194" s="3" t="s">
        <v>1771</v>
      </c>
      <c r="V194" s="3" t="s">
        <v>1772</v>
      </c>
      <c r="W194" s="3" t="s">
        <v>0</v>
      </c>
      <c r="X194" s="14" t="s">
        <v>1775</v>
      </c>
      <c r="Y194" s="3" t="s">
        <v>1777</v>
      </c>
      <c r="Z194" s="14" t="s">
        <v>1584</v>
      </c>
      <c r="AA194" s="14" t="s">
        <v>1</v>
      </c>
      <c r="AB194" s="3" t="s">
        <v>1778</v>
      </c>
      <c r="AC194" s="177"/>
      <c r="AD194" s="3" t="s">
        <v>1779</v>
      </c>
      <c r="AE194" s="3" t="s">
        <v>0</v>
      </c>
      <c r="AF194" s="177" t="s">
        <v>0</v>
      </c>
      <c r="AG194" s="13" t="s">
        <v>0</v>
      </c>
      <c r="AH194" s="13" t="s">
        <v>0</v>
      </c>
      <c r="AI194" s="13" t="s">
        <v>0</v>
      </c>
      <c r="AJ194" s="177" t="s">
        <v>0</v>
      </c>
      <c r="AK194" s="170">
        <f>0.117*40.94</f>
        <v>4.7899799999999999</v>
      </c>
      <c r="AL194" s="13" t="s">
        <v>0</v>
      </c>
      <c r="AM194" s="13" t="s">
        <v>0</v>
      </c>
      <c r="AN194" s="177" t="s">
        <v>0</v>
      </c>
      <c r="AO194" s="13" t="s">
        <v>0</v>
      </c>
      <c r="AP194" s="13" t="s">
        <v>0</v>
      </c>
      <c r="AQ194" s="13" t="s">
        <v>0</v>
      </c>
      <c r="AR194" s="14" t="s">
        <v>0</v>
      </c>
      <c r="AS194" s="13" t="s">
        <v>69</v>
      </c>
      <c r="AT194" s="3"/>
      <c r="AU194" s="3"/>
    </row>
    <row r="195" spans="1:47" x14ac:dyDescent="0.25">
      <c r="A195" s="3" t="s">
        <v>717</v>
      </c>
      <c r="B195" s="3" t="s">
        <v>2</v>
      </c>
      <c r="C195" s="14" t="s">
        <v>1764</v>
      </c>
      <c r="D195" s="3" t="s">
        <v>1752</v>
      </c>
      <c r="E195" s="3" t="s">
        <v>14</v>
      </c>
      <c r="F195" s="4" t="s">
        <v>69</v>
      </c>
      <c r="G195" s="4" t="s">
        <v>69</v>
      </c>
      <c r="H195" s="3" t="s">
        <v>0</v>
      </c>
      <c r="I195" s="3">
        <v>3</v>
      </c>
      <c r="J195" s="14">
        <v>7</v>
      </c>
      <c r="K195" s="3" t="s">
        <v>72</v>
      </c>
      <c r="L195" s="3" t="s">
        <v>1753</v>
      </c>
      <c r="M195" s="3" t="s">
        <v>1754</v>
      </c>
      <c r="N195" s="170">
        <f t="shared" si="20"/>
        <v>16.571428571428573</v>
      </c>
      <c r="O195" s="176" t="s">
        <v>1756</v>
      </c>
      <c r="P195" s="3" t="s">
        <v>60</v>
      </c>
      <c r="Q195" s="3" t="s">
        <v>1758</v>
      </c>
      <c r="R195" s="3" t="s">
        <v>1768</v>
      </c>
      <c r="S195" s="3">
        <v>37</v>
      </c>
      <c r="T195" s="3" t="s">
        <v>64</v>
      </c>
      <c r="U195" s="3" t="s">
        <v>1773</v>
      </c>
      <c r="V195" s="3" t="s">
        <v>1774</v>
      </c>
      <c r="W195" s="3" t="s">
        <v>0</v>
      </c>
      <c r="X195" s="14" t="s">
        <v>1775</v>
      </c>
      <c r="Y195" s="3" t="s">
        <v>1777</v>
      </c>
      <c r="Z195" s="14" t="s">
        <v>1584</v>
      </c>
      <c r="AA195" s="14" t="s">
        <v>1</v>
      </c>
      <c r="AB195" s="3" t="s">
        <v>1780</v>
      </c>
      <c r="AC195" s="177"/>
      <c r="AD195" s="3" t="s">
        <v>1781</v>
      </c>
      <c r="AE195" s="3" t="s">
        <v>0</v>
      </c>
      <c r="AF195" s="177" t="s">
        <v>0</v>
      </c>
      <c r="AG195" s="13" t="s">
        <v>0</v>
      </c>
      <c r="AH195" s="13" t="s">
        <v>0</v>
      </c>
      <c r="AI195" s="13" t="s">
        <v>0</v>
      </c>
      <c r="AJ195" s="177" t="s">
        <v>0</v>
      </c>
      <c r="AK195" s="170">
        <f>0.383*33.28</f>
        <v>12.74624</v>
      </c>
      <c r="AL195" s="13" t="s">
        <v>0</v>
      </c>
      <c r="AM195" s="13" t="s">
        <v>0</v>
      </c>
      <c r="AN195" s="177" t="s">
        <v>0</v>
      </c>
      <c r="AO195" s="13" t="s">
        <v>0</v>
      </c>
      <c r="AP195" s="13" t="s">
        <v>0</v>
      </c>
      <c r="AQ195" s="13" t="s">
        <v>0</v>
      </c>
      <c r="AR195" s="14" t="s">
        <v>0</v>
      </c>
      <c r="AS195" s="13" t="s">
        <v>69</v>
      </c>
      <c r="AT195" s="3"/>
      <c r="AU195" s="3"/>
    </row>
    <row r="196" spans="1:47" x14ac:dyDescent="0.25">
      <c r="A196" s="3" t="s">
        <v>717</v>
      </c>
      <c r="B196" s="3" t="s">
        <v>2</v>
      </c>
      <c r="C196" s="14" t="s">
        <v>1765</v>
      </c>
      <c r="D196" s="3" t="s">
        <v>1752</v>
      </c>
      <c r="E196" s="3" t="s">
        <v>14</v>
      </c>
      <c r="F196" s="4" t="s">
        <v>69</v>
      </c>
      <c r="G196" s="4" t="s">
        <v>69</v>
      </c>
      <c r="H196" s="3" t="s">
        <v>0</v>
      </c>
      <c r="I196" s="3">
        <v>3</v>
      </c>
      <c r="J196" s="14">
        <v>7</v>
      </c>
      <c r="K196" s="3" t="s">
        <v>72</v>
      </c>
      <c r="L196" s="3" t="s">
        <v>1753</v>
      </c>
      <c r="M196" s="3" t="s">
        <v>1754</v>
      </c>
      <c r="N196" s="170">
        <f t="shared" si="20"/>
        <v>16.571428571428573</v>
      </c>
      <c r="O196" s="176" t="s">
        <v>1756</v>
      </c>
      <c r="P196" s="3" t="s">
        <v>60</v>
      </c>
      <c r="Q196" s="3" t="s">
        <v>1759</v>
      </c>
      <c r="R196" s="3" t="s">
        <v>1768</v>
      </c>
      <c r="S196" s="3">
        <v>37</v>
      </c>
      <c r="T196" s="3" t="s">
        <v>64</v>
      </c>
      <c r="U196" s="3" t="s">
        <v>1773</v>
      </c>
      <c r="V196" s="3" t="s">
        <v>1774</v>
      </c>
      <c r="W196" s="3" t="s">
        <v>0</v>
      </c>
      <c r="X196" s="14" t="s">
        <v>1776</v>
      </c>
      <c r="Y196" s="3" t="s">
        <v>1777</v>
      </c>
      <c r="Z196" s="14" t="s">
        <v>1584</v>
      </c>
      <c r="AA196" s="14" t="s">
        <v>1</v>
      </c>
      <c r="AB196" s="3" t="s">
        <v>1782</v>
      </c>
      <c r="AC196" s="177"/>
      <c r="AD196" s="3" t="s">
        <v>1783</v>
      </c>
      <c r="AE196" s="3" t="s">
        <v>0</v>
      </c>
      <c r="AF196" s="177" t="s">
        <v>0</v>
      </c>
      <c r="AG196" s="13" t="s">
        <v>0</v>
      </c>
      <c r="AH196" s="13" t="s">
        <v>0</v>
      </c>
      <c r="AI196" s="13" t="s">
        <v>0</v>
      </c>
      <c r="AJ196" s="177" t="s">
        <v>0</v>
      </c>
      <c r="AK196" s="170">
        <f>0.272*64.64</f>
        <v>17.582080000000001</v>
      </c>
      <c r="AL196" s="13" t="s">
        <v>0</v>
      </c>
      <c r="AM196" s="13" t="s">
        <v>0</v>
      </c>
      <c r="AN196" s="177" t="s">
        <v>0</v>
      </c>
      <c r="AO196" s="13" t="s">
        <v>0</v>
      </c>
      <c r="AP196" s="13" t="s">
        <v>0</v>
      </c>
      <c r="AQ196" s="13" t="s">
        <v>0</v>
      </c>
      <c r="AR196" s="14" t="s">
        <v>0</v>
      </c>
      <c r="AS196" s="13" t="s">
        <v>69</v>
      </c>
      <c r="AT196" s="3"/>
      <c r="AU196" s="3"/>
    </row>
    <row r="197" spans="1:47" x14ac:dyDescent="0.25">
      <c r="A197" s="3" t="s">
        <v>717</v>
      </c>
      <c r="B197" s="3" t="s">
        <v>2</v>
      </c>
      <c r="C197" s="14" t="s">
        <v>1766</v>
      </c>
      <c r="D197" s="3" t="s">
        <v>1752</v>
      </c>
      <c r="E197" s="3" t="s">
        <v>14</v>
      </c>
      <c r="F197" s="4" t="s">
        <v>69</v>
      </c>
      <c r="G197" s="4" t="s">
        <v>69</v>
      </c>
      <c r="H197" s="3" t="s">
        <v>0</v>
      </c>
      <c r="I197" s="3">
        <v>3</v>
      </c>
      <c r="J197" s="14">
        <v>7</v>
      </c>
      <c r="K197" s="3" t="s">
        <v>72</v>
      </c>
      <c r="L197" s="3" t="s">
        <v>1753</v>
      </c>
      <c r="M197" s="3" t="s">
        <v>1754</v>
      </c>
      <c r="N197" s="170">
        <f t="shared" si="20"/>
        <v>16.571428571428573</v>
      </c>
      <c r="O197" s="176" t="s">
        <v>1756</v>
      </c>
      <c r="P197" s="3" t="s">
        <v>60</v>
      </c>
      <c r="Q197" s="3" t="s">
        <v>1759</v>
      </c>
      <c r="R197" s="3" t="s">
        <v>1769</v>
      </c>
      <c r="S197" s="3">
        <v>37</v>
      </c>
      <c r="T197" s="3" t="s">
        <v>64</v>
      </c>
      <c r="U197" s="3" t="s">
        <v>1773</v>
      </c>
      <c r="V197" s="3" t="s">
        <v>1774</v>
      </c>
      <c r="W197" s="3" t="s">
        <v>0</v>
      </c>
      <c r="X197" s="14" t="s">
        <v>1776</v>
      </c>
      <c r="Y197" s="3" t="s">
        <v>1777</v>
      </c>
      <c r="Z197" s="14" t="s">
        <v>1584</v>
      </c>
      <c r="AA197" s="14" t="s">
        <v>1</v>
      </c>
      <c r="AB197" s="3" t="s">
        <v>1784</v>
      </c>
      <c r="AC197" s="177"/>
      <c r="AD197" s="3" t="s">
        <v>1785</v>
      </c>
      <c r="AE197" s="3" t="s">
        <v>0</v>
      </c>
      <c r="AF197" s="177" t="s">
        <v>0</v>
      </c>
      <c r="AG197" s="13" t="s">
        <v>0</v>
      </c>
      <c r="AH197" s="13" t="s">
        <v>0</v>
      </c>
      <c r="AI197" s="13" t="s">
        <v>0</v>
      </c>
      <c r="AJ197" s="177" t="s">
        <v>0</v>
      </c>
      <c r="AK197" s="170">
        <f>0.297*73.54</f>
        <v>21.841380000000001</v>
      </c>
      <c r="AL197" s="13" t="s">
        <v>0</v>
      </c>
      <c r="AM197" s="13" t="s">
        <v>0</v>
      </c>
      <c r="AN197" s="177" t="s">
        <v>0</v>
      </c>
      <c r="AO197" s="13" t="s">
        <v>0</v>
      </c>
      <c r="AP197" s="13" t="s">
        <v>0</v>
      </c>
      <c r="AQ197" s="13" t="s">
        <v>0</v>
      </c>
      <c r="AR197" s="14" t="s">
        <v>0</v>
      </c>
      <c r="AS197" s="13" t="s">
        <v>69</v>
      </c>
      <c r="AT197" s="3"/>
      <c r="AU197" s="3"/>
    </row>
    <row r="198" spans="1:47" x14ac:dyDescent="0.25">
      <c r="A198" s="3" t="s">
        <v>717</v>
      </c>
      <c r="B198" s="3" t="s">
        <v>2</v>
      </c>
      <c r="C198" s="14" t="s">
        <v>1767</v>
      </c>
      <c r="D198" s="3" t="s">
        <v>1752</v>
      </c>
      <c r="E198" s="3" t="s">
        <v>14</v>
      </c>
      <c r="F198" s="4" t="s">
        <v>69</v>
      </c>
      <c r="G198" s="4" t="s">
        <v>69</v>
      </c>
      <c r="H198" s="3" t="s">
        <v>0</v>
      </c>
      <c r="I198" s="3">
        <v>3</v>
      </c>
      <c r="J198" s="14">
        <v>7</v>
      </c>
      <c r="K198" s="3" t="s">
        <v>72</v>
      </c>
      <c r="L198" s="3" t="s">
        <v>1753</v>
      </c>
      <c r="M198" s="3" t="s">
        <v>1754</v>
      </c>
      <c r="N198" s="170">
        <f t="shared" si="20"/>
        <v>16.571428571428573</v>
      </c>
      <c r="O198" s="176" t="s">
        <v>1756</v>
      </c>
      <c r="P198" s="3" t="s">
        <v>60</v>
      </c>
      <c r="Q198" s="3" t="s">
        <v>1760</v>
      </c>
      <c r="R198" s="3" t="s">
        <v>1769</v>
      </c>
      <c r="S198" s="3">
        <v>37</v>
      </c>
      <c r="T198" s="3" t="s">
        <v>64</v>
      </c>
      <c r="U198" s="3" t="s">
        <v>1773</v>
      </c>
      <c r="V198" s="3" t="s">
        <v>1774</v>
      </c>
      <c r="W198" s="3" t="s">
        <v>0</v>
      </c>
      <c r="X198" s="14" t="s">
        <v>1776</v>
      </c>
      <c r="Y198" s="3" t="s">
        <v>1777</v>
      </c>
      <c r="Z198" s="14" t="s">
        <v>1584</v>
      </c>
      <c r="AA198" s="14" t="s">
        <v>1</v>
      </c>
      <c r="AB198" s="3" t="s">
        <v>1786</v>
      </c>
      <c r="AC198" s="177"/>
      <c r="AD198" s="3" t="s">
        <v>1787</v>
      </c>
      <c r="AE198" s="3" t="s">
        <v>0</v>
      </c>
      <c r="AF198" s="177" t="s">
        <v>0</v>
      </c>
      <c r="AG198" s="13" t="s">
        <v>0</v>
      </c>
      <c r="AH198" s="13" t="s">
        <v>0</v>
      </c>
      <c r="AI198" s="13" t="s">
        <v>0</v>
      </c>
      <c r="AJ198" s="177" t="s">
        <v>0</v>
      </c>
      <c r="AK198" s="170">
        <f>13.4*46.48/100</f>
        <v>6.2283200000000001</v>
      </c>
      <c r="AL198" s="13" t="s">
        <v>0</v>
      </c>
      <c r="AM198" s="13" t="s">
        <v>0</v>
      </c>
      <c r="AN198" s="177" t="s">
        <v>0</v>
      </c>
      <c r="AO198" s="13" t="s">
        <v>0</v>
      </c>
      <c r="AP198" s="13" t="s">
        <v>0</v>
      </c>
      <c r="AQ198" s="13" t="s">
        <v>0</v>
      </c>
      <c r="AR198" s="14" t="s">
        <v>0</v>
      </c>
      <c r="AS198" s="13" t="s">
        <v>69</v>
      </c>
      <c r="AT198" s="3"/>
      <c r="AU198" s="3"/>
    </row>
    <row r="199" spans="1:47" x14ac:dyDescent="0.25">
      <c r="A199" s="3" t="s">
        <v>717</v>
      </c>
      <c r="B199" s="3" t="s">
        <v>2</v>
      </c>
      <c r="C199" s="14" t="s">
        <v>1762</v>
      </c>
      <c r="D199" s="3" t="s">
        <v>1752</v>
      </c>
      <c r="E199" s="3" t="s">
        <v>14</v>
      </c>
      <c r="F199" s="4" t="s">
        <v>69</v>
      </c>
      <c r="G199" s="4" t="s">
        <v>69</v>
      </c>
      <c r="H199" s="3" t="s">
        <v>0</v>
      </c>
      <c r="I199" s="3">
        <v>3</v>
      </c>
      <c r="J199" s="14">
        <v>7</v>
      </c>
      <c r="K199" s="3" t="s">
        <v>72</v>
      </c>
      <c r="L199" s="3" t="s">
        <v>1753</v>
      </c>
      <c r="M199" s="3" t="s">
        <v>1754</v>
      </c>
      <c r="N199" s="170">
        <f t="shared" si="20"/>
        <v>16.571428571428573</v>
      </c>
      <c r="O199" s="176" t="s">
        <v>1756</v>
      </c>
      <c r="P199" s="3" t="s">
        <v>60</v>
      </c>
      <c r="Q199" s="3" t="s">
        <v>1759</v>
      </c>
      <c r="R199" s="3" t="s">
        <v>1770</v>
      </c>
      <c r="S199" s="3">
        <v>37</v>
      </c>
      <c r="T199" s="3" t="s">
        <v>64</v>
      </c>
      <c r="U199" s="3" t="s">
        <v>1773</v>
      </c>
      <c r="V199" s="3" t="s">
        <v>1774</v>
      </c>
      <c r="W199" s="3" t="s">
        <v>0</v>
      </c>
      <c r="X199" s="14" t="s">
        <v>1776</v>
      </c>
      <c r="Y199" s="3" t="s">
        <v>1777</v>
      </c>
      <c r="Z199" s="14" t="s">
        <v>1584</v>
      </c>
      <c r="AA199" s="14" t="s">
        <v>1</v>
      </c>
      <c r="AB199" s="3" t="s">
        <v>1788</v>
      </c>
      <c r="AC199" s="177"/>
      <c r="AD199" s="3" t="s">
        <v>1789</v>
      </c>
      <c r="AE199" s="3" t="s">
        <v>0</v>
      </c>
      <c r="AF199" s="177" t="s">
        <v>0</v>
      </c>
      <c r="AG199" s="13" t="s">
        <v>0</v>
      </c>
      <c r="AH199" s="13" t="s">
        <v>0</v>
      </c>
      <c r="AI199" s="13" t="s">
        <v>0</v>
      </c>
      <c r="AJ199" s="177" t="s">
        <v>0</v>
      </c>
      <c r="AK199" s="170">
        <f>0.067*66.52</f>
        <v>4.4568399999999997</v>
      </c>
      <c r="AL199" s="13" t="s">
        <v>0</v>
      </c>
      <c r="AM199" s="13" t="s">
        <v>0</v>
      </c>
      <c r="AN199" s="177" t="s">
        <v>0</v>
      </c>
      <c r="AO199" s="13" t="s">
        <v>0</v>
      </c>
      <c r="AP199" s="13" t="s">
        <v>0</v>
      </c>
      <c r="AQ199" s="13" t="s">
        <v>0</v>
      </c>
      <c r="AR199" s="14" t="s">
        <v>0</v>
      </c>
      <c r="AS199" s="13" t="s">
        <v>69</v>
      </c>
      <c r="AT199" s="3"/>
      <c r="AU199" s="3"/>
    </row>
    <row r="200" spans="1:47" x14ac:dyDescent="0.25">
      <c r="A200" s="3" t="s">
        <v>717</v>
      </c>
      <c r="B200" s="3" t="s">
        <v>2</v>
      </c>
      <c r="C200" s="14" t="s">
        <v>1761</v>
      </c>
      <c r="D200" s="3" t="s">
        <v>1752</v>
      </c>
      <c r="E200" s="3" t="s">
        <v>14</v>
      </c>
      <c r="F200" s="4" t="s">
        <v>69</v>
      </c>
      <c r="G200" s="4" t="s">
        <v>69</v>
      </c>
      <c r="H200" s="3" t="s">
        <v>0</v>
      </c>
      <c r="I200" s="3">
        <v>3</v>
      </c>
      <c r="J200" s="14">
        <v>7</v>
      </c>
      <c r="K200" s="3" t="s">
        <v>72</v>
      </c>
      <c r="L200" s="3" t="s">
        <v>1753</v>
      </c>
      <c r="M200" s="3" t="s">
        <v>1754</v>
      </c>
      <c r="N200" s="170">
        <f>120*1.45/7</f>
        <v>24.857142857142858</v>
      </c>
      <c r="O200" s="176" t="s">
        <v>1756</v>
      </c>
      <c r="P200" s="3" t="s">
        <v>60</v>
      </c>
      <c r="Q200" s="3" t="s">
        <v>1759</v>
      </c>
      <c r="R200" s="3" t="s">
        <v>1770</v>
      </c>
      <c r="S200" s="3">
        <v>37</v>
      </c>
      <c r="T200" s="3" t="s">
        <v>64</v>
      </c>
      <c r="U200" s="3" t="s">
        <v>1773</v>
      </c>
      <c r="V200" s="3" t="s">
        <v>1774</v>
      </c>
      <c r="W200" s="3" t="s">
        <v>0</v>
      </c>
      <c r="X200" s="14" t="s">
        <v>1776</v>
      </c>
      <c r="Y200" s="3" t="s">
        <v>1777</v>
      </c>
      <c r="Z200" s="14" t="s">
        <v>1584</v>
      </c>
      <c r="AA200" s="14" t="s">
        <v>1</v>
      </c>
      <c r="AB200" s="3" t="s">
        <v>1790</v>
      </c>
      <c r="AC200" s="177"/>
      <c r="AD200" s="3" t="s">
        <v>199</v>
      </c>
      <c r="AE200" s="3" t="s">
        <v>0</v>
      </c>
      <c r="AF200" s="177" t="s">
        <v>0</v>
      </c>
      <c r="AG200" s="13" t="s">
        <v>0</v>
      </c>
      <c r="AH200" s="13" t="s">
        <v>0</v>
      </c>
      <c r="AI200" s="13" t="s">
        <v>0</v>
      </c>
      <c r="AJ200" s="177" t="s">
        <v>0</v>
      </c>
      <c r="AK200" s="3" t="s">
        <v>199</v>
      </c>
      <c r="AL200" s="13" t="s">
        <v>0</v>
      </c>
      <c r="AM200" s="13" t="s">
        <v>0</v>
      </c>
      <c r="AN200" s="177" t="s">
        <v>0</v>
      </c>
      <c r="AO200" s="13" t="s">
        <v>0</v>
      </c>
      <c r="AP200" s="13" t="s">
        <v>0</v>
      </c>
      <c r="AQ200" s="13" t="s">
        <v>0</v>
      </c>
      <c r="AR200" s="14" t="s">
        <v>0</v>
      </c>
      <c r="AS200" s="13" t="s">
        <v>69</v>
      </c>
      <c r="AT200" s="3"/>
      <c r="AU200" s="3"/>
    </row>
  </sheetData>
  <mergeCells count="9">
    <mergeCell ref="T2:V2"/>
    <mergeCell ref="B1:C1"/>
    <mergeCell ref="Y1:Z1"/>
    <mergeCell ref="AD1:AF1"/>
    <mergeCell ref="AK1:AM1"/>
    <mergeCell ref="AG1:AJ1"/>
    <mergeCell ref="D1:J1"/>
    <mergeCell ref="K1:N1"/>
    <mergeCell ref="P1:R1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7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A2" sqref="A2:XFD2"/>
    </sheetView>
  </sheetViews>
  <sheetFormatPr defaultRowHeight="15" x14ac:dyDescent="0.25"/>
  <cols>
    <col min="1" max="1" width="29.7109375" customWidth="1"/>
    <col min="2" max="2" width="14" bestFit="1" customWidth="1"/>
    <col min="3" max="3" width="85" customWidth="1"/>
    <col min="4" max="4" width="55.42578125" bestFit="1" customWidth="1"/>
    <col min="5" max="5" width="22" bestFit="1" customWidth="1"/>
    <col min="6" max="6" width="82" style="7" bestFit="1" customWidth="1"/>
    <col min="7" max="7" width="82" style="7" customWidth="1"/>
    <col min="8" max="8" width="6.85546875" customWidth="1"/>
    <col min="10" max="10" width="10" bestFit="1" customWidth="1"/>
    <col min="11" max="11" width="15.85546875" style="12" bestFit="1" customWidth="1"/>
    <col min="12" max="12" width="9.140625" style="164"/>
    <col min="14" max="14" width="15" bestFit="1" customWidth="1"/>
    <col min="15" max="16" width="15.85546875" bestFit="1" customWidth="1"/>
    <col min="17" max="20" width="18.28515625" bestFit="1" customWidth="1"/>
  </cols>
  <sheetData>
    <row r="1" spans="1:21" ht="18.75" x14ac:dyDescent="0.3">
      <c r="A1" s="267" t="s">
        <v>1748</v>
      </c>
      <c r="B1" s="267"/>
      <c r="C1" s="267"/>
      <c r="D1" s="267"/>
      <c r="E1" s="267"/>
      <c r="F1" s="267"/>
      <c r="G1" s="90"/>
      <c r="H1" s="93"/>
      <c r="I1" s="93"/>
      <c r="J1" s="93"/>
      <c r="K1" s="171"/>
      <c r="L1" s="172"/>
      <c r="M1" s="94"/>
      <c r="N1" s="93"/>
      <c r="O1" s="93"/>
      <c r="P1" s="94"/>
      <c r="Q1" s="93"/>
      <c r="R1" s="93"/>
      <c r="S1" s="93"/>
      <c r="T1" s="93"/>
      <c r="U1" s="93"/>
    </row>
    <row r="2" spans="1:21" ht="18.75" x14ac:dyDescent="0.3">
      <c r="A2" s="260" t="s">
        <v>1852</v>
      </c>
      <c r="B2" s="260"/>
      <c r="C2" s="260"/>
      <c r="D2" s="260"/>
      <c r="E2" s="260"/>
      <c r="F2" s="260"/>
      <c r="G2" s="259"/>
      <c r="H2" s="93"/>
      <c r="I2" s="93"/>
      <c r="J2" s="93"/>
      <c r="K2" s="171"/>
      <c r="L2" s="172"/>
      <c r="M2" s="94"/>
      <c r="N2" s="93"/>
      <c r="O2" s="93"/>
      <c r="P2" s="94"/>
      <c r="Q2" s="93"/>
      <c r="R2" s="93"/>
      <c r="S2" s="93"/>
      <c r="T2" s="93"/>
      <c r="U2" s="93"/>
    </row>
    <row r="3" spans="1:21" x14ac:dyDescent="0.25">
      <c r="A3" s="93" t="s">
        <v>1700</v>
      </c>
      <c r="B3" s="173" t="s">
        <v>1701</v>
      </c>
      <c r="C3" s="94" t="s">
        <v>662</v>
      </c>
      <c r="D3" s="94" t="s">
        <v>21</v>
      </c>
      <c r="E3" s="94" t="s">
        <v>1702</v>
      </c>
      <c r="F3" s="90" t="s">
        <v>1703</v>
      </c>
      <c r="G3" s="90" t="s">
        <v>1704</v>
      </c>
      <c r="H3" s="94" t="s">
        <v>1566</v>
      </c>
      <c r="I3" s="94" t="s">
        <v>1705</v>
      </c>
      <c r="J3" s="93" t="s">
        <v>407</v>
      </c>
      <c r="K3" s="171" t="s">
        <v>1706</v>
      </c>
      <c r="L3" s="172" t="s">
        <v>1707</v>
      </c>
      <c r="M3" s="94" t="s">
        <v>1708</v>
      </c>
      <c r="N3" s="94" t="s">
        <v>1709</v>
      </c>
      <c r="O3" s="93" t="s">
        <v>1710</v>
      </c>
      <c r="P3" s="94" t="s">
        <v>1711</v>
      </c>
      <c r="Q3" s="94" t="s">
        <v>1712</v>
      </c>
      <c r="R3" s="93" t="s">
        <v>1713</v>
      </c>
      <c r="S3" s="93" t="s">
        <v>1714</v>
      </c>
      <c r="T3" s="94" t="s">
        <v>1715</v>
      </c>
      <c r="U3" s="94" t="s">
        <v>1716</v>
      </c>
    </row>
    <row r="4" spans="1:21" x14ac:dyDescent="0.25">
      <c r="A4" s="212" t="s">
        <v>1614</v>
      </c>
      <c r="B4" s="208" t="s">
        <v>55</v>
      </c>
      <c r="C4" s="209" t="s">
        <v>1747</v>
      </c>
      <c r="D4" s="209" t="s">
        <v>12</v>
      </c>
      <c r="E4" s="208">
        <v>48</v>
      </c>
      <c r="F4" s="208" t="s">
        <v>1097</v>
      </c>
      <c r="G4" s="209" t="s">
        <v>1717</v>
      </c>
      <c r="H4" s="209" t="s">
        <v>64</v>
      </c>
      <c r="I4" s="209">
        <v>5.5</v>
      </c>
      <c r="J4" s="209" t="s">
        <v>69</v>
      </c>
      <c r="K4" s="211">
        <v>1.92</v>
      </c>
      <c r="L4" s="210">
        <v>15</v>
      </c>
      <c r="M4" s="209" t="s">
        <v>69</v>
      </c>
      <c r="N4" s="209">
        <v>0.12</v>
      </c>
      <c r="O4" s="209" t="s">
        <v>0</v>
      </c>
      <c r="P4" s="209" t="s">
        <v>0</v>
      </c>
      <c r="Q4" s="209">
        <v>0.12</v>
      </c>
      <c r="R4" s="209" t="s">
        <v>0</v>
      </c>
      <c r="S4" s="209" t="s">
        <v>0</v>
      </c>
      <c r="T4" s="209" t="s">
        <v>0</v>
      </c>
      <c r="U4" s="208">
        <f t="shared" ref="U4:U32" si="0">SUM(Q4:T4)</f>
        <v>0.12</v>
      </c>
    </row>
    <row r="5" spans="1:21" x14ac:dyDescent="0.25">
      <c r="A5" s="207" t="s">
        <v>1578</v>
      </c>
      <c r="B5" s="199" t="s">
        <v>55</v>
      </c>
      <c r="C5" s="199" t="s">
        <v>882</v>
      </c>
      <c r="D5" s="199" t="s">
        <v>12</v>
      </c>
      <c r="E5" s="199">
        <v>24</v>
      </c>
      <c r="F5" s="199" t="s">
        <v>1718</v>
      </c>
      <c r="G5" s="199" t="s">
        <v>728</v>
      </c>
      <c r="H5" s="199" t="s">
        <v>64</v>
      </c>
      <c r="I5" s="199">
        <v>5.5</v>
      </c>
      <c r="J5" s="198" t="s">
        <v>69</v>
      </c>
      <c r="K5" s="206">
        <f>9*198/228</f>
        <v>7.8157894736842106</v>
      </c>
      <c r="L5" s="200">
        <v>8</v>
      </c>
      <c r="M5" s="199" t="s">
        <v>69</v>
      </c>
      <c r="N5" s="199">
        <v>10.26</v>
      </c>
      <c r="O5" s="198" t="s">
        <v>0</v>
      </c>
      <c r="P5" s="199" t="s">
        <v>0</v>
      </c>
      <c r="Q5" s="199">
        <v>1.28</v>
      </c>
      <c r="R5" s="199" t="s">
        <v>0</v>
      </c>
      <c r="S5" s="199" t="s">
        <v>0</v>
      </c>
      <c r="T5" s="199" t="s">
        <v>0</v>
      </c>
      <c r="U5" s="198">
        <f t="shared" si="0"/>
        <v>1.28</v>
      </c>
    </row>
    <row r="6" spans="1:21" x14ac:dyDescent="0.25">
      <c r="A6" s="202" t="s">
        <v>717</v>
      </c>
      <c r="B6" s="198" t="s">
        <v>2</v>
      </c>
      <c r="C6" s="199" t="s">
        <v>1719</v>
      </c>
      <c r="D6" s="199" t="s">
        <v>14</v>
      </c>
      <c r="E6" s="198">
        <f>7*24</f>
        <v>168</v>
      </c>
      <c r="F6" s="199" t="s">
        <v>1720</v>
      </c>
      <c r="G6" s="199" t="s">
        <v>728</v>
      </c>
      <c r="H6" s="199" t="s">
        <v>1721</v>
      </c>
      <c r="I6" s="199">
        <v>7</v>
      </c>
      <c r="J6" s="199" t="s">
        <v>69</v>
      </c>
      <c r="K6" s="201">
        <v>16.571428571428573</v>
      </c>
      <c r="L6" s="200">
        <v>7</v>
      </c>
      <c r="M6" s="199" t="s">
        <v>69</v>
      </c>
      <c r="N6" s="199">
        <v>21.841380000000001</v>
      </c>
      <c r="O6" s="198" t="s">
        <v>0</v>
      </c>
      <c r="P6" s="199" t="s">
        <v>0</v>
      </c>
      <c r="Q6" s="199">
        <v>3.1201971428571431</v>
      </c>
      <c r="R6" s="198" t="s">
        <v>0</v>
      </c>
      <c r="S6" s="198" t="s">
        <v>0</v>
      </c>
      <c r="T6" s="198" t="s">
        <v>0</v>
      </c>
      <c r="U6" s="198">
        <f t="shared" si="0"/>
        <v>3.1201971428571431</v>
      </c>
    </row>
    <row r="7" spans="1:21" x14ac:dyDescent="0.25">
      <c r="A7" s="198" t="s">
        <v>1569</v>
      </c>
      <c r="B7" s="199" t="s">
        <v>216</v>
      </c>
      <c r="C7" s="199" t="s">
        <v>1722</v>
      </c>
      <c r="D7" s="199" t="s">
        <v>12</v>
      </c>
      <c r="E7" s="199">
        <v>24</v>
      </c>
      <c r="F7" s="199" t="s">
        <v>1723</v>
      </c>
      <c r="G7" s="199" t="s">
        <v>728</v>
      </c>
      <c r="H7" s="199" t="s">
        <v>64</v>
      </c>
      <c r="I7" s="199" t="s">
        <v>879</v>
      </c>
      <c r="J7" s="198" t="s">
        <v>69</v>
      </c>
      <c r="K7" s="206">
        <f>30*198/228</f>
        <v>26.05263157894737</v>
      </c>
      <c r="L7" s="200">
        <v>3</v>
      </c>
      <c r="M7" s="199" t="s">
        <v>69</v>
      </c>
      <c r="N7" s="204">
        <v>8.83</v>
      </c>
      <c r="O7" s="205" t="s">
        <v>0</v>
      </c>
      <c r="P7" s="204" t="s">
        <v>0</v>
      </c>
      <c r="Q7" s="203">
        <v>2.9433333333333334</v>
      </c>
      <c r="R7" s="198" t="s">
        <v>0</v>
      </c>
      <c r="S7" s="198" t="s">
        <v>0</v>
      </c>
      <c r="T7" s="198" t="s">
        <v>0</v>
      </c>
      <c r="U7" s="198">
        <f t="shared" si="0"/>
        <v>2.9433333333333334</v>
      </c>
    </row>
    <row r="8" spans="1:21" x14ac:dyDescent="0.25">
      <c r="A8" s="202" t="s">
        <v>749</v>
      </c>
      <c r="B8" s="198" t="s">
        <v>55</v>
      </c>
      <c r="C8" s="199" t="s">
        <v>1011</v>
      </c>
      <c r="D8" s="199" t="s">
        <v>12</v>
      </c>
      <c r="E8" s="199">
        <v>24</v>
      </c>
      <c r="F8" s="199" t="s">
        <v>316</v>
      </c>
      <c r="G8" s="199" t="s">
        <v>728</v>
      </c>
      <c r="H8" s="199" t="s">
        <v>64</v>
      </c>
      <c r="I8" s="199" t="s">
        <v>1012</v>
      </c>
      <c r="J8" s="199" t="s">
        <v>69</v>
      </c>
      <c r="K8" s="201">
        <v>0.56759999999999999</v>
      </c>
      <c r="L8" s="200">
        <v>20</v>
      </c>
      <c r="M8" s="199" t="s">
        <v>69</v>
      </c>
      <c r="N8" s="199">
        <v>5.0759999999999996</v>
      </c>
      <c r="O8" s="198" t="s">
        <v>0</v>
      </c>
      <c r="P8" s="199" t="s">
        <v>0</v>
      </c>
      <c r="Q8" s="199">
        <v>0.25379999999999997</v>
      </c>
      <c r="R8" s="198" t="s">
        <v>0</v>
      </c>
      <c r="S8" s="198" t="s">
        <v>0</v>
      </c>
      <c r="T8" s="198" t="s">
        <v>0</v>
      </c>
      <c r="U8" s="198">
        <f t="shared" si="0"/>
        <v>0.25379999999999997</v>
      </c>
    </row>
    <row r="9" spans="1:21" x14ac:dyDescent="0.25">
      <c r="A9" s="196" t="s">
        <v>1637</v>
      </c>
      <c r="B9" s="192" t="s">
        <v>2</v>
      </c>
      <c r="C9" s="193" t="s">
        <v>1181</v>
      </c>
      <c r="D9" s="193" t="s">
        <v>12</v>
      </c>
      <c r="E9" s="192">
        <v>24</v>
      </c>
      <c r="F9" s="193" t="s">
        <v>1183</v>
      </c>
      <c r="G9" s="193" t="s">
        <v>1724</v>
      </c>
      <c r="H9" s="193" t="s">
        <v>69</v>
      </c>
      <c r="I9" s="193" t="s">
        <v>1185</v>
      </c>
      <c r="J9" s="193" t="s">
        <v>69</v>
      </c>
      <c r="K9" s="197">
        <v>5.3049999999999997</v>
      </c>
      <c r="L9" s="194">
        <v>2</v>
      </c>
      <c r="M9" s="193" t="s">
        <v>69</v>
      </c>
      <c r="N9" s="193">
        <v>9.0299999999999994</v>
      </c>
      <c r="O9" s="193">
        <v>0</v>
      </c>
      <c r="P9" s="193">
        <v>0</v>
      </c>
      <c r="Q9" s="193">
        <v>4.5149999999999997</v>
      </c>
      <c r="R9" s="193">
        <v>0</v>
      </c>
      <c r="S9" s="192">
        <v>0</v>
      </c>
      <c r="T9" s="192" t="s">
        <v>0</v>
      </c>
      <c r="U9" s="192">
        <f t="shared" si="0"/>
        <v>4.5149999999999997</v>
      </c>
    </row>
    <row r="10" spans="1:21" x14ac:dyDescent="0.25">
      <c r="A10" s="196" t="s">
        <v>1631</v>
      </c>
      <c r="B10" s="192" t="s">
        <v>2</v>
      </c>
      <c r="C10" s="193" t="s">
        <v>1139</v>
      </c>
      <c r="D10" s="193" t="s">
        <v>1140</v>
      </c>
      <c r="E10" s="192" t="s">
        <v>1725</v>
      </c>
      <c r="F10" s="193" t="s">
        <v>1141</v>
      </c>
      <c r="G10" s="193" t="s">
        <v>1724</v>
      </c>
      <c r="H10" s="193" t="s">
        <v>64</v>
      </c>
      <c r="I10" s="193">
        <v>5.5</v>
      </c>
      <c r="J10" s="193" t="s">
        <v>69</v>
      </c>
      <c r="K10" s="195">
        <v>28.76</v>
      </c>
      <c r="L10" s="194">
        <v>2.5</v>
      </c>
      <c r="M10" s="193" t="s">
        <v>69</v>
      </c>
      <c r="N10" s="193" t="s">
        <v>0</v>
      </c>
      <c r="O10" s="193" t="s">
        <v>0</v>
      </c>
      <c r="P10" s="193" t="s">
        <v>0</v>
      </c>
      <c r="Q10" s="193">
        <v>5.12</v>
      </c>
      <c r="R10" s="193" t="s">
        <v>0</v>
      </c>
      <c r="S10" s="193" t="s">
        <v>0</v>
      </c>
      <c r="T10" s="193" t="s">
        <v>0</v>
      </c>
      <c r="U10" s="192">
        <f t="shared" si="0"/>
        <v>5.12</v>
      </c>
    </row>
    <row r="11" spans="1:21" x14ac:dyDescent="0.25">
      <c r="A11" s="196" t="s">
        <v>1581</v>
      </c>
      <c r="B11" s="192" t="s">
        <v>55</v>
      </c>
      <c r="C11" s="193" t="s">
        <v>896</v>
      </c>
      <c r="D11" s="193" t="s">
        <v>12</v>
      </c>
      <c r="E11" s="193">
        <v>24</v>
      </c>
      <c r="F11" s="193" t="s">
        <v>897</v>
      </c>
      <c r="G11" s="193" t="s">
        <v>1724</v>
      </c>
      <c r="H11" s="193" t="s">
        <v>69</v>
      </c>
      <c r="I11" s="193" t="s">
        <v>1726</v>
      </c>
      <c r="J11" s="193" t="s">
        <v>69</v>
      </c>
      <c r="K11" s="195">
        <v>5.99</v>
      </c>
      <c r="L11" s="194">
        <v>12</v>
      </c>
      <c r="M11" s="193" t="s">
        <v>69</v>
      </c>
      <c r="N11" s="193">
        <v>1.4504000000000004</v>
      </c>
      <c r="O11" s="192" t="s">
        <v>0</v>
      </c>
      <c r="P11" s="193">
        <v>9.8000000000000004E-2</v>
      </c>
      <c r="Q11" s="193">
        <f>N11/L11</f>
        <v>0.12086666666666669</v>
      </c>
      <c r="R11" s="192" t="s">
        <v>0</v>
      </c>
      <c r="S11" s="192">
        <f>P11/L11</f>
        <v>8.1666666666666676E-3</v>
      </c>
      <c r="T11" s="192" t="s">
        <v>0</v>
      </c>
      <c r="U11" s="192">
        <f t="shared" si="0"/>
        <v>0.12903333333333336</v>
      </c>
    </row>
    <row r="12" spans="1:21" x14ac:dyDescent="0.25">
      <c r="A12" s="196" t="s">
        <v>1587</v>
      </c>
      <c r="B12" s="192" t="s">
        <v>1040</v>
      </c>
      <c r="C12" s="193" t="s">
        <v>1041</v>
      </c>
      <c r="D12" s="193" t="s">
        <v>1023</v>
      </c>
      <c r="E12" s="192" t="s">
        <v>1725</v>
      </c>
      <c r="F12" s="193" t="s">
        <v>1036</v>
      </c>
      <c r="G12" s="193" t="s">
        <v>1724</v>
      </c>
      <c r="H12" s="193" t="s">
        <v>64</v>
      </c>
      <c r="I12" s="193">
        <v>6</v>
      </c>
      <c r="J12" s="193" t="s">
        <v>69</v>
      </c>
      <c r="K12" s="195">
        <v>6.7133333333333338</v>
      </c>
      <c r="L12" s="194">
        <v>5.86</v>
      </c>
      <c r="M12" s="193" t="s">
        <v>69</v>
      </c>
      <c r="N12" s="193">
        <v>9.1144827586206887</v>
      </c>
      <c r="O12" s="193" t="s">
        <v>0</v>
      </c>
      <c r="P12" s="193">
        <v>7.6266666666666669</v>
      </c>
      <c r="Q12" s="193">
        <v>1.5553724844062609</v>
      </c>
      <c r="R12" s="193" t="s">
        <v>0</v>
      </c>
      <c r="S12" s="192">
        <v>1.3014789533560864</v>
      </c>
      <c r="T12" s="192" t="s">
        <v>0</v>
      </c>
      <c r="U12" s="192">
        <f t="shared" si="0"/>
        <v>2.8568514377623471</v>
      </c>
    </row>
    <row r="13" spans="1:21" x14ac:dyDescent="0.25">
      <c r="A13" s="192" t="s">
        <v>700</v>
      </c>
      <c r="B13" s="192" t="s">
        <v>2</v>
      </c>
      <c r="C13" s="193" t="s">
        <v>1727</v>
      </c>
      <c r="D13" s="193" t="s">
        <v>1728</v>
      </c>
      <c r="E13" s="192">
        <f>1.4/0.5*24</f>
        <v>67.199999999999989</v>
      </c>
      <c r="F13" s="193" t="s">
        <v>1729</v>
      </c>
      <c r="G13" s="193" t="s">
        <v>1724</v>
      </c>
      <c r="H13" s="193" t="s">
        <v>64</v>
      </c>
      <c r="I13" s="193">
        <v>6</v>
      </c>
      <c r="J13" s="193" t="s">
        <v>69</v>
      </c>
      <c r="K13" s="195">
        <v>8.6617857142857133</v>
      </c>
      <c r="L13" s="194">
        <v>28</v>
      </c>
      <c r="M13" s="193" t="s">
        <v>69</v>
      </c>
      <c r="N13" s="193">
        <v>51.67</v>
      </c>
      <c r="O13" s="193" t="s">
        <v>0</v>
      </c>
      <c r="P13" s="193" t="s">
        <v>0</v>
      </c>
      <c r="Q13" s="193">
        <f>N13/L13</f>
        <v>1.8453571428571429</v>
      </c>
      <c r="R13" s="193" t="s">
        <v>0</v>
      </c>
      <c r="S13" s="192" t="s">
        <v>0</v>
      </c>
      <c r="T13" s="192" t="s">
        <v>0</v>
      </c>
      <c r="U13" s="192">
        <f t="shared" si="0"/>
        <v>1.8453571428571429</v>
      </c>
    </row>
    <row r="14" spans="1:21" x14ac:dyDescent="0.25">
      <c r="A14" s="192" t="s">
        <v>1586</v>
      </c>
      <c r="B14" s="192" t="s">
        <v>55</v>
      </c>
      <c r="C14" s="193" t="s">
        <v>1021</v>
      </c>
      <c r="D14" s="193" t="s">
        <v>1023</v>
      </c>
      <c r="E14" s="192" t="s">
        <v>1725</v>
      </c>
      <c r="F14" s="193" t="s">
        <v>1036</v>
      </c>
      <c r="G14" s="193" t="s">
        <v>1791</v>
      </c>
      <c r="H14" s="193" t="s">
        <v>64</v>
      </c>
      <c r="I14" s="193">
        <v>6</v>
      </c>
      <c r="J14" s="193" t="s">
        <v>69</v>
      </c>
      <c r="K14" s="195">
        <v>5.36</v>
      </c>
      <c r="L14" s="194">
        <v>4</v>
      </c>
      <c r="M14" s="193" t="s">
        <v>69</v>
      </c>
      <c r="N14" s="193">
        <v>8.8937931034482762</v>
      </c>
      <c r="O14" s="193" t="s">
        <v>0</v>
      </c>
      <c r="P14" s="193" t="s">
        <v>0</v>
      </c>
      <c r="Q14" s="193">
        <v>1.4822988505747128</v>
      </c>
      <c r="R14" s="193" t="s">
        <v>0</v>
      </c>
      <c r="S14" s="192" t="s">
        <v>0</v>
      </c>
      <c r="T14" s="192" t="s">
        <v>0</v>
      </c>
      <c r="U14" s="192">
        <f t="shared" si="0"/>
        <v>1.4822988505747128</v>
      </c>
    </row>
    <row r="15" spans="1:21" x14ac:dyDescent="0.25">
      <c r="A15" s="196" t="s">
        <v>1632</v>
      </c>
      <c r="B15" s="192" t="s">
        <v>2</v>
      </c>
      <c r="C15" s="193" t="s">
        <v>1170</v>
      </c>
      <c r="D15" s="193" t="s">
        <v>1023</v>
      </c>
      <c r="E15" s="192" t="s">
        <v>1725</v>
      </c>
      <c r="F15" s="193" t="s">
        <v>1158</v>
      </c>
      <c r="G15" s="193" t="s">
        <v>1730</v>
      </c>
      <c r="H15" s="193" t="s">
        <v>64</v>
      </c>
      <c r="I15" s="193">
        <v>5</v>
      </c>
      <c r="J15" s="193" t="s">
        <v>64</v>
      </c>
      <c r="K15" s="195">
        <v>7.77</v>
      </c>
      <c r="L15" s="194">
        <v>3.55</v>
      </c>
      <c r="M15" s="193" t="s">
        <v>69</v>
      </c>
      <c r="N15" s="193" t="s">
        <v>903</v>
      </c>
      <c r="O15" s="193" t="s">
        <v>903</v>
      </c>
      <c r="P15" s="193" t="s">
        <v>903</v>
      </c>
      <c r="Q15" s="193">
        <v>3.46</v>
      </c>
      <c r="R15" s="193">
        <v>0.62</v>
      </c>
      <c r="S15" s="192">
        <v>0.62</v>
      </c>
      <c r="T15" s="192">
        <v>0.06</v>
      </c>
      <c r="U15" s="192">
        <f t="shared" si="0"/>
        <v>4.76</v>
      </c>
    </row>
    <row r="16" spans="1:21" x14ac:dyDescent="0.25">
      <c r="A16" s="190" t="s">
        <v>1612</v>
      </c>
      <c r="B16" s="186" t="s">
        <v>2</v>
      </c>
      <c r="C16" s="187" t="s">
        <v>1074</v>
      </c>
      <c r="D16" s="187" t="s">
        <v>12</v>
      </c>
      <c r="E16" s="186">
        <v>24</v>
      </c>
      <c r="F16" s="187" t="s">
        <v>1731</v>
      </c>
      <c r="G16" s="187" t="s">
        <v>1732</v>
      </c>
      <c r="H16" s="187" t="s">
        <v>64</v>
      </c>
      <c r="I16" s="187">
        <v>5.5</v>
      </c>
      <c r="J16" s="187" t="s">
        <v>69</v>
      </c>
      <c r="K16" s="189">
        <v>2.8857142857142857</v>
      </c>
      <c r="L16" s="188">
        <v>7</v>
      </c>
      <c r="M16" s="187" t="s">
        <v>69</v>
      </c>
      <c r="N16" s="187">
        <f>8.1*8*32/116</f>
        <v>17.875862068965517</v>
      </c>
      <c r="O16" s="187" t="s">
        <v>0</v>
      </c>
      <c r="P16" s="187">
        <f>3.2*11*32/144</f>
        <v>7.8222222222222229</v>
      </c>
      <c r="Q16" s="187">
        <f>N16/L16</f>
        <v>2.5536945812807881</v>
      </c>
      <c r="R16" s="187" t="s">
        <v>0</v>
      </c>
      <c r="S16" s="186">
        <f>P16/L16</f>
        <v>1.1174603174603175</v>
      </c>
      <c r="T16" s="186" t="s">
        <v>0</v>
      </c>
      <c r="U16" s="186">
        <f t="shared" si="0"/>
        <v>3.6711548987411056</v>
      </c>
    </row>
    <row r="17" spans="1:21" x14ac:dyDescent="0.25">
      <c r="A17" s="190" t="s">
        <v>767</v>
      </c>
      <c r="B17" s="186" t="s">
        <v>2</v>
      </c>
      <c r="C17" s="187" t="s">
        <v>1176</v>
      </c>
      <c r="D17" s="187" t="s">
        <v>12</v>
      </c>
      <c r="E17" s="186">
        <v>48</v>
      </c>
      <c r="F17" s="187" t="s">
        <v>1178</v>
      </c>
      <c r="G17" s="187" t="s">
        <v>1733</v>
      </c>
      <c r="H17" s="187" t="s">
        <v>64</v>
      </c>
      <c r="I17" s="187">
        <v>6.5</v>
      </c>
      <c r="J17" s="187" t="s">
        <v>64</v>
      </c>
      <c r="K17" s="189">
        <v>7.64</v>
      </c>
      <c r="L17" s="188">
        <v>15</v>
      </c>
      <c r="M17" s="187" t="s">
        <v>69</v>
      </c>
      <c r="N17" s="187" t="s">
        <v>0</v>
      </c>
      <c r="O17" s="187" t="s">
        <v>0</v>
      </c>
      <c r="P17" s="187" t="s">
        <v>0</v>
      </c>
      <c r="Q17" s="187">
        <v>1.7430000000000001</v>
      </c>
      <c r="R17" s="187" t="s">
        <v>0</v>
      </c>
      <c r="S17" s="186">
        <v>2.6949999999999998</v>
      </c>
      <c r="T17" s="186" t="s">
        <v>0</v>
      </c>
      <c r="U17" s="186">
        <f t="shared" si="0"/>
        <v>4.4379999999999997</v>
      </c>
    </row>
    <row r="18" spans="1:21" x14ac:dyDescent="0.25">
      <c r="A18" s="190" t="s">
        <v>1629</v>
      </c>
      <c r="B18" s="186" t="s">
        <v>2</v>
      </c>
      <c r="C18" s="187" t="s">
        <v>1122</v>
      </c>
      <c r="D18" s="187" t="s">
        <v>1056</v>
      </c>
      <c r="E18" s="186">
        <v>48</v>
      </c>
      <c r="F18" s="187" t="s">
        <v>1124</v>
      </c>
      <c r="G18" s="187" t="s">
        <v>1733</v>
      </c>
      <c r="H18" s="187" t="s">
        <v>64</v>
      </c>
      <c r="I18" s="187">
        <v>5.5</v>
      </c>
      <c r="J18" s="187" t="s">
        <v>64</v>
      </c>
      <c r="K18" s="189">
        <v>5.7</v>
      </c>
      <c r="L18" s="188">
        <v>12</v>
      </c>
      <c r="M18" s="187" t="s">
        <v>69</v>
      </c>
      <c r="N18" s="187" t="s">
        <v>0</v>
      </c>
      <c r="O18" s="187" t="s">
        <v>0</v>
      </c>
      <c r="P18" s="187" t="s">
        <v>0</v>
      </c>
      <c r="Q18" s="187">
        <v>4.62</v>
      </c>
      <c r="R18" s="187" t="s">
        <v>0</v>
      </c>
      <c r="S18" s="186" t="s">
        <v>0</v>
      </c>
      <c r="T18" s="186" t="s">
        <v>0</v>
      </c>
      <c r="U18" s="186">
        <f t="shared" si="0"/>
        <v>4.62</v>
      </c>
    </row>
    <row r="19" spans="1:21" x14ac:dyDescent="0.25">
      <c r="A19" s="190" t="s">
        <v>1645</v>
      </c>
      <c r="B19" s="186" t="s">
        <v>460</v>
      </c>
      <c r="C19" s="187" t="s">
        <v>1326</v>
      </c>
      <c r="D19" s="187" t="s">
        <v>1023</v>
      </c>
      <c r="E19" s="187" t="s">
        <v>1725</v>
      </c>
      <c r="F19" s="187" t="s">
        <v>1307</v>
      </c>
      <c r="G19" s="187" t="s">
        <v>1733</v>
      </c>
      <c r="H19" s="187" t="s">
        <v>64</v>
      </c>
      <c r="I19" s="187">
        <v>5.2</v>
      </c>
      <c r="J19" s="187" t="s">
        <v>64</v>
      </c>
      <c r="K19" s="189">
        <v>51.9</v>
      </c>
      <c r="L19" s="188">
        <v>0.9</v>
      </c>
      <c r="M19" s="187" t="s">
        <v>69</v>
      </c>
      <c r="N19" s="187" t="s">
        <v>0</v>
      </c>
      <c r="O19" s="187" t="s">
        <v>0</v>
      </c>
      <c r="P19" s="187" t="s">
        <v>0</v>
      </c>
      <c r="Q19" s="187">
        <v>4.0999999999999996</v>
      </c>
      <c r="R19" s="186">
        <v>0.3</v>
      </c>
      <c r="S19" s="186">
        <v>2.5</v>
      </c>
      <c r="T19" s="186" t="s">
        <v>0</v>
      </c>
      <c r="U19" s="186">
        <f t="shared" si="0"/>
        <v>6.8999999999999995</v>
      </c>
    </row>
    <row r="20" spans="1:21" x14ac:dyDescent="0.25">
      <c r="A20" s="186" t="s">
        <v>1628</v>
      </c>
      <c r="B20" s="186" t="s">
        <v>460</v>
      </c>
      <c r="C20" s="187" t="s">
        <v>1113</v>
      </c>
      <c r="D20" s="187" t="s">
        <v>1056</v>
      </c>
      <c r="E20" s="186">
        <v>48</v>
      </c>
      <c r="F20" s="187" t="s">
        <v>1734</v>
      </c>
      <c r="G20" s="187" t="s">
        <v>1733</v>
      </c>
      <c r="H20" s="187" t="s">
        <v>64</v>
      </c>
      <c r="I20" s="187">
        <v>5.55</v>
      </c>
      <c r="J20" s="187" t="s">
        <v>64</v>
      </c>
      <c r="K20" s="191">
        <v>18</v>
      </c>
      <c r="L20" s="188">
        <v>3</v>
      </c>
      <c r="M20" s="187" t="s">
        <v>69</v>
      </c>
      <c r="N20" s="187" t="s">
        <v>0</v>
      </c>
      <c r="O20" s="187" t="s">
        <v>0</v>
      </c>
      <c r="P20" s="187" t="s">
        <v>0</v>
      </c>
      <c r="Q20" s="187">
        <v>1.1440000000000001</v>
      </c>
      <c r="R20" s="187">
        <v>0.10400000000000001</v>
      </c>
      <c r="S20" s="186" t="s">
        <v>0</v>
      </c>
      <c r="T20" s="186" t="s">
        <v>0</v>
      </c>
      <c r="U20" s="186">
        <f t="shared" si="0"/>
        <v>1.2480000000000002</v>
      </c>
    </row>
    <row r="21" spans="1:21" x14ac:dyDescent="0.25">
      <c r="A21" s="190" t="s">
        <v>1638</v>
      </c>
      <c r="B21" s="186" t="s">
        <v>2</v>
      </c>
      <c r="C21" s="186" t="s">
        <v>1236</v>
      </c>
      <c r="D21" s="187" t="s">
        <v>1735</v>
      </c>
      <c r="E21" s="186">
        <v>48</v>
      </c>
      <c r="F21" s="187" t="s">
        <v>1736</v>
      </c>
      <c r="G21" s="187" t="s">
        <v>1733</v>
      </c>
      <c r="H21" s="187" t="s">
        <v>64</v>
      </c>
      <c r="I21" s="187">
        <v>5.5</v>
      </c>
      <c r="J21" s="187" t="s">
        <v>64</v>
      </c>
      <c r="K21" s="189">
        <v>10.7</v>
      </c>
      <c r="L21" s="188">
        <v>15</v>
      </c>
      <c r="M21" s="187" t="s">
        <v>69</v>
      </c>
      <c r="N21" s="187" t="s">
        <v>0</v>
      </c>
      <c r="O21" s="186" t="s">
        <v>0</v>
      </c>
      <c r="P21" s="187" t="s">
        <v>0</v>
      </c>
      <c r="Q21" s="187">
        <v>7.52</v>
      </c>
      <c r="R21" s="186" t="s">
        <v>0</v>
      </c>
      <c r="S21" s="186">
        <v>0</v>
      </c>
      <c r="T21" s="186" t="s">
        <v>0</v>
      </c>
      <c r="U21" s="186">
        <f t="shared" si="0"/>
        <v>7.52</v>
      </c>
    </row>
    <row r="22" spans="1:21" x14ac:dyDescent="0.25">
      <c r="A22" s="185" t="s">
        <v>1642</v>
      </c>
      <c r="B22" s="180" t="s">
        <v>2</v>
      </c>
      <c r="C22" s="180" t="s">
        <v>1257</v>
      </c>
      <c r="D22" s="182" t="s">
        <v>1259</v>
      </c>
      <c r="E22" s="180" t="s">
        <v>1725</v>
      </c>
      <c r="F22" s="182" t="s">
        <v>1737</v>
      </c>
      <c r="G22" s="182" t="s">
        <v>1738</v>
      </c>
      <c r="H22" s="182" t="s">
        <v>64</v>
      </c>
      <c r="I22" s="182">
        <v>6.8</v>
      </c>
      <c r="J22" s="182" t="s">
        <v>69</v>
      </c>
      <c r="K22" s="184">
        <v>115.5</v>
      </c>
      <c r="L22" s="183">
        <v>1</v>
      </c>
      <c r="M22" s="182" t="s">
        <v>69</v>
      </c>
      <c r="N22" s="182">
        <v>15.669</v>
      </c>
      <c r="O22" s="180">
        <v>0.18240000000000001</v>
      </c>
      <c r="P22" s="182">
        <v>0.17599999999999999</v>
      </c>
      <c r="Q22" s="182">
        <v>12.359</v>
      </c>
      <c r="R22" s="180">
        <v>0.18240000000000001</v>
      </c>
      <c r="S22" s="180">
        <v>0.17599999999999999</v>
      </c>
      <c r="T22" s="180" t="s">
        <v>0</v>
      </c>
      <c r="U22" s="180">
        <f t="shared" si="0"/>
        <v>12.7174</v>
      </c>
    </row>
    <row r="23" spans="1:21" x14ac:dyDescent="0.25">
      <c r="A23" s="185" t="s">
        <v>1642</v>
      </c>
      <c r="B23" s="180" t="s">
        <v>2</v>
      </c>
      <c r="C23" s="180" t="s">
        <v>1257</v>
      </c>
      <c r="D23" s="182" t="s">
        <v>1259</v>
      </c>
      <c r="E23" s="180" t="s">
        <v>1725</v>
      </c>
      <c r="F23" s="182" t="s">
        <v>1737</v>
      </c>
      <c r="G23" s="182" t="s">
        <v>1738</v>
      </c>
      <c r="H23" s="182" t="s">
        <v>64</v>
      </c>
      <c r="I23" s="182">
        <v>6.8</v>
      </c>
      <c r="J23" s="182" t="s">
        <v>69</v>
      </c>
      <c r="K23" s="184">
        <v>28.875</v>
      </c>
      <c r="L23" s="183">
        <v>4</v>
      </c>
      <c r="M23" s="182" t="s">
        <v>69</v>
      </c>
      <c r="N23" s="182">
        <v>51.2</v>
      </c>
      <c r="O23" s="180" t="s">
        <v>0</v>
      </c>
      <c r="P23" s="182" t="s">
        <v>0</v>
      </c>
      <c r="Q23" s="182">
        <v>12.8</v>
      </c>
      <c r="R23" s="180" t="s">
        <v>0</v>
      </c>
      <c r="S23" s="180" t="s">
        <v>0</v>
      </c>
      <c r="T23" s="180" t="s">
        <v>0</v>
      </c>
      <c r="U23" s="180">
        <f t="shared" si="0"/>
        <v>12.8</v>
      </c>
    </row>
    <row r="24" spans="1:21" x14ac:dyDescent="0.25">
      <c r="A24" s="185" t="s">
        <v>1646</v>
      </c>
      <c r="B24" s="180" t="s">
        <v>2</v>
      </c>
      <c r="C24" s="180" t="s">
        <v>1348</v>
      </c>
      <c r="D24" s="182" t="s">
        <v>1023</v>
      </c>
      <c r="E24" s="180" t="s">
        <v>1725</v>
      </c>
      <c r="F24" s="182" t="s">
        <v>1739</v>
      </c>
      <c r="G24" s="182" t="s">
        <v>1738</v>
      </c>
      <c r="H24" s="182" t="s">
        <v>64</v>
      </c>
      <c r="I24" s="182">
        <v>6.75</v>
      </c>
      <c r="J24" s="182" t="s">
        <v>69</v>
      </c>
      <c r="K24" s="184">
        <f>60.6/L24</f>
        <v>131.7391304347826</v>
      </c>
      <c r="L24" s="183">
        <v>0.46</v>
      </c>
      <c r="M24" s="182" t="s">
        <v>64</v>
      </c>
      <c r="N24" s="182">
        <v>27.806999999999999</v>
      </c>
      <c r="O24" s="180">
        <v>2.1046</v>
      </c>
      <c r="P24" s="182">
        <v>0.9778</v>
      </c>
      <c r="Q24" s="181">
        <v>60.669818181818179</v>
      </c>
      <c r="R24" s="181">
        <v>4.5918545454545461</v>
      </c>
      <c r="S24" s="180">
        <v>2.1333818181818183</v>
      </c>
      <c r="T24" s="180" t="s">
        <v>0</v>
      </c>
      <c r="U24" s="180">
        <f t="shared" si="0"/>
        <v>67.395054545454542</v>
      </c>
    </row>
    <row r="25" spans="1:21" x14ac:dyDescent="0.25">
      <c r="A25" s="43" t="s">
        <v>1644</v>
      </c>
      <c r="B25" s="4" t="s">
        <v>2</v>
      </c>
      <c r="C25" s="4" t="s">
        <v>1297</v>
      </c>
      <c r="D25" s="42" t="s">
        <v>1023</v>
      </c>
      <c r="E25" s="4" t="s">
        <v>1725</v>
      </c>
      <c r="F25" s="42" t="s">
        <v>1302</v>
      </c>
      <c r="G25" s="42" t="s">
        <v>1740</v>
      </c>
      <c r="H25" s="42" t="s">
        <v>64</v>
      </c>
      <c r="I25" s="42" t="s">
        <v>1741</v>
      </c>
      <c r="J25" s="42" t="s">
        <v>69</v>
      </c>
      <c r="K25" s="178">
        <v>240</v>
      </c>
      <c r="L25" s="25">
        <v>0.16666666666666666</v>
      </c>
      <c r="M25" s="42" t="s">
        <v>64</v>
      </c>
      <c r="N25" s="42">
        <v>19.2</v>
      </c>
      <c r="O25" s="4" t="s">
        <v>0</v>
      </c>
      <c r="P25" s="42">
        <v>0.73329999999999995</v>
      </c>
      <c r="Q25" s="42">
        <v>115.2</v>
      </c>
      <c r="R25" s="4" t="s">
        <v>0</v>
      </c>
      <c r="S25" s="4">
        <v>4.3997999999999999</v>
      </c>
      <c r="T25" s="4" t="s">
        <v>0</v>
      </c>
      <c r="U25" s="4">
        <f t="shared" si="0"/>
        <v>119.5998</v>
      </c>
    </row>
    <row r="26" spans="1:21" x14ac:dyDescent="0.25">
      <c r="A26" s="179" t="s">
        <v>1641</v>
      </c>
      <c r="B26" s="4" t="s">
        <v>2</v>
      </c>
      <c r="C26" s="4" t="s">
        <v>1742</v>
      </c>
      <c r="D26" s="42" t="s">
        <v>1023</v>
      </c>
      <c r="E26" s="42" t="s">
        <v>1725</v>
      </c>
      <c r="F26" s="42" t="s">
        <v>1242</v>
      </c>
      <c r="G26" s="42" t="s">
        <v>1743</v>
      </c>
      <c r="H26" s="42" t="s">
        <v>69</v>
      </c>
      <c r="I26" s="42" t="s">
        <v>1744</v>
      </c>
      <c r="J26" s="42" t="s">
        <v>69</v>
      </c>
      <c r="K26" s="178">
        <v>204.48</v>
      </c>
      <c r="L26" s="25">
        <v>0.104167</v>
      </c>
      <c r="M26" s="42" t="s">
        <v>69</v>
      </c>
      <c r="N26" s="48">
        <v>3.84</v>
      </c>
      <c r="O26" s="4" t="s">
        <v>0</v>
      </c>
      <c r="P26" s="42" t="s">
        <v>0</v>
      </c>
      <c r="Q26" s="42">
        <v>36.863999999999997</v>
      </c>
      <c r="R26" s="4" t="s">
        <v>0</v>
      </c>
      <c r="S26" s="4" t="s">
        <v>0</v>
      </c>
      <c r="T26" s="4" t="s">
        <v>0</v>
      </c>
      <c r="U26" s="4">
        <f t="shared" si="0"/>
        <v>36.863999999999997</v>
      </c>
    </row>
    <row r="27" spans="1:21" x14ac:dyDescent="0.25">
      <c r="A27" s="43" t="s">
        <v>1653</v>
      </c>
      <c r="B27" s="4" t="s">
        <v>2</v>
      </c>
      <c r="C27" s="4" t="s">
        <v>1401</v>
      </c>
      <c r="D27" s="42" t="s">
        <v>1023</v>
      </c>
      <c r="E27" s="42" t="s">
        <v>1725</v>
      </c>
      <c r="F27" s="42" t="s">
        <v>1402</v>
      </c>
      <c r="G27" s="42" t="s">
        <v>1743</v>
      </c>
      <c r="H27" s="42" t="s">
        <v>64</v>
      </c>
      <c r="I27" s="4" t="s">
        <v>1390</v>
      </c>
      <c r="J27" s="42" t="s">
        <v>69</v>
      </c>
      <c r="K27" s="178">
        <v>72.370699999999999</v>
      </c>
      <c r="L27" s="25">
        <v>0.70833299999999999</v>
      </c>
      <c r="M27" s="42" t="s">
        <v>69</v>
      </c>
      <c r="N27" s="4">
        <v>24.5</v>
      </c>
      <c r="O27" s="4" t="s">
        <v>0</v>
      </c>
      <c r="P27" s="42">
        <v>1.47</v>
      </c>
      <c r="Q27" s="42">
        <v>34.65</v>
      </c>
      <c r="R27" s="4" t="s">
        <v>0</v>
      </c>
      <c r="S27" s="4">
        <v>2.0699999999999998</v>
      </c>
      <c r="T27" s="4" t="s">
        <v>0</v>
      </c>
      <c r="U27" s="4">
        <f t="shared" si="0"/>
        <v>36.72</v>
      </c>
    </row>
    <row r="28" spans="1:21" x14ac:dyDescent="0.25">
      <c r="A28" s="3" t="s">
        <v>1610</v>
      </c>
      <c r="B28" s="4" t="s">
        <v>2</v>
      </c>
      <c r="C28" s="4" t="s">
        <v>1063</v>
      </c>
      <c r="D28" s="42" t="s">
        <v>1023</v>
      </c>
      <c r="E28" s="42" t="s">
        <v>1725</v>
      </c>
      <c r="F28" s="42" t="s">
        <v>1065</v>
      </c>
      <c r="G28" s="42" t="s">
        <v>1743</v>
      </c>
      <c r="H28" s="42" t="s">
        <v>64</v>
      </c>
      <c r="I28" s="42">
        <v>5.5</v>
      </c>
      <c r="J28" s="42" t="s">
        <v>69</v>
      </c>
      <c r="K28" s="178">
        <v>51.79</v>
      </c>
      <c r="L28" s="25">
        <v>0.58299999999999996</v>
      </c>
      <c r="M28" s="42" t="s">
        <v>69</v>
      </c>
      <c r="N28" s="42">
        <v>2.246</v>
      </c>
      <c r="O28" s="4" t="s">
        <v>0</v>
      </c>
      <c r="P28" s="42" t="s">
        <v>0</v>
      </c>
      <c r="Q28" s="42">
        <v>3.8</v>
      </c>
      <c r="R28" s="42" t="s">
        <v>0</v>
      </c>
      <c r="S28" s="4" t="s">
        <v>0</v>
      </c>
      <c r="T28" s="4" t="s">
        <v>0</v>
      </c>
      <c r="U28" s="4">
        <f t="shared" si="0"/>
        <v>3.8</v>
      </c>
    </row>
    <row r="29" spans="1:21" x14ac:dyDescent="0.25">
      <c r="A29" s="3" t="s">
        <v>735</v>
      </c>
      <c r="B29" s="4" t="s">
        <v>2</v>
      </c>
      <c r="C29" s="4" t="s">
        <v>1405</v>
      </c>
      <c r="D29" s="42" t="s">
        <v>1023</v>
      </c>
      <c r="E29" s="42" t="s">
        <v>1725</v>
      </c>
      <c r="F29" s="42" t="s">
        <v>1420</v>
      </c>
      <c r="G29" s="42" t="s">
        <v>1743</v>
      </c>
      <c r="H29" s="42" t="s">
        <v>64</v>
      </c>
      <c r="I29" s="4">
        <v>5.0999999999999996</v>
      </c>
      <c r="J29" s="42" t="s">
        <v>64</v>
      </c>
      <c r="K29" s="178">
        <v>34.700000000000003</v>
      </c>
      <c r="L29" s="25">
        <v>1.5</v>
      </c>
      <c r="M29" s="42" t="s">
        <v>69</v>
      </c>
      <c r="N29" s="42">
        <v>0.28000000000000003</v>
      </c>
      <c r="O29" s="4" t="s">
        <v>0</v>
      </c>
      <c r="P29" s="42">
        <v>0.34</v>
      </c>
      <c r="Q29" s="42">
        <v>1.7</v>
      </c>
      <c r="R29" s="4" t="s">
        <v>0</v>
      </c>
      <c r="S29" s="4">
        <v>19.399999999999999</v>
      </c>
      <c r="T29" s="4" t="s">
        <v>0</v>
      </c>
      <c r="U29" s="4">
        <f t="shared" si="0"/>
        <v>21.099999999999998</v>
      </c>
    </row>
    <row r="30" spans="1:21" x14ac:dyDescent="0.25">
      <c r="A30" s="3" t="s">
        <v>735</v>
      </c>
      <c r="B30" s="4" t="s">
        <v>2</v>
      </c>
      <c r="C30" s="4" t="s">
        <v>1405</v>
      </c>
      <c r="D30" s="42" t="s">
        <v>1023</v>
      </c>
      <c r="E30" s="42" t="s">
        <v>1725</v>
      </c>
      <c r="F30" s="42" t="s">
        <v>1420</v>
      </c>
      <c r="G30" s="42" t="s">
        <v>1743</v>
      </c>
      <c r="H30" s="42" t="s">
        <v>64</v>
      </c>
      <c r="I30" s="4">
        <v>5.2</v>
      </c>
      <c r="J30" s="42" t="s">
        <v>64</v>
      </c>
      <c r="K30" s="178">
        <v>63.8</v>
      </c>
      <c r="L30" s="25">
        <v>1.5</v>
      </c>
      <c r="M30" s="42" t="s">
        <v>69</v>
      </c>
      <c r="N30" s="42">
        <v>1.21</v>
      </c>
      <c r="O30" s="4" t="s">
        <v>0</v>
      </c>
      <c r="P30" s="42">
        <v>0.69</v>
      </c>
      <c r="Q30" s="42">
        <v>7.5</v>
      </c>
      <c r="R30" s="4" t="s">
        <v>0</v>
      </c>
      <c r="S30" s="4">
        <v>13.2</v>
      </c>
      <c r="T30" s="4" t="s">
        <v>0</v>
      </c>
      <c r="U30" s="4">
        <f t="shared" si="0"/>
        <v>20.7</v>
      </c>
    </row>
    <row r="31" spans="1:21" x14ac:dyDescent="0.25">
      <c r="A31" s="3" t="s">
        <v>1654</v>
      </c>
      <c r="B31" s="4" t="s">
        <v>2</v>
      </c>
      <c r="C31" s="4" t="s">
        <v>1478</v>
      </c>
      <c r="D31" s="42" t="s">
        <v>1023</v>
      </c>
      <c r="E31" s="42" t="s">
        <v>1725</v>
      </c>
      <c r="F31" s="42" t="s">
        <v>1479</v>
      </c>
      <c r="G31" s="42" t="s">
        <v>1745</v>
      </c>
      <c r="H31" s="42" t="s">
        <v>64</v>
      </c>
      <c r="I31" s="4">
        <v>5</v>
      </c>
      <c r="J31" s="42" t="s">
        <v>64</v>
      </c>
      <c r="K31" s="178">
        <v>17.7</v>
      </c>
      <c r="L31" s="25">
        <v>1.9</v>
      </c>
      <c r="M31" s="42" t="s">
        <v>69</v>
      </c>
      <c r="N31" s="42">
        <v>0.06</v>
      </c>
      <c r="O31" s="4" t="s">
        <v>0</v>
      </c>
      <c r="P31" s="42" t="s">
        <v>0</v>
      </c>
      <c r="Q31" s="42">
        <v>6.9</v>
      </c>
      <c r="R31" s="4" t="s">
        <v>0</v>
      </c>
      <c r="S31" s="4" t="s">
        <v>0</v>
      </c>
      <c r="T31" s="4" t="s">
        <v>0</v>
      </c>
      <c r="U31" s="4">
        <f t="shared" si="0"/>
        <v>6.9</v>
      </c>
    </row>
    <row r="32" spans="1:21" x14ac:dyDescent="0.25">
      <c r="A32" s="3" t="s">
        <v>1651</v>
      </c>
      <c r="B32" s="4" t="s">
        <v>216</v>
      </c>
      <c r="C32" s="4" t="s">
        <v>1353</v>
      </c>
      <c r="D32" s="42" t="s">
        <v>1337</v>
      </c>
      <c r="E32" s="42" t="s">
        <v>1725</v>
      </c>
      <c r="F32" s="42" t="s">
        <v>1354</v>
      </c>
      <c r="G32" s="42" t="s">
        <v>1746</v>
      </c>
      <c r="H32" s="42" t="s">
        <v>64</v>
      </c>
      <c r="I32" s="42">
        <v>3.6</v>
      </c>
      <c r="J32" s="42" t="s">
        <v>69</v>
      </c>
      <c r="K32" s="178">
        <v>15.837176470588235</v>
      </c>
      <c r="L32" s="25">
        <v>0.70833333333333337</v>
      </c>
      <c r="M32" s="42" t="s">
        <v>69</v>
      </c>
      <c r="N32" s="42">
        <v>4.0344893793103447</v>
      </c>
      <c r="O32" s="4" t="s">
        <v>0</v>
      </c>
      <c r="P32" s="42" t="s">
        <v>0</v>
      </c>
      <c r="Q32" s="42">
        <v>5.6957497119675455</v>
      </c>
      <c r="R32" s="4" t="s">
        <v>0</v>
      </c>
      <c r="S32" s="4" t="s">
        <v>0</v>
      </c>
      <c r="T32" s="4" t="s">
        <v>0</v>
      </c>
      <c r="U32" s="4">
        <f t="shared" si="0"/>
        <v>5.6957497119675455</v>
      </c>
    </row>
    <row r="33" spans="1:21" x14ac:dyDescent="0.25">
      <c r="B33" s="11"/>
      <c r="C33" s="11"/>
      <c r="D33" s="11"/>
      <c r="E33" s="11"/>
      <c r="F33" s="174"/>
      <c r="G33" s="165"/>
      <c r="H33" s="11"/>
      <c r="I33" s="11"/>
      <c r="J33" s="11"/>
      <c r="K33" s="167"/>
      <c r="L33" s="166"/>
      <c r="M33" s="18"/>
      <c r="N33" s="11"/>
      <c r="O33" s="11"/>
      <c r="P33" s="11"/>
      <c r="Q33" s="11"/>
      <c r="R33" s="11"/>
      <c r="S33" s="11"/>
      <c r="T33" s="11"/>
      <c r="U33" s="11"/>
    </row>
    <row r="34" spans="1:21" x14ac:dyDescent="0.25">
      <c r="A34" s="11"/>
      <c r="B34" s="11"/>
      <c r="C34" s="11"/>
      <c r="D34" s="18"/>
      <c r="E34" s="18"/>
      <c r="F34" s="174"/>
      <c r="G34" s="165"/>
      <c r="H34" s="18"/>
      <c r="I34" s="18"/>
      <c r="J34" s="18"/>
      <c r="K34" s="167"/>
      <c r="L34" s="166"/>
      <c r="M34" s="18"/>
      <c r="N34" s="18"/>
      <c r="O34" s="11"/>
      <c r="P34" s="11"/>
      <c r="Q34" s="18"/>
      <c r="R34" s="11"/>
      <c r="S34" s="11"/>
      <c r="T34" s="11"/>
      <c r="U34" s="11"/>
    </row>
    <row r="35" spans="1:21" x14ac:dyDescent="0.25">
      <c r="A35" s="11"/>
      <c r="B35" s="11"/>
      <c r="C35" s="11"/>
      <c r="D35" s="11"/>
      <c r="E35" s="11"/>
      <c r="F35" s="165"/>
      <c r="G35" s="10"/>
      <c r="H35" s="11"/>
      <c r="I35" s="11"/>
      <c r="J35" s="11"/>
      <c r="K35" s="167"/>
      <c r="L35" s="166"/>
      <c r="M35" s="18"/>
      <c r="N35" s="11"/>
      <c r="O35" s="11"/>
      <c r="P35" s="11"/>
      <c r="Q35" s="11"/>
      <c r="R35" s="11"/>
      <c r="S35" s="11"/>
      <c r="T35" s="11"/>
      <c r="U35" s="11"/>
    </row>
    <row r="36" spans="1:21" x14ac:dyDescent="0.25">
      <c r="A36" t="s">
        <v>1749</v>
      </c>
      <c r="F36" s="50"/>
    </row>
    <row r="37" spans="1:21" ht="15.75" x14ac:dyDescent="0.3">
      <c r="A37" t="s">
        <v>1750</v>
      </c>
      <c r="B37" s="163" t="s">
        <v>1751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21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sqref="A1:XFD1"/>
    </sheetView>
  </sheetViews>
  <sheetFormatPr defaultRowHeight="15" x14ac:dyDescent="0.25"/>
  <cols>
    <col min="1" max="1" width="21.42578125" style="53" bestFit="1" customWidth="1"/>
    <col min="2" max="2" width="14" customWidth="1"/>
    <col min="3" max="3" width="58" bestFit="1" customWidth="1"/>
    <col min="4" max="4" width="92.28515625" bestFit="1" customWidth="1"/>
    <col min="5" max="5" width="58" style="7" customWidth="1"/>
    <col min="6" max="6" width="5" style="7" customWidth="1"/>
    <col min="7" max="7" width="36.85546875" customWidth="1"/>
    <col min="8" max="8" width="75.5703125" customWidth="1"/>
    <col min="9" max="9" width="82.140625" bestFit="1" customWidth="1"/>
    <col min="10" max="10" width="15.7109375" bestFit="1" customWidth="1"/>
    <col min="11" max="11" width="19.28515625" bestFit="1" customWidth="1"/>
    <col min="12" max="12" width="122.85546875" bestFit="1" customWidth="1"/>
    <col min="13" max="13" width="24.5703125" bestFit="1" customWidth="1"/>
    <col min="14" max="14" width="27.85546875" customWidth="1"/>
    <col min="15" max="15" width="28.85546875" customWidth="1"/>
    <col min="16" max="16" width="13.5703125" style="1" bestFit="1" customWidth="1"/>
    <col min="17" max="17" width="10.140625" style="1" bestFit="1" customWidth="1"/>
    <col min="18" max="18" width="15.28515625" style="1" bestFit="1" customWidth="1"/>
    <col min="19" max="19" width="11.140625" style="1" bestFit="1" customWidth="1"/>
    <col min="20" max="20" width="16.140625" style="1" bestFit="1" customWidth="1"/>
  </cols>
  <sheetData>
    <row r="1" spans="1:21" ht="18.75" x14ac:dyDescent="0.3">
      <c r="A1" s="260" t="s">
        <v>1853</v>
      </c>
      <c r="B1" s="260"/>
      <c r="C1" s="260"/>
      <c r="D1" s="260"/>
      <c r="E1" s="260"/>
      <c r="F1" s="260"/>
      <c r="G1" s="259"/>
      <c r="H1" s="93"/>
      <c r="I1" s="93"/>
      <c r="J1" s="93"/>
      <c r="K1" s="171"/>
      <c r="L1" s="172"/>
      <c r="M1" s="94"/>
      <c r="N1" s="93"/>
      <c r="O1" s="93"/>
      <c r="P1" s="94"/>
      <c r="Q1" s="93"/>
      <c r="R1" s="93"/>
      <c r="S1" s="93"/>
      <c r="T1" s="93"/>
      <c r="U1" s="93"/>
    </row>
    <row r="2" spans="1:21" s="93" customFormat="1" x14ac:dyDescent="0.25">
      <c r="A2" s="241" t="s">
        <v>1792</v>
      </c>
      <c r="B2" s="63"/>
      <c r="C2" s="124" t="s">
        <v>25</v>
      </c>
      <c r="D2" s="124" t="s">
        <v>1830</v>
      </c>
      <c r="E2" s="63" t="s">
        <v>1793</v>
      </c>
      <c r="F2" s="63"/>
      <c r="G2" s="63" t="s">
        <v>26</v>
      </c>
      <c r="H2" s="63" t="s">
        <v>20</v>
      </c>
      <c r="I2" s="63" t="s">
        <v>21</v>
      </c>
      <c r="J2" s="63" t="s">
        <v>24</v>
      </c>
      <c r="K2" s="124" t="s">
        <v>1794</v>
      </c>
      <c r="L2" s="124" t="s">
        <v>1703</v>
      </c>
      <c r="M2" s="124" t="s">
        <v>1795</v>
      </c>
      <c r="N2" s="124" t="s">
        <v>1795</v>
      </c>
      <c r="O2" s="63" t="s">
        <v>1796</v>
      </c>
      <c r="P2" s="63" t="s">
        <v>1797</v>
      </c>
      <c r="Q2" s="63" t="s">
        <v>1798</v>
      </c>
      <c r="R2" s="63" t="s">
        <v>1799</v>
      </c>
      <c r="S2" s="63" t="s">
        <v>1800</v>
      </c>
      <c r="T2" s="63" t="s">
        <v>1801</v>
      </c>
    </row>
    <row r="3" spans="1:21" s="242" customFormat="1" x14ac:dyDescent="0.25">
      <c r="A3" s="45" t="s">
        <v>723</v>
      </c>
      <c r="B3" s="44" t="s">
        <v>2</v>
      </c>
      <c r="C3" s="44" t="s">
        <v>201</v>
      </c>
      <c r="D3" s="44"/>
      <c r="E3" s="44" t="s">
        <v>201</v>
      </c>
      <c r="F3" s="44">
        <v>0</v>
      </c>
      <c r="G3" s="44" t="s">
        <v>202</v>
      </c>
      <c r="H3" s="44" t="s">
        <v>194</v>
      </c>
      <c r="I3" s="44" t="s">
        <v>86</v>
      </c>
      <c r="J3" s="44">
        <v>91</v>
      </c>
      <c r="K3" s="44" t="s">
        <v>72</v>
      </c>
      <c r="L3" s="44" t="s">
        <v>195</v>
      </c>
      <c r="M3" s="44" t="s">
        <v>1802</v>
      </c>
      <c r="N3" s="44">
        <v>5</v>
      </c>
      <c r="O3" s="44">
        <v>73.87</v>
      </c>
      <c r="P3" s="44">
        <v>2.4700000000000002</v>
      </c>
      <c r="Q3" s="44">
        <v>0.39</v>
      </c>
      <c r="R3" s="44">
        <f t="shared" ref="R3:R12" si="0">SUM(P3:Q3)</f>
        <v>2.8600000000000003</v>
      </c>
      <c r="S3" s="44">
        <f t="shared" ref="S3:S34" si="1">R3/O3</f>
        <v>3.8716664410450796E-2</v>
      </c>
      <c r="T3" s="44">
        <f t="shared" ref="T3:T34" si="2">S3/J3</f>
        <v>4.2545785066429445E-4</v>
      </c>
    </row>
    <row r="4" spans="1:21" s="214" customFormat="1" x14ac:dyDescent="0.25">
      <c r="A4" s="234" t="s">
        <v>671</v>
      </c>
      <c r="B4" s="213" t="s">
        <v>55</v>
      </c>
      <c r="C4" s="213" t="s">
        <v>1620</v>
      </c>
      <c r="D4" s="213" t="s">
        <v>1803</v>
      </c>
      <c r="E4" s="213" t="s">
        <v>1804</v>
      </c>
      <c r="F4" s="213">
        <v>2</v>
      </c>
      <c r="G4" s="213" t="s">
        <v>76</v>
      </c>
      <c r="H4" s="213" t="s">
        <v>1805</v>
      </c>
      <c r="I4" s="213" t="s">
        <v>71</v>
      </c>
      <c r="J4" s="213">
        <v>30</v>
      </c>
      <c r="K4" s="213" t="s">
        <v>72</v>
      </c>
      <c r="L4" s="213" t="s">
        <v>73</v>
      </c>
      <c r="M4" s="213" t="s">
        <v>728</v>
      </c>
      <c r="N4" s="213">
        <v>2</v>
      </c>
      <c r="O4" s="213">
        <v>8</v>
      </c>
      <c r="P4" s="213">
        <v>0.8</v>
      </c>
      <c r="Q4" s="213" t="s">
        <v>1</v>
      </c>
      <c r="R4" s="213">
        <f t="shared" si="0"/>
        <v>0.8</v>
      </c>
      <c r="S4" s="213">
        <f t="shared" si="1"/>
        <v>0.1</v>
      </c>
      <c r="T4" s="213">
        <f t="shared" si="2"/>
        <v>3.3333333333333335E-3</v>
      </c>
    </row>
    <row r="5" spans="1:21" s="214" customFormat="1" x14ac:dyDescent="0.25">
      <c r="A5" s="234" t="s">
        <v>671</v>
      </c>
      <c r="B5" s="213" t="s">
        <v>55</v>
      </c>
      <c r="C5" s="213" t="s">
        <v>1620</v>
      </c>
      <c r="D5" s="213" t="s">
        <v>1803</v>
      </c>
      <c r="E5" s="213" t="s">
        <v>1804</v>
      </c>
      <c r="F5" s="213">
        <v>2</v>
      </c>
      <c r="G5" s="213" t="s">
        <v>76</v>
      </c>
      <c r="H5" s="213" t="s">
        <v>1805</v>
      </c>
      <c r="I5" s="213" t="s">
        <v>71</v>
      </c>
      <c r="J5" s="213">
        <v>30</v>
      </c>
      <c r="K5" s="213" t="s">
        <v>72</v>
      </c>
      <c r="L5" s="213" t="s">
        <v>73</v>
      </c>
      <c r="M5" s="213" t="s">
        <v>728</v>
      </c>
      <c r="N5" s="213">
        <v>2</v>
      </c>
      <c r="O5" s="213">
        <v>23</v>
      </c>
      <c r="P5" s="213">
        <v>0.7</v>
      </c>
      <c r="Q5" s="213" t="s">
        <v>1</v>
      </c>
      <c r="R5" s="213">
        <f t="shared" si="0"/>
        <v>0.7</v>
      </c>
      <c r="S5" s="213">
        <f t="shared" si="1"/>
        <v>3.043478260869565E-2</v>
      </c>
      <c r="T5" s="213">
        <f t="shared" si="2"/>
        <v>1.0144927536231882E-3</v>
      </c>
    </row>
    <row r="6" spans="1:21" s="214" customFormat="1" x14ac:dyDescent="0.25">
      <c r="A6" s="234" t="s">
        <v>671</v>
      </c>
      <c r="B6" s="213" t="s">
        <v>55</v>
      </c>
      <c r="C6" s="213" t="s">
        <v>1620</v>
      </c>
      <c r="D6" s="213" t="s">
        <v>1803</v>
      </c>
      <c r="E6" s="213" t="s">
        <v>1804</v>
      </c>
      <c r="F6" s="213">
        <v>2</v>
      </c>
      <c r="G6" s="213" t="s">
        <v>76</v>
      </c>
      <c r="H6" s="213" t="s">
        <v>1805</v>
      </c>
      <c r="I6" s="213" t="s">
        <v>71</v>
      </c>
      <c r="J6" s="213">
        <v>30</v>
      </c>
      <c r="K6" s="213" t="s">
        <v>72</v>
      </c>
      <c r="L6" s="213" t="s">
        <v>81</v>
      </c>
      <c r="M6" s="213" t="s">
        <v>728</v>
      </c>
      <c r="N6" s="213">
        <v>2</v>
      </c>
      <c r="O6" s="213">
        <v>13.5</v>
      </c>
      <c r="P6" s="213">
        <v>0.7</v>
      </c>
      <c r="Q6" s="213" t="s">
        <v>1</v>
      </c>
      <c r="R6" s="213">
        <f t="shared" si="0"/>
        <v>0.7</v>
      </c>
      <c r="S6" s="213">
        <f t="shared" si="1"/>
        <v>5.185185185185185E-2</v>
      </c>
      <c r="T6" s="213">
        <f t="shared" si="2"/>
        <v>1.7283950617283949E-3</v>
      </c>
    </row>
    <row r="7" spans="1:21" s="214" customFormat="1" x14ac:dyDescent="0.25">
      <c r="A7" s="234" t="s">
        <v>671</v>
      </c>
      <c r="B7" s="213" t="s">
        <v>55</v>
      </c>
      <c r="C7" s="213" t="s">
        <v>1620</v>
      </c>
      <c r="D7" s="213" t="s">
        <v>1803</v>
      </c>
      <c r="E7" s="213" t="s">
        <v>1804</v>
      </c>
      <c r="F7" s="213">
        <v>2</v>
      </c>
      <c r="G7" s="213" t="s">
        <v>76</v>
      </c>
      <c r="H7" s="213" t="s">
        <v>1805</v>
      </c>
      <c r="I7" s="213" t="s">
        <v>71</v>
      </c>
      <c r="J7" s="213">
        <v>30</v>
      </c>
      <c r="K7" s="213" t="s">
        <v>72</v>
      </c>
      <c r="L7" s="213" t="s">
        <v>81</v>
      </c>
      <c r="M7" s="213" t="s">
        <v>728</v>
      </c>
      <c r="N7" s="213">
        <v>2</v>
      </c>
      <c r="O7" s="213">
        <v>23</v>
      </c>
      <c r="P7" s="213">
        <v>0.7</v>
      </c>
      <c r="Q7" s="213" t="s">
        <v>1</v>
      </c>
      <c r="R7" s="213">
        <f t="shared" si="0"/>
        <v>0.7</v>
      </c>
      <c r="S7" s="213">
        <f t="shared" si="1"/>
        <v>3.043478260869565E-2</v>
      </c>
      <c r="T7" s="213">
        <f t="shared" si="2"/>
        <v>1.0144927536231882E-3</v>
      </c>
    </row>
    <row r="8" spans="1:21" s="214" customFormat="1" x14ac:dyDescent="0.25">
      <c r="A8" s="234" t="s">
        <v>671</v>
      </c>
      <c r="B8" s="213" t="s">
        <v>55</v>
      </c>
      <c r="C8" s="213" t="s">
        <v>1620</v>
      </c>
      <c r="D8" s="213" t="s">
        <v>1803</v>
      </c>
      <c r="E8" s="213" t="s">
        <v>1804</v>
      </c>
      <c r="F8" s="213">
        <v>2</v>
      </c>
      <c r="G8" s="213" t="s">
        <v>76</v>
      </c>
      <c r="H8" s="213" t="s">
        <v>1805</v>
      </c>
      <c r="I8" s="213" t="s">
        <v>71</v>
      </c>
      <c r="J8" s="213">
        <v>30</v>
      </c>
      <c r="K8" s="213" t="s">
        <v>72</v>
      </c>
      <c r="L8" s="213" t="s">
        <v>73</v>
      </c>
      <c r="M8" s="213" t="s">
        <v>728</v>
      </c>
      <c r="N8" s="213">
        <v>2</v>
      </c>
      <c r="O8" s="213">
        <v>13.5</v>
      </c>
      <c r="P8" s="213">
        <v>0.6</v>
      </c>
      <c r="Q8" s="213" t="s">
        <v>1</v>
      </c>
      <c r="R8" s="213">
        <f t="shared" si="0"/>
        <v>0.6</v>
      </c>
      <c r="S8" s="213">
        <f t="shared" si="1"/>
        <v>4.4444444444444446E-2</v>
      </c>
      <c r="T8" s="213">
        <f t="shared" si="2"/>
        <v>1.4814814814814816E-3</v>
      </c>
    </row>
    <row r="9" spans="1:21" s="214" customFormat="1" x14ac:dyDescent="0.25">
      <c r="A9" s="234" t="s">
        <v>671</v>
      </c>
      <c r="B9" s="213" t="s">
        <v>55</v>
      </c>
      <c r="C9" s="213" t="s">
        <v>1620</v>
      </c>
      <c r="D9" s="213" t="s">
        <v>1803</v>
      </c>
      <c r="E9" s="213" t="s">
        <v>1804</v>
      </c>
      <c r="F9" s="213">
        <v>2</v>
      </c>
      <c r="G9" s="213" t="s">
        <v>76</v>
      </c>
      <c r="H9" s="213" t="s">
        <v>1805</v>
      </c>
      <c r="I9" s="213" t="s">
        <v>71</v>
      </c>
      <c r="J9" s="213">
        <v>30</v>
      </c>
      <c r="K9" s="213" t="s">
        <v>72</v>
      </c>
      <c r="L9" s="213" t="s">
        <v>83</v>
      </c>
      <c r="M9" s="213" t="s">
        <v>728</v>
      </c>
      <c r="N9" s="213">
        <v>2</v>
      </c>
      <c r="O9" s="213">
        <v>13.5</v>
      </c>
      <c r="P9" s="213">
        <v>0.5</v>
      </c>
      <c r="Q9" s="213" t="s">
        <v>1</v>
      </c>
      <c r="R9" s="213">
        <f t="shared" si="0"/>
        <v>0.5</v>
      </c>
      <c r="S9" s="213">
        <f t="shared" si="1"/>
        <v>3.7037037037037035E-2</v>
      </c>
      <c r="T9" s="213">
        <f t="shared" si="2"/>
        <v>1.2345679012345679E-3</v>
      </c>
    </row>
    <row r="10" spans="1:21" s="214" customFormat="1" x14ac:dyDescent="0.25">
      <c r="A10" s="234" t="s">
        <v>671</v>
      </c>
      <c r="B10" s="213" t="s">
        <v>55</v>
      </c>
      <c r="C10" s="213" t="s">
        <v>1620</v>
      </c>
      <c r="D10" s="213" t="s">
        <v>1803</v>
      </c>
      <c r="E10" s="213" t="s">
        <v>1804</v>
      </c>
      <c r="F10" s="213">
        <v>2</v>
      </c>
      <c r="G10" s="213" t="s">
        <v>76</v>
      </c>
      <c r="H10" s="213" t="s">
        <v>1805</v>
      </c>
      <c r="I10" s="213" t="s">
        <v>71</v>
      </c>
      <c r="J10" s="213">
        <v>30</v>
      </c>
      <c r="K10" s="213" t="s">
        <v>72</v>
      </c>
      <c r="L10" s="213" t="s">
        <v>81</v>
      </c>
      <c r="M10" s="213" t="s">
        <v>728</v>
      </c>
      <c r="N10" s="213">
        <v>2</v>
      </c>
      <c r="O10" s="213">
        <v>8</v>
      </c>
      <c r="P10" s="213">
        <v>0.3</v>
      </c>
      <c r="Q10" s="213" t="s">
        <v>1</v>
      </c>
      <c r="R10" s="213">
        <f t="shared" si="0"/>
        <v>0.3</v>
      </c>
      <c r="S10" s="213">
        <f t="shared" si="1"/>
        <v>3.7499999999999999E-2</v>
      </c>
      <c r="T10" s="213">
        <f t="shared" si="2"/>
        <v>1.25E-3</v>
      </c>
    </row>
    <row r="11" spans="1:21" s="214" customFormat="1" x14ac:dyDescent="0.25">
      <c r="A11" s="234" t="s">
        <v>671</v>
      </c>
      <c r="B11" s="213" t="s">
        <v>55</v>
      </c>
      <c r="C11" s="213" t="s">
        <v>1620</v>
      </c>
      <c r="D11" s="213" t="s">
        <v>1803</v>
      </c>
      <c r="E11" s="213" t="s">
        <v>1804</v>
      </c>
      <c r="F11" s="213">
        <v>2</v>
      </c>
      <c r="G11" s="213" t="s">
        <v>76</v>
      </c>
      <c r="H11" s="213" t="s">
        <v>1805</v>
      </c>
      <c r="I11" s="213" t="s">
        <v>71</v>
      </c>
      <c r="J11" s="213">
        <v>30</v>
      </c>
      <c r="K11" s="213" t="s">
        <v>72</v>
      </c>
      <c r="L11" s="213" t="s">
        <v>83</v>
      </c>
      <c r="M11" s="213" t="s">
        <v>728</v>
      </c>
      <c r="N11" s="213">
        <v>2</v>
      </c>
      <c r="O11" s="213">
        <v>23</v>
      </c>
      <c r="P11" s="213">
        <v>0.05</v>
      </c>
      <c r="Q11" s="213" t="s">
        <v>1</v>
      </c>
      <c r="R11" s="213">
        <f t="shared" si="0"/>
        <v>0.05</v>
      </c>
      <c r="S11" s="213">
        <f t="shared" si="1"/>
        <v>2.1739130434782609E-3</v>
      </c>
      <c r="T11" s="213">
        <f t="shared" si="2"/>
        <v>7.2463768115942027E-5</v>
      </c>
    </row>
    <row r="12" spans="1:21" s="214" customFormat="1" x14ac:dyDescent="0.25">
      <c r="A12" s="234" t="s">
        <v>671</v>
      </c>
      <c r="B12" s="213" t="s">
        <v>55</v>
      </c>
      <c r="C12" s="213" t="s">
        <v>1620</v>
      </c>
      <c r="D12" s="213" t="s">
        <v>1803</v>
      </c>
      <c r="E12" s="213" t="s">
        <v>1804</v>
      </c>
      <c r="F12" s="213">
        <v>2</v>
      </c>
      <c r="G12" s="213" t="s">
        <v>76</v>
      </c>
      <c r="H12" s="213" t="s">
        <v>1805</v>
      </c>
      <c r="I12" s="213" t="s">
        <v>71</v>
      </c>
      <c r="J12" s="213">
        <v>30</v>
      </c>
      <c r="K12" s="213" t="s">
        <v>72</v>
      </c>
      <c r="L12" s="213" t="s">
        <v>83</v>
      </c>
      <c r="M12" s="213" t="s">
        <v>728</v>
      </c>
      <c r="N12" s="213">
        <v>2</v>
      </c>
      <c r="O12" s="213">
        <v>8</v>
      </c>
      <c r="P12" s="213">
        <v>0.04</v>
      </c>
      <c r="Q12" s="213" t="s">
        <v>1</v>
      </c>
      <c r="R12" s="213">
        <f t="shared" si="0"/>
        <v>0.04</v>
      </c>
      <c r="S12" s="213">
        <f t="shared" si="1"/>
        <v>5.0000000000000001E-3</v>
      </c>
      <c r="T12" s="213">
        <f t="shared" si="2"/>
        <v>1.6666666666666666E-4</v>
      </c>
    </row>
    <row r="13" spans="1:21" s="214" customFormat="1" x14ac:dyDescent="0.25">
      <c r="A13" s="234" t="s">
        <v>778</v>
      </c>
      <c r="B13" s="213" t="s">
        <v>55</v>
      </c>
      <c r="C13" s="213" t="s">
        <v>498</v>
      </c>
      <c r="D13" s="213" t="s">
        <v>1806</v>
      </c>
      <c r="E13" s="213" t="s">
        <v>1804</v>
      </c>
      <c r="F13" s="213">
        <v>2</v>
      </c>
      <c r="G13" s="213" t="s">
        <v>499</v>
      </c>
      <c r="H13" s="213" t="s">
        <v>496</v>
      </c>
      <c r="I13" s="213" t="s">
        <v>281</v>
      </c>
      <c r="J13" s="213">
        <v>22</v>
      </c>
      <c r="K13" s="213" t="s">
        <v>72</v>
      </c>
      <c r="L13" s="213" t="s">
        <v>497</v>
      </c>
      <c r="M13" s="213" t="s">
        <v>728</v>
      </c>
      <c r="N13" s="213">
        <v>2</v>
      </c>
      <c r="O13" s="213">
        <v>60.72</v>
      </c>
      <c r="P13" s="213">
        <v>12.6</v>
      </c>
      <c r="Q13" s="213"/>
      <c r="R13" s="213">
        <f t="shared" ref="R13:R18" si="3">P13</f>
        <v>12.6</v>
      </c>
      <c r="S13" s="213">
        <f t="shared" si="1"/>
        <v>0.2075098814229249</v>
      </c>
      <c r="T13" s="213">
        <f t="shared" si="2"/>
        <v>9.4322673374056774E-3</v>
      </c>
    </row>
    <row r="14" spans="1:21" s="214" customFormat="1" x14ac:dyDescent="0.25">
      <c r="A14" s="234" t="s">
        <v>778</v>
      </c>
      <c r="B14" s="213" t="s">
        <v>55</v>
      </c>
      <c r="C14" s="213" t="s">
        <v>498</v>
      </c>
      <c r="D14" s="213" t="s">
        <v>1806</v>
      </c>
      <c r="E14" s="213" t="s">
        <v>1804</v>
      </c>
      <c r="F14" s="213">
        <v>2</v>
      </c>
      <c r="G14" s="213" t="s">
        <v>499</v>
      </c>
      <c r="H14" s="213" t="s">
        <v>496</v>
      </c>
      <c r="I14" s="213" t="s">
        <v>281</v>
      </c>
      <c r="J14" s="213">
        <v>22</v>
      </c>
      <c r="K14" s="213" t="s">
        <v>72</v>
      </c>
      <c r="L14" s="213" t="s">
        <v>503</v>
      </c>
      <c r="M14" s="213" t="s">
        <v>728</v>
      </c>
      <c r="N14" s="213">
        <v>2</v>
      </c>
      <c r="O14" s="213">
        <v>60.41</v>
      </c>
      <c r="P14" s="213">
        <v>2.6399999999999997</v>
      </c>
      <c r="Q14" s="213"/>
      <c r="R14" s="213">
        <f t="shared" si="3"/>
        <v>2.6399999999999997</v>
      </c>
      <c r="S14" s="213">
        <f t="shared" si="1"/>
        <v>4.3701373944711137E-2</v>
      </c>
      <c r="T14" s="213">
        <f t="shared" si="2"/>
        <v>1.9864260883959606E-3</v>
      </c>
    </row>
    <row r="15" spans="1:21" s="214" customFormat="1" x14ac:dyDescent="0.25">
      <c r="A15" s="234" t="s">
        <v>778</v>
      </c>
      <c r="B15" s="213" t="s">
        <v>55</v>
      </c>
      <c r="C15" s="213" t="s">
        <v>498</v>
      </c>
      <c r="D15" s="213" t="s">
        <v>1806</v>
      </c>
      <c r="E15" s="213" t="s">
        <v>1804</v>
      </c>
      <c r="F15" s="213">
        <v>2</v>
      </c>
      <c r="G15" s="213" t="s">
        <v>499</v>
      </c>
      <c r="H15" s="213" t="s">
        <v>496</v>
      </c>
      <c r="I15" s="213" t="s">
        <v>281</v>
      </c>
      <c r="J15" s="213">
        <v>66</v>
      </c>
      <c r="K15" s="213" t="s">
        <v>72</v>
      </c>
      <c r="L15" s="213" t="s">
        <v>504</v>
      </c>
      <c r="M15" s="213" t="s">
        <v>728</v>
      </c>
      <c r="N15" s="213">
        <v>2</v>
      </c>
      <c r="O15" s="213">
        <v>80.97</v>
      </c>
      <c r="P15" s="213">
        <v>0</v>
      </c>
      <c r="Q15" s="213"/>
      <c r="R15" s="213">
        <f t="shared" si="3"/>
        <v>0</v>
      </c>
      <c r="S15" s="213">
        <f t="shared" si="1"/>
        <v>0</v>
      </c>
      <c r="T15" s="213">
        <f t="shared" si="2"/>
        <v>0</v>
      </c>
    </row>
    <row r="16" spans="1:21" s="214" customFormat="1" x14ac:dyDescent="0.25">
      <c r="A16" s="234" t="s">
        <v>778</v>
      </c>
      <c r="B16" s="213" t="s">
        <v>55</v>
      </c>
      <c r="C16" s="213" t="s">
        <v>498</v>
      </c>
      <c r="D16" s="213" t="s">
        <v>1806</v>
      </c>
      <c r="E16" s="213" t="s">
        <v>1804</v>
      </c>
      <c r="F16" s="213">
        <v>2</v>
      </c>
      <c r="G16" s="213" t="s">
        <v>499</v>
      </c>
      <c r="H16" s="213" t="s">
        <v>496</v>
      </c>
      <c r="I16" s="213" t="s">
        <v>281</v>
      </c>
      <c r="J16" s="213">
        <v>22</v>
      </c>
      <c r="K16" s="213" t="s">
        <v>72</v>
      </c>
      <c r="L16" s="213" t="s">
        <v>505</v>
      </c>
      <c r="M16" s="213" t="s">
        <v>728</v>
      </c>
      <c r="N16" s="213">
        <v>2</v>
      </c>
      <c r="O16" s="213">
        <v>59.64</v>
      </c>
      <c r="P16" s="213">
        <v>1.2000000000000002</v>
      </c>
      <c r="Q16" s="213"/>
      <c r="R16" s="213">
        <f t="shared" si="3"/>
        <v>1.2000000000000002</v>
      </c>
      <c r="S16" s="213">
        <f t="shared" si="1"/>
        <v>2.0120724346076462E-2</v>
      </c>
      <c r="T16" s="213">
        <f t="shared" si="2"/>
        <v>9.1457837936711193E-4</v>
      </c>
    </row>
    <row r="17" spans="1:20" s="214" customFormat="1" x14ac:dyDescent="0.25">
      <c r="A17" s="234" t="s">
        <v>778</v>
      </c>
      <c r="B17" s="213" t="s">
        <v>55</v>
      </c>
      <c r="C17" s="213" t="s">
        <v>498</v>
      </c>
      <c r="D17" s="213" t="s">
        <v>1806</v>
      </c>
      <c r="E17" s="213" t="s">
        <v>1804</v>
      </c>
      <c r="F17" s="213">
        <v>2</v>
      </c>
      <c r="G17" s="213" t="s">
        <v>499</v>
      </c>
      <c r="H17" s="213" t="s">
        <v>496</v>
      </c>
      <c r="I17" s="213" t="s">
        <v>281</v>
      </c>
      <c r="J17" s="213">
        <v>66</v>
      </c>
      <c r="K17" s="213" t="s">
        <v>72</v>
      </c>
      <c r="L17" s="213" t="s">
        <v>506</v>
      </c>
      <c r="M17" s="213" t="s">
        <v>728</v>
      </c>
      <c r="N17" s="213">
        <v>2</v>
      </c>
      <c r="O17" s="213">
        <v>80.569999999999993</v>
      </c>
      <c r="P17" s="213">
        <v>0</v>
      </c>
      <c r="Q17" s="213"/>
      <c r="R17" s="213">
        <f t="shared" si="3"/>
        <v>0</v>
      </c>
      <c r="S17" s="213">
        <f t="shared" si="1"/>
        <v>0</v>
      </c>
      <c r="T17" s="213">
        <f t="shared" si="2"/>
        <v>0</v>
      </c>
    </row>
    <row r="18" spans="1:20" s="214" customFormat="1" x14ac:dyDescent="0.25">
      <c r="A18" s="234" t="s">
        <v>778</v>
      </c>
      <c r="B18" s="213" t="s">
        <v>55</v>
      </c>
      <c r="C18" s="213" t="s">
        <v>498</v>
      </c>
      <c r="D18" s="213" t="s">
        <v>1806</v>
      </c>
      <c r="E18" s="213" t="s">
        <v>1804</v>
      </c>
      <c r="F18" s="213">
        <v>2</v>
      </c>
      <c r="G18" s="213" t="s">
        <v>499</v>
      </c>
      <c r="H18" s="213" t="s">
        <v>496</v>
      </c>
      <c r="I18" s="213" t="s">
        <v>281</v>
      </c>
      <c r="J18" s="213">
        <v>66</v>
      </c>
      <c r="K18" s="213" t="s">
        <v>72</v>
      </c>
      <c r="L18" s="213" t="s">
        <v>507</v>
      </c>
      <c r="M18" s="213" t="s">
        <v>728</v>
      </c>
      <c r="N18" s="213">
        <v>2</v>
      </c>
      <c r="O18" s="213">
        <v>82.84</v>
      </c>
      <c r="P18" s="213">
        <v>0</v>
      </c>
      <c r="Q18" s="213"/>
      <c r="R18" s="213">
        <f t="shared" si="3"/>
        <v>0</v>
      </c>
      <c r="S18" s="213">
        <f t="shared" si="1"/>
        <v>0</v>
      </c>
      <c r="T18" s="213">
        <f t="shared" si="2"/>
        <v>0</v>
      </c>
    </row>
    <row r="19" spans="1:20" s="217" customFormat="1" x14ac:dyDescent="0.25">
      <c r="A19" s="212" t="s">
        <v>749</v>
      </c>
      <c r="B19" s="209" t="s">
        <v>55</v>
      </c>
      <c r="C19" s="209" t="s">
        <v>319</v>
      </c>
      <c r="D19" s="209" t="s">
        <v>69</v>
      </c>
      <c r="E19" s="209" t="s">
        <v>319</v>
      </c>
      <c r="F19" s="209">
        <v>1</v>
      </c>
      <c r="G19" s="209">
        <f>0.05*0.3*0.7795*48.2</f>
        <v>0.56357849999999998</v>
      </c>
      <c r="H19" s="209" t="s">
        <v>314</v>
      </c>
      <c r="I19" s="209" t="s">
        <v>315</v>
      </c>
      <c r="J19" s="209">
        <v>70</v>
      </c>
      <c r="K19" s="215" t="s">
        <v>72</v>
      </c>
      <c r="L19" s="209" t="s">
        <v>316</v>
      </c>
      <c r="M19" s="209" t="s">
        <v>728</v>
      </c>
      <c r="N19" s="209">
        <v>2</v>
      </c>
      <c r="O19" s="209">
        <v>56.76</v>
      </c>
      <c r="P19" s="209">
        <v>6.62</v>
      </c>
      <c r="Q19" s="209"/>
      <c r="R19" s="209">
        <f t="shared" ref="R19:R50" si="4">SUM(P19:Q19)</f>
        <v>6.62</v>
      </c>
      <c r="S19" s="209">
        <f t="shared" si="1"/>
        <v>0.11663143058491897</v>
      </c>
      <c r="T19" s="209">
        <f t="shared" si="2"/>
        <v>1.666163294070271E-3</v>
      </c>
    </row>
    <row r="20" spans="1:20" s="217" customFormat="1" x14ac:dyDescent="0.25">
      <c r="A20" s="212" t="s">
        <v>749</v>
      </c>
      <c r="B20" s="209" t="s">
        <v>55</v>
      </c>
      <c r="C20" s="209" t="s">
        <v>319</v>
      </c>
      <c r="D20" s="209" t="s">
        <v>69</v>
      </c>
      <c r="E20" s="209" t="s">
        <v>319</v>
      </c>
      <c r="F20" s="209">
        <v>1</v>
      </c>
      <c r="G20" s="209">
        <f>0.05*0.3*0.7795*48.2</f>
        <v>0.56357849999999998</v>
      </c>
      <c r="H20" s="209" t="s">
        <v>314</v>
      </c>
      <c r="I20" s="209" t="s">
        <v>315</v>
      </c>
      <c r="J20" s="209">
        <v>70</v>
      </c>
      <c r="K20" s="215" t="s">
        <v>72</v>
      </c>
      <c r="L20" s="209" t="s">
        <v>316</v>
      </c>
      <c r="M20" s="209" t="s">
        <v>728</v>
      </c>
      <c r="N20" s="209">
        <v>2</v>
      </c>
      <c r="O20" s="209">
        <v>56.76</v>
      </c>
      <c r="P20" s="209">
        <v>1.99</v>
      </c>
      <c r="Q20" s="209"/>
      <c r="R20" s="209">
        <f t="shared" si="4"/>
        <v>1.99</v>
      </c>
      <c r="S20" s="209">
        <f t="shared" si="1"/>
        <v>3.5059901338971106E-2</v>
      </c>
      <c r="T20" s="209">
        <f t="shared" si="2"/>
        <v>5.0085573341387296E-4</v>
      </c>
    </row>
    <row r="21" spans="1:20" s="217" customFormat="1" x14ac:dyDescent="0.25">
      <c r="A21" s="212" t="s">
        <v>758</v>
      </c>
      <c r="B21" s="209" t="s">
        <v>55</v>
      </c>
      <c r="C21" s="209" t="s">
        <v>332</v>
      </c>
      <c r="D21" s="209" t="s">
        <v>1807</v>
      </c>
      <c r="E21" s="209" t="s">
        <v>319</v>
      </c>
      <c r="F21" s="209">
        <v>1</v>
      </c>
      <c r="G21" s="209" t="s">
        <v>1</v>
      </c>
      <c r="H21" s="209" t="s">
        <v>329</v>
      </c>
      <c r="I21" s="209" t="s">
        <v>281</v>
      </c>
      <c r="J21" s="209">
        <v>10</v>
      </c>
      <c r="K21" s="215" t="s">
        <v>72</v>
      </c>
      <c r="L21" s="209" t="s">
        <v>330</v>
      </c>
      <c r="M21" s="209" t="s">
        <v>1626</v>
      </c>
      <c r="N21" s="209">
        <v>4</v>
      </c>
      <c r="O21" s="209">
        <v>0.34300000000000003</v>
      </c>
      <c r="P21" s="216">
        <v>0.27806896551724136</v>
      </c>
      <c r="Q21" s="209"/>
      <c r="R21" s="209">
        <f t="shared" si="4"/>
        <v>0.27806896551724136</v>
      </c>
      <c r="S21" s="209">
        <f t="shared" si="1"/>
        <v>0.81069669247009135</v>
      </c>
      <c r="T21" s="209">
        <f t="shared" si="2"/>
        <v>8.1069669247009132E-2</v>
      </c>
    </row>
    <row r="22" spans="1:20" s="217" customFormat="1" x14ac:dyDescent="0.25">
      <c r="A22" s="212" t="s">
        <v>758</v>
      </c>
      <c r="B22" s="209" t="s">
        <v>55</v>
      </c>
      <c r="C22" s="209" t="s">
        <v>332</v>
      </c>
      <c r="D22" s="209" t="s">
        <v>1807</v>
      </c>
      <c r="E22" s="209" t="s">
        <v>319</v>
      </c>
      <c r="F22" s="209">
        <v>1</v>
      </c>
      <c r="G22" s="209" t="s">
        <v>1</v>
      </c>
      <c r="H22" s="209" t="s">
        <v>329</v>
      </c>
      <c r="I22" s="209" t="s">
        <v>281</v>
      </c>
      <c r="J22" s="209">
        <v>5</v>
      </c>
      <c r="K22" s="215" t="s">
        <v>72</v>
      </c>
      <c r="L22" s="209" t="s">
        <v>330</v>
      </c>
      <c r="M22" s="209" t="s">
        <v>1626</v>
      </c>
      <c r="N22" s="209">
        <v>4</v>
      </c>
      <c r="O22" s="209">
        <v>0.34300000000000003</v>
      </c>
      <c r="P22" s="216">
        <v>0.27111724137931037</v>
      </c>
      <c r="Q22" s="209"/>
      <c r="R22" s="209">
        <f t="shared" si="4"/>
        <v>0.27111724137931037</v>
      </c>
      <c r="S22" s="209">
        <f t="shared" si="1"/>
        <v>0.79042927515833916</v>
      </c>
      <c r="T22" s="209">
        <f t="shared" si="2"/>
        <v>0.15808585503166783</v>
      </c>
    </row>
    <row r="23" spans="1:20" s="217" customFormat="1" x14ac:dyDescent="0.25">
      <c r="A23" s="212" t="s">
        <v>758</v>
      </c>
      <c r="B23" s="209" t="s">
        <v>55</v>
      </c>
      <c r="C23" s="209" t="s">
        <v>332</v>
      </c>
      <c r="D23" s="209" t="s">
        <v>1807</v>
      </c>
      <c r="E23" s="209" t="s">
        <v>319</v>
      </c>
      <c r="F23" s="209">
        <v>1</v>
      </c>
      <c r="G23" s="209" t="s">
        <v>1</v>
      </c>
      <c r="H23" s="209" t="s">
        <v>329</v>
      </c>
      <c r="I23" s="209" t="s">
        <v>281</v>
      </c>
      <c r="J23" s="209">
        <v>15</v>
      </c>
      <c r="K23" s="215" t="s">
        <v>72</v>
      </c>
      <c r="L23" s="209" t="s">
        <v>330</v>
      </c>
      <c r="M23" s="209" t="s">
        <v>1626</v>
      </c>
      <c r="N23" s="209">
        <v>4</v>
      </c>
      <c r="O23" s="209">
        <v>0.34300000000000003</v>
      </c>
      <c r="P23" s="216">
        <v>0.26813793103448275</v>
      </c>
      <c r="Q23" s="209"/>
      <c r="R23" s="209">
        <f t="shared" si="4"/>
        <v>0.26813793103448275</v>
      </c>
      <c r="S23" s="209">
        <f t="shared" si="1"/>
        <v>0.78174323916758814</v>
      </c>
      <c r="T23" s="209">
        <f t="shared" si="2"/>
        <v>5.2116215944505877E-2</v>
      </c>
    </row>
    <row r="24" spans="1:20" s="217" customFormat="1" x14ac:dyDescent="0.25">
      <c r="A24" s="212" t="s">
        <v>758</v>
      </c>
      <c r="B24" s="209" t="s">
        <v>55</v>
      </c>
      <c r="C24" s="209" t="s">
        <v>332</v>
      </c>
      <c r="D24" s="209" t="s">
        <v>1807</v>
      </c>
      <c r="E24" s="209" t="s">
        <v>319</v>
      </c>
      <c r="F24" s="209">
        <v>1</v>
      </c>
      <c r="G24" s="209" t="s">
        <v>1</v>
      </c>
      <c r="H24" s="209" t="s">
        <v>329</v>
      </c>
      <c r="I24" s="209" t="s">
        <v>281</v>
      </c>
      <c r="J24" s="209">
        <v>15</v>
      </c>
      <c r="K24" s="215" t="s">
        <v>72</v>
      </c>
      <c r="L24" s="209" t="s">
        <v>330</v>
      </c>
      <c r="M24" s="209" t="s">
        <v>1626</v>
      </c>
      <c r="N24" s="209">
        <v>4</v>
      </c>
      <c r="O24" s="209">
        <v>0.34300000000000003</v>
      </c>
      <c r="P24" s="216">
        <v>0.26515862068965518</v>
      </c>
      <c r="Q24" s="209"/>
      <c r="R24" s="209">
        <f t="shared" si="4"/>
        <v>0.26515862068965518</v>
      </c>
      <c r="S24" s="209">
        <f t="shared" si="1"/>
        <v>0.77305720317683724</v>
      </c>
      <c r="T24" s="209">
        <f t="shared" si="2"/>
        <v>5.1537146878455814E-2</v>
      </c>
    </row>
    <row r="25" spans="1:20" s="217" customFormat="1" x14ac:dyDescent="0.25">
      <c r="A25" s="212" t="s">
        <v>758</v>
      </c>
      <c r="B25" s="209" t="s">
        <v>55</v>
      </c>
      <c r="C25" s="209" t="s">
        <v>332</v>
      </c>
      <c r="D25" s="209" t="s">
        <v>1807</v>
      </c>
      <c r="E25" s="209" t="s">
        <v>319</v>
      </c>
      <c r="F25" s="209">
        <v>1</v>
      </c>
      <c r="G25" s="209" t="s">
        <v>1</v>
      </c>
      <c r="H25" s="209" t="s">
        <v>329</v>
      </c>
      <c r="I25" s="209" t="s">
        <v>281</v>
      </c>
      <c r="J25" s="209">
        <v>10</v>
      </c>
      <c r="K25" s="215" t="s">
        <v>72</v>
      </c>
      <c r="L25" s="209" t="s">
        <v>330</v>
      </c>
      <c r="M25" s="209" t="s">
        <v>1626</v>
      </c>
      <c r="N25" s="209">
        <v>4</v>
      </c>
      <c r="O25" s="209">
        <v>0.34300000000000003</v>
      </c>
      <c r="P25" s="216">
        <v>0.20822068965517243</v>
      </c>
      <c r="Q25" s="209"/>
      <c r="R25" s="209">
        <f t="shared" si="4"/>
        <v>0.20822068965517243</v>
      </c>
      <c r="S25" s="209">
        <f t="shared" si="1"/>
        <v>0.60705740424248522</v>
      </c>
      <c r="T25" s="209">
        <f t="shared" si="2"/>
        <v>6.0705740424248519E-2</v>
      </c>
    </row>
    <row r="26" spans="1:20" s="217" customFormat="1" x14ac:dyDescent="0.25">
      <c r="A26" s="212" t="s">
        <v>758</v>
      </c>
      <c r="B26" s="209" t="s">
        <v>55</v>
      </c>
      <c r="C26" s="209" t="s">
        <v>332</v>
      </c>
      <c r="D26" s="209" t="s">
        <v>1807</v>
      </c>
      <c r="E26" s="209" t="s">
        <v>319</v>
      </c>
      <c r="F26" s="209">
        <v>1</v>
      </c>
      <c r="G26" s="209" t="s">
        <v>1</v>
      </c>
      <c r="H26" s="209" t="s">
        <v>329</v>
      </c>
      <c r="I26" s="209" t="s">
        <v>281</v>
      </c>
      <c r="J26" s="209">
        <v>5</v>
      </c>
      <c r="K26" s="215" t="s">
        <v>72</v>
      </c>
      <c r="L26" s="209" t="s">
        <v>330</v>
      </c>
      <c r="M26" s="209" t="s">
        <v>1626</v>
      </c>
      <c r="N26" s="209">
        <v>4</v>
      </c>
      <c r="O26" s="209">
        <v>0.34300000000000003</v>
      </c>
      <c r="P26" s="216">
        <v>0.18460689655172413</v>
      </c>
      <c r="Q26" s="209"/>
      <c r="R26" s="209">
        <f t="shared" si="4"/>
        <v>0.18460689655172413</v>
      </c>
      <c r="S26" s="209">
        <f t="shared" si="1"/>
        <v>0.53821252638986627</v>
      </c>
      <c r="T26" s="209">
        <f t="shared" si="2"/>
        <v>0.10764250527797325</v>
      </c>
    </row>
    <row r="27" spans="1:20" s="217" customFormat="1" x14ac:dyDescent="0.25">
      <c r="A27" s="212" t="s">
        <v>758</v>
      </c>
      <c r="B27" s="209" t="s">
        <v>55</v>
      </c>
      <c r="C27" s="209" t="s">
        <v>332</v>
      </c>
      <c r="D27" s="209" t="s">
        <v>1807</v>
      </c>
      <c r="E27" s="209" t="s">
        <v>319</v>
      </c>
      <c r="F27" s="209">
        <v>1</v>
      </c>
      <c r="G27" s="209" t="s">
        <v>1</v>
      </c>
      <c r="H27" s="209" t="s">
        <v>329</v>
      </c>
      <c r="I27" s="209" t="s">
        <v>281</v>
      </c>
      <c r="J27" s="209">
        <v>5</v>
      </c>
      <c r="K27" s="215" t="s">
        <v>72</v>
      </c>
      <c r="L27" s="209" t="s">
        <v>330</v>
      </c>
      <c r="M27" s="209" t="s">
        <v>1626</v>
      </c>
      <c r="N27" s="209">
        <v>4</v>
      </c>
      <c r="O27" s="209">
        <v>0.34300000000000003</v>
      </c>
      <c r="P27" s="216">
        <v>0.1774344827586207</v>
      </c>
      <c r="Q27" s="209"/>
      <c r="R27" s="209">
        <f t="shared" si="4"/>
        <v>0.1774344827586207</v>
      </c>
      <c r="S27" s="209">
        <f t="shared" si="1"/>
        <v>0.517301699004725</v>
      </c>
      <c r="T27" s="209">
        <f t="shared" si="2"/>
        <v>0.103460339800945</v>
      </c>
    </row>
    <row r="28" spans="1:20" s="217" customFormat="1" x14ac:dyDescent="0.25">
      <c r="A28" s="212" t="s">
        <v>758</v>
      </c>
      <c r="B28" s="209" t="s">
        <v>55</v>
      </c>
      <c r="C28" s="209" t="s">
        <v>332</v>
      </c>
      <c r="D28" s="209" t="s">
        <v>1807</v>
      </c>
      <c r="E28" s="209" t="s">
        <v>319</v>
      </c>
      <c r="F28" s="209">
        <v>1</v>
      </c>
      <c r="G28" s="209" t="s">
        <v>1</v>
      </c>
      <c r="H28" s="209" t="s">
        <v>329</v>
      </c>
      <c r="I28" s="209" t="s">
        <v>281</v>
      </c>
      <c r="J28" s="209">
        <v>10</v>
      </c>
      <c r="K28" s="215" t="s">
        <v>72</v>
      </c>
      <c r="L28" s="209" t="s">
        <v>330</v>
      </c>
      <c r="M28" s="209" t="s">
        <v>1626</v>
      </c>
      <c r="N28" s="209">
        <v>4</v>
      </c>
      <c r="O28" s="209">
        <v>0.34300000000000003</v>
      </c>
      <c r="P28" s="216">
        <v>0.16496551724137934</v>
      </c>
      <c r="Q28" s="209"/>
      <c r="R28" s="209">
        <f t="shared" si="4"/>
        <v>0.16496551724137934</v>
      </c>
      <c r="S28" s="209">
        <f t="shared" si="1"/>
        <v>0.48094902985824878</v>
      </c>
      <c r="T28" s="209">
        <f t="shared" si="2"/>
        <v>4.8094902985824875E-2</v>
      </c>
    </row>
    <row r="29" spans="1:20" s="217" customFormat="1" x14ac:dyDescent="0.25">
      <c r="A29" s="212" t="s">
        <v>758</v>
      </c>
      <c r="B29" s="209" t="s">
        <v>55</v>
      </c>
      <c r="C29" s="209" t="s">
        <v>332</v>
      </c>
      <c r="D29" s="209" t="s">
        <v>1807</v>
      </c>
      <c r="E29" s="209" t="s">
        <v>319</v>
      </c>
      <c r="F29" s="209">
        <v>1</v>
      </c>
      <c r="G29" s="209" t="s">
        <v>1</v>
      </c>
      <c r="H29" s="209" t="s">
        <v>329</v>
      </c>
      <c r="I29" s="209" t="s">
        <v>281</v>
      </c>
      <c r="J29" s="209">
        <v>5</v>
      </c>
      <c r="K29" s="215" t="s">
        <v>72</v>
      </c>
      <c r="L29" s="209" t="s">
        <v>330</v>
      </c>
      <c r="M29" s="209" t="s">
        <v>1626</v>
      </c>
      <c r="N29" s="209">
        <v>4</v>
      </c>
      <c r="O29" s="209">
        <v>0.34300000000000003</v>
      </c>
      <c r="P29" s="216">
        <v>0.15894068965517244</v>
      </c>
      <c r="Q29" s="209"/>
      <c r="R29" s="209">
        <f t="shared" si="4"/>
        <v>0.15894068965517244</v>
      </c>
      <c r="S29" s="209">
        <f t="shared" si="1"/>
        <v>0.46338393485473012</v>
      </c>
      <c r="T29" s="209">
        <f t="shared" si="2"/>
        <v>9.2676786970946029E-2</v>
      </c>
    </row>
    <row r="30" spans="1:20" s="217" customFormat="1" x14ac:dyDescent="0.25">
      <c r="A30" s="212" t="s">
        <v>758</v>
      </c>
      <c r="B30" s="209" t="s">
        <v>55</v>
      </c>
      <c r="C30" s="209" t="s">
        <v>332</v>
      </c>
      <c r="D30" s="209" t="s">
        <v>1807</v>
      </c>
      <c r="E30" s="209" t="s">
        <v>319</v>
      </c>
      <c r="F30" s="209">
        <v>1</v>
      </c>
      <c r="G30" s="209" t="s">
        <v>1</v>
      </c>
      <c r="H30" s="209" t="s">
        <v>329</v>
      </c>
      <c r="I30" s="209" t="s">
        <v>281</v>
      </c>
      <c r="J30" s="209">
        <v>10</v>
      </c>
      <c r="K30" s="215" t="s">
        <v>72</v>
      </c>
      <c r="L30" s="209" t="s">
        <v>330</v>
      </c>
      <c r="M30" s="209" t="s">
        <v>1626</v>
      </c>
      <c r="N30" s="209">
        <v>4</v>
      </c>
      <c r="O30" s="209">
        <v>0.34300000000000003</v>
      </c>
      <c r="P30" s="216">
        <v>0.15840000000000001</v>
      </c>
      <c r="Q30" s="209"/>
      <c r="R30" s="209">
        <f t="shared" si="4"/>
        <v>0.15840000000000001</v>
      </c>
      <c r="S30" s="209">
        <f t="shared" si="1"/>
        <v>0.46180758017492712</v>
      </c>
      <c r="T30" s="209">
        <f t="shared" si="2"/>
        <v>4.6180758017492711E-2</v>
      </c>
    </row>
    <row r="31" spans="1:20" s="217" customFormat="1" x14ac:dyDescent="0.25">
      <c r="A31" s="212" t="s">
        <v>758</v>
      </c>
      <c r="B31" s="209" t="s">
        <v>55</v>
      </c>
      <c r="C31" s="209" t="s">
        <v>332</v>
      </c>
      <c r="D31" s="209" t="s">
        <v>1807</v>
      </c>
      <c r="E31" s="209" t="s">
        <v>319</v>
      </c>
      <c r="F31" s="209">
        <v>1</v>
      </c>
      <c r="G31" s="209" t="s">
        <v>1</v>
      </c>
      <c r="H31" s="209" t="s">
        <v>329</v>
      </c>
      <c r="I31" s="209" t="s">
        <v>281</v>
      </c>
      <c r="J31" s="209">
        <v>10</v>
      </c>
      <c r="K31" s="215" t="s">
        <v>72</v>
      </c>
      <c r="L31" s="209" t="s">
        <v>330</v>
      </c>
      <c r="M31" s="209" t="s">
        <v>1626</v>
      </c>
      <c r="N31" s="209">
        <v>4</v>
      </c>
      <c r="O31" s="209">
        <v>0.34300000000000003</v>
      </c>
      <c r="P31" s="216">
        <v>0.15095172413793104</v>
      </c>
      <c r="Q31" s="209"/>
      <c r="R31" s="209">
        <f t="shared" si="4"/>
        <v>0.15095172413793104</v>
      </c>
      <c r="S31" s="209">
        <f t="shared" si="1"/>
        <v>0.44009249019804964</v>
      </c>
      <c r="T31" s="209">
        <f t="shared" si="2"/>
        <v>4.4009249019804964E-2</v>
      </c>
    </row>
    <row r="32" spans="1:20" s="217" customFormat="1" x14ac:dyDescent="0.25">
      <c r="A32" s="212" t="s">
        <v>758</v>
      </c>
      <c r="B32" s="209" t="s">
        <v>55</v>
      </c>
      <c r="C32" s="209" t="s">
        <v>332</v>
      </c>
      <c r="D32" s="209" t="s">
        <v>1807</v>
      </c>
      <c r="E32" s="209" t="s">
        <v>319</v>
      </c>
      <c r="F32" s="209">
        <v>1</v>
      </c>
      <c r="G32" s="209" t="s">
        <v>1</v>
      </c>
      <c r="H32" s="209" t="s">
        <v>329</v>
      </c>
      <c r="I32" s="209" t="s">
        <v>281</v>
      </c>
      <c r="J32" s="209">
        <v>15</v>
      </c>
      <c r="K32" s="215" t="s">
        <v>72</v>
      </c>
      <c r="L32" s="209" t="s">
        <v>330</v>
      </c>
      <c r="M32" s="209" t="s">
        <v>1626</v>
      </c>
      <c r="N32" s="209">
        <v>4</v>
      </c>
      <c r="O32" s="209">
        <v>0.34300000000000003</v>
      </c>
      <c r="P32" s="216">
        <v>0.13704827586206897</v>
      </c>
      <c r="Q32" s="209"/>
      <c r="R32" s="209">
        <f t="shared" si="4"/>
        <v>0.13704827586206897</v>
      </c>
      <c r="S32" s="209">
        <f t="shared" si="1"/>
        <v>0.39955765557454509</v>
      </c>
      <c r="T32" s="209">
        <f t="shared" si="2"/>
        <v>2.6637177038303005E-2</v>
      </c>
    </row>
    <row r="33" spans="1:20" s="217" customFormat="1" x14ac:dyDescent="0.25">
      <c r="A33" s="212" t="s">
        <v>758</v>
      </c>
      <c r="B33" s="209" t="s">
        <v>55</v>
      </c>
      <c r="C33" s="209" t="s">
        <v>332</v>
      </c>
      <c r="D33" s="209" t="s">
        <v>1807</v>
      </c>
      <c r="E33" s="209" t="s">
        <v>319</v>
      </c>
      <c r="F33" s="209">
        <v>1</v>
      </c>
      <c r="G33" s="209" t="s">
        <v>1</v>
      </c>
      <c r="H33" s="209" t="s">
        <v>329</v>
      </c>
      <c r="I33" s="209" t="s">
        <v>281</v>
      </c>
      <c r="J33" s="209">
        <v>5</v>
      </c>
      <c r="K33" s="215" t="s">
        <v>72</v>
      </c>
      <c r="L33" s="209" t="s">
        <v>330</v>
      </c>
      <c r="M33" s="209" t="s">
        <v>1626</v>
      </c>
      <c r="N33" s="209">
        <v>4</v>
      </c>
      <c r="O33" s="209">
        <v>0.34300000000000003</v>
      </c>
      <c r="P33" s="216">
        <v>0.12579310344827585</v>
      </c>
      <c r="Q33" s="209"/>
      <c r="R33" s="209">
        <f t="shared" si="4"/>
        <v>0.12579310344827585</v>
      </c>
      <c r="S33" s="209">
        <f t="shared" si="1"/>
        <v>0.36674374183170799</v>
      </c>
      <c r="T33" s="209">
        <f t="shared" si="2"/>
        <v>7.3348748366341601E-2</v>
      </c>
    </row>
    <row r="34" spans="1:20" s="217" customFormat="1" x14ac:dyDescent="0.25">
      <c r="A34" s="212" t="s">
        <v>758</v>
      </c>
      <c r="B34" s="209" t="s">
        <v>55</v>
      </c>
      <c r="C34" s="209" t="s">
        <v>332</v>
      </c>
      <c r="D34" s="209" t="s">
        <v>1807</v>
      </c>
      <c r="E34" s="209" t="s">
        <v>319</v>
      </c>
      <c r="F34" s="209">
        <v>1</v>
      </c>
      <c r="G34" s="209" t="s">
        <v>1</v>
      </c>
      <c r="H34" s="209" t="s">
        <v>329</v>
      </c>
      <c r="I34" s="209" t="s">
        <v>281</v>
      </c>
      <c r="J34" s="209">
        <v>10</v>
      </c>
      <c r="K34" s="215" t="s">
        <v>72</v>
      </c>
      <c r="L34" s="209" t="s">
        <v>330</v>
      </c>
      <c r="M34" s="209" t="s">
        <v>1626</v>
      </c>
      <c r="N34" s="209">
        <v>4</v>
      </c>
      <c r="O34" s="209">
        <v>0.34300000000000003</v>
      </c>
      <c r="P34" s="216">
        <v>9.9266206896551717E-2</v>
      </c>
      <c r="Q34" s="209"/>
      <c r="R34" s="209">
        <f t="shared" si="4"/>
        <v>9.9266206896551717E-2</v>
      </c>
      <c r="S34" s="209">
        <f t="shared" si="1"/>
        <v>0.28940585101035482</v>
      </c>
      <c r="T34" s="209">
        <f t="shared" si="2"/>
        <v>2.8940585101035483E-2</v>
      </c>
    </row>
    <row r="35" spans="1:20" s="217" customFormat="1" x14ac:dyDescent="0.25">
      <c r="A35" s="212" t="s">
        <v>758</v>
      </c>
      <c r="B35" s="209" t="s">
        <v>55</v>
      </c>
      <c r="C35" s="209" t="s">
        <v>332</v>
      </c>
      <c r="D35" s="209" t="s">
        <v>1807</v>
      </c>
      <c r="E35" s="209" t="s">
        <v>319</v>
      </c>
      <c r="F35" s="209">
        <v>1</v>
      </c>
      <c r="G35" s="209" t="s">
        <v>1</v>
      </c>
      <c r="H35" s="209" t="s">
        <v>329</v>
      </c>
      <c r="I35" s="209" t="s">
        <v>281</v>
      </c>
      <c r="J35" s="209">
        <v>5</v>
      </c>
      <c r="K35" s="215" t="s">
        <v>72</v>
      </c>
      <c r="L35" s="209" t="s">
        <v>330</v>
      </c>
      <c r="M35" s="209" t="s">
        <v>1626</v>
      </c>
      <c r="N35" s="209">
        <v>4</v>
      </c>
      <c r="O35" s="209">
        <v>0.34300000000000003</v>
      </c>
      <c r="P35" s="216">
        <v>9.3903448275862084E-2</v>
      </c>
      <c r="Q35" s="209"/>
      <c r="R35" s="209">
        <f t="shared" si="4"/>
        <v>9.3903448275862084E-2</v>
      </c>
      <c r="S35" s="209">
        <f t="shared" ref="S35:S66" si="5">R35/O35</f>
        <v>0.27377098622700313</v>
      </c>
      <c r="T35" s="209">
        <f t="shared" ref="T35:T66" si="6">S35/J35</f>
        <v>5.4754197245400628E-2</v>
      </c>
    </row>
    <row r="36" spans="1:20" s="217" customFormat="1" x14ac:dyDescent="0.25">
      <c r="A36" s="212" t="s">
        <v>758</v>
      </c>
      <c r="B36" s="209" t="s">
        <v>55</v>
      </c>
      <c r="C36" s="209" t="s">
        <v>332</v>
      </c>
      <c r="D36" s="209" t="s">
        <v>1807</v>
      </c>
      <c r="E36" s="209" t="s">
        <v>319</v>
      </c>
      <c r="F36" s="209">
        <v>1</v>
      </c>
      <c r="G36" s="209" t="s">
        <v>1</v>
      </c>
      <c r="H36" s="209" t="s">
        <v>329</v>
      </c>
      <c r="I36" s="209" t="s">
        <v>281</v>
      </c>
      <c r="J36" s="209">
        <v>5</v>
      </c>
      <c r="K36" s="215" t="s">
        <v>72</v>
      </c>
      <c r="L36" s="209" t="s">
        <v>330</v>
      </c>
      <c r="M36" s="209" t="s">
        <v>1626</v>
      </c>
      <c r="N36" s="209">
        <v>4</v>
      </c>
      <c r="O36" s="209">
        <v>0.34300000000000003</v>
      </c>
      <c r="P36" s="216">
        <v>7.4019310344827588E-2</v>
      </c>
      <c r="Q36" s="209"/>
      <c r="R36" s="209">
        <f t="shared" si="4"/>
        <v>7.4019310344827588E-2</v>
      </c>
      <c r="S36" s="209">
        <f t="shared" si="5"/>
        <v>0.21579973861465768</v>
      </c>
      <c r="T36" s="209">
        <f t="shared" si="6"/>
        <v>4.3159947722931538E-2</v>
      </c>
    </row>
    <row r="37" spans="1:20" s="217" customFormat="1" x14ac:dyDescent="0.25">
      <c r="A37" s="212" t="s">
        <v>758</v>
      </c>
      <c r="B37" s="209" t="s">
        <v>55</v>
      </c>
      <c r="C37" s="209" t="s">
        <v>332</v>
      </c>
      <c r="D37" s="209" t="s">
        <v>1807</v>
      </c>
      <c r="E37" s="209" t="s">
        <v>319</v>
      </c>
      <c r="F37" s="209">
        <v>1</v>
      </c>
      <c r="G37" s="209" t="s">
        <v>1</v>
      </c>
      <c r="H37" s="209" t="s">
        <v>329</v>
      </c>
      <c r="I37" s="209" t="s">
        <v>281</v>
      </c>
      <c r="J37" s="209">
        <v>15</v>
      </c>
      <c r="K37" s="215" t="s">
        <v>72</v>
      </c>
      <c r="L37" s="209" t="s">
        <v>330</v>
      </c>
      <c r="M37" s="209" t="s">
        <v>1626</v>
      </c>
      <c r="N37" s="209">
        <v>4</v>
      </c>
      <c r="O37" s="209">
        <v>0.34300000000000003</v>
      </c>
      <c r="P37" s="216">
        <v>4.6896551724137932E-2</v>
      </c>
      <c r="Q37" s="209"/>
      <c r="R37" s="209">
        <f t="shared" si="4"/>
        <v>4.6896551724137932E-2</v>
      </c>
      <c r="S37" s="209">
        <f t="shared" si="5"/>
        <v>0.13672464059515432</v>
      </c>
      <c r="T37" s="209">
        <f t="shared" si="6"/>
        <v>9.1149760396769548E-3</v>
      </c>
    </row>
    <row r="38" spans="1:20" s="217" customFormat="1" x14ac:dyDescent="0.25">
      <c r="A38" s="212" t="s">
        <v>758</v>
      </c>
      <c r="B38" s="209" t="s">
        <v>55</v>
      </c>
      <c r="C38" s="209" t="s">
        <v>332</v>
      </c>
      <c r="D38" s="209" t="s">
        <v>1807</v>
      </c>
      <c r="E38" s="209" t="s">
        <v>319</v>
      </c>
      <c r="F38" s="209">
        <v>1</v>
      </c>
      <c r="G38" s="209" t="s">
        <v>1</v>
      </c>
      <c r="H38" s="209" t="s">
        <v>329</v>
      </c>
      <c r="I38" s="209" t="s">
        <v>281</v>
      </c>
      <c r="J38" s="209">
        <v>15</v>
      </c>
      <c r="K38" s="215" t="s">
        <v>72</v>
      </c>
      <c r="L38" s="209" t="s">
        <v>330</v>
      </c>
      <c r="M38" s="209" t="s">
        <v>1626</v>
      </c>
      <c r="N38" s="209">
        <v>4</v>
      </c>
      <c r="O38" s="209">
        <v>0.34300000000000003</v>
      </c>
      <c r="P38" s="216">
        <v>3.5608275862068967E-2</v>
      </c>
      <c r="Q38" s="209"/>
      <c r="R38" s="209">
        <f t="shared" si="4"/>
        <v>3.5608275862068967E-2</v>
      </c>
      <c r="S38" s="209">
        <f t="shared" si="5"/>
        <v>0.10381421534130893</v>
      </c>
      <c r="T38" s="209">
        <f t="shared" si="6"/>
        <v>6.9209476894205955E-3</v>
      </c>
    </row>
    <row r="39" spans="1:20" s="217" customFormat="1" x14ac:dyDescent="0.25">
      <c r="A39" s="212" t="s">
        <v>758</v>
      </c>
      <c r="B39" s="209" t="s">
        <v>55</v>
      </c>
      <c r="C39" s="209" t="s">
        <v>332</v>
      </c>
      <c r="D39" s="209" t="s">
        <v>1807</v>
      </c>
      <c r="E39" s="209" t="s">
        <v>319</v>
      </c>
      <c r="F39" s="209">
        <v>1</v>
      </c>
      <c r="G39" s="209" t="s">
        <v>1</v>
      </c>
      <c r="H39" s="209" t="s">
        <v>329</v>
      </c>
      <c r="I39" s="209" t="s">
        <v>281</v>
      </c>
      <c r="J39" s="209">
        <v>10</v>
      </c>
      <c r="K39" s="215" t="s">
        <v>72</v>
      </c>
      <c r="L39" s="209" t="s">
        <v>330</v>
      </c>
      <c r="M39" s="209" t="s">
        <v>1626</v>
      </c>
      <c r="N39" s="209">
        <v>4</v>
      </c>
      <c r="O39" s="209">
        <v>0.34300000000000003</v>
      </c>
      <c r="P39" s="216">
        <v>2.2951724137931038E-2</v>
      </c>
      <c r="Q39" s="209"/>
      <c r="R39" s="209">
        <f t="shared" si="4"/>
        <v>2.2951724137931038E-2</v>
      </c>
      <c r="S39" s="209">
        <f t="shared" si="5"/>
        <v>6.6914647632452001E-2</v>
      </c>
      <c r="T39" s="209">
        <f t="shared" si="6"/>
        <v>6.6914647632451999E-3</v>
      </c>
    </row>
    <row r="40" spans="1:20" s="217" customFormat="1" x14ac:dyDescent="0.25">
      <c r="A40" s="212" t="s">
        <v>758</v>
      </c>
      <c r="B40" s="209" t="s">
        <v>55</v>
      </c>
      <c r="C40" s="209" t="s">
        <v>332</v>
      </c>
      <c r="D40" s="209" t="s">
        <v>1807</v>
      </c>
      <c r="E40" s="209" t="s">
        <v>319</v>
      </c>
      <c r="F40" s="209">
        <v>1</v>
      </c>
      <c r="G40" s="209" t="s">
        <v>1</v>
      </c>
      <c r="H40" s="209" t="s">
        <v>329</v>
      </c>
      <c r="I40" s="209" t="s">
        <v>281</v>
      </c>
      <c r="J40" s="209">
        <v>5</v>
      </c>
      <c r="K40" s="215" t="s">
        <v>72</v>
      </c>
      <c r="L40" s="209" t="s">
        <v>330</v>
      </c>
      <c r="M40" s="209" t="s">
        <v>1626</v>
      </c>
      <c r="N40" s="209">
        <v>4</v>
      </c>
      <c r="O40" s="209">
        <v>0.34300000000000003</v>
      </c>
      <c r="P40" s="216">
        <v>0</v>
      </c>
      <c r="Q40" s="209"/>
      <c r="R40" s="209">
        <f t="shared" si="4"/>
        <v>0</v>
      </c>
      <c r="S40" s="209">
        <f t="shared" si="5"/>
        <v>0</v>
      </c>
      <c r="T40" s="209">
        <f t="shared" si="6"/>
        <v>0</v>
      </c>
    </row>
    <row r="41" spans="1:20" s="217" customFormat="1" x14ac:dyDescent="0.25">
      <c r="A41" s="212" t="s">
        <v>758</v>
      </c>
      <c r="B41" s="209" t="s">
        <v>55</v>
      </c>
      <c r="C41" s="209" t="s">
        <v>332</v>
      </c>
      <c r="D41" s="209" t="s">
        <v>1807</v>
      </c>
      <c r="E41" s="209" t="s">
        <v>319</v>
      </c>
      <c r="F41" s="209">
        <v>1</v>
      </c>
      <c r="G41" s="209" t="s">
        <v>1</v>
      </c>
      <c r="H41" s="209" t="s">
        <v>329</v>
      </c>
      <c r="I41" s="209" t="s">
        <v>281</v>
      </c>
      <c r="J41" s="209">
        <v>10</v>
      </c>
      <c r="K41" s="215" t="s">
        <v>72</v>
      </c>
      <c r="L41" s="209" t="s">
        <v>330</v>
      </c>
      <c r="M41" s="209" t="s">
        <v>1626</v>
      </c>
      <c r="N41" s="209">
        <v>4</v>
      </c>
      <c r="O41" s="209">
        <v>0.34300000000000003</v>
      </c>
      <c r="P41" s="216">
        <v>0</v>
      </c>
      <c r="Q41" s="209"/>
      <c r="R41" s="209">
        <f t="shared" si="4"/>
        <v>0</v>
      </c>
      <c r="S41" s="209">
        <f t="shared" si="5"/>
        <v>0</v>
      </c>
      <c r="T41" s="209">
        <f t="shared" si="6"/>
        <v>0</v>
      </c>
    </row>
    <row r="42" spans="1:20" s="217" customFormat="1" x14ac:dyDescent="0.25">
      <c r="A42" s="212" t="s">
        <v>758</v>
      </c>
      <c r="B42" s="209" t="s">
        <v>55</v>
      </c>
      <c r="C42" s="209" t="s">
        <v>332</v>
      </c>
      <c r="D42" s="209" t="s">
        <v>1807</v>
      </c>
      <c r="E42" s="209" t="s">
        <v>319</v>
      </c>
      <c r="F42" s="209">
        <v>1</v>
      </c>
      <c r="G42" s="209" t="s">
        <v>1</v>
      </c>
      <c r="H42" s="209" t="s">
        <v>329</v>
      </c>
      <c r="I42" s="209" t="s">
        <v>281</v>
      </c>
      <c r="J42" s="209">
        <v>15</v>
      </c>
      <c r="K42" s="215" t="s">
        <v>72</v>
      </c>
      <c r="L42" s="209" t="s">
        <v>330</v>
      </c>
      <c r="M42" s="209" t="s">
        <v>1626</v>
      </c>
      <c r="N42" s="209">
        <v>4</v>
      </c>
      <c r="O42" s="209">
        <v>0.34300000000000003</v>
      </c>
      <c r="P42" s="216">
        <v>0</v>
      </c>
      <c r="Q42" s="209"/>
      <c r="R42" s="209">
        <f t="shared" si="4"/>
        <v>0</v>
      </c>
      <c r="S42" s="209">
        <f t="shared" si="5"/>
        <v>0</v>
      </c>
      <c r="T42" s="209">
        <f t="shared" si="6"/>
        <v>0</v>
      </c>
    </row>
    <row r="43" spans="1:20" s="217" customFormat="1" x14ac:dyDescent="0.25">
      <c r="A43" s="212" t="s">
        <v>758</v>
      </c>
      <c r="B43" s="209" t="s">
        <v>55</v>
      </c>
      <c r="C43" s="209" t="s">
        <v>332</v>
      </c>
      <c r="D43" s="209" t="s">
        <v>1807</v>
      </c>
      <c r="E43" s="209" t="s">
        <v>319</v>
      </c>
      <c r="F43" s="209">
        <v>1</v>
      </c>
      <c r="G43" s="209" t="s">
        <v>1</v>
      </c>
      <c r="H43" s="209" t="s">
        <v>329</v>
      </c>
      <c r="I43" s="209" t="s">
        <v>281</v>
      </c>
      <c r="J43" s="209">
        <v>15</v>
      </c>
      <c r="K43" s="215" t="s">
        <v>72</v>
      </c>
      <c r="L43" s="209" t="s">
        <v>330</v>
      </c>
      <c r="M43" s="209" t="s">
        <v>1626</v>
      </c>
      <c r="N43" s="209">
        <v>4</v>
      </c>
      <c r="O43" s="209">
        <v>0.34300000000000003</v>
      </c>
      <c r="P43" s="216">
        <v>0</v>
      </c>
      <c r="Q43" s="209"/>
      <c r="R43" s="209">
        <f t="shared" si="4"/>
        <v>0</v>
      </c>
      <c r="S43" s="209">
        <f t="shared" si="5"/>
        <v>0</v>
      </c>
      <c r="T43" s="209">
        <f t="shared" si="6"/>
        <v>0</v>
      </c>
    </row>
    <row r="44" spans="1:20" s="217" customFormat="1" x14ac:dyDescent="0.25">
      <c r="A44" s="212" t="s">
        <v>802</v>
      </c>
      <c r="B44" s="209" t="s">
        <v>55</v>
      </c>
      <c r="C44" s="209" t="s">
        <v>319</v>
      </c>
      <c r="D44" s="209" t="s">
        <v>1807</v>
      </c>
      <c r="E44" s="209" t="s">
        <v>319</v>
      </c>
      <c r="F44" s="209">
        <v>1</v>
      </c>
      <c r="G44" s="209" t="s">
        <v>545</v>
      </c>
      <c r="H44" s="209" t="s">
        <v>542</v>
      </c>
      <c r="I44" s="209" t="s">
        <v>281</v>
      </c>
      <c r="J44" s="209">
        <v>15</v>
      </c>
      <c r="K44" s="209" t="s">
        <v>72</v>
      </c>
      <c r="L44" s="209" t="s">
        <v>549</v>
      </c>
      <c r="M44" s="209" t="s">
        <v>1724</v>
      </c>
      <c r="N44" s="209">
        <v>3</v>
      </c>
      <c r="O44" s="209">
        <v>7.23</v>
      </c>
      <c r="P44" s="216">
        <v>0.47867586206896556</v>
      </c>
      <c r="Q44" s="216">
        <v>0.50721230769230774</v>
      </c>
      <c r="R44" s="209">
        <f t="shared" si="4"/>
        <v>0.98588816976127336</v>
      </c>
      <c r="S44" s="209">
        <f t="shared" si="5"/>
        <v>0.1363607427055703</v>
      </c>
      <c r="T44" s="209">
        <f t="shared" si="6"/>
        <v>9.0907161803713537E-3</v>
      </c>
    </row>
    <row r="45" spans="1:20" s="217" customFormat="1" x14ac:dyDescent="0.25">
      <c r="A45" s="212" t="s">
        <v>802</v>
      </c>
      <c r="B45" s="209" t="s">
        <v>55</v>
      </c>
      <c r="C45" s="209" t="s">
        <v>319</v>
      </c>
      <c r="D45" s="209" t="s">
        <v>1807</v>
      </c>
      <c r="E45" s="209" t="s">
        <v>319</v>
      </c>
      <c r="F45" s="209">
        <v>1</v>
      </c>
      <c r="G45" s="209" t="s">
        <v>545</v>
      </c>
      <c r="H45" s="209" t="s">
        <v>542</v>
      </c>
      <c r="I45" s="209" t="s">
        <v>281</v>
      </c>
      <c r="J45" s="209">
        <v>15</v>
      </c>
      <c r="K45" s="209" t="s">
        <v>72</v>
      </c>
      <c r="L45" s="209" t="s">
        <v>549</v>
      </c>
      <c r="M45" s="209" t="s">
        <v>1724</v>
      </c>
      <c r="N45" s="209">
        <v>3</v>
      </c>
      <c r="O45" s="209">
        <v>7.23</v>
      </c>
      <c r="P45" s="216">
        <v>0.31911724137931036</v>
      </c>
      <c r="Q45" s="216">
        <v>0</v>
      </c>
      <c r="R45" s="209">
        <f t="shared" si="4"/>
        <v>0.31911724137931036</v>
      </c>
      <c r="S45" s="209">
        <f t="shared" si="5"/>
        <v>4.4137931034482755E-2</v>
      </c>
      <c r="T45" s="209">
        <f t="shared" si="6"/>
        <v>2.9425287356321839E-3</v>
      </c>
    </row>
    <row r="46" spans="1:20" s="217" customFormat="1" x14ac:dyDescent="0.25">
      <c r="A46" s="212" t="s">
        <v>802</v>
      </c>
      <c r="B46" s="209" t="s">
        <v>55</v>
      </c>
      <c r="C46" s="209" t="s">
        <v>319</v>
      </c>
      <c r="D46" s="209" t="s">
        <v>1807</v>
      </c>
      <c r="E46" s="209" t="s">
        <v>319</v>
      </c>
      <c r="F46" s="209">
        <v>1</v>
      </c>
      <c r="G46" s="209" t="s">
        <v>545</v>
      </c>
      <c r="H46" s="209" t="s">
        <v>542</v>
      </c>
      <c r="I46" s="209" t="s">
        <v>281</v>
      </c>
      <c r="J46" s="209">
        <v>15</v>
      </c>
      <c r="K46" s="209" t="s">
        <v>72</v>
      </c>
      <c r="L46" s="209" t="s">
        <v>535</v>
      </c>
      <c r="M46" s="209" t="s">
        <v>1724</v>
      </c>
      <c r="N46" s="209">
        <v>3</v>
      </c>
      <c r="O46" s="209">
        <v>5.16</v>
      </c>
      <c r="P46" s="216">
        <v>0.11387586206896552</v>
      </c>
      <c r="Q46" s="216">
        <v>0</v>
      </c>
      <c r="R46" s="209">
        <f t="shared" si="4"/>
        <v>0.11387586206896552</v>
      </c>
      <c r="S46" s="209">
        <f t="shared" si="5"/>
        <v>2.2068965517241381E-2</v>
      </c>
      <c r="T46" s="209">
        <f t="shared" si="6"/>
        <v>1.4712643678160922E-3</v>
      </c>
    </row>
    <row r="47" spans="1:20" s="217" customFormat="1" x14ac:dyDescent="0.25">
      <c r="A47" s="212" t="s">
        <v>802</v>
      </c>
      <c r="B47" s="209" t="s">
        <v>55</v>
      </c>
      <c r="C47" s="209" t="s">
        <v>319</v>
      </c>
      <c r="D47" s="209" t="s">
        <v>1807</v>
      </c>
      <c r="E47" s="209" t="s">
        <v>319</v>
      </c>
      <c r="F47" s="209">
        <v>1</v>
      </c>
      <c r="G47" s="209" t="s">
        <v>545</v>
      </c>
      <c r="H47" s="209" t="s">
        <v>542</v>
      </c>
      <c r="I47" s="209" t="s">
        <v>281</v>
      </c>
      <c r="J47" s="209">
        <v>15</v>
      </c>
      <c r="K47" s="209" t="s">
        <v>72</v>
      </c>
      <c r="L47" s="209" t="s">
        <v>535</v>
      </c>
      <c r="M47" s="209" t="s">
        <v>1724</v>
      </c>
      <c r="N47" s="209">
        <v>3</v>
      </c>
      <c r="O47" s="209">
        <v>5.16</v>
      </c>
      <c r="P47" s="216">
        <v>0.11387586206896552</v>
      </c>
      <c r="Q47" s="216">
        <v>0</v>
      </c>
      <c r="R47" s="209">
        <f t="shared" si="4"/>
        <v>0.11387586206896552</v>
      </c>
      <c r="S47" s="209">
        <f t="shared" si="5"/>
        <v>2.2068965517241381E-2</v>
      </c>
      <c r="T47" s="209">
        <f t="shared" si="6"/>
        <v>1.4712643678160922E-3</v>
      </c>
    </row>
    <row r="48" spans="1:20" s="217" customFormat="1" x14ac:dyDescent="0.25">
      <c r="A48" s="212" t="s">
        <v>802</v>
      </c>
      <c r="B48" s="209" t="s">
        <v>55</v>
      </c>
      <c r="C48" s="209" t="s">
        <v>319</v>
      </c>
      <c r="D48" s="209" t="s">
        <v>1807</v>
      </c>
      <c r="E48" s="209" t="s">
        <v>319</v>
      </c>
      <c r="F48" s="209">
        <v>1</v>
      </c>
      <c r="G48" s="209" t="s">
        <v>545</v>
      </c>
      <c r="H48" s="209" t="s">
        <v>542</v>
      </c>
      <c r="I48" s="209" t="s">
        <v>281</v>
      </c>
      <c r="J48" s="209">
        <v>15</v>
      </c>
      <c r="K48" s="209" t="s">
        <v>72</v>
      </c>
      <c r="L48" s="209" t="s">
        <v>535</v>
      </c>
      <c r="M48" s="209" t="s">
        <v>1724</v>
      </c>
      <c r="N48" s="209">
        <v>3</v>
      </c>
      <c r="O48" s="209">
        <v>5.16</v>
      </c>
      <c r="P48" s="216">
        <v>0.11387586206896552</v>
      </c>
      <c r="Q48" s="216">
        <v>0</v>
      </c>
      <c r="R48" s="209">
        <f t="shared" si="4"/>
        <v>0.11387586206896552</v>
      </c>
      <c r="S48" s="209">
        <f t="shared" si="5"/>
        <v>2.2068965517241381E-2</v>
      </c>
      <c r="T48" s="209">
        <f t="shared" si="6"/>
        <v>1.4712643678160922E-3</v>
      </c>
    </row>
    <row r="49" spans="1:20" s="217" customFormat="1" x14ac:dyDescent="0.25">
      <c r="A49" s="212" t="s">
        <v>802</v>
      </c>
      <c r="B49" s="209" t="s">
        <v>55</v>
      </c>
      <c r="C49" s="209" t="s">
        <v>319</v>
      </c>
      <c r="D49" s="209" t="s">
        <v>1807</v>
      </c>
      <c r="E49" s="209" t="s">
        <v>319</v>
      </c>
      <c r="F49" s="209">
        <v>1</v>
      </c>
      <c r="G49" s="209" t="s">
        <v>545</v>
      </c>
      <c r="H49" s="209" t="s">
        <v>542</v>
      </c>
      <c r="I49" s="209" t="s">
        <v>281</v>
      </c>
      <c r="J49" s="209">
        <v>15</v>
      </c>
      <c r="K49" s="209" t="s">
        <v>72</v>
      </c>
      <c r="L49" s="209" t="s">
        <v>549</v>
      </c>
      <c r="M49" s="209" t="s">
        <v>1724</v>
      </c>
      <c r="N49" s="209">
        <v>3</v>
      </c>
      <c r="O49" s="209">
        <v>7.23</v>
      </c>
      <c r="P49" s="216">
        <v>0</v>
      </c>
      <c r="Q49" s="216">
        <v>0</v>
      </c>
      <c r="R49" s="209">
        <f t="shared" si="4"/>
        <v>0</v>
      </c>
      <c r="S49" s="209">
        <f t="shared" si="5"/>
        <v>0</v>
      </c>
      <c r="T49" s="209">
        <f t="shared" si="6"/>
        <v>0</v>
      </c>
    </row>
    <row r="50" spans="1:20" s="217" customFormat="1" x14ac:dyDescent="0.25">
      <c r="A50" s="212" t="s">
        <v>802</v>
      </c>
      <c r="B50" s="209" t="s">
        <v>55</v>
      </c>
      <c r="C50" s="209" t="s">
        <v>319</v>
      </c>
      <c r="D50" s="209" t="s">
        <v>1807</v>
      </c>
      <c r="E50" s="209" t="s">
        <v>319</v>
      </c>
      <c r="F50" s="209">
        <v>1</v>
      </c>
      <c r="G50" s="209" t="s">
        <v>545</v>
      </c>
      <c r="H50" s="209" t="s">
        <v>542</v>
      </c>
      <c r="I50" s="209" t="s">
        <v>281</v>
      </c>
      <c r="J50" s="209">
        <v>15</v>
      </c>
      <c r="K50" s="209" t="s">
        <v>72</v>
      </c>
      <c r="L50" s="209" t="s">
        <v>554</v>
      </c>
      <c r="M50" s="209" t="s">
        <v>1626</v>
      </c>
      <c r="N50" s="209">
        <v>4</v>
      </c>
      <c r="O50" s="209">
        <v>3.73</v>
      </c>
      <c r="P50" s="216">
        <v>0.16463448275862069</v>
      </c>
      <c r="Q50" s="216">
        <v>0</v>
      </c>
      <c r="R50" s="209">
        <f t="shared" si="4"/>
        <v>0.16463448275862069</v>
      </c>
      <c r="S50" s="209">
        <f t="shared" si="5"/>
        <v>4.4137931034482762E-2</v>
      </c>
      <c r="T50" s="209">
        <f t="shared" si="6"/>
        <v>2.9425287356321843E-3</v>
      </c>
    </row>
    <row r="51" spans="1:20" s="217" customFormat="1" x14ac:dyDescent="0.25">
      <c r="A51" s="212" t="s">
        <v>802</v>
      </c>
      <c r="B51" s="209" t="s">
        <v>55</v>
      </c>
      <c r="C51" s="209" t="s">
        <v>319</v>
      </c>
      <c r="D51" s="209" t="s">
        <v>1807</v>
      </c>
      <c r="E51" s="209" t="s">
        <v>319</v>
      </c>
      <c r="F51" s="209">
        <v>1</v>
      </c>
      <c r="G51" s="209" t="s">
        <v>545</v>
      </c>
      <c r="H51" s="209" t="s">
        <v>542</v>
      </c>
      <c r="I51" s="209" t="s">
        <v>281</v>
      </c>
      <c r="J51" s="209">
        <v>15</v>
      </c>
      <c r="K51" s="209" t="s">
        <v>72</v>
      </c>
      <c r="L51" s="209" t="s">
        <v>554</v>
      </c>
      <c r="M51" s="209" t="s">
        <v>1626</v>
      </c>
      <c r="N51" s="209">
        <v>4</v>
      </c>
      <c r="O51" s="209">
        <v>3.73</v>
      </c>
      <c r="P51" s="216">
        <v>8.2317241379310346E-2</v>
      </c>
      <c r="Q51" s="216">
        <v>0</v>
      </c>
      <c r="R51" s="209">
        <f t="shared" ref="R51:R67" si="7">SUM(P51:Q51)</f>
        <v>8.2317241379310346E-2</v>
      </c>
      <c r="S51" s="209">
        <f t="shared" si="5"/>
        <v>2.2068965517241381E-2</v>
      </c>
      <c r="T51" s="209">
        <f t="shared" si="6"/>
        <v>1.4712643678160922E-3</v>
      </c>
    </row>
    <row r="52" spans="1:20" s="217" customFormat="1" x14ac:dyDescent="0.25">
      <c r="A52" s="212" t="s">
        <v>802</v>
      </c>
      <c r="B52" s="209" t="s">
        <v>55</v>
      </c>
      <c r="C52" s="209" t="s">
        <v>319</v>
      </c>
      <c r="D52" s="209" t="s">
        <v>1807</v>
      </c>
      <c r="E52" s="209" t="s">
        <v>319</v>
      </c>
      <c r="F52" s="209">
        <v>1</v>
      </c>
      <c r="G52" s="209" t="s">
        <v>545</v>
      </c>
      <c r="H52" s="209" t="s">
        <v>542</v>
      </c>
      <c r="I52" s="209" t="s">
        <v>281</v>
      </c>
      <c r="J52" s="209">
        <v>15</v>
      </c>
      <c r="K52" s="209" t="s">
        <v>72</v>
      </c>
      <c r="L52" s="209" t="s">
        <v>554</v>
      </c>
      <c r="M52" s="209" t="s">
        <v>1626</v>
      </c>
      <c r="N52" s="209">
        <v>4</v>
      </c>
      <c r="O52" s="209">
        <v>3.73</v>
      </c>
      <c r="P52" s="216">
        <v>0</v>
      </c>
      <c r="Q52" s="216">
        <v>0</v>
      </c>
      <c r="R52" s="209">
        <f t="shared" si="7"/>
        <v>0</v>
      </c>
      <c r="S52" s="209">
        <f t="shared" si="5"/>
        <v>0</v>
      </c>
      <c r="T52" s="209">
        <f t="shared" si="6"/>
        <v>0</v>
      </c>
    </row>
    <row r="53" spans="1:20" s="217" customFormat="1" x14ac:dyDescent="0.25">
      <c r="A53" s="212" t="s">
        <v>802</v>
      </c>
      <c r="B53" s="209" t="s">
        <v>55</v>
      </c>
      <c r="C53" s="209" t="s">
        <v>319</v>
      </c>
      <c r="D53" s="209" t="s">
        <v>1807</v>
      </c>
      <c r="E53" s="209" t="s">
        <v>319</v>
      </c>
      <c r="F53" s="209">
        <v>1</v>
      </c>
      <c r="G53" s="209" t="s">
        <v>545</v>
      </c>
      <c r="H53" s="209" t="s">
        <v>542</v>
      </c>
      <c r="I53" s="209" t="s">
        <v>281</v>
      </c>
      <c r="J53" s="209">
        <v>15</v>
      </c>
      <c r="K53" s="209" t="s">
        <v>72</v>
      </c>
      <c r="L53" s="209" t="s">
        <v>543</v>
      </c>
      <c r="M53" s="209" t="s">
        <v>1746</v>
      </c>
      <c r="N53" s="209">
        <v>9</v>
      </c>
      <c r="O53" s="209">
        <v>5.33</v>
      </c>
      <c r="P53" s="216">
        <v>0.11762758620689655</v>
      </c>
      <c r="Q53" s="216">
        <v>0</v>
      </c>
      <c r="R53" s="209">
        <f t="shared" si="7"/>
        <v>0.11762758620689655</v>
      </c>
      <c r="S53" s="209">
        <f t="shared" si="5"/>
        <v>2.2068965517241378E-2</v>
      </c>
      <c r="T53" s="209">
        <f t="shared" si="6"/>
        <v>1.4712643678160919E-3</v>
      </c>
    </row>
    <row r="54" spans="1:20" s="217" customFormat="1" x14ac:dyDescent="0.25">
      <c r="A54" s="212" t="s">
        <v>802</v>
      </c>
      <c r="B54" s="209" t="s">
        <v>55</v>
      </c>
      <c r="C54" s="209" t="s">
        <v>319</v>
      </c>
      <c r="D54" s="209" t="s">
        <v>1807</v>
      </c>
      <c r="E54" s="209" t="s">
        <v>319</v>
      </c>
      <c r="F54" s="209">
        <v>1</v>
      </c>
      <c r="G54" s="209" t="s">
        <v>545</v>
      </c>
      <c r="H54" s="209" t="s">
        <v>542</v>
      </c>
      <c r="I54" s="209" t="s">
        <v>281</v>
      </c>
      <c r="J54" s="209">
        <v>15</v>
      </c>
      <c r="K54" s="209" t="s">
        <v>72</v>
      </c>
      <c r="L54" s="209" t="s">
        <v>543</v>
      </c>
      <c r="M54" s="209" t="s">
        <v>1746</v>
      </c>
      <c r="N54" s="209">
        <v>9</v>
      </c>
      <c r="O54" s="209">
        <v>5.33</v>
      </c>
      <c r="P54" s="216">
        <v>0.11762758620689655</v>
      </c>
      <c r="Q54" s="216">
        <v>0</v>
      </c>
      <c r="R54" s="209">
        <f t="shared" si="7"/>
        <v>0.11762758620689655</v>
      </c>
      <c r="S54" s="209">
        <f t="shared" si="5"/>
        <v>2.2068965517241378E-2</v>
      </c>
      <c r="T54" s="209">
        <f t="shared" si="6"/>
        <v>1.4712643678160919E-3</v>
      </c>
    </row>
    <row r="55" spans="1:20" s="217" customFormat="1" x14ac:dyDescent="0.25">
      <c r="A55" s="212" t="s">
        <v>802</v>
      </c>
      <c r="B55" s="209" t="s">
        <v>55</v>
      </c>
      <c r="C55" s="209" t="s">
        <v>319</v>
      </c>
      <c r="D55" s="209" t="s">
        <v>1807</v>
      </c>
      <c r="E55" s="209" t="s">
        <v>319</v>
      </c>
      <c r="F55" s="209">
        <v>1</v>
      </c>
      <c r="G55" s="209" t="s">
        <v>545</v>
      </c>
      <c r="H55" s="209" t="s">
        <v>542</v>
      </c>
      <c r="I55" s="209" t="s">
        <v>281</v>
      </c>
      <c r="J55" s="209">
        <v>15</v>
      </c>
      <c r="K55" s="209" t="s">
        <v>72</v>
      </c>
      <c r="L55" s="209" t="s">
        <v>543</v>
      </c>
      <c r="M55" s="209" t="s">
        <v>1746</v>
      </c>
      <c r="N55" s="209">
        <v>9</v>
      </c>
      <c r="O55" s="209">
        <v>5.33</v>
      </c>
      <c r="P55" s="216">
        <v>0</v>
      </c>
      <c r="Q55" s="216">
        <v>0</v>
      </c>
      <c r="R55" s="209">
        <f t="shared" si="7"/>
        <v>0</v>
      </c>
      <c r="S55" s="209">
        <f t="shared" si="5"/>
        <v>0</v>
      </c>
      <c r="T55" s="209">
        <f t="shared" si="6"/>
        <v>0</v>
      </c>
    </row>
    <row r="56" spans="1:20" s="217" customFormat="1" x14ac:dyDescent="0.25">
      <c r="A56" s="212" t="s">
        <v>746</v>
      </c>
      <c r="B56" s="209" t="s">
        <v>55</v>
      </c>
      <c r="C56" s="209" t="s">
        <v>249</v>
      </c>
      <c r="D56" s="209" t="s">
        <v>1808</v>
      </c>
      <c r="E56" s="209" t="s">
        <v>319</v>
      </c>
      <c r="F56" s="209">
        <v>1</v>
      </c>
      <c r="G56" s="209" t="s">
        <v>284</v>
      </c>
      <c r="H56" s="209" t="s">
        <v>280</v>
      </c>
      <c r="I56" s="209" t="s">
        <v>281</v>
      </c>
      <c r="J56" s="209">
        <v>30</v>
      </c>
      <c r="K56" s="209" t="s">
        <v>72</v>
      </c>
      <c r="L56" s="209" t="s">
        <v>299</v>
      </c>
      <c r="M56" s="209" t="s">
        <v>1732</v>
      </c>
      <c r="N56" s="209">
        <v>1</v>
      </c>
      <c r="O56" s="209">
        <v>8</v>
      </c>
      <c r="P56" s="209">
        <v>0.1144</v>
      </c>
      <c r="Q56" s="209" t="s">
        <v>1</v>
      </c>
      <c r="R56" s="209">
        <f t="shared" si="7"/>
        <v>0.1144</v>
      </c>
      <c r="S56" s="209">
        <f t="shared" si="5"/>
        <v>1.43E-2</v>
      </c>
      <c r="T56" s="209">
        <f t="shared" si="6"/>
        <v>4.7666666666666669E-4</v>
      </c>
    </row>
    <row r="57" spans="1:20" s="217" customFormat="1" x14ac:dyDescent="0.25">
      <c r="A57" s="212" t="s">
        <v>746</v>
      </c>
      <c r="B57" s="209" t="s">
        <v>55</v>
      </c>
      <c r="C57" s="209" t="s">
        <v>249</v>
      </c>
      <c r="D57" s="209" t="s">
        <v>1808</v>
      </c>
      <c r="E57" s="209" t="s">
        <v>319</v>
      </c>
      <c r="F57" s="209">
        <v>1</v>
      </c>
      <c r="G57" s="209" t="s">
        <v>284</v>
      </c>
      <c r="H57" s="209" t="s">
        <v>280</v>
      </c>
      <c r="I57" s="209" t="s">
        <v>281</v>
      </c>
      <c r="J57" s="209">
        <v>30</v>
      </c>
      <c r="K57" s="209" t="s">
        <v>72</v>
      </c>
      <c r="L57" s="209" t="s">
        <v>296</v>
      </c>
      <c r="M57" s="209" t="s">
        <v>728</v>
      </c>
      <c r="N57" s="209">
        <v>2</v>
      </c>
      <c r="O57" s="209">
        <v>8</v>
      </c>
      <c r="P57" s="209">
        <v>0.22707000000000002</v>
      </c>
      <c r="Q57" s="209" t="s">
        <v>1</v>
      </c>
      <c r="R57" s="209">
        <f t="shared" si="7"/>
        <v>0.22707000000000002</v>
      </c>
      <c r="S57" s="209">
        <f t="shared" si="5"/>
        <v>2.8383750000000003E-2</v>
      </c>
      <c r="T57" s="209">
        <f t="shared" si="6"/>
        <v>9.4612500000000013E-4</v>
      </c>
    </row>
    <row r="58" spans="1:20" s="217" customFormat="1" x14ac:dyDescent="0.25">
      <c r="A58" s="212" t="s">
        <v>746</v>
      </c>
      <c r="B58" s="209" t="s">
        <v>55</v>
      </c>
      <c r="C58" s="209" t="s">
        <v>249</v>
      </c>
      <c r="D58" s="209" t="s">
        <v>1808</v>
      </c>
      <c r="E58" s="209" t="s">
        <v>319</v>
      </c>
      <c r="F58" s="209">
        <v>1</v>
      </c>
      <c r="G58" s="209" t="s">
        <v>284</v>
      </c>
      <c r="H58" s="209" t="s">
        <v>280</v>
      </c>
      <c r="I58" s="209" t="s">
        <v>281</v>
      </c>
      <c r="J58" s="209">
        <v>30</v>
      </c>
      <c r="K58" s="209" t="s">
        <v>72</v>
      </c>
      <c r="L58" s="209" t="s">
        <v>282</v>
      </c>
      <c r="M58" s="209" t="s">
        <v>1724</v>
      </c>
      <c r="N58" s="209">
        <v>3</v>
      </c>
      <c r="O58" s="209">
        <v>8</v>
      </c>
      <c r="P58" s="209">
        <v>0.33740000000000003</v>
      </c>
      <c r="Q58" s="209" t="s">
        <v>1</v>
      </c>
      <c r="R58" s="209">
        <f t="shared" si="7"/>
        <v>0.33740000000000003</v>
      </c>
      <c r="S58" s="209">
        <f t="shared" si="5"/>
        <v>4.2175000000000004E-2</v>
      </c>
      <c r="T58" s="209">
        <f t="shared" si="6"/>
        <v>1.4058333333333334E-3</v>
      </c>
    </row>
    <row r="59" spans="1:20" s="217" customFormat="1" x14ac:dyDescent="0.25">
      <c r="A59" s="212" t="s">
        <v>746</v>
      </c>
      <c r="B59" s="209" t="s">
        <v>55</v>
      </c>
      <c r="C59" s="209" t="s">
        <v>249</v>
      </c>
      <c r="D59" s="209" t="s">
        <v>1808</v>
      </c>
      <c r="E59" s="209" t="s">
        <v>319</v>
      </c>
      <c r="F59" s="209">
        <v>1</v>
      </c>
      <c r="G59" s="209" t="s">
        <v>284</v>
      </c>
      <c r="H59" s="209" t="s">
        <v>280</v>
      </c>
      <c r="I59" s="209" t="s">
        <v>281</v>
      </c>
      <c r="J59" s="209">
        <v>30</v>
      </c>
      <c r="K59" s="209" t="s">
        <v>72</v>
      </c>
      <c r="L59" s="209" t="s">
        <v>293</v>
      </c>
      <c r="M59" s="209" t="s">
        <v>1626</v>
      </c>
      <c r="N59" s="209">
        <v>4</v>
      </c>
      <c r="O59" s="209">
        <v>8</v>
      </c>
      <c r="P59" s="209">
        <v>0.311</v>
      </c>
      <c r="Q59" s="209" t="s">
        <v>1</v>
      </c>
      <c r="R59" s="209">
        <f t="shared" si="7"/>
        <v>0.311</v>
      </c>
      <c r="S59" s="209">
        <f t="shared" si="5"/>
        <v>3.8875E-2</v>
      </c>
      <c r="T59" s="209">
        <f t="shared" si="6"/>
        <v>1.2958333333333333E-3</v>
      </c>
    </row>
    <row r="60" spans="1:20" s="218" customFormat="1" x14ac:dyDescent="0.25">
      <c r="A60" s="235" t="s">
        <v>733</v>
      </c>
      <c r="B60" s="187" t="s">
        <v>2</v>
      </c>
      <c r="C60" s="187" t="s">
        <v>218</v>
      </c>
      <c r="D60" s="187" t="s">
        <v>0</v>
      </c>
      <c r="E60" s="187" t="s">
        <v>1809</v>
      </c>
      <c r="F60" s="187">
        <v>4</v>
      </c>
      <c r="G60" s="187" t="s">
        <v>219</v>
      </c>
      <c r="H60" s="187" t="s">
        <v>214</v>
      </c>
      <c r="I60" s="187" t="s">
        <v>86</v>
      </c>
      <c r="J60" s="187">
        <v>105</v>
      </c>
      <c r="K60" s="187" t="s">
        <v>57</v>
      </c>
      <c r="L60" s="187" t="s">
        <v>228</v>
      </c>
      <c r="M60" s="187" t="s">
        <v>1740</v>
      </c>
      <c r="N60" s="187">
        <v>6</v>
      </c>
      <c r="O60" s="187">
        <v>8.8000000000000007</v>
      </c>
      <c r="P60" s="187">
        <v>1.47</v>
      </c>
      <c r="Q60" s="187">
        <v>1.55</v>
      </c>
      <c r="R60" s="187">
        <f t="shared" si="7"/>
        <v>3.02</v>
      </c>
      <c r="S60" s="187">
        <f t="shared" si="5"/>
        <v>0.34318181818181814</v>
      </c>
      <c r="T60" s="187">
        <f t="shared" si="6"/>
        <v>3.2683982683982681E-3</v>
      </c>
    </row>
    <row r="61" spans="1:20" s="218" customFormat="1" x14ac:dyDescent="0.25">
      <c r="A61" s="235" t="s">
        <v>733</v>
      </c>
      <c r="B61" s="187" t="s">
        <v>2</v>
      </c>
      <c r="C61" s="187" t="s">
        <v>218</v>
      </c>
      <c r="D61" s="187" t="s">
        <v>0</v>
      </c>
      <c r="E61" s="187" t="s">
        <v>1809</v>
      </c>
      <c r="F61" s="187">
        <v>4</v>
      </c>
      <c r="G61" s="187" t="s">
        <v>219</v>
      </c>
      <c r="H61" s="187" t="s">
        <v>214</v>
      </c>
      <c r="I61" s="187" t="s">
        <v>86</v>
      </c>
      <c r="J61" s="187">
        <v>105</v>
      </c>
      <c r="K61" s="187" t="s">
        <v>57</v>
      </c>
      <c r="L61" s="187" t="s">
        <v>225</v>
      </c>
      <c r="M61" s="187" t="s">
        <v>1740</v>
      </c>
      <c r="N61" s="187">
        <v>6</v>
      </c>
      <c r="O61" s="187">
        <v>8.8000000000000007</v>
      </c>
      <c r="P61" s="187">
        <v>0.92</v>
      </c>
      <c r="Q61" s="187">
        <v>0</v>
      </c>
      <c r="R61" s="187">
        <f t="shared" si="7"/>
        <v>0.92</v>
      </c>
      <c r="S61" s="187">
        <f t="shared" si="5"/>
        <v>0.10454545454545454</v>
      </c>
      <c r="T61" s="187">
        <f t="shared" si="6"/>
        <v>9.9567099567099567E-4</v>
      </c>
    </row>
    <row r="62" spans="1:20" s="218" customFormat="1" x14ac:dyDescent="0.25">
      <c r="A62" s="235" t="s">
        <v>733</v>
      </c>
      <c r="B62" s="187" t="s">
        <v>2</v>
      </c>
      <c r="C62" s="187" t="s">
        <v>218</v>
      </c>
      <c r="D62" s="187" t="s">
        <v>0</v>
      </c>
      <c r="E62" s="187" t="s">
        <v>1809</v>
      </c>
      <c r="F62" s="187">
        <v>4</v>
      </c>
      <c r="G62" s="187" t="s">
        <v>219</v>
      </c>
      <c r="H62" s="187" t="s">
        <v>214</v>
      </c>
      <c r="I62" s="187" t="s">
        <v>86</v>
      </c>
      <c r="J62" s="187">
        <v>105</v>
      </c>
      <c r="K62" s="187" t="s">
        <v>57</v>
      </c>
      <c r="L62" s="187" t="s">
        <v>215</v>
      </c>
      <c r="M62" s="187" t="s">
        <v>1810</v>
      </c>
      <c r="N62" s="187">
        <v>7</v>
      </c>
      <c r="O62" s="187">
        <v>3.2</v>
      </c>
      <c r="P62" s="187">
        <v>0.69</v>
      </c>
      <c r="Q62" s="187">
        <v>1.23</v>
      </c>
      <c r="R62" s="187">
        <f t="shared" si="7"/>
        <v>1.92</v>
      </c>
      <c r="S62" s="187">
        <f t="shared" si="5"/>
        <v>0.6</v>
      </c>
      <c r="T62" s="187">
        <f t="shared" si="6"/>
        <v>5.7142857142857143E-3</v>
      </c>
    </row>
    <row r="63" spans="1:20" s="217" customFormat="1" x14ac:dyDescent="0.25">
      <c r="A63" s="212" t="s">
        <v>747</v>
      </c>
      <c r="B63" s="209" t="s">
        <v>55</v>
      </c>
      <c r="C63" s="209" t="s">
        <v>249</v>
      </c>
      <c r="D63" s="209" t="s">
        <v>69</v>
      </c>
      <c r="E63" s="209" t="s">
        <v>319</v>
      </c>
      <c r="F63" s="209">
        <v>1</v>
      </c>
      <c r="G63" s="209" t="s">
        <v>305</v>
      </c>
      <c r="H63" s="209" t="s">
        <v>302</v>
      </c>
      <c r="I63" s="209" t="s">
        <v>281</v>
      </c>
      <c r="J63" s="209">
        <v>21</v>
      </c>
      <c r="K63" s="209" t="s">
        <v>72</v>
      </c>
      <c r="L63" s="209" t="s">
        <v>303</v>
      </c>
      <c r="M63" s="209" t="s">
        <v>728</v>
      </c>
      <c r="N63" s="209">
        <v>2</v>
      </c>
      <c r="O63" s="209">
        <v>10</v>
      </c>
      <c r="P63" s="209">
        <v>1.0112000000000001</v>
      </c>
      <c r="Q63" s="209" t="s">
        <v>1</v>
      </c>
      <c r="R63" s="209">
        <f t="shared" si="7"/>
        <v>1.0112000000000001</v>
      </c>
      <c r="S63" s="209">
        <f t="shared" si="5"/>
        <v>0.10112000000000002</v>
      </c>
      <c r="T63" s="209">
        <f t="shared" si="6"/>
        <v>4.8152380952380964E-3</v>
      </c>
    </row>
    <row r="64" spans="1:20" s="217" customFormat="1" x14ac:dyDescent="0.25">
      <c r="A64" s="212" t="s">
        <v>747</v>
      </c>
      <c r="B64" s="209" t="s">
        <v>55</v>
      </c>
      <c r="C64" s="209" t="s">
        <v>249</v>
      </c>
      <c r="D64" s="209" t="s">
        <v>69</v>
      </c>
      <c r="E64" s="209" t="s">
        <v>319</v>
      </c>
      <c r="F64" s="209">
        <v>1</v>
      </c>
      <c r="G64" s="209" t="s">
        <v>305</v>
      </c>
      <c r="H64" s="209" t="s">
        <v>302</v>
      </c>
      <c r="I64" s="209" t="s">
        <v>281</v>
      </c>
      <c r="J64" s="209">
        <v>21</v>
      </c>
      <c r="K64" s="209" t="s">
        <v>72</v>
      </c>
      <c r="L64" s="209" t="s">
        <v>303</v>
      </c>
      <c r="M64" s="209" t="s">
        <v>728</v>
      </c>
      <c r="N64" s="209">
        <v>2</v>
      </c>
      <c r="O64" s="209">
        <v>16.100000000000001</v>
      </c>
      <c r="P64" s="209">
        <v>0.752</v>
      </c>
      <c r="Q64" s="209" t="s">
        <v>1</v>
      </c>
      <c r="R64" s="209">
        <f t="shared" si="7"/>
        <v>0.752</v>
      </c>
      <c r="S64" s="209">
        <f t="shared" si="5"/>
        <v>4.6708074534161488E-2</v>
      </c>
      <c r="T64" s="209">
        <f t="shared" si="6"/>
        <v>2.2241940254362613E-3</v>
      </c>
    </row>
    <row r="65" spans="1:20" s="217" customFormat="1" x14ac:dyDescent="0.25">
      <c r="A65" s="212" t="s">
        <v>747</v>
      </c>
      <c r="B65" s="209" t="s">
        <v>55</v>
      </c>
      <c r="C65" s="209" t="s">
        <v>249</v>
      </c>
      <c r="D65" s="209" t="s">
        <v>69</v>
      </c>
      <c r="E65" s="209" t="s">
        <v>319</v>
      </c>
      <c r="F65" s="209">
        <v>1</v>
      </c>
      <c r="G65" s="209" t="s">
        <v>305</v>
      </c>
      <c r="H65" s="209" t="s">
        <v>302</v>
      </c>
      <c r="I65" s="209" t="s">
        <v>281</v>
      </c>
      <c r="J65" s="209">
        <v>21</v>
      </c>
      <c r="K65" s="209" t="s">
        <v>72</v>
      </c>
      <c r="L65" s="209" t="s">
        <v>303</v>
      </c>
      <c r="M65" s="209" t="s">
        <v>728</v>
      </c>
      <c r="N65" s="209">
        <v>2</v>
      </c>
      <c r="O65" s="209">
        <v>10</v>
      </c>
      <c r="P65" s="209">
        <v>0.39199999999999996</v>
      </c>
      <c r="Q65" s="209" t="s">
        <v>1</v>
      </c>
      <c r="R65" s="209">
        <f t="shared" si="7"/>
        <v>0.39199999999999996</v>
      </c>
      <c r="S65" s="209">
        <f t="shared" si="5"/>
        <v>3.9199999999999999E-2</v>
      </c>
      <c r="T65" s="209">
        <f t="shared" si="6"/>
        <v>1.8666666666666666E-3</v>
      </c>
    </row>
    <row r="66" spans="1:20" s="217" customFormat="1" x14ac:dyDescent="0.25">
      <c r="A66" s="212" t="s">
        <v>747</v>
      </c>
      <c r="B66" s="209" t="s">
        <v>55</v>
      </c>
      <c r="C66" s="209" t="s">
        <v>249</v>
      </c>
      <c r="D66" s="209" t="s">
        <v>69</v>
      </c>
      <c r="E66" s="209" t="s">
        <v>319</v>
      </c>
      <c r="F66" s="209">
        <v>1</v>
      </c>
      <c r="G66" s="209" t="s">
        <v>305</v>
      </c>
      <c r="H66" s="209" t="s">
        <v>302</v>
      </c>
      <c r="I66" s="209" t="s">
        <v>281</v>
      </c>
      <c r="J66" s="209">
        <v>21</v>
      </c>
      <c r="K66" s="209" t="s">
        <v>72</v>
      </c>
      <c r="L66" s="209" t="s">
        <v>303</v>
      </c>
      <c r="M66" s="209" t="s">
        <v>728</v>
      </c>
      <c r="N66" s="209">
        <v>2</v>
      </c>
      <c r="O66" s="209">
        <v>10</v>
      </c>
      <c r="P66" s="209">
        <v>0.34770000000000001</v>
      </c>
      <c r="Q66" s="209" t="s">
        <v>1</v>
      </c>
      <c r="R66" s="209">
        <f t="shared" si="7"/>
        <v>0.34770000000000001</v>
      </c>
      <c r="S66" s="209">
        <f t="shared" si="5"/>
        <v>3.4770000000000002E-2</v>
      </c>
      <c r="T66" s="209">
        <f t="shared" si="6"/>
        <v>1.6557142857142858E-3</v>
      </c>
    </row>
    <row r="67" spans="1:20" s="217" customFormat="1" x14ac:dyDescent="0.25">
      <c r="A67" s="212" t="s">
        <v>747</v>
      </c>
      <c r="B67" s="209" t="s">
        <v>55</v>
      </c>
      <c r="C67" s="209" t="s">
        <v>249</v>
      </c>
      <c r="D67" s="209" t="s">
        <v>69</v>
      </c>
      <c r="E67" s="209" t="s">
        <v>319</v>
      </c>
      <c r="F67" s="209">
        <v>1</v>
      </c>
      <c r="G67" s="209" t="s">
        <v>305</v>
      </c>
      <c r="H67" s="209" t="s">
        <v>302</v>
      </c>
      <c r="I67" s="209" t="s">
        <v>281</v>
      </c>
      <c r="J67" s="209">
        <v>21</v>
      </c>
      <c r="K67" s="209" t="s">
        <v>72</v>
      </c>
      <c r="L67" s="209" t="s">
        <v>303</v>
      </c>
      <c r="M67" s="209" t="s">
        <v>728</v>
      </c>
      <c r="N67" s="209">
        <v>2</v>
      </c>
      <c r="O67" s="209">
        <v>16.100000000000001</v>
      </c>
      <c r="P67" s="209">
        <v>0.33110000000000001</v>
      </c>
      <c r="Q67" s="209" t="s">
        <v>1</v>
      </c>
      <c r="R67" s="209">
        <f t="shared" si="7"/>
        <v>0.33110000000000001</v>
      </c>
      <c r="S67" s="209">
        <f t="shared" ref="S67:S98" si="8">R67/O67</f>
        <v>2.0565217391304347E-2</v>
      </c>
      <c r="T67" s="209">
        <f t="shared" ref="T67:T98" si="9">S67/J67</f>
        <v>9.7929606625258799E-4</v>
      </c>
    </row>
    <row r="68" spans="1:20" s="217" customFormat="1" x14ac:dyDescent="0.25">
      <c r="A68" s="4" t="s">
        <v>769</v>
      </c>
      <c r="B68" s="209" t="s">
        <v>575</v>
      </c>
      <c r="C68" s="217" t="s">
        <v>319</v>
      </c>
      <c r="D68" s="217" t="s">
        <v>69</v>
      </c>
      <c r="E68" s="209" t="s">
        <v>319</v>
      </c>
      <c r="F68" s="209">
        <v>1</v>
      </c>
      <c r="G68" s="209" t="s">
        <v>1811</v>
      </c>
      <c r="H68" s="209" t="s">
        <v>576</v>
      </c>
      <c r="I68" s="209" t="s">
        <v>281</v>
      </c>
      <c r="J68" s="209">
        <v>60</v>
      </c>
      <c r="K68" s="209" t="s">
        <v>72</v>
      </c>
      <c r="L68" s="209" t="s">
        <v>577</v>
      </c>
      <c r="M68" s="209" t="s">
        <v>1626</v>
      </c>
      <c r="N68" s="209">
        <v>4</v>
      </c>
      <c r="O68" s="209">
        <v>10</v>
      </c>
      <c r="P68" s="219">
        <v>1.103448275862069</v>
      </c>
      <c r="Q68" s="209" t="s">
        <v>1</v>
      </c>
      <c r="R68" s="219">
        <v>1.103448275862069</v>
      </c>
      <c r="S68" s="209">
        <f t="shared" si="8"/>
        <v>0.1103448275862069</v>
      </c>
      <c r="T68" s="209">
        <f t="shared" si="9"/>
        <v>1.8390804597701149E-3</v>
      </c>
    </row>
    <row r="69" spans="1:20" s="217" customFormat="1" x14ac:dyDescent="0.25">
      <c r="A69" s="212" t="s">
        <v>769</v>
      </c>
      <c r="B69" s="209" t="s">
        <v>575</v>
      </c>
      <c r="C69" s="217" t="s">
        <v>319</v>
      </c>
      <c r="D69" s="217" t="s">
        <v>69</v>
      </c>
      <c r="E69" s="209" t="s">
        <v>319</v>
      </c>
      <c r="F69" s="209">
        <v>1</v>
      </c>
      <c r="G69" s="209" t="s">
        <v>1811</v>
      </c>
      <c r="H69" s="209" t="s">
        <v>576</v>
      </c>
      <c r="I69" s="209" t="s">
        <v>281</v>
      </c>
      <c r="J69" s="209">
        <v>60</v>
      </c>
      <c r="K69" s="209" t="s">
        <v>72</v>
      </c>
      <c r="L69" s="209" t="s">
        <v>577</v>
      </c>
      <c r="M69" s="209" t="s">
        <v>1626</v>
      </c>
      <c r="N69" s="209">
        <v>4</v>
      </c>
      <c r="O69" s="209">
        <v>20</v>
      </c>
      <c r="P69" s="219">
        <v>1.6551724137931034</v>
      </c>
      <c r="Q69" s="209" t="s">
        <v>1</v>
      </c>
      <c r="R69" s="219">
        <v>1.6551724137931034</v>
      </c>
      <c r="S69" s="209">
        <f t="shared" si="8"/>
        <v>8.2758620689655171E-2</v>
      </c>
      <c r="T69" s="209">
        <f t="shared" si="9"/>
        <v>1.3793103448275861E-3</v>
      </c>
    </row>
    <row r="70" spans="1:20" s="217" customFormat="1" x14ac:dyDescent="0.25">
      <c r="A70" s="212" t="s">
        <v>769</v>
      </c>
      <c r="B70" s="209" t="s">
        <v>575</v>
      </c>
      <c r="C70" s="217" t="s">
        <v>319</v>
      </c>
      <c r="D70" s="217" t="s">
        <v>69</v>
      </c>
      <c r="E70" s="209" t="s">
        <v>319</v>
      </c>
      <c r="F70" s="209">
        <v>1</v>
      </c>
      <c r="G70" s="209" t="s">
        <v>1811</v>
      </c>
      <c r="H70" s="209" t="s">
        <v>576</v>
      </c>
      <c r="I70" s="209" t="s">
        <v>281</v>
      </c>
      <c r="J70" s="209">
        <v>60</v>
      </c>
      <c r="K70" s="209" t="s">
        <v>72</v>
      </c>
      <c r="L70" s="209" t="s">
        <v>577</v>
      </c>
      <c r="M70" s="209" t="s">
        <v>1626</v>
      </c>
      <c r="N70" s="209">
        <v>4</v>
      </c>
      <c r="O70" s="209">
        <v>40</v>
      </c>
      <c r="P70" s="219">
        <v>1.6551724137931034</v>
      </c>
      <c r="Q70" s="209" t="s">
        <v>1</v>
      </c>
      <c r="R70" s="219">
        <v>1.6551724137931034</v>
      </c>
      <c r="S70" s="209">
        <f t="shared" si="8"/>
        <v>4.1379310344827586E-2</v>
      </c>
      <c r="T70" s="209">
        <f t="shared" si="9"/>
        <v>6.8965517241379305E-4</v>
      </c>
    </row>
    <row r="71" spans="1:20" s="222" customFormat="1" x14ac:dyDescent="0.25">
      <c r="A71" s="236" t="s">
        <v>769</v>
      </c>
      <c r="B71" s="220" t="s">
        <v>575</v>
      </c>
      <c r="C71" s="222" t="s">
        <v>592</v>
      </c>
      <c r="D71" s="222" t="s">
        <v>69</v>
      </c>
      <c r="E71" s="220" t="s">
        <v>511</v>
      </c>
      <c r="F71" s="220">
        <v>5</v>
      </c>
      <c r="G71" s="220" t="s">
        <v>1811</v>
      </c>
      <c r="H71" s="220" t="s">
        <v>576</v>
      </c>
      <c r="I71" s="220" t="s">
        <v>281</v>
      </c>
      <c r="J71" s="220">
        <v>60</v>
      </c>
      <c r="K71" s="220" t="s">
        <v>72</v>
      </c>
      <c r="L71" s="220" t="s">
        <v>577</v>
      </c>
      <c r="M71" s="220" t="s">
        <v>1626</v>
      </c>
      <c r="N71" s="220">
        <v>4</v>
      </c>
      <c r="O71" s="220">
        <v>10</v>
      </c>
      <c r="P71" s="221">
        <v>4.4137931034482758</v>
      </c>
      <c r="Q71" s="220" t="s">
        <v>1</v>
      </c>
      <c r="R71" s="221">
        <v>4.4137931034482758</v>
      </c>
      <c r="S71" s="220">
        <f t="shared" si="8"/>
        <v>0.44137931034482758</v>
      </c>
      <c r="T71" s="220">
        <f t="shared" si="9"/>
        <v>7.3563218390804595E-3</v>
      </c>
    </row>
    <row r="72" spans="1:20" s="222" customFormat="1" x14ac:dyDescent="0.25">
      <c r="A72" s="236" t="s">
        <v>769</v>
      </c>
      <c r="B72" s="220" t="s">
        <v>575</v>
      </c>
      <c r="C72" s="222" t="s">
        <v>592</v>
      </c>
      <c r="D72" s="222" t="s">
        <v>69</v>
      </c>
      <c r="E72" s="220" t="s">
        <v>511</v>
      </c>
      <c r="F72" s="220">
        <v>5</v>
      </c>
      <c r="G72" s="220" t="s">
        <v>1811</v>
      </c>
      <c r="H72" s="220" t="s">
        <v>576</v>
      </c>
      <c r="I72" s="220" t="s">
        <v>281</v>
      </c>
      <c r="J72" s="220">
        <v>20</v>
      </c>
      <c r="K72" s="220" t="s">
        <v>72</v>
      </c>
      <c r="L72" s="220" t="s">
        <v>577</v>
      </c>
      <c r="M72" s="220" t="s">
        <v>1626</v>
      </c>
      <c r="N72" s="220">
        <v>4</v>
      </c>
      <c r="O72" s="220">
        <v>20</v>
      </c>
      <c r="P72" s="221">
        <v>4.4137931034482758</v>
      </c>
      <c r="Q72" s="220" t="s">
        <v>1</v>
      </c>
      <c r="R72" s="221">
        <v>4.4137931034482758</v>
      </c>
      <c r="S72" s="220">
        <f t="shared" si="8"/>
        <v>0.22068965517241379</v>
      </c>
      <c r="T72" s="220">
        <f t="shared" si="9"/>
        <v>1.1034482758620689E-2</v>
      </c>
    </row>
    <row r="73" spans="1:20" s="222" customFormat="1" x14ac:dyDescent="0.25">
      <c r="A73" s="236" t="s">
        <v>769</v>
      </c>
      <c r="B73" s="220" t="s">
        <v>575</v>
      </c>
      <c r="C73" s="222" t="s">
        <v>592</v>
      </c>
      <c r="D73" s="222" t="s">
        <v>69</v>
      </c>
      <c r="E73" s="220" t="s">
        <v>511</v>
      </c>
      <c r="F73" s="220">
        <v>5</v>
      </c>
      <c r="G73" s="220" t="s">
        <v>1811</v>
      </c>
      <c r="H73" s="220" t="s">
        <v>576</v>
      </c>
      <c r="I73" s="220" t="s">
        <v>281</v>
      </c>
      <c r="J73" s="220">
        <v>35</v>
      </c>
      <c r="K73" s="220" t="s">
        <v>72</v>
      </c>
      <c r="L73" s="220" t="s">
        <v>577</v>
      </c>
      <c r="M73" s="220" t="s">
        <v>1626</v>
      </c>
      <c r="N73" s="220">
        <v>4</v>
      </c>
      <c r="O73" s="220">
        <v>40</v>
      </c>
      <c r="P73" s="221">
        <v>3.3103448275862069</v>
      </c>
      <c r="Q73" s="220" t="s">
        <v>1</v>
      </c>
      <c r="R73" s="221">
        <v>3.3103448275862069</v>
      </c>
      <c r="S73" s="220">
        <f t="shared" si="8"/>
        <v>8.2758620689655171E-2</v>
      </c>
      <c r="T73" s="220">
        <f t="shared" si="9"/>
        <v>2.3645320197044333E-3</v>
      </c>
    </row>
    <row r="74" spans="1:20" s="217" customFormat="1" x14ac:dyDescent="0.25">
      <c r="A74" s="212" t="s">
        <v>769</v>
      </c>
      <c r="B74" s="209" t="s">
        <v>575</v>
      </c>
      <c r="C74" s="217" t="s">
        <v>593</v>
      </c>
      <c r="D74" s="217" t="s">
        <v>69</v>
      </c>
      <c r="E74" s="209" t="s">
        <v>319</v>
      </c>
      <c r="F74" s="209">
        <v>1</v>
      </c>
      <c r="G74" s="209" t="s">
        <v>1811</v>
      </c>
      <c r="H74" s="209" t="s">
        <v>576</v>
      </c>
      <c r="I74" s="209" t="s">
        <v>281</v>
      </c>
      <c r="J74" s="209">
        <v>60</v>
      </c>
      <c r="K74" s="209" t="s">
        <v>72</v>
      </c>
      <c r="L74" s="209" t="s">
        <v>577</v>
      </c>
      <c r="M74" s="209" t="s">
        <v>1626</v>
      </c>
      <c r="N74" s="209">
        <v>4</v>
      </c>
      <c r="O74" s="209">
        <v>10</v>
      </c>
      <c r="P74" s="219">
        <v>0.44137931034482764</v>
      </c>
      <c r="Q74" s="209" t="s">
        <v>1</v>
      </c>
      <c r="R74" s="219">
        <v>0.44137931034482764</v>
      </c>
      <c r="S74" s="209">
        <f t="shared" si="8"/>
        <v>4.4137931034482762E-2</v>
      </c>
      <c r="T74" s="209">
        <f t="shared" si="9"/>
        <v>7.3563218390804608E-4</v>
      </c>
    </row>
    <row r="75" spans="1:20" s="217" customFormat="1" x14ac:dyDescent="0.25">
      <c r="A75" s="212" t="s">
        <v>769</v>
      </c>
      <c r="B75" s="209" t="s">
        <v>575</v>
      </c>
      <c r="C75" s="217" t="s">
        <v>593</v>
      </c>
      <c r="D75" s="217" t="s">
        <v>69</v>
      </c>
      <c r="E75" s="209" t="s">
        <v>319</v>
      </c>
      <c r="F75" s="209">
        <v>1</v>
      </c>
      <c r="G75" s="209" t="s">
        <v>1811</v>
      </c>
      <c r="H75" s="209" t="s">
        <v>576</v>
      </c>
      <c r="I75" s="209" t="s">
        <v>281</v>
      </c>
      <c r="J75" s="209">
        <v>60</v>
      </c>
      <c r="K75" s="209" t="s">
        <v>72</v>
      </c>
      <c r="L75" s="209" t="s">
        <v>577</v>
      </c>
      <c r="M75" s="209" t="s">
        <v>1626</v>
      </c>
      <c r="N75" s="209">
        <v>4</v>
      </c>
      <c r="O75" s="209">
        <v>20</v>
      </c>
      <c r="P75" s="219">
        <v>0.44137931034482764</v>
      </c>
      <c r="Q75" s="209" t="s">
        <v>1</v>
      </c>
      <c r="R75" s="219">
        <v>0.44137931034482764</v>
      </c>
      <c r="S75" s="209">
        <f t="shared" si="8"/>
        <v>2.2068965517241381E-2</v>
      </c>
      <c r="T75" s="209">
        <f t="shared" si="9"/>
        <v>3.6781609195402304E-4</v>
      </c>
    </row>
    <row r="76" spans="1:20" s="217" customFormat="1" x14ac:dyDescent="0.25">
      <c r="A76" s="212" t="s">
        <v>769</v>
      </c>
      <c r="B76" s="209" t="s">
        <v>575</v>
      </c>
      <c r="C76" s="217" t="s">
        <v>593</v>
      </c>
      <c r="D76" s="217" t="s">
        <v>69</v>
      </c>
      <c r="E76" s="209" t="s">
        <v>319</v>
      </c>
      <c r="F76" s="209">
        <v>1</v>
      </c>
      <c r="G76" s="209" t="s">
        <v>1811</v>
      </c>
      <c r="H76" s="209" t="s">
        <v>576</v>
      </c>
      <c r="I76" s="209" t="s">
        <v>281</v>
      </c>
      <c r="J76" s="209">
        <v>60</v>
      </c>
      <c r="K76" s="209" t="s">
        <v>72</v>
      </c>
      <c r="L76" s="209" t="s">
        <v>577</v>
      </c>
      <c r="M76" s="209" t="s">
        <v>1626</v>
      </c>
      <c r="N76" s="209">
        <v>4</v>
      </c>
      <c r="O76" s="209">
        <v>40</v>
      </c>
      <c r="P76" s="219">
        <v>2.2068965517241379</v>
      </c>
      <c r="Q76" s="209" t="s">
        <v>1</v>
      </c>
      <c r="R76" s="219">
        <v>2.2068965517241379</v>
      </c>
      <c r="S76" s="209">
        <f t="shared" si="8"/>
        <v>5.5172413793103448E-2</v>
      </c>
      <c r="T76" s="209">
        <f t="shared" si="9"/>
        <v>9.1954022988505744E-4</v>
      </c>
    </row>
    <row r="77" spans="1:20" s="224" customFormat="1" x14ac:dyDescent="0.25">
      <c r="A77" s="237" t="s">
        <v>701</v>
      </c>
      <c r="B77" s="193" t="s">
        <v>2</v>
      </c>
      <c r="C77" s="193" t="s">
        <v>133</v>
      </c>
      <c r="D77" s="193" t="s">
        <v>0</v>
      </c>
      <c r="E77" s="193" t="s">
        <v>1812</v>
      </c>
      <c r="F77" s="193">
        <v>3</v>
      </c>
      <c r="G77" s="193" t="s">
        <v>1</v>
      </c>
      <c r="H77" s="193" t="s">
        <v>129</v>
      </c>
      <c r="I77" s="193" t="s">
        <v>1813</v>
      </c>
      <c r="J77" s="193">
        <v>35</v>
      </c>
      <c r="K77" s="193" t="s">
        <v>72</v>
      </c>
      <c r="L77" s="193" t="s">
        <v>131</v>
      </c>
      <c r="M77" s="193" t="s">
        <v>728</v>
      </c>
      <c r="N77" s="193">
        <v>2</v>
      </c>
      <c r="O77" s="193">
        <f>407/5</f>
        <v>81.400000000000006</v>
      </c>
      <c r="P77" s="223">
        <v>3.9724137931034482</v>
      </c>
      <c r="Q77" s="193">
        <v>0</v>
      </c>
      <c r="R77" s="193">
        <f t="shared" ref="R77:R109" si="10">SUM(P77:Q77)</f>
        <v>3.9724137931034482</v>
      </c>
      <c r="S77" s="193">
        <f t="shared" si="8"/>
        <v>4.8801152249428111E-2</v>
      </c>
      <c r="T77" s="193">
        <f t="shared" si="9"/>
        <v>1.394318635697946E-3</v>
      </c>
    </row>
    <row r="78" spans="1:20" s="224" customFormat="1" x14ac:dyDescent="0.25">
      <c r="A78" s="237" t="s">
        <v>701</v>
      </c>
      <c r="B78" s="193" t="s">
        <v>2</v>
      </c>
      <c r="C78" s="193" t="s">
        <v>133</v>
      </c>
      <c r="D78" s="193" t="s">
        <v>0</v>
      </c>
      <c r="E78" s="193" t="s">
        <v>1812</v>
      </c>
      <c r="F78" s="193">
        <v>3</v>
      </c>
      <c r="G78" s="193" t="s">
        <v>1</v>
      </c>
      <c r="H78" s="193" t="s">
        <v>129</v>
      </c>
      <c r="I78" s="193" t="s">
        <v>1813</v>
      </c>
      <c r="J78" s="193">
        <v>28</v>
      </c>
      <c r="K78" s="193" t="s">
        <v>72</v>
      </c>
      <c r="L78" s="193" t="s">
        <v>141</v>
      </c>
      <c r="M78" s="193" t="s">
        <v>728</v>
      </c>
      <c r="N78" s="193">
        <v>2</v>
      </c>
      <c r="O78" s="193">
        <f>407/5</f>
        <v>81.400000000000006</v>
      </c>
      <c r="P78" s="223">
        <v>3.7517241379310344</v>
      </c>
      <c r="Q78" s="193">
        <v>0</v>
      </c>
      <c r="R78" s="193">
        <f t="shared" si="10"/>
        <v>3.7517241379310344</v>
      </c>
      <c r="S78" s="193">
        <f t="shared" si="8"/>
        <v>4.6089977124459877E-2</v>
      </c>
      <c r="T78" s="193">
        <f t="shared" si="9"/>
        <v>1.6460706115878528E-3</v>
      </c>
    </row>
    <row r="79" spans="1:20" s="224" customFormat="1" x14ac:dyDescent="0.25">
      <c r="A79" s="237" t="s">
        <v>701</v>
      </c>
      <c r="B79" s="193" t="s">
        <v>2</v>
      </c>
      <c r="C79" s="193" t="s">
        <v>133</v>
      </c>
      <c r="D79" s="193" t="s">
        <v>0</v>
      </c>
      <c r="E79" s="193" t="s">
        <v>1812</v>
      </c>
      <c r="F79" s="193">
        <v>3</v>
      </c>
      <c r="G79" s="193" t="s">
        <v>1</v>
      </c>
      <c r="H79" s="193" t="s">
        <v>129</v>
      </c>
      <c r="I79" s="193" t="s">
        <v>1813</v>
      </c>
      <c r="J79" s="193">
        <v>28</v>
      </c>
      <c r="K79" s="193" t="s">
        <v>72</v>
      </c>
      <c r="L79" s="193" t="s">
        <v>138</v>
      </c>
      <c r="M79" s="193" t="s">
        <v>1802</v>
      </c>
      <c r="N79" s="193">
        <v>5</v>
      </c>
      <c r="O79" s="193">
        <f>407/5</f>
        <v>81.400000000000006</v>
      </c>
      <c r="P79" s="223">
        <v>5.96</v>
      </c>
      <c r="Q79" s="193">
        <v>1.22</v>
      </c>
      <c r="R79" s="193">
        <f t="shared" si="10"/>
        <v>7.18</v>
      </c>
      <c r="S79" s="193">
        <f t="shared" si="8"/>
        <v>8.8206388206388195E-2</v>
      </c>
      <c r="T79" s="193">
        <f t="shared" si="9"/>
        <v>3.1502281502281499E-3</v>
      </c>
    </row>
    <row r="80" spans="1:20" s="218" customFormat="1" x14ac:dyDescent="0.25">
      <c r="A80" s="235" t="s">
        <v>766</v>
      </c>
      <c r="B80" s="187" t="s">
        <v>2</v>
      </c>
      <c r="C80" s="187" t="s">
        <v>434</v>
      </c>
      <c r="D80" s="187" t="s">
        <v>0</v>
      </c>
      <c r="E80" s="187" t="s">
        <v>1809</v>
      </c>
      <c r="F80" s="187">
        <v>4</v>
      </c>
      <c r="G80" s="187" t="s">
        <v>435</v>
      </c>
      <c r="H80" s="187" t="s">
        <v>431</v>
      </c>
      <c r="I80" s="187" t="s">
        <v>447</v>
      </c>
      <c r="J80" s="225">
        <f>82/24</f>
        <v>3.4166666666666665</v>
      </c>
      <c r="K80" s="187" t="s">
        <v>57</v>
      </c>
      <c r="L80" s="187" t="s">
        <v>448</v>
      </c>
      <c r="M80" s="187" t="s">
        <v>1740</v>
      </c>
      <c r="N80" s="187">
        <v>6</v>
      </c>
      <c r="O80" s="187">
        <f>19.2+36.064</f>
        <v>55.263999999999996</v>
      </c>
      <c r="P80" s="187">
        <v>24.91</v>
      </c>
      <c r="Q80" s="187"/>
      <c r="R80" s="187">
        <f t="shared" si="10"/>
        <v>24.91</v>
      </c>
      <c r="S80" s="187">
        <f t="shared" si="8"/>
        <v>0.45074551244933414</v>
      </c>
      <c r="T80" s="187">
        <f t="shared" si="9"/>
        <v>0.1319255158388295</v>
      </c>
    </row>
    <row r="81" spans="1:20" s="218" customFormat="1" x14ac:dyDescent="0.25">
      <c r="A81" s="235" t="s">
        <v>766</v>
      </c>
      <c r="B81" s="187" t="s">
        <v>2</v>
      </c>
      <c r="C81" s="187" t="s">
        <v>434</v>
      </c>
      <c r="D81" s="187" t="s">
        <v>0</v>
      </c>
      <c r="E81" s="187" t="s">
        <v>1809</v>
      </c>
      <c r="F81" s="187">
        <v>4</v>
      </c>
      <c r="G81" s="187" t="s">
        <v>435</v>
      </c>
      <c r="H81" s="187" t="s">
        <v>431</v>
      </c>
      <c r="I81" s="187" t="s">
        <v>443</v>
      </c>
      <c r="J81" s="225">
        <f>85/24</f>
        <v>3.5416666666666665</v>
      </c>
      <c r="K81" s="187" t="s">
        <v>57</v>
      </c>
      <c r="L81" s="187" t="s">
        <v>444</v>
      </c>
      <c r="M81" s="187" t="s">
        <v>1740</v>
      </c>
      <c r="N81" s="187">
        <v>6</v>
      </c>
      <c r="O81" s="187">
        <f>16.256+35.616</f>
        <v>51.872</v>
      </c>
      <c r="P81" s="187">
        <v>23.04</v>
      </c>
      <c r="Q81" s="187"/>
      <c r="R81" s="187">
        <f t="shared" si="10"/>
        <v>23.04</v>
      </c>
      <c r="S81" s="187">
        <f t="shared" si="8"/>
        <v>0.44417026526835285</v>
      </c>
      <c r="T81" s="187">
        <f t="shared" si="9"/>
        <v>0.12541278078165258</v>
      </c>
    </row>
    <row r="82" spans="1:20" s="218" customFormat="1" x14ac:dyDescent="0.25">
      <c r="A82" s="235" t="s">
        <v>766</v>
      </c>
      <c r="B82" s="187" t="s">
        <v>2</v>
      </c>
      <c r="C82" s="187" t="s">
        <v>434</v>
      </c>
      <c r="D82" s="187" t="s">
        <v>0</v>
      </c>
      <c r="E82" s="187" t="s">
        <v>1809</v>
      </c>
      <c r="F82" s="187">
        <v>4</v>
      </c>
      <c r="G82" s="187" t="s">
        <v>435</v>
      </c>
      <c r="H82" s="187" t="s">
        <v>431</v>
      </c>
      <c r="I82" s="187" t="s">
        <v>432</v>
      </c>
      <c r="J82" s="225">
        <f>85/24</f>
        <v>3.5416666666666665</v>
      </c>
      <c r="K82" s="187" t="s">
        <v>57</v>
      </c>
      <c r="L82" s="187" t="s">
        <v>433</v>
      </c>
      <c r="M82" s="187" t="s">
        <v>1740</v>
      </c>
      <c r="N82" s="187">
        <v>6</v>
      </c>
      <c r="O82" s="187">
        <f>34.16+16.13</f>
        <v>50.289999999999992</v>
      </c>
      <c r="P82" s="187">
        <v>22.84</v>
      </c>
      <c r="Q82" s="187"/>
      <c r="R82" s="187">
        <f t="shared" si="10"/>
        <v>22.84</v>
      </c>
      <c r="S82" s="187">
        <f t="shared" si="8"/>
        <v>0.45416583813879507</v>
      </c>
      <c r="T82" s="187">
        <f t="shared" si="9"/>
        <v>0.12823506018036568</v>
      </c>
    </row>
    <row r="83" spans="1:20" s="218" customFormat="1" x14ac:dyDescent="0.25">
      <c r="A83" s="235" t="s">
        <v>735</v>
      </c>
      <c r="B83" s="187" t="s">
        <v>2</v>
      </c>
      <c r="C83" s="187" t="s">
        <v>158</v>
      </c>
      <c r="D83" s="187" t="s">
        <v>0</v>
      </c>
      <c r="E83" s="187" t="s">
        <v>1809</v>
      </c>
      <c r="F83" s="187">
        <v>4</v>
      </c>
      <c r="G83" s="187" t="s">
        <v>235</v>
      </c>
      <c r="H83" s="187" t="s">
        <v>1814</v>
      </c>
      <c r="I83" s="187" t="s">
        <v>86</v>
      </c>
      <c r="J83" s="187">
        <v>12</v>
      </c>
      <c r="K83" s="187" t="s">
        <v>57</v>
      </c>
      <c r="L83" s="187" t="s">
        <v>233</v>
      </c>
      <c r="M83" s="187" t="s">
        <v>1740</v>
      </c>
      <c r="N83" s="187">
        <v>6</v>
      </c>
      <c r="O83" s="187">
        <f>3.8+0.7</f>
        <v>4.5</v>
      </c>
      <c r="P83" s="187">
        <v>0.9</v>
      </c>
      <c r="Q83" s="187">
        <v>1.36</v>
      </c>
      <c r="R83" s="187">
        <f t="shared" si="10"/>
        <v>2.2600000000000002</v>
      </c>
      <c r="S83" s="187">
        <f t="shared" si="8"/>
        <v>0.50222222222222224</v>
      </c>
      <c r="T83" s="187">
        <f t="shared" si="9"/>
        <v>4.1851851851851855E-2</v>
      </c>
    </row>
    <row r="84" spans="1:20" s="218" customFormat="1" x14ac:dyDescent="0.25">
      <c r="A84" s="235" t="s">
        <v>735</v>
      </c>
      <c r="B84" s="187" t="s">
        <v>2</v>
      </c>
      <c r="C84" s="187" t="s">
        <v>158</v>
      </c>
      <c r="D84" s="187" t="s">
        <v>0</v>
      </c>
      <c r="E84" s="187" t="s">
        <v>1809</v>
      </c>
      <c r="F84" s="187">
        <v>4</v>
      </c>
      <c r="G84" s="187" t="s">
        <v>235</v>
      </c>
      <c r="H84" s="187" t="s">
        <v>1815</v>
      </c>
      <c r="I84" s="187" t="s">
        <v>86</v>
      </c>
      <c r="J84" s="187">
        <v>12</v>
      </c>
      <c r="K84" s="187" t="s">
        <v>57</v>
      </c>
      <c r="L84" s="187" t="s">
        <v>233</v>
      </c>
      <c r="M84" s="187" t="s">
        <v>1740</v>
      </c>
      <c r="N84" s="187">
        <v>6</v>
      </c>
      <c r="O84" s="187">
        <f>9.6+0.7</f>
        <v>10.299999999999999</v>
      </c>
      <c r="P84" s="187">
        <v>0.78</v>
      </c>
      <c r="Q84" s="187">
        <v>1.41</v>
      </c>
      <c r="R84" s="187">
        <f t="shared" si="10"/>
        <v>2.19</v>
      </c>
      <c r="S84" s="187">
        <f t="shared" si="8"/>
        <v>0.212621359223301</v>
      </c>
      <c r="T84" s="187">
        <f t="shared" si="9"/>
        <v>1.7718446601941749E-2</v>
      </c>
    </row>
    <row r="85" spans="1:20" s="218" customFormat="1" x14ac:dyDescent="0.25">
      <c r="A85" s="235" t="s">
        <v>735</v>
      </c>
      <c r="B85" s="187" t="s">
        <v>2</v>
      </c>
      <c r="C85" s="187" t="s">
        <v>158</v>
      </c>
      <c r="D85" s="187" t="s">
        <v>0</v>
      </c>
      <c r="E85" s="187" t="s">
        <v>1809</v>
      </c>
      <c r="F85" s="187">
        <v>4</v>
      </c>
      <c r="G85" s="187" t="s">
        <v>235</v>
      </c>
      <c r="H85" s="187" t="s">
        <v>1816</v>
      </c>
      <c r="I85" s="187" t="s">
        <v>86</v>
      </c>
      <c r="J85" s="187">
        <v>12</v>
      </c>
      <c r="K85" s="187" t="s">
        <v>57</v>
      </c>
      <c r="L85" s="187" t="s">
        <v>233</v>
      </c>
      <c r="M85" s="187" t="s">
        <v>1740</v>
      </c>
      <c r="N85" s="187">
        <v>6</v>
      </c>
      <c r="O85" s="187">
        <f>9.6+0.7</f>
        <v>10.299999999999999</v>
      </c>
      <c r="P85" s="187">
        <v>0.78</v>
      </c>
      <c r="Q85" s="187">
        <v>1.41</v>
      </c>
      <c r="R85" s="187">
        <f t="shared" si="10"/>
        <v>2.19</v>
      </c>
      <c r="S85" s="187">
        <f t="shared" si="8"/>
        <v>0.212621359223301</v>
      </c>
      <c r="T85" s="187">
        <f t="shared" si="9"/>
        <v>1.7718446601941749E-2</v>
      </c>
    </row>
    <row r="86" spans="1:20" s="218" customFormat="1" x14ac:dyDescent="0.25">
      <c r="A86" s="235" t="s">
        <v>735</v>
      </c>
      <c r="B86" s="187" t="s">
        <v>2</v>
      </c>
      <c r="C86" s="187" t="s">
        <v>158</v>
      </c>
      <c r="D86" s="187" t="s">
        <v>0</v>
      </c>
      <c r="E86" s="187" t="s">
        <v>1809</v>
      </c>
      <c r="F86" s="187">
        <v>4</v>
      </c>
      <c r="G86" s="187" t="s">
        <v>235</v>
      </c>
      <c r="H86" s="187" t="s">
        <v>1817</v>
      </c>
      <c r="I86" s="187" t="s">
        <v>86</v>
      </c>
      <c r="J86" s="187">
        <v>12</v>
      </c>
      <c r="K86" s="187" t="s">
        <v>57</v>
      </c>
      <c r="L86" s="187" t="s">
        <v>233</v>
      </c>
      <c r="M86" s="187" t="s">
        <v>1740</v>
      </c>
      <c r="N86" s="187">
        <v>6</v>
      </c>
      <c r="O86" s="187">
        <f>9.6+0.7</f>
        <v>10.299999999999999</v>
      </c>
      <c r="P86" s="187">
        <v>0.78</v>
      </c>
      <c r="Q86" s="187">
        <v>1.41</v>
      </c>
      <c r="R86" s="187">
        <f t="shared" si="10"/>
        <v>2.19</v>
      </c>
      <c r="S86" s="187">
        <f t="shared" si="8"/>
        <v>0.212621359223301</v>
      </c>
      <c r="T86" s="187">
        <f t="shared" si="9"/>
        <v>1.7718446601941749E-2</v>
      </c>
    </row>
    <row r="87" spans="1:20" s="218" customFormat="1" x14ac:dyDescent="0.25">
      <c r="A87" s="235" t="s">
        <v>735</v>
      </c>
      <c r="B87" s="187" t="s">
        <v>2</v>
      </c>
      <c r="C87" s="187" t="s">
        <v>158</v>
      </c>
      <c r="D87" s="187" t="s">
        <v>0</v>
      </c>
      <c r="E87" s="187" t="s">
        <v>1809</v>
      </c>
      <c r="F87" s="187">
        <v>4</v>
      </c>
      <c r="G87" s="187" t="s">
        <v>235</v>
      </c>
      <c r="H87" s="187" t="s">
        <v>1818</v>
      </c>
      <c r="I87" s="187" t="s">
        <v>86</v>
      </c>
      <c r="J87" s="187">
        <v>12</v>
      </c>
      <c r="K87" s="187" t="s">
        <v>57</v>
      </c>
      <c r="L87" s="187" t="s">
        <v>233</v>
      </c>
      <c r="M87" s="187" t="s">
        <v>1740</v>
      </c>
      <c r="N87" s="187">
        <v>6</v>
      </c>
      <c r="O87" s="187">
        <f>19.2+1.4</f>
        <v>20.599999999999998</v>
      </c>
      <c r="P87" s="187">
        <v>1.1100000000000001</v>
      </c>
      <c r="Q87" s="187">
        <v>1</v>
      </c>
      <c r="R87" s="187">
        <f t="shared" si="10"/>
        <v>2.1100000000000003</v>
      </c>
      <c r="S87" s="187">
        <f t="shared" si="8"/>
        <v>0.10242718446601945</v>
      </c>
      <c r="T87" s="187">
        <f t="shared" si="9"/>
        <v>8.5355987055016208E-3</v>
      </c>
    </row>
    <row r="88" spans="1:20" s="218" customFormat="1" x14ac:dyDescent="0.25">
      <c r="A88" s="235" t="s">
        <v>735</v>
      </c>
      <c r="B88" s="187" t="s">
        <v>2</v>
      </c>
      <c r="C88" s="187" t="s">
        <v>158</v>
      </c>
      <c r="D88" s="187" t="s">
        <v>0</v>
      </c>
      <c r="E88" s="187" t="s">
        <v>1809</v>
      </c>
      <c r="F88" s="187">
        <v>4</v>
      </c>
      <c r="G88" s="187" t="s">
        <v>235</v>
      </c>
      <c r="H88" s="187" t="s">
        <v>1819</v>
      </c>
      <c r="I88" s="187" t="s">
        <v>86</v>
      </c>
      <c r="J88" s="187">
        <v>12</v>
      </c>
      <c r="K88" s="187" t="s">
        <v>57</v>
      </c>
      <c r="L88" s="187" t="s">
        <v>233</v>
      </c>
      <c r="M88" s="187" t="s">
        <v>1740</v>
      </c>
      <c r="N88" s="187">
        <v>6</v>
      </c>
      <c r="O88" s="187">
        <f>19.2+0.7</f>
        <v>19.899999999999999</v>
      </c>
      <c r="P88" s="187">
        <v>0.98</v>
      </c>
      <c r="Q88" s="187">
        <v>0.89</v>
      </c>
      <c r="R88" s="187">
        <f t="shared" si="10"/>
        <v>1.87</v>
      </c>
      <c r="S88" s="187">
        <f t="shared" si="8"/>
        <v>9.3969849246231169E-2</v>
      </c>
      <c r="T88" s="187">
        <f t="shared" si="9"/>
        <v>7.8308207705192635E-3</v>
      </c>
    </row>
    <row r="89" spans="1:20" s="218" customFormat="1" x14ac:dyDescent="0.25">
      <c r="A89" s="235" t="s">
        <v>735</v>
      </c>
      <c r="B89" s="187" t="s">
        <v>2</v>
      </c>
      <c r="C89" s="187" t="s">
        <v>158</v>
      </c>
      <c r="D89" s="187" t="s">
        <v>0</v>
      </c>
      <c r="E89" s="187" t="s">
        <v>1809</v>
      </c>
      <c r="F89" s="187">
        <v>4</v>
      </c>
      <c r="G89" s="187" t="s">
        <v>235</v>
      </c>
      <c r="H89" s="187" t="s">
        <v>1820</v>
      </c>
      <c r="I89" s="187" t="s">
        <v>86</v>
      </c>
      <c r="J89" s="187">
        <v>12</v>
      </c>
      <c r="K89" s="187" t="s">
        <v>57</v>
      </c>
      <c r="L89" s="187" t="s">
        <v>233</v>
      </c>
      <c r="M89" s="187" t="s">
        <v>1740</v>
      </c>
      <c r="N89" s="187">
        <v>6</v>
      </c>
      <c r="O89" s="187">
        <f>9.6+1.6</f>
        <v>11.2</v>
      </c>
      <c r="P89" s="187">
        <v>0.78</v>
      </c>
      <c r="Q89" s="187">
        <v>0.86</v>
      </c>
      <c r="R89" s="187">
        <f t="shared" si="10"/>
        <v>1.6400000000000001</v>
      </c>
      <c r="S89" s="187">
        <f t="shared" si="8"/>
        <v>0.14642857142857144</v>
      </c>
      <c r="T89" s="187">
        <f t="shared" si="9"/>
        <v>1.2202380952380952E-2</v>
      </c>
    </row>
    <row r="90" spans="1:20" s="218" customFormat="1" x14ac:dyDescent="0.25">
      <c r="A90" s="235" t="s">
        <v>735</v>
      </c>
      <c r="B90" s="187" t="s">
        <v>2</v>
      </c>
      <c r="C90" s="187" t="s">
        <v>158</v>
      </c>
      <c r="D90" s="187" t="s">
        <v>0</v>
      </c>
      <c r="E90" s="187" t="s">
        <v>1809</v>
      </c>
      <c r="F90" s="187">
        <v>4</v>
      </c>
      <c r="G90" s="187" t="s">
        <v>235</v>
      </c>
      <c r="H90" s="187" t="s">
        <v>1821</v>
      </c>
      <c r="I90" s="187" t="s">
        <v>86</v>
      </c>
      <c r="J90" s="187">
        <v>12</v>
      </c>
      <c r="K90" s="187" t="s">
        <v>57</v>
      </c>
      <c r="L90" s="187" t="s">
        <v>233</v>
      </c>
      <c r="M90" s="187" t="s">
        <v>1740</v>
      </c>
      <c r="N90" s="187">
        <v>6</v>
      </c>
      <c r="O90" s="187">
        <f>3.8+0.3</f>
        <v>4.0999999999999996</v>
      </c>
      <c r="P90" s="187">
        <v>0.42</v>
      </c>
      <c r="Q90" s="187">
        <v>1.1299999999999999</v>
      </c>
      <c r="R90" s="187">
        <f t="shared" si="10"/>
        <v>1.5499999999999998</v>
      </c>
      <c r="S90" s="187">
        <f t="shared" si="8"/>
        <v>0.37804878048780488</v>
      </c>
      <c r="T90" s="187">
        <f t="shared" si="9"/>
        <v>3.1504065040650404E-2</v>
      </c>
    </row>
    <row r="91" spans="1:20" s="218" customFormat="1" x14ac:dyDescent="0.25">
      <c r="A91" s="235" t="s">
        <v>735</v>
      </c>
      <c r="B91" s="187" t="s">
        <v>2</v>
      </c>
      <c r="C91" s="187" t="s">
        <v>158</v>
      </c>
      <c r="D91" s="187" t="s">
        <v>0</v>
      </c>
      <c r="E91" s="187" t="s">
        <v>1809</v>
      </c>
      <c r="F91" s="187">
        <v>4</v>
      </c>
      <c r="G91" s="187" t="s">
        <v>235</v>
      </c>
      <c r="H91" s="187" t="s">
        <v>232</v>
      </c>
      <c r="I91" s="187" t="s">
        <v>86</v>
      </c>
      <c r="J91" s="187">
        <v>12</v>
      </c>
      <c r="K91" s="187" t="s">
        <v>57</v>
      </c>
      <c r="L91" s="187" t="s">
        <v>233</v>
      </c>
      <c r="M91" s="187" t="s">
        <v>1740</v>
      </c>
      <c r="N91" s="187">
        <v>6</v>
      </c>
      <c r="O91" s="187">
        <v>9.9</v>
      </c>
      <c r="P91" s="187">
        <v>0.53</v>
      </c>
      <c r="Q91" s="187">
        <v>1</v>
      </c>
      <c r="R91" s="187">
        <f t="shared" si="10"/>
        <v>1.53</v>
      </c>
      <c r="S91" s="187">
        <f t="shared" si="8"/>
        <v>0.15454545454545454</v>
      </c>
      <c r="T91" s="187">
        <f t="shared" si="9"/>
        <v>1.2878787878787878E-2</v>
      </c>
    </row>
    <row r="92" spans="1:20" s="218" customFormat="1" x14ac:dyDescent="0.25">
      <c r="A92" s="235" t="s">
        <v>735</v>
      </c>
      <c r="B92" s="187" t="s">
        <v>2</v>
      </c>
      <c r="C92" s="187" t="s">
        <v>158</v>
      </c>
      <c r="D92" s="187" t="s">
        <v>0</v>
      </c>
      <c r="E92" s="187" t="s">
        <v>1809</v>
      </c>
      <c r="F92" s="187">
        <v>4</v>
      </c>
      <c r="G92" s="187" t="s">
        <v>235</v>
      </c>
      <c r="H92" s="187" t="s">
        <v>1822</v>
      </c>
      <c r="I92" s="187" t="s">
        <v>86</v>
      </c>
      <c r="J92" s="187">
        <v>12</v>
      </c>
      <c r="K92" s="187" t="s">
        <v>57</v>
      </c>
      <c r="L92" s="187" t="s">
        <v>233</v>
      </c>
      <c r="M92" s="187" t="s">
        <v>1740</v>
      </c>
      <c r="N92" s="187">
        <v>6</v>
      </c>
      <c r="O92" s="187">
        <f>28.8+0.7</f>
        <v>29.5</v>
      </c>
      <c r="P92" s="187">
        <v>0.41</v>
      </c>
      <c r="Q92" s="187">
        <v>0.21</v>
      </c>
      <c r="R92" s="187">
        <f t="shared" si="10"/>
        <v>0.62</v>
      </c>
      <c r="S92" s="187">
        <f t="shared" si="8"/>
        <v>2.1016949152542371E-2</v>
      </c>
      <c r="T92" s="187">
        <f t="shared" si="9"/>
        <v>1.7514124293785309E-3</v>
      </c>
    </row>
    <row r="93" spans="1:20" s="218" customFormat="1" x14ac:dyDescent="0.25">
      <c r="A93" s="235" t="s">
        <v>735</v>
      </c>
      <c r="B93" s="187" t="s">
        <v>2</v>
      </c>
      <c r="C93" s="187" t="s">
        <v>158</v>
      </c>
      <c r="D93" s="187" t="s">
        <v>0</v>
      </c>
      <c r="E93" s="187" t="s">
        <v>1809</v>
      </c>
      <c r="F93" s="187">
        <v>4</v>
      </c>
      <c r="G93" s="187" t="s">
        <v>235</v>
      </c>
      <c r="H93" s="187" t="s">
        <v>1823</v>
      </c>
      <c r="I93" s="187" t="s">
        <v>86</v>
      </c>
      <c r="J93" s="187">
        <v>12</v>
      </c>
      <c r="K93" s="187" t="s">
        <v>57</v>
      </c>
      <c r="L93" s="187" t="s">
        <v>233</v>
      </c>
      <c r="M93" s="187" t="s">
        <v>1740</v>
      </c>
      <c r="N93" s="187">
        <v>6</v>
      </c>
      <c r="O93" s="187">
        <f>28.8+2.1</f>
        <v>30.900000000000002</v>
      </c>
      <c r="P93" s="187">
        <v>0.35</v>
      </c>
      <c r="Q93" s="187">
        <v>0.21</v>
      </c>
      <c r="R93" s="187">
        <f t="shared" si="10"/>
        <v>0.55999999999999994</v>
      </c>
      <c r="S93" s="187">
        <f t="shared" si="8"/>
        <v>1.8122977346278313E-2</v>
      </c>
      <c r="T93" s="187">
        <f t="shared" si="9"/>
        <v>1.5102481121898595E-3</v>
      </c>
    </row>
    <row r="94" spans="1:20" s="218" customFormat="1" x14ac:dyDescent="0.25">
      <c r="A94" s="235" t="s">
        <v>735</v>
      </c>
      <c r="B94" s="187" t="s">
        <v>2</v>
      </c>
      <c r="C94" s="187" t="s">
        <v>158</v>
      </c>
      <c r="D94" s="187" t="s">
        <v>0</v>
      </c>
      <c r="E94" s="187" t="s">
        <v>1809</v>
      </c>
      <c r="F94" s="187">
        <v>4</v>
      </c>
      <c r="G94" s="187" t="s">
        <v>235</v>
      </c>
      <c r="H94" s="187" t="s">
        <v>1824</v>
      </c>
      <c r="I94" s="187" t="s">
        <v>86</v>
      </c>
      <c r="J94" s="187">
        <v>12</v>
      </c>
      <c r="K94" s="187" t="s">
        <v>57</v>
      </c>
      <c r="L94" s="187" t="s">
        <v>233</v>
      </c>
      <c r="M94" s="187" t="s">
        <v>1740</v>
      </c>
      <c r="N94" s="187">
        <v>6</v>
      </c>
      <c r="O94" s="187">
        <f>9.6+4.3</f>
        <v>13.899999999999999</v>
      </c>
      <c r="P94" s="187">
        <v>0.36</v>
      </c>
      <c r="Q94" s="187">
        <v>0.14000000000000001</v>
      </c>
      <c r="R94" s="187">
        <f t="shared" si="10"/>
        <v>0.5</v>
      </c>
      <c r="S94" s="187">
        <f t="shared" si="8"/>
        <v>3.5971223021582739E-2</v>
      </c>
      <c r="T94" s="187">
        <f t="shared" si="9"/>
        <v>2.9976019184652283E-3</v>
      </c>
    </row>
    <row r="95" spans="1:20" s="218" customFormat="1" x14ac:dyDescent="0.25">
      <c r="A95" s="235" t="s">
        <v>717</v>
      </c>
      <c r="B95" s="187" t="s">
        <v>55</v>
      </c>
      <c r="C95" s="187" t="s">
        <v>158</v>
      </c>
      <c r="D95" s="187" t="s">
        <v>0</v>
      </c>
      <c r="E95" s="187" t="s">
        <v>1809</v>
      </c>
      <c r="F95" s="187">
        <v>4</v>
      </c>
      <c r="G95" s="187" t="s">
        <v>1</v>
      </c>
      <c r="H95" s="187" t="s">
        <v>154</v>
      </c>
      <c r="I95" s="187" t="s">
        <v>86</v>
      </c>
      <c r="J95" s="187">
        <v>8</v>
      </c>
      <c r="K95" s="187" t="s">
        <v>72</v>
      </c>
      <c r="L95" s="187" t="s">
        <v>155</v>
      </c>
      <c r="M95" s="187" t="s">
        <v>728</v>
      </c>
      <c r="N95" s="187">
        <v>2</v>
      </c>
      <c r="O95" s="187">
        <v>19.34</v>
      </c>
      <c r="P95" s="187">
        <v>10</v>
      </c>
      <c r="Q95" s="187"/>
      <c r="R95" s="187">
        <f t="shared" si="10"/>
        <v>10</v>
      </c>
      <c r="S95" s="187">
        <f t="shared" si="8"/>
        <v>0.51706308169596693</v>
      </c>
      <c r="T95" s="187">
        <f t="shared" si="9"/>
        <v>6.4632885211995866E-2</v>
      </c>
    </row>
    <row r="96" spans="1:20" s="218" customFormat="1" x14ac:dyDescent="0.25">
      <c r="A96" s="235" t="s">
        <v>717</v>
      </c>
      <c r="B96" s="187" t="s">
        <v>55</v>
      </c>
      <c r="C96" s="187" t="s">
        <v>158</v>
      </c>
      <c r="D96" s="187" t="s">
        <v>0</v>
      </c>
      <c r="E96" s="187" t="s">
        <v>1809</v>
      </c>
      <c r="F96" s="187">
        <v>4</v>
      </c>
      <c r="G96" s="187" t="s">
        <v>1</v>
      </c>
      <c r="H96" s="187" t="s">
        <v>154</v>
      </c>
      <c r="I96" s="187" t="s">
        <v>86</v>
      </c>
      <c r="J96" s="187">
        <v>8</v>
      </c>
      <c r="K96" s="187" t="s">
        <v>72</v>
      </c>
      <c r="L96" s="187" t="s">
        <v>162</v>
      </c>
      <c r="M96" s="187" t="s">
        <v>1802</v>
      </c>
      <c r="N96" s="187">
        <v>5</v>
      </c>
      <c r="O96" s="187">
        <v>53.426000000000002</v>
      </c>
      <c r="P96" s="187">
        <v>0</v>
      </c>
      <c r="Q96" s="187"/>
      <c r="R96" s="187">
        <f t="shared" si="10"/>
        <v>0</v>
      </c>
      <c r="S96" s="187">
        <f t="shared" si="8"/>
        <v>0</v>
      </c>
      <c r="T96" s="187">
        <f t="shared" si="9"/>
        <v>0</v>
      </c>
    </row>
    <row r="97" spans="1:20" s="218" customFormat="1" x14ac:dyDescent="0.25">
      <c r="A97" s="235" t="s">
        <v>720</v>
      </c>
      <c r="B97" s="187" t="s">
        <v>2</v>
      </c>
      <c r="C97" s="187" t="s">
        <v>174</v>
      </c>
      <c r="D97" s="187" t="s">
        <v>0</v>
      </c>
      <c r="E97" s="187" t="s">
        <v>1809</v>
      </c>
      <c r="F97" s="187">
        <v>4</v>
      </c>
      <c r="G97" s="187" t="s">
        <v>1825</v>
      </c>
      <c r="H97" s="187" t="s">
        <v>1826</v>
      </c>
      <c r="I97" s="187" t="s">
        <v>86</v>
      </c>
      <c r="J97" s="187">
        <v>91</v>
      </c>
      <c r="K97" s="187" t="s">
        <v>57</v>
      </c>
      <c r="L97" s="187" t="s">
        <v>172</v>
      </c>
      <c r="M97" s="187" t="s">
        <v>1740</v>
      </c>
      <c r="N97" s="187">
        <v>6</v>
      </c>
      <c r="O97" s="187">
        <v>71.716999999999999</v>
      </c>
      <c r="P97" s="187">
        <v>18.98</v>
      </c>
      <c r="Q97" s="187">
        <v>0.51</v>
      </c>
      <c r="R97" s="187">
        <f t="shared" si="10"/>
        <v>19.490000000000002</v>
      </c>
      <c r="S97" s="187">
        <f t="shared" si="8"/>
        <v>0.27176262253022299</v>
      </c>
      <c r="T97" s="187">
        <f t="shared" si="9"/>
        <v>2.9864024453870658E-3</v>
      </c>
    </row>
    <row r="98" spans="1:20" s="218" customFormat="1" x14ac:dyDescent="0.25">
      <c r="A98" s="235" t="s">
        <v>720</v>
      </c>
      <c r="B98" s="187" t="s">
        <v>2</v>
      </c>
      <c r="C98" s="187" t="s">
        <v>174</v>
      </c>
      <c r="D98" s="187" t="s">
        <v>0</v>
      </c>
      <c r="E98" s="187" t="s">
        <v>1809</v>
      </c>
      <c r="F98" s="187">
        <v>4</v>
      </c>
      <c r="G98" s="187" t="s">
        <v>1825</v>
      </c>
      <c r="H98" s="187" t="s">
        <v>1826</v>
      </c>
      <c r="I98" s="187" t="s">
        <v>86</v>
      </c>
      <c r="J98" s="187">
        <v>91</v>
      </c>
      <c r="K98" s="187" t="s">
        <v>57</v>
      </c>
      <c r="L98" s="187" t="s">
        <v>180</v>
      </c>
      <c r="M98" s="187" t="s">
        <v>1740</v>
      </c>
      <c r="N98" s="187">
        <v>6</v>
      </c>
      <c r="O98" s="187">
        <v>76.343000000000004</v>
      </c>
      <c r="P98" s="187">
        <v>7.94</v>
      </c>
      <c r="Q98" s="187">
        <v>0.56000000000000005</v>
      </c>
      <c r="R98" s="187">
        <f t="shared" si="10"/>
        <v>8.5</v>
      </c>
      <c r="S98" s="187">
        <f t="shared" si="8"/>
        <v>0.11133961201419908</v>
      </c>
      <c r="T98" s="187">
        <f t="shared" si="9"/>
        <v>1.2235122199362536E-3</v>
      </c>
    </row>
    <row r="99" spans="1:20" s="218" customFormat="1" x14ac:dyDescent="0.25">
      <c r="A99" s="235" t="s">
        <v>720</v>
      </c>
      <c r="B99" s="187" t="s">
        <v>2</v>
      </c>
      <c r="C99" s="187" t="s">
        <v>174</v>
      </c>
      <c r="D99" s="187" t="s">
        <v>0</v>
      </c>
      <c r="E99" s="187" t="s">
        <v>1809</v>
      </c>
      <c r="F99" s="187">
        <v>4</v>
      </c>
      <c r="G99" s="187" t="s">
        <v>1825</v>
      </c>
      <c r="H99" s="187" t="s">
        <v>1826</v>
      </c>
      <c r="I99" s="187" t="s">
        <v>86</v>
      </c>
      <c r="J99" s="187">
        <v>91</v>
      </c>
      <c r="K99" s="187" t="s">
        <v>57</v>
      </c>
      <c r="L99" s="187" t="s">
        <v>190</v>
      </c>
      <c r="M99" s="187" t="s">
        <v>1740</v>
      </c>
      <c r="N99" s="187">
        <v>6</v>
      </c>
      <c r="O99" s="187">
        <v>69.391000000000005</v>
      </c>
      <c r="P99" s="187">
        <v>1.96</v>
      </c>
      <c r="Q99" s="187"/>
      <c r="R99" s="187">
        <f t="shared" si="10"/>
        <v>1.96</v>
      </c>
      <c r="S99" s="187">
        <f t="shared" ref="S99:S109" si="11">R99/O99</f>
        <v>2.8245737919903154E-2</v>
      </c>
      <c r="T99" s="187">
        <f t="shared" ref="T99:T109" si="12">S99/J99</f>
        <v>3.1039272439454017E-4</v>
      </c>
    </row>
    <row r="100" spans="1:20" s="218" customFormat="1" x14ac:dyDescent="0.25">
      <c r="A100" s="235" t="s">
        <v>723</v>
      </c>
      <c r="B100" s="187" t="s">
        <v>2</v>
      </c>
      <c r="C100" s="187" t="s">
        <v>174</v>
      </c>
      <c r="D100" s="187" t="s">
        <v>0</v>
      </c>
      <c r="E100" s="187" t="s">
        <v>1809</v>
      </c>
      <c r="F100" s="187">
        <v>4</v>
      </c>
      <c r="G100" s="187" t="s">
        <v>202</v>
      </c>
      <c r="H100" s="187" t="s">
        <v>194</v>
      </c>
      <c r="I100" s="187" t="s">
        <v>86</v>
      </c>
      <c r="J100" s="187">
        <v>91</v>
      </c>
      <c r="K100" s="187" t="s">
        <v>72</v>
      </c>
      <c r="L100" s="187" t="s">
        <v>195</v>
      </c>
      <c r="M100" s="187" t="s">
        <v>1802</v>
      </c>
      <c r="N100" s="187">
        <v>5</v>
      </c>
      <c r="O100" s="187">
        <v>73.87</v>
      </c>
      <c r="P100" s="187">
        <v>5.91</v>
      </c>
      <c r="Q100" s="187">
        <v>0.44</v>
      </c>
      <c r="R100" s="187">
        <f t="shared" si="10"/>
        <v>6.3500000000000005</v>
      </c>
      <c r="S100" s="187">
        <f t="shared" si="11"/>
        <v>8.5961824827399488E-2</v>
      </c>
      <c r="T100" s="187">
        <f t="shared" si="12"/>
        <v>9.4463543766373065E-4</v>
      </c>
    </row>
    <row r="101" spans="1:20" s="218" customFormat="1" x14ac:dyDescent="0.25">
      <c r="A101" s="235" t="s">
        <v>700</v>
      </c>
      <c r="B101" s="187" t="s">
        <v>2</v>
      </c>
      <c r="C101" s="187" t="s">
        <v>852</v>
      </c>
      <c r="D101" s="187" t="s">
        <v>0</v>
      </c>
      <c r="E101" s="187" t="s">
        <v>1809</v>
      </c>
      <c r="F101" s="187">
        <v>4</v>
      </c>
      <c r="G101" s="187" t="s">
        <v>116</v>
      </c>
      <c r="H101" s="187" t="s">
        <v>1827</v>
      </c>
      <c r="I101" s="187" t="s">
        <v>113</v>
      </c>
      <c r="J101" s="187">
        <v>5</v>
      </c>
      <c r="K101" s="187" t="s">
        <v>72</v>
      </c>
      <c r="L101" s="187" t="s">
        <v>114</v>
      </c>
      <c r="M101" s="187" t="s">
        <v>1724</v>
      </c>
      <c r="N101" s="187">
        <v>3</v>
      </c>
      <c r="O101" s="187">
        <f>(102.93+122.96+16.64)/5</f>
        <v>48.505999999999993</v>
      </c>
      <c r="P101" s="187">
        <v>28.54</v>
      </c>
      <c r="Q101" s="187"/>
      <c r="R101" s="187">
        <f t="shared" si="10"/>
        <v>28.54</v>
      </c>
      <c r="S101" s="187">
        <f t="shared" si="11"/>
        <v>0.58838081886776905</v>
      </c>
      <c r="T101" s="187">
        <f t="shared" si="12"/>
        <v>0.1176761637735538</v>
      </c>
    </row>
    <row r="102" spans="1:20" s="218" customFormat="1" x14ac:dyDescent="0.25">
      <c r="A102" s="235" t="s">
        <v>700</v>
      </c>
      <c r="B102" s="187" t="s">
        <v>2</v>
      </c>
      <c r="C102" s="187" t="s">
        <v>852</v>
      </c>
      <c r="D102" s="187" t="s">
        <v>0</v>
      </c>
      <c r="E102" s="187" t="s">
        <v>1809</v>
      </c>
      <c r="F102" s="187">
        <v>4</v>
      </c>
      <c r="G102" s="187" t="s">
        <v>116</v>
      </c>
      <c r="H102" s="187" t="s">
        <v>1827</v>
      </c>
      <c r="I102" s="187" t="s">
        <v>113</v>
      </c>
      <c r="J102" s="187">
        <v>5</v>
      </c>
      <c r="K102" s="187" t="s">
        <v>121</v>
      </c>
      <c r="L102" s="187" t="s">
        <v>122</v>
      </c>
      <c r="M102" s="187" t="s">
        <v>1740</v>
      </c>
      <c r="N102" s="187">
        <v>6</v>
      </c>
      <c r="O102" s="187">
        <f>48.7+8.5</f>
        <v>57.2</v>
      </c>
      <c r="P102" s="187">
        <v>2.65</v>
      </c>
      <c r="Q102" s="187"/>
      <c r="R102" s="187">
        <f t="shared" si="10"/>
        <v>2.65</v>
      </c>
      <c r="S102" s="187">
        <f t="shared" si="11"/>
        <v>4.6328671328671328E-2</v>
      </c>
      <c r="T102" s="187">
        <f t="shared" si="12"/>
        <v>9.2657342657342656E-3</v>
      </c>
    </row>
    <row r="103" spans="1:20" s="218" customFormat="1" x14ac:dyDescent="0.25">
      <c r="A103" s="235" t="s">
        <v>700</v>
      </c>
      <c r="B103" s="187" t="s">
        <v>2</v>
      </c>
      <c r="C103" s="187" t="s">
        <v>852</v>
      </c>
      <c r="D103" s="187" t="s">
        <v>0</v>
      </c>
      <c r="E103" s="187" t="s">
        <v>1809</v>
      </c>
      <c r="F103" s="187">
        <v>4</v>
      </c>
      <c r="G103" s="187" t="s">
        <v>116</v>
      </c>
      <c r="H103" s="187" t="s">
        <v>1827</v>
      </c>
      <c r="I103" s="187" t="s">
        <v>113</v>
      </c>
      <c r="J103" s="187">
        <v>5</v>
      </c>
      <c r="K103" s="187" t="s">
        <v>121</v>
      </c>
      <c r="L103" s="187" t="s">
        <v>127</v>
      </c>
      <c r="M103" s="187" t="s">
        <v>1745</v>
      </c>
      <c r="N103" s="187">
        <v>8</v>
      </c>
      <c r="O103" s="187">
        <v>32</v>
      </c>
      <c r="P103" s="187">
        <v>27.67</v>
      </c>
      <c r="Q103" s="187"/>
      <c r="R103" s="187">
        <f t="shared" si="10"/>
        <v>27.67</v>
      </c>
      <c r="S103" s="187">
        <f t="shared" si="11"/>
        <v>0.86468750000000005</v>
      </c>
      <c r="T103" s="187">
        <f t="shared" si="12"/>
        <v>0.17293750000000002</v>
      </c>
    </row>
    <row r="104" spans="1:20" s="218" customFormat="1" x14ac:dyDescent="0.25">
      <c r="A104" s="235" t="s">
        <v>700</v>
      </c>
      <c r="B104" s="187" t="s">
        <v>2</v>
      </c>
      <c r="C104" s="187" t="s">
        <v>852</v>
      </c>
      <c r="D104" s="187" t="s">
        <v>0</v>
      </c>
      <c r="E104" s="187" t="s">
        <v>1809</v>
      </c>
      <c r="F104" s="187">
        <v>4</v>
      </c>
      <c r="G104" s="187" t="s">
        <v>116</v>
      </c>
      <c r="H104" s="187" t="s">
        <v>1827</v>
      </c>
      <c r="I104" s="187" t="s">
        <v>113</v>
      </c>
      <c r="J104" s="187">
        <v>5</v>
      </c>
      <c r="K104" s="187" t="s">
        <v>121</v>
      </c>
      <c r="L104" s="187" t="s">
        <v>126</v>
      </c>
      <c r="M104" s="187" t="s">
        <v>1746</v>
      </c>
      <c r="N104" s="187">
        <v>9</v>
      </c>
      <c r="O104" s="187">
        <v>10.97</v>
      </c>
      <c r="P104" s="187">
        <v>0</v>
      </c>
      <c r="Q104" s="187"/>
      <c r="R104" s="187">
        <f t="shared" si="10"/>
        <v>0</v>
      </c>
      <c r="S104" s="187">
        <f t="shared" si="11"/>
        <v>0</v>
      </c>
      <c r="T104" s="187">
        <f t="shared" si="12"/>
        <v>0</v>
      </c>
    </row>
    <row r="105" spans="1:20" s="233" customFormat="1" x14ac:dyDescent="0.25">
      <c r="A105" s="238" t="s">
        <v>723</v>
      </c>
      <c r="B105" s="182" t="s">
        <v>2</v>
      </c>
      <c r="C105" s="182" t="s">
        <v>210</v>
      </c>
      <c r="D105" s="182" t="s">
        <v>0</v>
      </c>
      <c r="E105" s="182" t="s">
        <v>1828</v>
      </c>
      <c r="F105" s="182">
        <v>5</v>
      </c>
      <c r="G105" s="182" t="s">
        <v>202</v>
      </c>
      <c r="H105" s="182" t="s">
        <v>194</v>
      </c>
      <c r="I105" s="182" t="s">
        <v>86</v>
      </c>
      <c r="J105" s="182">
        <v>91</v>
      </c>
      <c r="K105" s="182" t="s">
        <v>72</v>
      </c>
      <c r="L105" s="182" t="s">
        <v>195</v>
      </c>
      <c r="M105" s="182" t="s">
        <v>1802</v>
      </c>
      <c r="N105" s="182">
        <v>5</v>
      </c>
      <c r="O105" s="182">
        <v>73.87</v>
      </c>
      <c r="P105" s="182">
        <v>17.899999999999999</v>
      </c>
      <c r="Q105" s="182">
        <v>0.17399999999999999</v>
      </c>
      <c r="R105" s="182">
        <f t="shared" si="10"/>
        <v>18.073999999999998</v>
      </c>
      <c r="S105" s="182">
        <f t="shared" si="11"/>
        <v>0.24467307431975088</v>
      </c>
      <c r="T105" s="182">
        <f t="shared" si="12"/>
        <v>2.6887151024148448E-3</v>
      </c>
    </row>
    <row r="106" spans="1:20" s="228" customFormat="1" x14ac:dyDescent="0.25">
      <c r="A106" s="239" t="s">
        <v>790</v>
      </c>
      <c r="B106" s="226" t="s">
        <v>55</v>
      </c>
      <c r="C106" s="226" t="s">
        <v>511</v>
      </c>
      <c r="D106" s="226" t="s">
        <v>0</v>
      </c>
      <c r="E106" s="226" t="s">
        <v>511</v>
      </c>
      <c r="F106" s="226">
        <v>6</v>
      </c>
      <c r="G106" s="226" t="s">
        <v>512</v>
      </c>
      <c r="H106" s="226" t="s">
        <v>508</v>
      </c>
      <c r="I106" s="226" t="s">
        <v>86</v>
      </c>
      <c r="J106" s="226">
        <v>2</v>
      </c>
      <c r="K106" s="226" t="s">
        <v>72</v>
      </c>
      <c r="L106" s="226" t="s">
        <v>525</v>
      </c>
      <c r="M106" s="226" t="s">
        <v>1740</v>
      </c>
      <c r="N106" s="226">
        <v>6</v>
      </c>
      <c r="O106" s="226">
        <v>25.248999999999999</v>
      </c>
      <c r="P106" s="227">
        <v>1.9456</v>
      </c>
      <c r="Q106" s="227"/>
      <c r="R106" s="226">
        <f t="shared" si="10"/>
        <v>1.9456</v>
      </c>
      <c r="S106" s="226">
        <f t="shared" si="11"/>
        <v>7.7056517089785739E-2</v>
      </c>
      <c r="T106" s="226">
        <f t="shared" si="12"/>
        <v>3.852825854489287E-2</v>
      </c>
    </row>
    <row r="107" spans="1:20" s="228" customFormat="1" x14ac:dyDescent="0.25">
      <c r="A107" s="239" t="s">
        <v>790</v>
      </c>
      <c r="B107" s="226" t="s">
        <v>55</v>
      </c>
      <c r="C107" s="226" t="s">
        <v>511</v>
      </c>
      <c r="D107" s="226" t="s">
        <v>0</v>
      </c>
      <c r="E107" s="226" t="s">
        <v>511</v>
      </c>
      <c r="F107" s="226">
        <v>6</v>
      </c>
      <c r="G107" s="226" t="s">
        <v>512</v>
      </c>
      <c r="H107" s="226" t="s">
        <v>508</v>
      </c>
      <c r="I107" s="226" t="s">
        <v>86</v>
      </c>
      <c r="J107" s="226">
        <f>72/24</f>
        <v>3</v>
      </c>
      <c r="K107" s="226" t="s">
        <v>72</v>
      </c>
      <c r="L107" s="226" t="s">
        <v>525</v>
      </c>
      <c r="M107" s="226" t="s">
        <v>1740</v>
      </c>
      <c r="N107" s="226">
        <v>6</v>
      </c>
      <c r="O107" s="226">
        <v>25.248999999999999</v>
      </c>
      <c r="P107" s="227">
        <v>0.15359999999999999</v>
      </c>
      <c r="Q107" s="227"/>
      <c r="R107" s="226">
        <f t="shared" si="10"/>
        <v>0.15359999999999999</v>
      </c>
      <c r="S107" s="226">
        <f t="shared" si="11"/>
        <v>6.0834092439304528E-3</v>
      </c>
      <c r="T107" s="226">
        <f t="shared" si="12"/>
        <v>2.0278030813101508E-3</v>
      </c>
    </row>
    <row r="108" spans="1:20" s="231" customFormat="1" x14ac:dyDescent="0.25">
      <c r="A108" s="240" t="s">
        <v>790</v>
      </c>
      <c r="B108" s="229" t="s">
        <v>55</v>
      </c>
      <c r="C108" s="229" t="s">
        <v>523</v>
      </c>
      <c r="D108" s="229" t="s">
        <v>0</v>
      </c>
      <c r="E108" s="229" t="s">
        <v>1829</v>
      </c>
      <c r="F108" s="229">
        <v>7</v>
      </c>
      <c r="G108" s="229" t="s">
        <v>512</v>
      </c>
      <c r="H108" s="229" t="s">
        <v>508</v>
      </c>
      <c r="I108" s="229" t="s">
        <v>86</v>
      </c>
      <c r="J108" s="229">
        <f>72/24</f>
        <v>3</v>
      </c>
      <c r="K108" s="229" t="s">
        <v>72</v>
      </c>
      <c r="L108" s="229" t="s">
        <v>123</v>
      </c>
      <c r="M108" s="229" t="s">
        <v>1740</v>
      </c>
      <c r="N108" s="229">
        <v>6</v>
      </c>
      <c r="O108" s="229">
        <v>25.248999999999999</v>
      </c>
      <c r="P108" s="230">
        <v>8.4992000000000001</v>
      </c>
      <c r="Q108" s="230"/>
      <c r="R108" s="229">
        <f t="shared" si="10"/>
        <v>8.4992000000000001</v>
      </c>
      <c r="S108" s="229">
        <f t="shared" si="11"/>
        <v>0.33661531149748508</v>
      </c>
      <c r="T108" s="229">
        <f t="shared" si="12"/>
        <v>0.11220510383249503</v>
      </c>
    </row>
    <row r="109" spans="1:20" s="231" customFormat="1" x14ac:dyDescent="0.25">
      <c r="A109" s="240" t="s">
        <v>790</v>
      </c>
      <c r="B109" s="229" t="s">
        <v>55</v>
      </c>
      <c r="C109" s="229" t="s">
        <v>523</v>
      </c>
      <c r="D109" s="229" t="s">
        <v>0</v>
      </c>
      <c r="E109" s="229" t="s">
        <v>1829</v>
      </c>
      <c r="F109" s="229">
        <v>7</v>
      </c>
      <c r="G109" s="229" t="s">
        <v>512</v>
      </c>
      <c r="H109" s="229" t="s">
        <v>508</v>
      </c>
      <c r="I109" s="229" t="s">
        <v>86</v>
      </c>
      <c r="J109" s="229">
        <v>2</v>
      </c>
      <c r="K109" s="229" t="s">
        <v>72</v>
      </c>
      <c r="L109" s="229" t="s">
        <v>123</v>
      </c>
      <c r="M109" s="229" t="s">
        <v>1740</v>
      </c>
      <c r="N109" s="229">
        <v>6</v>
      </c>
      <c r="O109" s="229">
        <v>25.248999999999999</v>
      </c>
      <c r="P109" s="230">
        <v>6.9119999999999999</v>
      </c>
      <c r="Q109" s="230"/>
      <c r="R109" s="229">
        <f t="shared" si="10"/>
        <v>6.9119999999999999</v>
      </c>
      <c r="S109" s="229">
        <f t="shared" si="11"/>
        <v>0.27375341597687036</v>
      </c>
      <c r="T109" s="229">
        <f t="shared" si="12"/>
        <v>0.13687670798843518</v>
      </c>
    </row>
    <row r="110" spans="1:20" x14ac:dyDescent="0.25">
      <c r="A110" s="73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232"/>
      <c r="Q110" s="10"/>
      <c r="R110" s="10"/>
      <c r="S110" s="10"/>
      <c r="T110" s="10"/>
    </row>
    <row r="112" spans="1:20" x14ac:dyDescent="0.25">
      <c r="P112"/>
      <c r="Q112"/>
      <c r="R112"/>
      <c r="S112"/>
      <c r="T112"/>
    </row>
    <row r="113" spans="1:20" x14ac:dyDescent="0.25">
      <c r="O113" s="5"/>
      <c r="P113"/>
      <c r="Q113"/>
      <c r="R113"/>
      <c r="S113"/>
      <c r="T113"/>
    </row>
    <row r="114" spans="1:20" x14ac:dyDescent="0.25">
      <c r="P114"/>
      <c r="Q114"/>
      <c r="R114"/>
      <c r="S114"/>
      <c r="T114"/>
    </row>
    <row r="115" spans="1:20" x14ac:dyDescent="0.25">
      <c r="P115"/>
      <c r="Q115"/>
      <c r="R115"/>
      <c r="S115"/>
      <c r="T115"/>
    </row>
    <row r="116" spans="1:20" x14ac:dyDescent="0.25">
      <c r="P116"/>
      <c r="Q116"/>
      <c r="R116"/>
      <c r="S116"/>
      <c r="T116"/>
    </row>
    <row r="117" spans="1:20" x14ac:dyDescent="0.25">
      <c r="A117" s="62"/>
      <c r="B117" s="5"/>
      <c r="G117" s="5"/>
      <c r="H117" s="4"/>
      <c r="I117" s="4"/>
      <c r="J117" s="5"/>
      <c r="K117" s="5"/>
      <c r="P117"/>
      <c r="Q117"/>
      <c r="R117"/>
      <c r="S117"/>
      <c r="T117"/>
    </row>
    <row r="118" spans="1:20" x14ac:dyDescent="0.25">
      <c r="A118" s="62"/>
      <c r="B118" s="5"/>
      <c r="G118" s="5"/>
      <c r="H118" s="4"/>
      <c r="I118" s="4"/>
      <c r="J118" s="5"/>
      <c r="K118" s="5"/>
      <c r="P118"/>
      <c r="Q118"/>
      <c r="R118"/>
      <c r="S118"/>
      <c r="T118"/>
    </row>
    <row r="119" spans="1:20" x14ac:dyDescent="0.25">
      <c r="P119"/>
      <c r="Q119"/>
      <c r="R119"/>
      <c r="S119"/>
      <c r="T119"/>
    </row>
    <row r="120" spans="1:20" x14ac:dyDescent="0.25">
      <c r="P120"/>
      <c r="Q120"/>
      <c r="R120"/>
      <c r="S120"/>
      <c r="T120"/>
    </row>
    <row r="121" spans="1:20" x14ac:dyDescent="0.25">
      <c r="P121"/>
      <c r="Q121"/>
      <c r="R121"/>
      <c r="S121"/>
      <c r="T121"/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16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H18" sqref="H18"/>
    </sheetView>
  </sheetViews>
  <sheetFormatPr defaultRowHeight="15" x14ac:dyDescent="0.25"/>
  <cols>
    <col min="1" max="1" width="20.140625" style="53" bestFit="1" customWidth="1"/>
    <col min="2" max="2" width="9.140625" style="52"/>
    <col min="3" max="3" width="28" style="52" bestFit="1" customWidth="1"/>
    <col min="4" max="4" width="9.140625" style="52"/>
    <col min="5" max="5" width="14.7109375" style="52" bestFit="1" customWidth="1"/>
    <col min="6" max="7" width="9.140625" style="52"/>
    <col min="8" max="8" width="25.85546875" style="52" customWidth="1"/>
    <col min="9" max="9" width="103.7109375" style="52" bestFit="1" customWidth="1"/>
    <col min="10" max="17" width="9.140625" style="52"/>
    <col min="18" max="18" width="12.85546875" style="52" bestFit="1" customWidth="1"/>
    <col min="19" max="19" width="10.7109375" style="52" bestFit="1" customWidth="1"/>
    <col min="20" max="16384" width="9.140625" style="52"/>
  </cols>
  <sheetData>
    <row r="1" spans="1:21" customFormat="1" ht="18.75" x14ac:dyDescent="0.3">
      <c r="A1" s="260" t="s">
        <v>1854</v>
      </c>
      <c r="B1" s="260"/>
      <c r="C1" s="260"/>
      <c r="D1" s="260"/>
      <c r="E1" s="260"/>
      <c r="F1" s="260"/>
      <c r="G1" s="259"/>
      <c r="H1" s="93"/>
      <c r="I1" s="93"/>
      <c r="J1" s="93"/>
      <c r="K1" s="171"/>
      <c r="L1" s="172"/>
      <c r="M1" s="94"/>
      <c r="N1" s="93"/>
      <c r="O1" s="93"/>
      <c r="P1" s="94"/>
      <c r="Q1" s="93"/>
      <c r="R1" s="93"/>
      <c r="S1" s="93"/>
      <c r="T1" s="93"/>
      <c r="U1" s="93"/>
    </row>
    <row r="2" spans="1:21" x14ac:dyDescent="0.25">
      <c r="A2" s="91" t="s">
        <v>19</v>
      </c>
      <c r="B2" s="90" t="s">
        <v>20</v>
      </c>
      <c r="C2" s="90"/>
      <c r="D2" s="90"/>
      <c r="E2" s="90"/>
      <c r="F2" s="90"/>
      <c r="G2" s="90"/>
      <c r="H2" s="261" t="s">
        <v>1703</v>
      </c>
      <c r="I2" s="261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21" x14ac:dyDescent="0.25">
      <c r="A3" s="109"/>
      <c r="B3" s="110" t="s">
        <v>1831</v>
      </c>
      <c r="C3" s="110" t="s">
        <v>1832</v>
      </c>
      <c r="D3" s="110" t="s">
        <v>1833</v>
      </c>
      <c r="E3" s="110" t="s">
        <v>862</v>
      </c>
      <c r="F3" s="110" t="s">
        <v>1834</v>
      </c>
      <c r="G3" s="110" t="s">
        <v>1835</v>
      </c>
      <c r="H3" s="90" t="s">
        <v>1836</v>
      </c>
      <c r="I3" s="110" t="s">
        <v>38</v>
      </c>
      <c r="J3" s="110" t="s">
        <v>42</v>
      </c>
      <c r="K3" s="110" t="s">
        <v>43</v>
      </c>
      <c r="L3" s="110" t="s">
        <v>45</v>
      </c>
      <c r="M3" s="110" t="s">
        <v>639</v>
      </c>
      <c r="N3" s="110" t="s">
        <v>867</v>
      </c>
      <c r="O3" s="110" t="s">
        <v>868</v>
      </c>
      <c r="P3" s="110" t="s">
        <v>869</v>
      </c>
      <c r="Q3" s="110" t="s">
        <v>870</v>
      </c>
      <c r="R3" s="110" t="s">
        <v>1590</v>
      </c>
      <c r="S3" s="110" t="s">
        <v>1837</v>
      </c>
    </row>
    <row r="4" spans="1:21" x14ac:dyDescent="0.25">
      <c r="A4" s="99"/>
      <c r="B4" s="98"/>
      <c r="C4" s="98"/>
      <c r="D4" s="98"/>
      <c r="E4" s="98" t="s">
        <v>832</v>
      </c>
      <c r="F4" s="98" t="s">
        <v>36</v>
      </c>
      <c r="G4" s="98"/>
      <c r="H4" s="98"/>
      <c r="I4" s="98"/>
      <c r="J4" s="98" t="s">
        <v>54</v>
      </c>
      <c r="K4" s="98" t="s">
        <v>54</v>
      </c>
      <c r="L4" s="98" t="s">
        <v>54</v>
      </c>
      <c r="M4" s="98" t="s">
        <v>54</v>
      </c>
      <c r="N4" s="98" t="s">
        <v>871</v>
      </c>
      <c r="O4" s="98" t="s">
        <v>872</v>
      </c>
      <c r="P4" s="98" t="s">
        <v>873</v>
      </c>
      <c r="Q4" s="98" t="s">
        <v>874</v>
      </c>
      <c r="R4" s="98" t="s">
        <v>1838</v>
      </c>
      <c r="S4" s="98"/>
    </row>
    <row r="5" spans="1:21" x14ac:dyDescent="0.25">
      <c r="A5" s="43" t="s">
        <v>1581</v>
      </c>
      <c r="B5" s="42" t="s">
        <v>55</v>
      </c>
      <c r="C5" s="42" t="s">
        <v>876</v>
      </c>
      <c r="D5" s="42" t="s">
        <v>896</v>
      </c>
      <c r="E5" s="42">
        <v>3.6</v>
      </c>
      <c r="F5" s="42">
        <v>20</v>
      </c>
      <c r="G5" s="42">
        <f t="shared" ref="G5:G23" si="0">F5</f>
        <v>20</v>
      </c>
      <c r="H5" s="42" t="s">
        <v>72</v>
      </c>
      <c r="I5" s="42" t="s">
        <v>897</v>
      </c>
      <c r="J5" s="126">
        <v>2.23706</v>
      </c>
      <c r="K5" s="126" t="s">
        <v>0</v>
      </c>
      <c r="L5" s="126">
        <v>8.4100000000000008E-2</v>
      </c>
      <c r="M5" s="126" t="s">
        <v>0</v>
      </c>
      <c r="N5" s="126">
        <v>0.11185300000000001</v>
      </c>
      <c r="O5" s="126" t="s">
        <v>0</v>
      </c>
      <c r="P5" s="126">
        <v>4.2050000000000004E-3</v>
      </c>
      <c r="Q5" s="126" t="s">
        <v>0</v>
      </c>
      <c r="R5" s="126">
        <f t="shared" ref="R5:R36" si="1">SUM(N5:Q5)</f>
        <v>0.11605800000000001</v>
      </c>
      <c r="S5" s="126">
        <f t="shared" ref="S5:S36" si="2">R5/E5</f>
        <v>3.2238333333333334E-2</v>
      </c>
    </row>
    <row r="6" spans="1:21" x14ac:dyDescent="0.25">
      <c r="A6" s="43" t="s">
        <v>1581</v>
      </c>
      <c r="B6" s="42" t="s">
        <v>55</v>
      </c>
      <c r="C6" s="42" t="s">
        <v>876</v>
      </c>
      <c r="D6" s="42" t="s">
        <v>896</v>
      </c>
      <c r="E6" s="42">
        <v>5.99</v>
      </c>
      <c r="F6" s="42">
        <v>12</v>
      </c>
      <c r="G6" s="42">
        <f t="shared" si="0"/>
        <v>12</v>
      </c>
      <c r="H6" s="42" t="s">
        <v>72</v>
      </c>
      <c r="I6" s="42" t="s">
        <v>897</v>
      </c>
      <c r="J6" s="126">
        <v>1.4504000000000004</v>
      </c>
      <c r="K6" s="126" t="s">
        <v>0</v>
      </c>
      <c r="L6" s="126">
        <v>9.8000000000000004E-2</v>
      </c>
      <c r="M6" s="126" t="s">
        <v>0</v>
      </c>
      <c r="N6" s="126">
        <v>0.12086666666666669</v>
      </c>
      <c r="O6" s="126" t="s">
        <v>0</v>
      </c>
      <c r="P6" s="126">
        <v>8.1666666666666676E-3</v>
      </c>
      <c r="Q6" s="126" t="s">
        <v>0</v>
      </c>
      <c r="R6" s="126">
        <f t="shared" si="1"/>
        <v>0.12903333333333336</v>
      </c>
      <c r="S6" s="126">
        <f t="shared" si="2"/>
        <v>2.1541457985531445E-2</v>
      </c>
    </row>
    <row r="7" spans="1:21" x14ac:dyDescent="0.25">
      <c r="A7" s="43" t="s">
        <v>1581</v>
      </c>
      <c r="B7" s="42" t="s">
        <v>55</v>
      </c>
      <c r="C7" s="42" t="s">
        <v>876</v>
      </c>
      <c r="D7" s="42" t="s">
        <v>896</v>
      </c>
      <c r="E7" s="42">
        <v>9</v>
      </c>
      <c r="F7" s="42">
        <v>8</v>
      </c>
      <c r="G7" s="42">
        <f t="shared" si="0"/>
        <v>8</v>
      </c>
      <c r="H7" s="42" t="s">
        <v>72</v>
      </c>
      <c r="I7" s="42" t="s">
        <v>897</v>
      </c>
      <c r="J7" s="126">
        <v>0.41204999999999992</v>
      </c>
      <c r="K7" s="126" t="s">
        <v>0</v>
      </c>
      <c r="L7" s="126">
        <v>8.0399999999999999E-2</v>
      </c>
      <c r="M7" s="126" t="s">
        <v>0</v>
      </c>
      <c r="N7" s="126">
        <v>5.150624999999999E-2</v>
      </c>
      <c r="O7" s="126" t="s">
        <v>0</v>
      </c>
      <c r="P7" s="126">
        <v>1.005E-2</v>
      </c>
      <c r="Q7" s="126" t="s">
        <v>0</v>
      </c>
      <c r="R7" s="126">
        <f t="shared" si="1"/>
        <v>6.1556249999999993E-2</v>
      </c>
      <c r="S7" s="126">
        <f t="shared" si="2"/>
        <v>6.8395833333333329E-3</v>
      </c>
    </row>
    <row r="8" spans="1:21" x14ac:dyDescent="0.25">
      <c r="A8" s="43" t="s">
        <v>1581</v>
      </c>
      <c r="B8" s="42" t="s">
        <v>55</v>
      </c>
      <c r="C8" s="42" t="s">
        <v>876</v>
      </c>
      <c r="D8" s="42" t="s">
        <v>896</v>
      </c>
      <c r="E8" s="42">
        <v>17.98</v>
      </c>
      <c r="F8" s="42">
        <v>4</v>
      </c>
      <c r="G8" s="42">
        <f t="shared" si="0"/>
        <v>4</v>
      </c>
      <c r="H8" s="42" t="s">
        <v>72</v>
      </c>
      <c r="I8" s="42" t="s">
        <v>897</v>
      </c>
      <c r="J8" s="126">
        <v>0.22820000000000001</v>
      </c>
      <c r="K8" s="126" t="s">
        <v>0</v>
      </c>
      <c r="L8" s="126">
        <v>8.1500000000000003E-2</v>
      </c>
      <c r="M8" s="126" t="s">
        <v>0</v>
      </c>
      <c r="N8" s="126">
        <v>5.7050000000000003E-2</v>
      </c>
      <c r="O8" s="126" t="s">
        <v>0</v>
      </c>
      <c r="P8" s="126">
        <v>2.0375000000000001E-2</v>
      </c>
      <c r="Q8" s="126" t="s">
        <v>0</v>
      </c>
      <c r="R8" s="126">
        <f t="shared" si="1"/>
        <v>7.7425000000000008E-2</v>
      </c>
      <c r="S8" s="126">
        <f t="shared" si="2"/>
        <v>4.3061735261401557E-3</v>
      </c>
    </row>
    <row r="9" spans="1:21" x14ac:dyDescent="0.25">
      <c r="A9" s="43" t="s">
        <v>1581</v>
      </c>
      <c r="B9" s="42" t="s">
        <v>55</v>
      </c>
      <c r="C9" s="42" t="s">
        <v>876</v>
      </c>
      <c r="D9" s="42" t="s">
        <v>896</v>
      </c>
      <c r="E9" s="42">
        <v>71.819999999999993</v>
      </c>
      <c r="F9" s="42">
        <v>1</v>
      </c>
      <c r="G9" s="42">
        <f t="shared" si="0"/>
        <v>1</v>
      </c>
      <c r="H9" s="42" t="s">
        <v>72</v>
      </c>
      <c r="I9" s="42" t="s">
        <v>897</v>
      </c>
      <c r="J9" s="126">
        <v>8.2960000000000006E-2</v>
      </c>
      <c r="K9" s="126" t="s">
        <v>0</v>
      </c>
      <c r="L9" s="126">
        <v>2.4400000000000002E-2</v>
      </c>
      <c r="M9" s="126" t="s">
        <v>0</v>
      </c>
      <c r="N9" s="126">
        <v>8.2960000000000006E-2</v>
      </c>
      <c r="O9" s="126" t="s">
        <v>0</v>
      </c>
      <c r="P9" s="126">
        <v>2.4400000000000002E-2</v>
      </c>
      <c r="Q9" s="126" t="s">
        <v>0</v>
      </c>
      <c r="R9" s="126">
        <f t="shared" si="1"/>
        <v>0.10736000000000001</v>
      </c>
      <c r="S9" s="126">
        <f t="shared" si="2"/>
        <v>1.4948482316903373E-3</v>
      </c>
    </row>
    <row r="10" spans="1:21" x14ac:dyDescent="0.25">
      <c r="A10" s="43" t="s">
        <v>1581</v>
      </c>
      <c r="B10" s="42" t="s">
        <v>55</v>
      </c>
      <c r="C10" s="42" t="s">
        <v>876</v>
      </c>
      <c r="D10" s="42" t="s">
        <v>896</v>
      </c>
      <c r="E10" s="42">
        <v>3.99</v>
      </c>
      <c r="F10" s="42">
        <v>20</v>
      </c>
      <c r="G10" s="42">
        <f t="shared" si="0"/>
        <v>20</v>
      </c>
      <c r="H10" s="42" t="s">
        <v>72</v>
      </c>
      <c r="I10" s="42" t="s">
        <v>913</v>
      </c>
      <c r="J10" s="243">
        <v>7.5040000000000009E-2</v>
      </c>
      <c r="K10" s="126" t="s">
        <v>0</v>
      </c>
      <c r="L10" s="126">
        <v>0</v>
      </c>
      <c r="M10" s="126" t="s">
        <v>0</v>
      </c>
      <c r="N10" s="126">
        <v>3.7520000000000006E-3</v>
      </c>
      <c r="O10" s="126" t="s">
        <v>0</v>
      </c>
      <c r="P10" s="126">
        <v>0</v>
      </c>
      <c r="Q10" s="126" t="s">
        <v>0</v>
      </c>
      <c r="R10" s="126">
        <f t="shared" si="1"/>
        <v>3.7520000000000006E-3</v>
      </c>
      <c r="S10" s="126">
        <f t="shared" si="2"/>
        <v>9.4035087719298259E-4</v>
      </c>
    </row>
    <row r="11" spans="1:21" x14ac:dyDescent="0.25">
      <c r="A11" s="43" t="s">
        <v>1581</v>
      </c>
      <c r="B11" s="42" t="s">
        <v>55</v>
      </c>
      <c r="C11" s="42" t="s">
        <v>876</v>
      </c>
      <c r="D11" s="42" t="s">
        <v>896</v>
      </c>
      <c r="E11" s="42">
        <v>6.66</v>
      </c>
      <c r="F11" s="42">
        <v>12</v>
      </c>
      <c r="G11" s="42">
        <f t="shared" si="0"/>
        <v>12</v>
      </c>
      <c r="H11" s="42" t="s">
        <v>72</v>
      </c>
      <c r="I11" s="42" t="s">
        <v>913</v>
      </c>
      <c r="J11" s="243">
        <v>0.11216</v>
      </c>
      <c r="K11" s="126" t="s">
        <v>0</v>
      </c>
      <c r="L11" s="126">
        <v>0</v>
      </c>
      <c r="M11" s="126" t="s">
        <v>0</v>
      </c>
      <c r="N11" s="126">
        <v>9.3466666666666663E-3</v>
      </c>
      <c r="O11" s="126" t="s">
        <v>0</v>
      </c>
      <c r="P11" s="126">
        <v>0</v>
      </c>
      <c r="Q11" s="126" t="s">
        <v>0</v>
      </c>
      <c r="R11" s="126">
        <f t="shared" si="1"/>
        <v>9.3466666666666663E-3</v>
      </c>
      <c r="S11" s="126">
        <f t="shared" si="2"/>
        <v>1.4034034034034032E-3</v>
      </c>
    </row>
    <row r="12" spans="1:21" x14ac:dyDescent="0.25">
      <c r="A12" s="43" t="s">
        <v>1581</v>
      </c>
      <c r="B12" s="42" t="s">
        <v>55</v>
      </c>
      <c r="C12" s="42" t="s">
        <v>876</v>
      </c>
      <c r="D12" s="42" t="s">
        <v>896</v>
      </c>
      <c r="E12" s="42">
        <v>10</v>
      </c>
      <c r="F12" s="42">
        <v>8</v>
      </c>
      <c r="G12" s="42">
        <f t="shared" si="0"/>
        <v>8</v>
      </c>
      <c r="H12" s="42" t="s">
        <v>72</v>
      </c>
      <c r="I12" s="42" t="s">
        <v>913</v>
      </c>
      <c r="J12" s="243">
        <v>0.11151999999999999</v>
      </c>
      <c r="K12" s="126" t="s">
        <v>0</v>
      </c>
      <c r="L12" s="126">
        <v>0</v>
      </c>
      <c r="M12" s="126" t="s">
        <v>0</v>
      </c>
      <c r="N12" s="126">
        <v>1.3939999999999999E-2</v>
      </c>
      <c r="O12" s="126" t="s">
        <v>0</v>
      </c>
      <c r="P12" s="126">
        <v>0</v>
      </c>
      <c r="Q12" s="126" t="s">
        <v>0</v>
      </c>
      <c r="R12" s="126">
        <f t="shared" si="1"/>
        <v>1.3939999999999999E-2</v>
      </c>
      <c r="S12" s="126">
        <f t="shared" si="2"/>
        <v>1.3939999999999998E-3</v>
      </c>
    </row>
    <row r="13" spans="1:21" x14ac:dyDescent="0.25">
      <c r="A13" s="43" t="s">
        <v>1581</v>
      </c>
      <c r="B13" s="42" t="s">
        <v>55</v>
      </c>
      <c r="C13" s="42" t="s">
        <v>876</v>
      </c>
      <c r="D13" s="42" t="s">
        <v>896</v>
      </c>
      <c r="E13" s="42">
        <v>19.97</v>
      </c>
      <c r="F13" s="42">
        <v>4</v>
      </c>
      <c r="G13" s="42">
        <f t="shared" si="0"/>
        <v>4</v>
      </c>
      <c r="H13" s="42" t="s">
        <v>72</v>
      </c>
      <c r="I13" s="42" t="s">
        <v>913</v>
      </c>
      <c r="J13" s="243">
        <v>9.920000000000001E-2</v>
      </c>
      <c r="K13" s="126" t="s">
        <v>0</v>
      </c>
      <c r="L13" s="126">
        <v>0</v>
      </c>
      <c r="M13" s="126" t="s">
        <v>0</v>
      </c>
      <c r="N13" s="126">
        <v>2.4800000000000003E-2</v>
      </c>
      <c r="O13" s="126" t="s">
        <v>0</v>
      </c>
      <c r="P13" s="126">
        <v>0</v>
      </c>
      <c r="Q13" s="126" t="s">
        <v>0</v>
      </c>
      <c r="R13" s="126">
        <f t="shared" si="1"/>
        <v>2.4800000000000003E-2</v>
      </c>
      <c r="S13" s="126">
        <f t="shared" si="2"/>
        <v>1.2418627941912872E-3</v>
      </c>
    </row>
    <row r="14" spans="1:21" x14ac:dyDescent="0.25">
      <c r="A14" s="43" t="s">
        <v>1581</v>
      </c>
      <c r="B14" s="42" t="s">
        <v>55</v>
      </c>
      <c r="C14" s="42" t="s">
        <v>876</v>
      </c>
      <c r="D14" s="42" t="s">
        <v>896</v>
      </c>
      <c r="E14" s="42">
        <v>79.900000000000006</v>
      </c>
      <c r="F14" s="42">
        <v>1</v>
      </c>
      <c r="G14" s="42">
        <f t="shared" si="0"/>
        <v>1</v>
      </c>
      <c r="H14" s="42" t="s">
        <v>72</v>
      </c>
      <c r="I14" s="42" t="s">
        <v>913</v>
      </c>
      <c r="J14" s="243">
        <v>8.1120000000000012E-2</v>
      </c>
      <c r="K14" s="126" t="s">
        <v>0</v>
      </c>
      <c r="L14" s="126">
        <v>0</v>
      </c>
      <c r="M14" s="126" t="s">
        <v>0</v>
      </c>
      <c r="N14" s="126">
        <v>8.1120000000000012E-2</v>
      </c>
      <c r="O14" s="126" t="s">
        <v>0</v>
      </c>
      <c r="P14" s="126">
        <v>0</v>
      </c>
      <c r="Q14" s="126" t="s">
        <v>0</v>
      </c>
      <c r="R14" s="126">
        <f t="shared" si="1"/>
        <v>8.1120000000000012E-2</v>
      </c>
      <c r="S14" s="126">
        <f t="shared" si="2"/>
        <v>1.0152690863579476E-3</v>
      </c>
    </row>
    <row r="15" spans="1:21" x14ac:dyDescent="0.25">
      <c r="A15" s="43" t="s">
        <v>1581</v>
      </c>
      <c r="B15" s="42" t="s">
        <v>55</v>
      </c>
      <c r="C15" s="42" t="s">
        <v>876</v>
      </c>
      <c r="D15" s="42" t="s">
        <v>896</v>
      </c>
      <c r="E15" s="42">
        <v>0.24</v>
      </c>
      <c r="F15" s="42">
        <v>20</v>
      </c>
      <c r="G15" s="42">
        <f t="shared" si="0"/>
        <v>20</v>
      </c>
      <c r="H15" s="42" t="s">
        <v>57</v>
      </c>
      <c r="I15" s="42" t="s">
        <v>925</v>
      </c>
      <c r="J15" s="126">
        <v>3.0800000000000001E-2</v>
      </c>
      <c r="K15" s="126" t="s">
        <v>0</v>
      </c>
      <c r="L15" s="126">
        <v>0</v>
      </c>
      <c r="M15" s="126" t="s">
        <v>0</v>
      </c>
      <c r="N15" s="126">
        <v>1.5400000000000001E-3</v>
      </c>
      <c r="O15" s="126" t="s">
        <v>0</v>
      </c>
      <c r="P15" s="126">
        <v>0</v>
      </c>
      <c r="Q15" s="126" t="s">
        <v>0</v>
      </c>
      <c r="R15" s="126">
        <f t="shared" si="1"/>
        <v>1.5400000000000001E-3</v>
      </c>
      <c r="S15" s="126">
        <f t="shared" si="2"/>
        <v>6.4166666666666677E-3</v>
      </c>
    </row>
    <row r="16" spans="1:21" x14ac:dyDescent="0.25">
      <c r="A16" s="43" t="s">
        <v>1581</v>
      </c>
      <c r="B16" s="42" t="s">
        <v>55</v>
      </c>
      <c r="C16" s="42" t="s">
        <v>876</v>
      </c>
      <c r="D16" s="42" t="s">
        <v>896</v>
      </c>
      <c r="E16" s="42">
        <v>0.4</v>
      </c>
      <c r="F16" s="42">
        <v>12</v>
      </c>
      <c r="G16" s="42">
        <f t="shared" si="0"/>
        <v>12</v>
      </c>
      <c r="H16" s="42" t="s">
        <v>57</v>
      </c>
      <c r="I16" s="42" t="s">
        <v>925</v>
      </c>
      <c r="J16" s="126">
        <v>3.7699999999999997E-2</v>
      </c>
      <c r="K16" s="126" t="s">
        <v>0</v>
      </c>
      <c r="L16" s="126">
        <v>0</v>
      </c>
      <c r="M16" s="126" t="s">
        <v>0</v>
      </c>
      <c r="N16" s="126">
        <v>3.1416666666666663E-3</v>
      </c>
      <c r="O16" s="126" t="s">
        <v>0</v>
      </c>
      <c r="P16" s="126">
        <v>0</v>
      </c>
      <c r="Q16" s="126" t="s">
        <v>0</v>
      </c>
      <c r="R16" s="126">
        <f t="shared" si="1"/>
        <v>3.1416666666666663E-3</v>
      </c>
      <c r="S16" s="126">
        <f t="shared" si="2"/>
        <v>7.8541666666666655E-3</v>
      </c>
    </row>
    <row r="17" spans="1:19" x14ac:dyDescent="0.25">
      <c r="A17" s="43" t="s">
        <v>1581</v>
      </c>
      <c r="B17" s="42" t="s">
        <v>55</v>
      </c>
      <c r="C17" s="42" t="s">
        <v>876</v>
      </c>
      <c r="D17" s="42" t="s">
        <v>896</v>
      </c>
      <c r="E17" s="42">
        <v>0.61</v>
      </c>
      <c r="F17" s="42">
        <v>8</v>
      </c>
      <c r="G17" s="42">
        <f t="shared" si="0"/>
        <v>8</v>
      </c>
      <c r="H17" s="42" t="s">
        <v>57</v>
      </c>
      <c r="I17" s="42" t="s">
        <v>925</v>
      </c>
      <c r="J17" s="126">
        <v>0.19278000000000001</v>
      </c>
      <c r="K17" s="126" t="s">
        <v>0</v>
      </c>
      <c r="L17" s="126">
        <v>4.7599999999999996E-2</v>
      </c>
      <c r="M17" s="126" t="s">
        <v>0</v>
      </c>
      <c r="N17" s="126">
        <v>2.4097500000000001E-2</v>
      </c>
      <c r="O17" s="126" t="s">
        <v>0</v>
      </c>
      <c r="P17" s="126">
        <v>5.9499999999999996E-3</v>
      </c>
      <c r="Q17" s="126" t="s">
        <v>0</v>
      </c>
      <c r="R17" s="126">
        <f t="shared" si="1"/>
        <v>3.0047500000000001E-2</v>
      </c>
      <c r="S17" s="126">
        <f t="shared" si="2"/>
        <v>4.925819672131148E-2</v>
      </c>
    </row>
    <row r="18" spans="1:19" x14ac:dyDescent="0.25">
      <c r="A18" s="43" t="s">
        <v>1581</v>
      </c>
      <c r="B18" s="42" t="s">
        <v>55</v>
      </c>
      <c r="C18" s="42" t="s">
        <v>876</v>
      </c>
      <c r="D18" s="42" t="s">
        <v>896</v>
      </c>
      <c r="E18" s="42">
        <v>1.21</v>
      </c>
      <c r="F18" s="42">
        <v>4</v>
      </c>
      <c r="G18" s="42">
        <f t="shared" si="0"/>
        <v>4</v>
      </c>
      <c r="H18" s="42" t="s">
        <v>57</v>
      </c>
      <c r="I18" s="42" t="s">
        <v>925</v>
      </c>
      <c r="J18" s="126">
        <v>7.152E-2</v>
      </c>
      <c r="K18" s="126" t="s">
        <v>0</v>
      </c>
      <c r="L18" s="126">
        <v>0</v>
      </c>
      <c r="M18" s="126" t="s">
        <v>0</v>
      </c>
      <c r="N18" s="126">
        <v>1.788E-2</v>
      </c>
      <c r="O18" s="126" t="s">
        <v>0</v>
      </c>
      <c r="P18" s="126">
        <v>0</v>
      </c>
      <c r="Q18" s="126" t="s">
        <v>0</v>
      </c>
      <c r="R18" s="126">
        <f t="shared" si="1"/>
        <v>1.788E-2</v>
      </c>
      <c r="S18" s="126">
        <f t="shared" si="2"/>
        <v>1.4776859504132232E-2</v>
      </c>
    </row>
    <row r="19" spans="1:19" x14ac:dyDescent="0.25">
      <c r="A19" s="43" t="s">
        <v>1581</v>
      </c>
      <c r="B19" s="42" t="s">
        <v>55</v>
      </c>
      <c r="C19" s="42" t="s">
        <v>876</v>
      </c>
      <c r="D19" s="42" t="s">
        <v>896</v>
      </c>
      <c r="E19" s="42">
        <v>4.95</v>
      </c>
      <c r="F19" s="42">
        <v>1</v>
      </c>
      <c r="G19" s="42">
        <f t="shared" si="0"/>
        <v>1</v>
      </c>
      <c r="H19" s="42" t="s">
        <v>57</v>
      </c>
      <c r="I19" s="42" t="s">
        <v>925</v>
      </c>
      <c r="J19" s="126">
        <v>1.5700000000000002E-2</v>
      </c>
      <c r="K19" s="126" t="s">
        <v>0</v>
      </c>
      <c r="L19" s="126">
        <v>0</v>
      </c>
      <c r="M19" s="126" t="s">
        <v>0</v>
      </c>
      <c r="N19" s="126">
        <v>1.5700000000000002E-2</v>
      </c>
      <c r="O19" s="126" t="s">
        <v>0</v>
      </c>
      <c r="P19" s="126">
        <v>0</v>
      </c>
      <c r="Q19" s="126" t="s">
        <v>0</v>
      </c>
      <c r="R19" s="126">
        <f t="shared" si="1"/>
        <v>1.5700000000000002E-2</v>
      </c>
      <c r="S19" s="126">
        <f t="shared" si="2"/>
        <v>3.1717171717171718E-3</v>
      </c>
    </row>
    <row r="20" spans="1:19" x14ac:dyDescent="0.25">
      <c r="A20" s="43" t="s">
        <v>749</v>
      </c>
      <c r="B20" s="42" t="s">
        <v>55</v>
      </c>
      <c r="C20" s="42" t="s">
        <v>876</v>
      </c>
      <c r="D20" s="42" t="s">
        <v>1011</v>
      </c>
      <c r="E20" s="42">
        <f>56.76*0.2/20</f>
        <v>0.56759999999999999</v>
      </c>
      <c r="F20" s="42">
        <v>20</v>
      </c>
      <c r="G20" s="42">
        <f t="shared" si="0"/>
        <v>20</v>
      </c>
      <c r="H20" s="42" t="s">
        <v>72</v>
      </c>
      <c r="I20" s="42" t="s">
        <v>316</v>
      </c>
      <c r="J20" s="126">
        <v>5.0759999999999996</v>
      </c>
      <c r="K20" s="126" t="s">
        <v>0</v>
      </c>
      <c r="L20" s="126" t="s">
        <v>0</v>
      </c>
      <c r="M20" s="126" t="s">
        <v>0</v>
      </c>
      <c r="N20" s="126">
        <v>0.25379999999999997</v>
      </c>
      <c r="O20" s="126" t="s">
        <v>0</v>
      </c>
      <c r="P20" s="126" t="s">
        <v>0</v>
      </c>
      <c r="Q20" s="126" t="s">
        <v>0</v>
      </c>
      <c r="R20" s="126">
        <f t="shared" si="1"/>
        <v>0.25379999999999997</v>
      </c>
      <c r="S20" s="126">
        <f t="shared" si="2"/>
        <v>0.44714587737843547</v>
      </c>
    </row>
    <row r="21" spans="1:19" x14ac:dyDescent="0.25">
      <c r="A21" s="43" t="s">
        <v>749</v>
      </c>
      <c r="B21" s="42" t="s">
        <v>55</v>
      </c>
      <c r="C21" s="42" t="s">
        <v>876</v>
      </c>
      <c r="D21" s="42" t="s">
        <v>1011</v>
      </c>
      <c r="E21" s="42">
        <f>56.76*0.2/20</f>
        <v>0.56759999999999999</v>
      </c>
      <c r="F21" s="42">
        <v>20</v>
      </c>
      <c r="G21" s="42">
        <f t="shared" si="0"/>
        <v>20</v>
      </c>
      <c r="H21" s="42" t="s">
        <v>72</v>
      </c>
      <c r="I21" s="42" t="s">
        <v>316</v>
      </c>
      <c r="J21" s="126">
        <v>4.6340000000000003</v>
      </c>
      <c r="K21" s="126" t="s">
        <v>0</v>
      </c>
      <c r="L21" s="126" t="s">
        <v>0</v>
      </c>
      <c r="M21" s="126" t="s">
        <v>0</v>
      </c>
      <c r="N21" s="126">
        <v>0.23170000000000002</v>
      </c>
      <c r="O21" s="126" t="s">
        <v>0</v>
      </c>
      <c r="P21" s="126" t="s">
        <v>0</v>
      </c>
      <c r="Q21" s="126" t="s">
        <v>0</v>
      </c>
      <c r="R21" s="126">
        <f t="shared" si="1"/>
        <v>0.23170000000000002</v>
      </c>
      <c r="S21" s="126">
        <f t="shared" si="2"/>
        <v>0.40821000704721638</v>
      </c>
    </row>
    <row r="22" spans="1:19" x14ac:dyDescent="0.25">
      <c r="A22" s="43" t="s">
        <v>749</v>
      </c>
      <c r="B22" s="42" t="s">
        <v>55</v>
      </c>
      <c r="C22" s="42" t="s">
        <v>876</v>
      </c>
      <c r="D22" s="42" t="s">
        <v>1011</v>
      </c>
      <c r="E22" s="42">
        <f>56.76*0.2/10</f>
        <v>1.1352</v>
      </c>
      <c r="F22" s="42">
        <v>10</v>
      </c>
      <c r="G22" s="42">
        <f t="shared" si="0"/>
        <v>10</v>
      </c>
      <c r="H22" s="42" t="s">
        <v>72</v>
      </c>
      <c r="I22" s="42" t="s">
        <v>316</v>
      </c>
      <c r="J22" s="126">
        <v>0</v>
      </c>
      <c r="K22" s="126" t="s">
        <v>0</v>
      </c>
      <c r="L22" s="126" t="s">
        <v>0</v>
      </c>
      <c r="M22" s="126" t="s">
        <v>0</v>
      </c>
      <c r="N22" s="126">
        <v>0</v>
      </c>
      <c r="O22" s="126" t="s">
        <v>0</v>
      </c>
      <c r="P22" s="126" t="s">
        <v>0</v>
      </c>
      <c r="Q22" s="126" t="s">
        <v>0</v>
      </c>
      <c r="R22" s="126">
        <f t="shared" si="1"/>
        <v>0</v>
      </c>
      <c r="S22" s="126">
        <f t="shared" si="2"/>
        <v>0</v>
      </c>
    </row>
    <row r="23" spans="1:19" x14ac:dyDescent="0.25">
      <c r="A23" s="43" t="s">
        <v>749</v>
      </c>
      <c r="B23" s="42" t="s">
        <v>55</v>
      </c>
      <c r="C23" s="42" t="s">
        <v>876</v>
      </c>
      <c r="D23" s="42" t="s">
        <v>1011</v>
      </c>
      <c r="E23" s="42">
        <f>56.76*0.2/30</f>
        <v>0.37840000000000001</v>
      </c>
      <c r="F23" s="42">
        <v>30</v>
      </c>
      <c r="G23" s="42">
        <f t="shared" si="0"/>
        <v>30</v>
      </c>
      <c r="H23" s="42" t="s">
        <v>72</v>
      </c>
      <c r="I23" s="42" t="s">
        <v>316</v>
      </c>
      <c r="J23" s="126">
        <v>4.6340000000000003</v>
      </c>
      <c r="K23" s="126" t="s">
        <v>0</v>
      </c>
      <c r="L23" s="126" t="s">
        <v>0</v>
      </c>
      <c r="M23" s="126" t="s">
        <v>0</v>
      </c>
      <c r="N23" s="126">
        <v>0.15446666666666667</v>
      </c>
      <c r="O23" s="126" t="s">
        <v>0</v>
      </c>
      <c r="P23" s="126" t="s">
        <v>0</v>
      </c>
      <c r="Q23" s="126" t="s">
        <v>0</v>
      </c>
      <c r="R23" s="126">
        <f t="shared" si="1"/>
        <v>0.15446666666666667</v>
      </c>
      <c r="S23" s="126">
        <f t="shared" si="2"/>
        <v>0.40821000704721633</v>
      </c>
    </row>
    <row r="24" spans="1:19" x14ac:dyDescent="0.25">
      <c r="A24" s="43" t="s">
        <v>1586</v>
      </c>
      <c r="B24" s="42" t="s">
        <v>55</v>
      </c>
      <c r="C24" s="42" t="s">
        <v>1023</v>
      </c>
      <c r="D24" s="42" t="s">
        <v>1021</v>
      </c>
      <c r="E24" s="42">
        <f>21.43/6</f>
        <v>3.5716666666666668</v>
      </c>
      <c r="F24" s="42">
        <v>6</v>
      </c>
      <c r="G24" s="42" t="s">
        <v>0</v>
      </c>
      <c r="H24" s="42" t="s">
        <v>72</v>
      </c>
      <c r="I24" s="42" t="s">
        <v>1024</v>
      </c>
      <c r="J24" s="126">
        <v>1.1255172413793104</v>
      </c>
      <c r="K24" s="126" t="s">
        <v>0</v>
      </c>
      <c r="L24" s="126" t="s">
        <v>0</v>
      </c>
      <c r="M24" s="126" t="s">
        <v>0</v>
      </c>
      <c r="N24" s="126">
        <v>0.18758620689655173</v>
      </c>
      <c r="O24" s="126" t="s">
        <v>0</v>
      </c>
      <c r="P24" s="126" t="s">
        <v>0</v>
      </c>
      <c r="Q24" s="126" t="s">
        <v>0</v>
      </c>
      <c r="R24" s="126">
        <f t="shared" si="1"/>
        <v>0.18758620689655173</v>
      </c>
      <c r="S24" s="126">
        <f t="shared" si="2"/>
        <v>5.2520636555264129E-2</v>
      </c>
    </row>
    <row r="25" spans="1:19" x14ac:dyDescent="0.25">
      <c r="A25" s="43" t="s">
        <v>1586</v>
      </c>
      <c r="B25" s="42" t="s">
        <v>55</v>
      </c>
      <c r="C25" s="42" t="s">
        <v>1023</v>
      </c>
      <c r="D25" s="42" t="s">
        <v>1021</v>
      </c>
      <c r="E25" s="42">
        <f>21.43/4</f>
        <v>5.3574999999999999</v>
      </c>
      <c r="F25" s="42">
        <v>4</v>
      </c>
      <c r="G25" s="42" t="s">
        <v>0</v>
      </c>
      <c r="H25" s="42" t="s">
        <v>72</v>
      </c>
      <c r="I25" s="42" t="s">
        <v>1024</v>
      </c>
      <c r="J25" s="126">
        <v>2.8027586206896551</v>
      </c>
      <c r="K25" s="126" t="s">
        <v>0</v>
      </c>
      <c r="L25" s="126" t="s">
        <v>0</v>
      </c>
      <c r="M25" s="126" t="s">
        <v>0</v>
      </c>
      <c r="N25" s="126">
        <v>0.70068965517241377</v>
      </c>
      <c r="O25" s="126" t="s">
        <v>0</v>
      </c>
      <c r="P25" s="126" t="s">
        <v>0</v>
      </c>
      <c r="Q25" s="126" t="s">
        <v>0</v>
      </c>
      <c r="R25" s="126">
        <f t="shared" si="1"/>
        <v>0.70068965517241377</v>
      </c>
      <c r="S25" s="126">
        <f t="shared" si="2"/>
        <v>0.13078668318663814</v>
      </c>
    </row>
    <row r="26" spans="1:19" x14ac:dyDescent="0.25">
      <c r="A26" s="43" t="s">
        <v>1586</v>
      </c>
      <c r="B26" s="42" t="s">
        <v>55</v>
      </c>
      <c r="C26" s="42" t="s">
        <v>1023</v>
      </c>
      <c r="D26" s="42" t="s">
        <v>1021</v>
      </c>
      <c r="E26" s="42">
        <f>40.28/6</f>
        <v>6.7133333333333338</v>
      </c>
      <c r="F26" s="42">
        <v>6</v>
      </c>
      <c r="G26" s="42" t="s">
        <v>0</v>
      </c>
      <c r="H26" s="42" t="s">
        <v>72</v>
      </c>
      <c r="I26" s="42" t="s">
        <v>1036</v>
      </c>
      <c r="J26" s="126">
        <v>8.8937931034482762</v>
      </c>
      <c r="K26" s="126" t="s">
        <v>0</v>
      </c>
      <c r="L26" s="126" t="s">
        <v>0</v>
      </c>
      <c r="M26" s="126" t="s">
        <v>0</v>
      </c>
      <c r="N26" s="126">
        <v>1.4822988505747128</v>
      </c>
      <c r="O26" s="126" t="s">
        <v>0</v>
      </c>
      <c r="P26" s="126" t="s">
        <v>0</v>
      </c>
      <c r="Q26" s="126" t="s">
        <v>0</v>
      </c>
      <c r="R26" s="126">
        <f t="shared" si="1"/>
        <v>1.4822988505747128</v>
      </c>
      <c r="S26" s="126">
        <f t="shared" si="2"/>
        <v>0.22079923295551826</v>
      </c>
    </row>
    <row r="27" spans="1:19" x14ac:dyDescent="0.25">
      <c r="A27" s="43" t="s">
        <v>1586</v>
      </c>
      <c r="B27" s="48" t="s">
        <v>1040</v>
      </c>
      <c r="C27" s="48" t="s">
        <v>1023</v>
      </c>
      <c r="D27" s="48" t="s">
        <v>1041</v>
      </c>
      <c r="E27" s="48">
        <f>40.28/6</f>
        <v>6.7133333333333338</v>
      </c>
      <c r="F27" s="48">
        <v>5.86</v>
      </c>
      <c r="G27" s="48" t="s">
        <v>0</v>
      </c>
      <c r="H27" s="48" t="s">
        <v>72</v>
      </c>
      <c r="I27" s="48" t="s">
        <v>1036</v>
      </c>
      <c r="J27" s="244">
        <v>9.1144827586206887</v>
      </c>
      <c r="K27" s="126" t="s">
        <v>0</v>
      </c>
      <c r="L27" s="244">
        <v>7.6266666666666669</v>
      </c>
      <c r="M27" s="126" t="s">
        <v>0</v>
      </c>
      <c r="N27" s="244">
        <v>1.5553724844062609</v>
      </c>
      <c r="O27" s="126" t="s">
        <v>0</v>
      </c>
      <c r="P27" s="244">
        <v>1.3014789533560864</v>
      </c>
      <c r="Q27" s="126" t="s">
        <v>0</v>
      </c>
      <c r="R27" s="126">
        <f t="shared" si="1"/>
        <v>2.8568514377623471</v>
      </c>
      <c r="S27" s="126">
        <f t="shared" si="2"/>
        <v>0.42554887354950549</v>
      </c>
    </row>
    <row r="28" spans="1:19" x14ac:dyDescent="0.25">
      <c r="A28" s="43" t="s">
        <v>1610</v>
      </c>
      <c r="B28" s="42" t="s">
        <v>2</v>
      </c>
      <c r="C28" s="42" t="s">
        <v>1023</v>
      </c>
      <c r="D28" s="42" t="s">
        <v>1063</v>
      </c>
      <c r="E28" s="42">
        <f>30.21/F28</f>
        <v>51.78857142857143</v>
      </c>
      <c r="F28" s="42">
        <f>14/24</f>
        <v>0.58333333333333337</v>
      </c>
      <c r="G28" s="42" t="s">
        <v>0</v>
      </c>
      <c r="H28" s="42" t="s">
        <v>72</v>
      </c>
      <c r="I28" s="42" t="s">
        <v>1065</v>
      </c>
      <c r="J28" s="42">
        <v>2.2456140350877192</v>
      </c>
      <c r="K28" s="126" t="s">
        <v>0</v>
      </c>
      <c r="L28" s="126" t="s">
        <v>0</v>
      </c>
      <c r="M28" s="126" t="s">
        <v>0</v>
      </c>
      <c r="N28" s="42">
        <v>3.8</v>
      </c>
      <c r="O28" s="126" t="s">
        <v>0</v>
      </c>
      <c r="P28" s="42" t="s">
        <v>0</v>
      </c>
      <c r="Q28" s="126" t="s">
        <v>0</v>
      </c>
      <c r="R28" s="126">
        <f t="shared" si="1"/>
        <v>3.8</v>
      </c>
      <c r="S28" s="126">
        <f t="shared" si="2"/>
        <v>7.3375262054507326E-2</v>
      </c>
    </row>
    <row r="29" spans="1:19" x14ac:dyDescent="0.25">
      <c r="A29" s="43" t="s">
        <v>1614</v>
      </c>
      <c r="B29" s="42" t="s">
        <v>55</v>
      </c>
      <c r="C29" s="42" t="s">
        <v>1078</v>
      </c>
      <c r="D29" s="42" t="s">
        <v>1839</v>
      </c>
      <c r="E29" s="42">
        <v>1.92</v>
      </c>
      <c r="F29" s="42">
        <v>15</v>
      </c>
      <c r="G29" s="42" t="s">
        <v>0</v>
      </c>
      <c r="H29" s="42" t="s">
        <v>72</v>
      </c>
      <c r="I29" s="42" t="s">
        <v>1080</v>
      </c>
      <c r="J29" s="126" t="s">
        <v>0</v>
      </c>
      <c r="K29" s="126" t="s">
        <v>0</v>
      </c>
      <c r="L29" s="126" t="s">
        <v>0</v>
      </c>
      <c r="M29" s="126" t="s">
        <v>0</v>
      </c>
      <c r="N29" s="42">
        <v>0.6</v>
      </c>
      <c r="O29" s="126" t="s">
        <v>0</v>
      </c>
      <c r="P29" s="42" t="s">
        <v>0</v>
      </c>
      <c r="Q29" s="126" t="s">
        <v>0</v>
      </c>
      <c r="R29" s="126">
        <f t="shared" si="1"/>
        <v>0.6</v>
      </c>
      <c r="S29" s="126">
        <f t="shared" si="2"/>
        <v>0.3125</v>
      </c>
    </row>
    <row r="30" spans="1:19" x14ac:dyDescent="0.25">
      <c r="A30" s="43" t="s">
        <v>1614</v>
      </c>
      <c r="B30" s="42" t="s">
        <v>55</v>
      </c>
      <c r="C30" s="42" t="s">
        <v>1078</v>
      </c>
      <c r="D30" s="42" t="s">
        <v>1839</v>
      </c>
      <c r="E30" s="42">
        <v>1.92</v>
      </c>
      <c r="F30" s="42">
        <v>15</v>
      </c>
      <c r="G30" s="42" t="s">
        <v>0</v>
      </c>
      <c r="H30" s="42" t="s">
        <v>72</v>
      </c>
      <c r="I30" s="42" t="s">
        <v>1091</v>
      </c>
      <c r="J30" s="42" t="s">
        <v>0</v>
      </c>
      <c r="K30" s="42" t="s">
        <v>0</v>
      </c>
      <c r="L30" s="126" t="s">
        <v>0</v>
      </c>
      <c r="M30" s="126" t="s">
        <v>0</v>
      </c>
      <c r="N30" s="42">
        <v>0.09</v>
      </c>
      <c r="O30" s="126" t="s">
        <v>0</v>
      </c>
      <c r="P30" s="42" t="s">
        <v>0</v>
      </c>
      <c r="Q30" s="126" t="s">
        <v>0</v>
      </c>
      <c r="R30" s="126">
        <f t="shared" si="1"/>
        <v>0.09</v>
      </c>
      <c r="S30" s="126">
        <f t="shared" si="2"/>
        <v>4.6875E-2</v>
      </c>
    </row>
    <row r="31" spans="1:19" x14ac:dyDescent="0.25">
      <c r="A31" s="43" t="s">
        <v>1614</v>
      </c>
      <c r="B31" s="42" t="s">
        <v>55</v>
      </c>
      <c r="C31" s="42" t="s">
        <v>1078</v>
      </c>
      <c r="D31" s="42" t="s">
        <v>1839</v>
      </c>
      <c r="E31" s="42">
        <v>1.92</v>
      </c>
      <c r="F31" s="42">
        <v>15</v>
      </c>
      <c r="G31" s="42" t="s">
        <v>0</v>
      </c>
      <c r="H31" s="42" t="s">
        <v>72</v>
      </c>
      <c r="I31" s="42" t="s">
        <v>1097</v>
      </c>
      <c r="J31" s="42" t="s">
        <v>0</v>
      </c>
      <c r="K31" s="42" t="s">
        <v>0</v>
      </c>
      <c r="L31" s="126" t="s">
        <v>0</v>
      </c>
      <c r="M31" s="126" t="s">
        <v>0</v>
      </c>
      <c r="N31" s="42">
        <v>0.12</v>
      </c>
      <c r="O31" s="126" t="s">
        <v>0</v>
      </c>
      <c r="P31" s="42" t="s">
        <v>0</v>
      </c>
      <c r="Q31" s="126" t="s">
        <v>0</v>
      </c>
      <c r="R31" s="126">
        <f t="shared" si="1"/>
        <v>0.12</v>
      </c>
      <c r="S31" s="126">
        <f t="shared" si="2"/>
        <v>6.25E-2</v>
      </c>
    </row>
    <row r="32" spans="1:19" x14ac:dyDescent="0.25">
      <c r="A32" s="43" t="s">
        <v>1614</v>
      </c>
      <c r="B32" s="42" t="s">
        <v>55</v>
      </c>
      <c r="C32" s="42" t="s">
        <v>1078</v>
      </c>
      <c r="D32" s="42" t="s">
        <v>1839</v>
      </c>
      <c r="E32" s="42">
        <v>1.92</v>
      </c>
      <c r="F32" s="42">
        <v>15</v>
      </c>
      <c r="G32" s="42" t="s">
        <v>0</v>
      </c>
      <c r="H32" s="42" t="s">
        <v>72</v>
      </c>
      <c r="I32" s="42" t="s">
        <v>1080</v>
      </c>
      <c r="J32" s="42" t="s">
        <v>0</v>
      </c>
      <c r="K32" s="42" t="s">
        <v>0</v>
      </c>
      <c r="L32" s="126" t="s">
        <v>0</v>
      </c>
      <c r="M32" s="126" t="s">
        <v>0</v>
      </c>
      <c r="N32" s="42">
        <v>0.1</v>
      </c>
      <c r="O32" s="126" t="s">
        <v>0</v>
      </c>
      <c r="P32" s="42" t="s">
        <v>0</v>
      </c>
      <c r="Q32" s="126" t="s">
        <v>0</v>
      </c>
      <c r="R32" s="126">
        <f t="shared" si="1"/>
        <v>0.1</v>
      </c>
      <c r="S32" s="126">
        <f t="shared" si="2"/>
        <v>5.2083333333333336E-2</v>
      </c>
    </row>
    <row r="33" spans="1:19" x14ac:dyDescent="0.25">
      <c r="A33" s="43" t="s">
        <v>1614</v>
      </c>
      <c r="B33" s="42" t="s">
        <v>55</v>
      </c>
      <c r="C33" s="42" t="s">
        <v>1078</v>
      </c>
      <c r="D33" s="42" t="s">
        <v>1839</v>
      </c>
      <c r="E33" s="42">
        <v>1.92</v>
      </c>
      <c r="F33" s="42">
        <v>15</v>
      </c>
      <c r="G33" s="42" t="s">
        <v>0</v>
      </c>
      <c r="H33" s="42" t="s">
        <v>72</v>
      </c>
      <c r="I33" s="42" t="s">
        <v>1080</v>
      </c>
      <c r="J33" s="42" t="s">
        <v>0</v>
      </c>
      <c r="K33" s="42" t="s">
        <v>0</v>
      </c>
      <c r="L33" s="126" t="s">
        <v>0</v>
      </c>
      <c r="M33" s="126" t="s">
        <v>0</v>
      </c>
      <c r="N33" s="42">
        <v>0.06</v>
      </c>
      <c r="O33" s="126" t="s">
        <v>0</v>
      </c>
      <c r="P33" s="42" t="s">
        <v>0</v>
      </c>
      <c r="Q33" s="126" t="s">
        <v>0</v>
      </c>
      <c r="R33" s="126">
        <f t="shared" si="1"/>
        <v>0.06</v>
      </c>
      <c r="S33" s="126">
        <f t="shared" si="2"/>
        <v>3.125E-2</v>
      </c>
    </row>
    <row r="34" spans="1:19" x14ac:dyDescent="0.25">
      <c r="A34" s="43" t="s">
        <v>1628</v>
      </c>
      <c r="B34" s="42" t="s">
        <v>2</v>
      </c>
      <c r="C34" s="42" t="s">
        <v>1078</v>
      </c>
      <c r="D34" s="42" t="s">
        <v>1113</v>
      </c>
      <c r="E34" s="130">
        <f>54/6</f>
        <v>9</v>
      </c>
      <c r="F34" s="42">
        <v>6</v>
      </c>
      <c r="G34" s="42">
        <f>F34</f>
        <v>6</v>
      </c>
      <c r="H34" s="42" t="s">
        <v>72</v>
      </c>
      <c r="I34" s="42" t="s">
        <v>1115</v>
      </c>
      <c r="J34" s="42" t="s">
        <v>0</v>
      </c>
      <c r="K34" s="42" t="s">
        <v>0</v>
      </c>
      <c r="L34" s="126" t="s">
        <v>0</v>
      </c>
      <c r="M34" s="126" t="s">
        <v>0</v>
      </c>
      <c r="N34" s="42">
        <v>5.6999999999999995E-2</v>
      </c>
      <c r="O34" s="126" t="s">
        <v>0</v>
      </c>
      <c r="P34" s="42" t="s">
        <v>0</v>
      </c>
      <c r="Q34" s="126" t="s">
        <v>0</v>
      </c>
      <c r="R34" s="126">
        <f t="shared" si="1"/>
        <v>5.6999999999999995E-2</v>
      </c>
      <c r="S34" s="126">
        <f t="shared" si="2"/>
        <v>6.3333333333333332E-3</v>
      </c>
    </row>
    <row r="35" spans="1:19" x14ac:dyDescent="0.25">
      <c r="A35" s="43" t="s">
        <v>1628</v>
      </c>
      <c r="B35" s="42" t="s">
        <v>2</v>
      </c>
      <c r="C35" s="42" t="s">
        <v>1078</v>
      </c>
      <c r="D35" s="42" t="s">
        <v>1113</v>
      </c>
      <c r="E35" s="130">
        <f>54/3</f>
        <v>18</v>
      </c>
      <c r="F35" s="42">
        <v>3</v>
      </c>
      <c r="G35" s="42">
        <f>F35</f>
        <v>3</v>
      </c>
      <c r="H35" s="42" t="s">
        <v>72</v>
      </c>
      <c r="I35" s="42" t="s">
        <v>1115</v>
      </c>
      <c r="J35" s="42" t="s">
        <v>0</v>
      </c>
      <c r="K35" s="42" t="s">
        <v>0</v>
      </c>
      <c r="L35" s="126" t="s">
        <v>0</v>
      </c>
      <c r="M35" s="126" t="s">
        <v>0</v>
      </c>
      <c r="N35" s="42">
        <v>1.1440000000000001</v>
      </c>
      <c r="O35" s="42">
        <v>0.10400000000000001</v>
      </c>
      <c r="P35" s="42" t="s">
        <v>0</v>
      </c>
      <c r="Q35" s="126" t="s">
        <v>0</v>
      </c>
      <c r="R35" s="126">
        <f t="shared" si="1"/>
        <v>1.2480000000000002</v>
      </c>
      <c r="S35" s="126">
        <f t="shared" si="2"/>
        <v>6.9333333333333344E-2</v>
      </c>
    </row>
    <row r="36" spans="1:19" x14ac:dyDescent="0.25">
      <c r="A36" s="43" t="s">
        <v>1629</v>
      </c>
      <c r="B36" s="42" t="s">
        <v>2</v>
      </c>
      <c r="C36" s="42" t="s">
        <v>1078</v>
      </c>
      <c r="D36" s="42" t="s">
        <v>1122</v>
      </c>
      <c r="E36" s="42">
        <v>4.5</v>
      </c>
      <c r="F36" s="42">
        <v>15</v>
      </c>
      <c r="G36" s="42" t="s">
        <v>0</v>
      </c>
      <c r="H36" s="42" t="s">
        <v>72</v>
      </c>
      <c r="I36" s="42" t="s">
        <v>1124</v>
      </c>
      <c r="J36" s="42" t="s">
        <v>0</v>
      </c>
      <c r="K36" s="42" t="s">
        <v>0</v>
      </c>
      <c r="L36" s="126" t="s">
        <v>0</v>
      </c>
      <c r="M36" s="126" t="s">
        <v>0</v>
      </c>
      <c r="N36" s="126">
        <v>3.2639999999999998</v>
      </c>
      <c r="O36" s="126" t="s">
        <v>0</v>
      </c>
      <c r="P36" s="42" t="s">
        <v>0</v>
      </c>
      <c r="Q36" s="126" t="s">
        <v>0</v>
      </c>
      <c r="R36" s="126">
        <f t="shared" si="1"/>
        <v>3.2639999999999998</v>
      </c>
      <c r="S36" s="126">
        <f t="shared" si="2"/>
        <v>0.72533333333333327</v>
      </c>
    </row>
    <row r="37" spans="1:19" x14ac:dyDescent="0.25">
      <c r="A37" s="43" t="s">
        <v>1629</v>
      </c>
      <c r="B37" s="42" t="s">
        <v>2</v>
      </c>
      <c r="C37" s="42" t="s">
        <v>1078</v>
      </c>
      <c r="D37" s="42" t="s">
        <v>1122</v>
      </c>
      <c r="E37" s="42">
        <v>5.7</v>
      </c>
      <c r="F37" s="42">
        <v>12</v>
      </c>
      <c r="G37" s="42" t="s">
        <v>0</v>
      </c>
      <c r="H37" s="42" t="s">
        <v>72</v>
      </c>
      <c r="I37" s="42" t="s">
        <v>1124</v>
      </c>
      <c r="J37" s="42" t="s">
        <v>0</v>
      </c>
      <c r="K37" s="42" t="s">
        <v>0</v>
      </c>
      <c r="L37" s="126" t="s">
        <v>0</v>
      </c>
      <c r="M37" s="126" t="s">
        <v>0</v>
      </c>
      <c r="N37" s="126">
        <v>4.62</v>
      </c>
      <c r="O37" s="126" t="s">
        <v>0</v>
      </c>
      <c r="P37" s="42" t="s">
        <v>0</v>
      </c>
      <c r="Q37" s="126" t="s">
        <v>0</v>
      </c>
      <c r="R37" s="126">
        <f t="shared" ref="R37:R68" si="3">SUM(N37:Q37)</f>
        <v>4.62</v>
      </c>
      <c r="S37" s="126">
        <f t="shared" ref="S37:S68" si="4">R37/E37</f>
        <v>0.81052631578947365</v>
      </c>
    </row>
    <row r="38" spans="1:19" x14ac:dyDescent="0.25">
      <c r="A38" s="43" t="s">
        <v>700</v>
      </c>
      <c r="B38" s="42" t="s">
        <v>2</v>
      </c>
      <c r="C38" s="42" t="s">
        <v>1132</v>
      </c>
      <c r="D38" s="42" t="s">
        <v>1130</v>
      </c>
      <c r="E38" s="42">
        <f>(102.93+122.96+16.64)*50/1400</f>
        <v>8.6617857142857133</v>
      </c>
      <c r="F38" s="42">
        <f>1400/50</f>
        <v>28</v>
      </c>
      <c r="G38" s="42">
        <f>F38</f>
        <v>28</v>
      </c>
      <c r="H38" s="42" t="s">
        <v>72</v>
      </c>
      <c r="I38" s="42" t="s">
        <v>1133</v>
      </c>
      <c r="J38" s="42">
        <v>51.67</v>
      </c>
      <c r="K38" s="42" t="s">
        <v>0</v>
      </c>
      <c r="L38" s="126" t="s">
        <v>0</v>
      </c>
      <c r="M38" s="126" t="s">
        <v>0</v>
      </c>
      <c r="N38" s="126">
        <v>1.8453571428571429</v>
      </c>
      <c r="O38" s="126" t="s">
        <v>0</v>
      </c>
      <c r="P38" s="42" t="s">
        <v>0</v>
      </c>
      <c r="Q38" s="126" t="s">
        <v>0</v>
      </c>
      <c r="R38" s="126">
        <f t="shared" si="3"/>
        <v>1.8453571428571429</v>
      </c>
      <c r="S38" s="126">
        <f t="shared" si="4"/>
        <v>0.21304580876592591</v>
      </c>
    </row>
    <row r="39" spans="1:19" x14ac:dyDescent="0.25">
      <c r="A39" s="43" t="s">
        <v>1631</v>
      </c>
      <c r="B39" s="42" t="s">
        <v>2</v>
      </c>
      <c r="C39" s="42" t="s">
        <v>1140</v>
      </c>
      <c r="D39" s="42" t="s">
        <v>1139</v>
      </c>
      <c r="E39" s="42">
        <f>71.9/F39</f>
        <v>3.5950000000000002</v>
      </c>
      <c r="F39" s="42">
        <v>20</v>
      </c>
      <c r="G39" s="42" t="s">
        <v>0</v>
      </c>
      <c r="H39" s="42" t="s">
        <v>72</v>
      </c>
      <c r="I39" s="42" t="s">
        <v>1141</v>
      </c>
      <c r="J39" s="42" t="s">
        <v>0</v>
      </c>
      <c r="K39" s="42" t="s">
        <v>0</v>
      </c>
      <c r="L39" s="126" t="s">
        <v>0</v>
      </c>
      <c r="M39" s="126" t="s">
        <v>0</v>
      </c>
      <c r="N39" s="126">
        <v>0.54</v>
      </c>
      <c r="O39" s="126" t="s">
        <v>0</v>
      </c>
      <c r="P39" s="42" t="s">
        <v>0</v>
      </c>
      <c r="Q39" s="126" t="s">
        <v>0</v>
      </c>
      <c r="R39" s="126">
        <f t="shared" si="3"/>
        <v>0.54</v>
      </c>
      <c r="S39" s="126">
        <f t="shared" si="4"/>
        <v>0.1502086230876217</v>
      </c>
    </row>
    <row r="40" spans="1:19" x14ac:dyDescent="0.25">
      <c r="A40" s="43" t="s">
        <v>1631</v>
      </c>
      <c r="B40" s="42" t="s">
        <v>2</v>
      </c>
      <c r="C40" s="42" t="s">
        <v>1140</v>
      </c>
      <c r="D40" s="42" t="s">
        <v>1139</v>
      </c>
      <c r="E40" s="42">
        <f>71.9/F40</f>
        <v>7.19</v>
      </c>
      <c r="F40" s="42">
        <v>10</v>
      </c>
      <c r="G40" s="42" t="s">
        <v>0</v>
      </c>
      <c r="H40" s="42" t="s">
        <v>72</v>
      </c>
      <c r="I40" s="42" t="s">
        <v>1141</v>
      </c>
      <c r="J40" s="42" t="s">
        <v>0</v>
      </c>
      <c r="K40" s="42" t="s">
        <v>0</v>
      </c>
      <c r="L40" s="126" t="s">
        <v>0</v>
      </c>
      <c r="M40" s="126" t="s">
        <v>0</v>
      </c>
      <c r="N40" s="126">
        <v>1.45</v>
      </c>
      <c r="O40" s="126" t="s">
        <v>0</v>
      </c>
      <c r="P40" s="42" t="s">
        <v>0</v>
      </c>
      <c r="Q40" s="126" t="s">
        <v>0</v>
      </c>
      <c r="R40" s="126">
        <f t="shared" si="3"/>
        <v>1.45</v>
      </c>
      <c r="S40" s="126">
        <f t="shared" si="4"/>
        <v>0.20166898470097355</v>
      </c>
    </row>
    <row r="41" spans="1:19" x14ac:dyDescent="0.25">
      <c r="A41" s="43" t="s">
        <v>1631</v>
      </c>
      <c r="B41" s="42" t="s">
        <v>2</v>
      </c>
      <c r="C41" s="42" t="s">
        <v>1140</v>
      </c>
      <c r="D41" s="42" t="s">
        <v>1139</v>
      </c>
      <c r="E41" s="42">
        <f>71.9/F41</f>
        <v>14.38</v>
      </c>
      <c r="F41" s="42">
        <v>5</v>
      </c>
      <c r="G41" s="42" t="s">
        <v>0</v>
      </c>
      <c r="H41" s="42" t="s">
        <v>72</v>
      </c>
      <c r="I41" s="42" t="s">
        <v>1141</v>
      </c>
      <c r="J41" s="42" t="s">
        <v>0</v>
      </c>
      <c r="K41" s="42" t="s">
        <v>0</v>
      </c>
      <c r="L41" s="126" t="s">
        <v>0</v>
      </c>
      <c r="M41" s="126" t="s">
        <v>0</v>
      </c>
      <c r="N41" s="126">
        <v>2.8</v>
      </c>
      <c r="O41" s="126" t="s">
        <v>0</v>
      </c>
      <c r="P41" s="42" t="s">
        <v>0</v>
      </c>
      <c r="Q41" s="126" t="s">
        <v>0</v>
      </c>
      <c r="R41" s="126">
        <f t="shared" si="3"/>
        <v>2.8</v>
      </c>
      <c r="S41" s="126">
        <f t="shared" si="4"/>
        <v>0.19471488178025032</v>
      </c>
    </row>
    <row r="42" spans="1:19" x14ac:dyDescent="0.25">
      <c r="A42" s="43" t="s">
        <v>1631</v>
      </c>
      <c r="B42" s="42" t="s">
        <v>2</v>
      </c>
      <c r="C42" s="42" t="s">
        <v>1140</v>
      </c>
      <c r="D42" s="42" t="s">
        <v>1139</v>
      </c>
      <c r="E42" s="42">
        <f>71.9/F42</f>
        <v>28.76</v>
      </c>
      <c r="F42" s="42">
        <v>2.5</v>
      </c>
      <c r="G42" s="42" t="s">
        <v>0</v>
      </c>
      <c r="H42" s="42" t="s">
        <v>72</v>
      </c>
      <c r="I42" s="42" t="s">
        <v>1141</v>
      </c>
      <c r="J42" s="42" t="s">
        <v>0</v>
      </c>
      <c r="K42" s="42" t="s">
        <v>0</v>
      </c>
      <c r="L42" s="126" t="s">
        <v>0</v>
      </c>
      <c r="M42" s="126" t="s">
        <v>0</v>
      </c>
      <c r="N42" s="126">
        <v>5.12</v>
      </c>
      <c r="O42" s="126" t="s">
        <v>0</v>
      </c>
      <c r="P42" s="42" t="s">
        <v>0</v>
      </c>
      <c r="Q42" s="126" t="s">
        <v>0</v>
      </c>
      <c r="R42" s="126">
        <f t="shared" si="3"/>
        <v>5.12</v>
      </c>
      <c r="S42" s="126">
        <f t="shared" si="4"/>
        <v>0.1780250347705146</v>
      </c>
    </row>
    <row r="43" spans="1:19" x14ac:dyDescent="0.25">
      <c r="A43" s="43" t="s">
        <v>1632</v>
      </c>
      <c r="B43" s="42" t="s">
        <v>2</v>
      </c>
      <c r="C43" s="42" t="s">
        <v>1023</v>
      </c>
      <c r="D43" s="42" t="s">
        <v>1152</v>
      </c>
      <c r="E43" s="42">
        <v>10.9</v>
      </c>
      <c r="F43" s="42">
        <v>2.09</v>
      </c>
      <c r="G43" s="42" t="s">
        <v>0</v>
      </c>
      <c r="H43" s="42" t="s">
        <v>72</v>
      </c>
      <c r="I43" s="42" t="s">
        <v>1158</v>
      </c>
      <c r="J43" s="42" t="s">
        <v>903</v>
      </c>
      <c r="K43" s="42" t="s">
        <v>903</v>
      </c>
      <c r="L43" s="42" t="s">
        <v>903</v>
      </c>
      <c r="M43" s="42" t="s">
        <v>903</v>
      </c>
      <c r="N43" s="42">
        <v>3.08</v>
      </c>
      <c r="O43" s="42">
        <v>0.48</v>
      </c>
      <c r="P43" s="42">
        <v>0.86</v>
      </c>
      <c r="Q43" s="42">
        <v>0.05</v>
      </c>
      <c r="R43" s="126">
        <f t="shared" si="3"/>
        <v>4.47</v>
      </c>
      <c r="S43" s="126">
        <f t="shared" si="4"/>
        <v>0.41009174311926599</v>
      </c>
    </row>
    <row r="44" spans="1:19" x14ac:dyDescent="0.25">
      <c r="A44" s="43" t="s">
        <v>1632</v>
      </c>
      <c r="B44" s="42" t="s">
        <v>2</v>
      </c>
      <c r="C44" s="42" t="s">
        <v>1023</v>
      </c>
      <c r="D44" s="42" t="s">
        <v>1152</v>
      </c>
      <c r="E44" s="42">
        <v>6.91</v>
      </c>
      <c r="F44" s="42">
        <v>1.76</v>
      </c>
      <c r="G44" s="42" t="s">
        <v>0</v>
      </c>
      <c r="H44" s="42" t="s">
        <v>72</v>
      </c>
      <c r="I44" s="42" t="s">
        <v>1158</v>
      </c>
      <c r="J44" s="42" t="s">
        <v>903</v>
      </c>
      <c r="K44" s="42" t="s">
        <v>903</v>
      </c>
      <c r="L44" s="42" t="s">
        <v>903</v>
      </c>
      <c r="M44" s="42" t="s">
        <v>903</v>
      </c>
      <c r="N44" s="42">
        <v>2.79</v>
      </c>
      <c r="O44" s="42">
        <v>0.45</v>
      </c>
      <c r="P44" s="42">
        <v>0.87</v>
      </c>
      <c r="Q44" s="42">
        <v>0.05</v>
      </c>
      <c r="R44" s="126">
        <f t="shared" si="3"/>
        <v>4.16</v>
      </c>
      <c r="S44" s="126">
        <f t="shared" si="4"/>
        <v>0.60202604920405212</v>
      </c>
    </row>
    <row r="45" spans="1:19" x14ac:dyDescent="0.25">
      <c r="A45" s="43" t="s">
        <v>1632</v>
      </c>
      <c r="B45" s="42" t="s">
        <v>2</v>
      </c>
      <c r="C45" s="42" t="s">
        <v>1023</v>
      </c>
      <c r="D45" s="42" t="s">
        <v>1170</v>
      </c>
      <c r="E45" s="42">
        <v>7.77</v>
      </c>
      <c r="F45" s="42">
        <v>3.55</v>
      </c>
      <c r="G45" s="42" t="s">
        <v>0</v>
      </c>
      <c r="H45" s="42" t="s">
        <v>72</v>
      </c>
      <c r="I45" s="42" t="s">
        <v>1158</v>
      </c>
      <c r="J45" s="42" t="s">
        <v>903</v>
      </c>
      <c r="K45" s="42" t="s">
        <v>903</v>
      </c>
      <c r="L45" s="42" t="s">
        <v>903</v>
      </c>
      <c r="M45" s="42" t="s">
        <v>903</v>
      </c>
      <c r="N45" s="42">
        <v>3.46</v>
      </c>
      <c r="O45" s="42">
        <v>0.62</v>
      </c>
      <c r="P45" s="42">
        <v>0.62</v>
      </c>
      <c r="Q45" s="42">
        <v>0.06</v>
      </c>
      <c r="R45" s="126">
        <f t="shared" si="3"/>
        <v>4.76</v>
      </c>
      <c r="S45" s="126">
        <f t="shared" si="4"/>
        <v>0.61261261261261257</v>
      </c>
    </row>
    <row r="46" spans="1:19" x14ac:dyDescent="0.25">
      <c r="A46" s="43" t="s">
        <v>767</v>
      </c>
      <c r="B46" s="42" t="s">
        <v>2</v>
      </c>
      <c r="C46" s="42" t="s">
        <v>1078</v>
      </c>
      <c r="D46" s="42" t="s">
        <v>1176</v>
      </c>
      <c r="E46" s="42">
        <v>7.64</v>
      </c>
      <c r="F46" s="42">
        <v>15</v>
      </c>
      <c r="G46" s="42" t="s">
        <v>0</v>
      </c>
      <c r="H46" s="42" t="s">
        <v>72</v>
      </c>
      <c r="I46" s="42" t="s">
        <v>1178</v>
      </c>
      <c r="J46" s="42" t="s">
        <v>0</v>
      </c>
      <c r="K46" s="42" t="s">
        <v>0</v>
      </c>
      <c r="L46" s="42" t="s">
        <v>0</v>
      </c>
      <c r="M46" s="42" t="s">
        <v>0</v>
      </c>
      <c r="N46" s="42">
        <v>1.7430000000000001</v>
      </c>
      <c r="O46" s="42" t="s">
        <v>0</v>
      </c>
      <c r="P46" s="42">
        <v>2.6949999999999998</v>
      </c>
      <c r="Q46" s="126" t="s">
        <v>0</v>
      </c>
      <c r="R46" s="126">
        <f t="shared" si="3"/>
        <v>4.4379999999999997</v>
      </c>
      <c r="S46" s="126">
        <f t="shared" si="4"/>
        <v>0.58089005235602098</v>
      </c>
    </row>
    <row r="47" spans="1:19" x14ac:dyDescent="0.25">
      <c r="A47" s="43" t="s">
        <v>1637</v>
      </c>
      <c r="B47" s="42" t="s">
        <v>2</v>
      </c>
      <c r="C47" s="42" t="s">
        <v>876</v>
      </c>
      <c r="D47" s="42" t="s">
        <v>1181</v>
      </c>
      <c r="E47" s="48">
        <f>10.61/2</f>
        <v>5.3049999999999997</v>
      </c>
      <c r="F47" s="42">
        <v>2</v>
      </c>
      <c r="G47" s="42">
        <v>2</v>
      </c>
      <c r="H47" s="42" t="s">
        <v>72</v>
      </c>
      <c r="I47" s="42" t="s">
        <v>1183</v>
      </c>
      <c r="J47" s="42">
        <v>9.0299999999999994</v>
      </c>
      <c r="K47" s="42">
        <v>0</v>
      </c>
      <c r="L47" s="42">
        <v>0</v>
      </c>
      <c r="M47" s="42" t="s">
        <v>1</v>
      </c>
      <c r="N47" s="48">
        <v>4.5149999999999997</v>
      </c>
      <c r="O47" s="42">
        <v>0</v>
      </c>
      <c r="P47" s="42">
        <v>0</v>
      </c>
      <c r="Q47" s="126" t="s">
        <v>0</v>
      </c>
      <c r="R47" s="126">
        <f t="shared" si="3"/>
        <v>4.5149999999999997</v>
      </c>
      <c r="S47" s="126">
        <f t="shared" si="4"/>
        <v>0.85108388312912342</v>
      </c>
    </row>
    <row r="48" spans="1:19" x14ac:dyDescent="0.25">
      <c r="A48" s="43" t="s">
        <v>1638</v>
      </c>
      <c r="B48" s="42" t="s">
        <v>2</v>
      </c>
      <c r="C48" s="42" t="s">
        <v>1078</v>
      </c>
      <c r="D48" s="42" t="s">
        <v>1194</v>
      </c>
      <c r="E48" s="42">
        <v>3.89</v>
      </c>
      <c r="F48" s="42">
        <v>15</v>
      </c>
      <c r="G48" s="42">
        <v>20.6</v>
      </c>
      <c r="H48" s="42" t="s">
        <v>72</v>
      </c>
      <c r="I48" s="42" t="s">
        <v>1198</v>
      </c>
      <c r="J48" s="42" t="s">
        <v>0</v>
      </c>
      <c r="K48" s="42" t="s">
        <v>0</v>
      </c>
      <c r="L48" s="42">
        <v>0</v>
      </c>
      <c r="M48" s="42" t="s">
        <v>0</v>
      </c>
      <c r="N48" s="42">
        <v>3.06</v>
      </c>
      <c r="O48" s="42" t="s">
        <v>0</v>
      </c>
      <c r="P48" s="42">
        <v>0</v>
      </c>
      <c r="Q48" s="126" t="s">
        <v>0</v>
      </c>
      <c r="R48" s="126">
        <f t="shared" si="3"/>
        <v>3.06</v>
      </c>
      <c r="S48" s="126">
        <f t="shared" si="4"/>
        <v>0.78663239074550129</v>
      </c>
    </row>
    <row r="49" spans="1:19" x14ac:dyDescent="0.25">
      <c r="A49" s="43" t="s">
        <v>1638</v>
      </c>
      <c r="B49" s="42" t="s">
        <v>2</v>
      </c>
      <c r="C49" s="42" t="s">
        <v>1078</v>
      </c>
      <c r="D49" s="42" t="s">
        <v>1203</v>
      </c>
      <c r="E49" s="42">
        <v>4.87</v>
      </c>
      <c r="F49" s="42">
        <v>12</v>
      </c>
      <c r="G49" s="42">
        <v>18.899999999999999</v>
      </c>
      <c r="H49" s="42" t="s">
        <v>72</v>
      </c>
      <c r="I49" s="42" t="s">
        <v>1198</v>
      </c>
      <c r="J49" s="42">
        <v>13.88</v>
      </c>
      <c r="K49" s="42" t="s">
        <v>0</v>
      </c>
      <c r="L49" s="42">
        <v>0</v>
      </c>
      <c r="M49" s="42" t="s">
        <v>0</v>
      </c>
      <c r="N49" s="42">
        <v>3.26</v>
      </c>
      <c r="O49" s="42" t="s">
        <v>0</v>
      </c>
      <c r="P49" s="42">
        <v>0</v>
      </c>
      <c r="Q49" s="126" t="s">
        <v>0</v>
      </c>
      <c r="R49" s="126">
        <f t="shared" si="3"/>
        <v>3.26</v>
      </c>
      <c r="S49" s="126">
        <f t="shared" si="4"/>
        <v>0.6694045174537987</v>
      </c>
    </row>
    <row r="50" spans="1:19" x14ac:dyDescent="0.25">
      <c r="A50" s="43" t="s">
        <v>1638</v>
      </c>
      <c r="B50" s="42" t="s">
        <v>2</v>
      </c>
      <c r="C50" s="42" t="s">
        <v>1078</v>
      </c>
      <c r="D50" s="42" t="s">
        <v>1223</v>
      </c>
      <c r="E50" s="42">
        <v>8.83</v>
      </c>
      <c r="F50" s="60">
        <v>15</v>
      </c>
      <c r="G50" s="60">
        <v>18</v>
      </c>
      <c r="H50" s="42" t="s">
        <v>72</v>
      </c>
      <c r="I50" s="42" t="s">
        <v>1225</v>
      </c>
      <c r="J50" s="42" t="s">
        <v>0</v>
      </c>
      <c r="K50" s="42" t="s">
        <v>0</v>
      </c>
      <c r="L50" s="42">
        <v>0</v>
      </c>
      <c r="M50" s="42" t="s">
        <v>0</v>
      </c>
      <c r="N50" s="42">
        <v>4.0999999999999996</v>
      </c>
      <c r="O50" s="42" t="s">
        <v>0</v>
      </c>
      <c r="P50" s="42">
        <v>0</v>
      </c>
      <c r="Q50" s="126" t="s">
        <v>0</v>
      </c>
      <c r="R50" s="126">
        <f t="shared" si="3"/>
        <v>4.0999999999999996</v>
      </c>
      <c r="S50" s="126">
        <f t="shared" si="4"/>
        <v>0.46432616081540201</v>
      </c>
    </row>
    <row r="51" spans="1:19" x14ac:dyDescent="0.25">
      <c r="A51" s="43" t="s">
        <v>1638</v>
      </c>
      <c r="B51" s="42" t="s">
        <v>2</v>
      </c>
      <c r="C51" s="42" t="s">
        <v>1078</v>
      </c>
      <c r="D51" s="42" t="s">
        <v>1228</v>
      </c>
      <c r="E51" s="42">
        <v>9.7200000000000006</v>
      </c>
      <c r="F51" s="60">
        <v>15</v>
      </c>
      <c r="G51" s="60">
        <v>15.5</v>
      </c>
      <c r="H51" s="42" t="s">
        <v>72</v>
      </c>
      <c r="I51" s="42" t="s">
        <v>1229</v>
      </c>
      <c r="J51" s="42" t="s">
        <v>0</v>
      </c>
      <c r="K51" s="42" t="s">
        <v>0</v>
      </c>
      <c r="L51" s="42">
        <v>0</v>
      </c>
      <c r="M51" s="42" t="s">
        <v>0</v>
      </c>
      <c r="N51" s="42">
        <v>3.96</v>
      </c>
      <c r="O51" s="42" t="s">
        <v>0</v>
      </c>
      <c r="P51" s="42">
        <v>0</v>
      </c>
      <c r="Q51" s="126" t="s">
        <v>0</v>
      </c>
      <c r="R51" s="126">
        <f t="shared" si="3"/>
        <v>3.96</v>
      </c>
      <c r="S51" s="126">
        <f t="shared" si="4"/>
        <v>0.40740740740740738</v>
      </c>
    </row>
    <row r="52" spans="1:19" x14ac:dyDescent="0.25">
      <c r="A52" s="43" t="s">
        <v>1638</v>
      </c>
      <c r="B52" s="42" t="s">
        <v>2</v>
      </c>
      <c r="C52" s="42" t="s">
        <v>1078</v>
      </c>
      <c r="D52" s="42" t="s">
        <v>1232</v>
      </c>
      <c r="E52" s="42">
        <v>9.7100000000000009</v>
      </c>
      <c r="F52" s="60">
        <v>15</v>
      </c>
      <c r="G52" s="60">
        <v>23.3</v>
      </c>
      <c r="H52" s="42" t="s">
        <v>72</v>
      </c>
      <c r="I52" s="42" t="s">
        <v>1233</v>
      </c>
      <c r="J52" s="42" t="s">
        <v>0</v>
      </c>
      <c r="K52" s="42" t="s">
        <v>0</v>
      </c>
      <c r="L52" s="42">
        <v>0</v>
      </c>
      <c r="M52" s="42" t="s">
        <v>0</v>
      </c>
      <c r="N52" s="42">
        <v>4.4800000000000004</v>
      </c>
      <c r="O52" s="42" t="s">
        <v>0</v>
      </c>
      <c r="P52" s="42">
        <v>0</v>
      </c>
      <c r="Q52" s="126" t="s">
        <v>0</v>
      </c>
      <c r="R52" s="126">
        <f t="shared" si="3"/>
        <v>4.4800000000000004</v>
      </c>
      <c r="S52" s="126">
        <f t="shared" si="4"/>
        <v>0.46138002059732236</v>
      </c>
    </row>
    <row r="53" spans="1:19" x14ac:dyDescent="0.25">
      <c r="A53" s="43" t="s">
        <v>1638</v>
      </c>
      <c r="B53" s="42" t="s">
        <v>2</v>
      </c>
      <c r="C53" s="42" t="s">
        <v>1078</v>
      </c>
      <c r="D53" s="42" t="s">
        <v>1236</v>
      </c>
      <c r="E53" s="42">
        <v>10.7</v>
      </c>
      <c r="F53" s="60">
        <v>15</v>
      </c>
      <c r="G53" s="60">
        <v>26.3</v>
      </c>
      <c r="H53" s="42" t="s">
        <v>72</v>
      </c>
      <c r="I53" s="42" t="s">
        <v>1237</v>
      </c>
      <c r="J53" s="42" t="s">
        <v>0</v>
      </c>
      <c r="K53" s="42" t="s">
        <v>0</v>
      </c>
      <c r="L53" s="42">
        <v>0</v>
      </c>
      <c r="M53" s="42" t="s">
        <v>0</v>
      </c>
      <c r="N53" s="42">
        <v>7.52</v>
      </c>
      <c r="O53" s="42" t="s">
        <v>0</v>
      </c>
      <c r="P53" s="42">
        <v>0</v>
      </c>
      <c r="Q53" s="126" t="s">
        <v>0</v>
      </c>
      <c r="R53" s="126">
        <f t="shared" si="3"/>
        <v>7.52</v>
      </c>
      <c r="S53" s="126">
        <f t="shared" si="4"/>
        <v>0.702803738317757</v>
      </c>
    </row>
    <row r="54" spans="1:19" x14ac:dyDescent="0.25">
      <c r="A54" s="43" t="s">
        <v>1641</v>
      </c>
      <c r="B54" s="42" t="s">
        <v>2</v>
      </c>
      <c r="C54" s="42" t="s">
        <v>1023</v>
      </c>
      <c r="D54" s="42" t="s">
        <v>1249</v>
      </c>
      <c r="E54" s="42">
        <f>21.3/F54</f>
        <v>146.05714285714285</v>
      </c>
      <c r="F54" s="42">
        <f>3.5/24</f>
        <v>0.14583333333333334</v>
      </c>
      <c r="G54" s="42" t="s">
        <v>0</v>
      </c>
      <c r="H54" s="42" t="s">
        <v>57</v>
      </c>
      <c r="I54" s="42" t="s">
        <v>1242</v>
      </c>
      <c r="J54" s="130">
        <v>1.28</v>
      </c>
      <c r="K54" s="42" t="s">
        <v>0</v>
      </c>
      <c r="L54" s="42" t="s">
        <v>0</v>
      </c>
      <c r="M54" s="42" t="s">
        <v>0</v>
      </c>
      <c r="N54" s="42">
        <v>8.7771428571428576</v>
      </c>
      <c r="O54" s="42" t="s">
        <v>0</v>
      </c>
      <c r="P54" s="42" t="s">
        <v>0</v>
      </c>
      <c r="Q54" s="126" t="s">
        <v>0</v>
      </c>
      <c r="R54" s="126">
        <f t="shared" si="3"/>
        <v>8.7771428571428576</v>
      </c>
      <c r="S54" s="126">
        <f t="shared" si="4"/>
        <v>6.0093896713615029E-2</v>
      </c>
    </row>
    <row r="55" spans="1:19" x14ac:dyDescent="0.25">
      <c r="A55" s="43" t="s">
        <v>1641</v>
      </c>
      <c r="B55" s="42" t="s">
        <v>2</v>
      </c>
      <c r="C55" s="42" t="s">
        <v>1023</v>
      </c>
      <c r="D55" s="42" t="s">
        <v>1251</v>
      </c>
      <c r="E55" s="42">
        <f>21.3/F55</f>
        <v>170.4</v>
      </c>
      <c r="F55" s="42">
        <f>3/24</f>
        <v>0.125</v>
      </c>
      <c r="G55" s="42" t="s">
        <v>0</v>
      </c>
      <c r="H55" s="42" t="s">
        <v>57</v>
      </c>
      <c r="I55" s="42" t="s">
        <v>1242</v>
      </c>
      <c r="J55" s="130">
        <v>1.28</v>
      </c>
      <c r="K55" s="42" t="s">
        <v>0</v>
      </c>
      <c r="L55" s="42" t="s">
        <v>0</v>
      </c>
      <c r="M55" s="42" t="s">
        <v>0</v>
      </c>
      <c r="N55" s="42">
        <v>10.24</v>
      </c>
      <c r="O55" s="42" t="s">
        <v>0</v>
      </c>
      <c r="P55" s="42" t="s">
        <v>0</v>
      </c>
      <c r="Q55" s="126" t="s">
        <v>0</v>
      </c>
      <c r="R55" s="126">
        <f t="shared" si="3"/>
        <v>10.24</v>
      </c>
      <c r="S55" s="126">
        <f t="shared" si="4"/>
        <v>6.0093896713615022E-2</v>
      </c>
    </row>
    <row r="56" spans="1:19" x14ac:dyDescent="0.25">
      <c r="A56" s="43" t="s">
        <v>1641</v>
      </c>
      <c r="B56" s="42" t="s">
        <v>2</v>
      </c>
      <c r="C56" s="42" t="s">
        <v>1023</v>
      </c>
      <c r="D56" s="42" t="s">
        <v>1252</v>
      </c>
      <c r="E56" s="42">
        <f>21.3/F56</f>
        <v>204.48</v>
      </c>
      <c r="F56" s="42">
        <f>2.5/24</f>
        <v>0.10416666666666667</v>
      </c>
      <c r="G56" s="42" t="s">
        <v>0</v>
      </c>
      <c r="H56" s="42" t="s">
        <v>57</v>
      </c>
      <c r="I56" s="42" t="s">
        <v>1242</v>
      </c>
      <c r="J56" s="130">
        <v>3.84</v>
      </c>
      <c r="K56" s="42" t="s">
        <v>0</v>
      </c>
      <c r="L56" s="42" t="s">
        <v>0</v>
      </c>
      <c r="M56" s="42" t="s">
        <v>0</v>
      </c>
      <c r="N56" s="42">
        <v>36.863999999999997</v>
      </c>
      <c r="O56" s="42" t="s">
        <v>0</v>
      </c>
      <c r="P56" s="42" t="s">
        <v>0</v>
      </c>
      <c r="Q56" s="126" t="s">
        <v>0</v>
      </c>
      <c r="R56" s="126">
        <f t="shared" si="3"/>
        <v>36.863999999999997</v>
      </c>
      <c r="S56" s="126">
        <f t="shared" si="4"/>
        <v>0.18028169014084505</v>
      </c>
    </row>
    <row r="57" spans="1:19" x14ac:dyDescent="0.25">
      <c r="A57" s="43" t="s">
        <v>1641</v>
      </c>
      <c r="B57" s="42" t="s">
        <v>2</v>
      </c>
      <c r="C57" s="42" t="s">
        <v>1023</v>
      </c>
      <c r="D57" s="42" t="s">
        <v>1255</v>
      </c>
      <c r="E57" s="42">
        <f>21.3/F57</f>
        <v>255.60000000000002</v>
      </c>
      <c r="F57" s="42">
        <f>2/24</f>
        <v>8.3333333333333329E-2</v>
      </c>
      <c r="G57" s="42" t="s">
        <v>0</v>
      </c>
      <c r="H57" s="42"/>
      <c r="I57" s="42" t="s">
        <v>1242</v>
      </c>
      <c r="J57" s="130">
        <v>1.792</v>
      </c>
      <c r="K57" s="42" t="s">
        <v>0</v>
      </c>
      <c r="L57" s="42" t="s">
        <v>0</v>
      </c>
      <c r="M57" s="42" t="s">
        <v>0</v>
      </c>
      <c r="N57" s="42">
        <v>21.504000000000001</v>
      </c>
      <c r="O57" s="42" t="s">
        <v>0</v>
      </c>
      <c r="P57" s="42" t="s">
        <v>0</v>
      </c>
      <c r="Q57" s="126" t="s">
        <v>0</v>
      </c>
      <c r="R57" s="126">
        <f t="shared" si="3"/>
        <v>21.504000000000001</v>
      </c>
      <c r="S57" s="126">
        <f t="shared" si="4"/>
        <v>8.4131455399061028E-2</v>
      </c>
    </row>
    <row r="58" spans="1:19" x14ac:dyDescent="0.25">
      <c r="A58" s="43" t="s">
        <v>1642</v>
      </c>
      <c r="B58" s="42" t="s">
        <v>2</v>
      </c>
      <c r="C58" s="42" t="s">
        <v>1259</v>
      </c>
      <c r="D58" s="42" t="s">
        <v>1257</v>
      </c>
      <c r="E58" s="42">
        <f>115.5/4</f>
        <v>28.875</v>
      </c>
      <c r="F58" s="42">
        <v>4</v>
      </c>
      <c r="G58" s="42" t="s">
        <v>0</v>
      </c>
      <c r="H58" s="42" t="s">
        <v>72</v>
      </c>
      <c r="I58" s="42" t="s">
        <v>1261</v>
      </c>
      <c r="J58" s="42">
        <v>51.640999999999998</v>
      </c>
      <c r="K58" s="42">
        <v>1.3071999999999999</v>
      </c>
      <c r="L58" s="42">
        <v>1.6544000000000001</v>
      </c>
      <c r="M58" s="42" t="s">
        <v>0</v>
      </c>
      <c r="N58" s="42">
        <v>12.138</v>
      </c>
      <c r="O58" s="42">
        <v>0.33439999999999998</v>
      </c>
      <c r="P58" s="42">
        <v>0.4224</v>
      </c>
      <c r="Q58" s="126" t="s">
        <v>0</v>
      </c>
      <c r="R58" s="126">
        <f t="shared" si="3"/>
        <v>12.8948</v>
      </c>
      <c r="S58" s="126">
        <f t="shared" si="4"/>
        <v>0.44657316017316018</v>
      </c>
    </row>
    <row r="59" spans="1:19" x14ac:dyDescent="0.25">
      <c r="A59" s="43" t="s">
        <v>1642</v>
      </c>
      <c r="B59" s="42" t="s">
        <v>2</v>
      </c>
      <c r="C59" s="42" t="s">
        <v>1259</v>
      </c>
      <c r="D59" s="42" t="s">
        <v>1257</v>
      </c>
      <c r="E59" s="42">
        <f>115.5</f>
        <v>115.5</v>
      </c>
      <c r="F59" s="42">
        <v>1</v>
      </c>
      <c r="G59" s="42" t="s">
        <v>0</v>
      </c>
      <c r="H59" s="42" t="s">
        <v>72</v>
      </c>
      <c r="I59" s="42" t="s">
        <v>1261</v>
      </c>
      <c r="J59" s="42">
        <v>15.669</v>
      </c>
      <c r="K59" s="42">
        <v>0.18240000000000001</v>
      </c>
      <c r="L59" s="42">
        <v>0.17599999999999999</v>
      </c>
      <c r="M59" s="42" t="s">
        <v>0</v>
      </c>
      <c r="N59" s="42">
        <v>12.359</v>
      </c>
      <c r="O59" s="42">
        <v>0.18240000000000001</v>
      </c>
      <c r="P59" s="42">
        <v>0.17599999999999999</v>
      </c>
      <c r="Q59" s="126" t="s">
        <v>0</v>
      </c>
      <c r="R59" s="126">
        <f t="shared" si="3"/>
        <v>12.7174</v>
      </c>
      <c r="S59" s="126">
        <f t="shared" si="4"/>
        <v>0.11010735930735931</v>
      </c>
    </row>
    <row r="60" spans="1:19" x14ac:dyDescent="0.25">
      <c r="A60" s="43" t="s">
        <v>1642</v>
      </c>
      <c r="B60" s="42" t="s">
        <v>2</v>
      </c>
      <c r="C60" s="42" t="s">
        <v>1259</v>
      </c>
      <c r="D60" s="42" t="s">
        <v>1257</v>
      </c>
      <c r="E60" s="42">
        <f>115.5/4</f>
        <v>28.875</v>
      </c>
      <c r="F60" s="42">
        <v>4</v>
      </c>
      <c r="G60" s="42" t="s">
        <v>0</v>
      </c>
      <c r="H60" s="42" t="s">
        <v>72</v>
      </c>
      <c r="I60" s="42" t="s">
        <v>1261</v>
      </c>
      <c r="J60" s="42">
        <v>51.2</v>
      </c>
      <c r="K60" s="42" t="s">
        <v>0</v>
      </c>
      <c r="L60" s="42" t="s">
        <v>0</v>
      </c>
      <c r="M60" s="42" t="s">
        <v>0</v>
      </c>
      <c r="N60" s="42">
        <v>12.8</v>
      </c>
      <c r="O60" s="42" t="s">
        <v>0</v>
      </c>
      <c r="P60" s="42" t="s">
        <v>0</v>
      </c>
      <c r="Q60" s="126" t="s">
        <v>0</v>
      </c>
      <c r="R60" s="126">
        <f t="shared" si="3"/>
        <v>12.8</v>
      </c>
      <c r="S60" s="126">
        <f t="shared" si="4"/>
        <v>0.44329004329004329</v>
      </c>
    </row>
    <row r="61" spans="1:19" x14ac:dyDescent="0.25">
      <c r="A61" s="43" t="s">
        <v>1644</v>
      </c>
      <c r="B61" s="42" t="s">
        <v>2</v>
      </c>
      <c r="C61" s="42" t="s">
        <v>1023</v>
      </c>
      <c r="D61" s="42" t="s">
        <v>1281</v>
      </c>
      <c r="E61" s="42">
        <f>9.6+50.4</f>
        <v>60</v>
      </c>
      <c r="F61" s="42">
        <f>16/24</f>
        <v>0.66666666666666663</v>
      </c>
      <c r="G61" s="42" t="s">
        <v>0</v>
      </c>
      <c r="H61" s="42" t="s">
        <v>121</v>
      </c>
      <c r="I61" s="42" t="s">
        <v>1283</v>
      </c>
      <c r="J61" s="126">
        <v>26.482758620689655</v>
      </c>
      <c r="K61" s="126" t="s">
        <v>0</v>
      </c>
      <c r="L61" s="126">
        <v>2.2000000000000002</v>
      </c>
      <c r="M61" s="126" t="s">
        <v>0</v>
      </c>
      <c r="N61" s="126">
        <v>39.724137931034484</v>
      </c>
      <c r="O61" s="126" t="s">
        <v>0</v>
      </c>
      <c r="P61" s="126">
        <v>3.3000000000000003</v>
      </c>
      <c r="Q61" s="126" t="s">
        <v>0</v>
      </c>
      <c r="R61" s="126">
        <f t="shared" si="3"/>
        <v>43.024137931034481</v>
      </c>
      <c r="S61" s="126">
        <f t="shared" si="4"/>
        <v>0.71706896551724131</v>
      </c>
    </row>
    <row r="62" spans="1:19" x14ac:dyDescent="0.25">
      <c r="A62" s="43" t="s">
        <v>1644</v>
      </c>
      <c r="B62" s="42" t="s">
        <v>2</v>
      </c>
      <c r="C62" s="42" t="s">
        <v>1023</v>
      </c>
      <c r="D62" s="42" t="s">
        <v>1292</v>
      </c>
      <c r="E62" s="42">
        <f>19.2+100.8</f>
        <v>120</v>
      </c>
      <c r="F62" s="42">
        <f>8/24</f>
        <v>0.33333333333333331</v>
      </c>
      <c r="G62" s="42" t="s">
        <v>0</v>
      </c>
      <c r="H62" s="42" t="s">
        <v>121</v>
      </c>
      <c r="I62" s="42" t="s">
        <v>1293</v>
      </c>
      <c r="J62" s="126">
        <v>19.2</v>
      </c>
      <c r="K62" s="126" t="s">
        <v>0</v>
      </c>
      <c r="L62" s="126">
        <v>0.97777777777777786</v>
      </c>
      <c r="M62" s="126" t="s">
        <v>0</v>
      </c>
      <c r="N62" s="126">
        <v>57.6</v>
      </c>
      <c r="O62" s="126" t="s">
        <v>0</v>
      </c>
      <c r="P62" s="126">
        <v>2.9333333333333336</v>
      </c>
      <c r="Q62" s="126" t="s">
        <v>0</v>
      </c>
      <c r="R62" s="126">
        <f t="shared" si="3"/>
        <v>60.533333333333331</v>
      </c>
      <c r="S62" s="126">
        <f t="shared" si="4"/>
        <v>0.50444444444444447</v>
      </c>
    </row>
    <row r="63" spans="1:19" x14ac:dyDescent="0.25">
      <c r="A63" s="43" t="s">
        <v>1644</v>
      </c>
      <c r="B63" s="42" t="s">
        <v>2</v>
      </c>
      <c r="C63" s="42" t="s">
        <v>1023</v>
      </c>
      <c r="D63" s="42" t="s">
        <v>1297</v>
      </c>
      <c r="E63" s="42">
        <f>19.2+100.8</f>
        <v>120</v>
      </c>
      <c r="F63" s="42">
        <f>8/24</f>
        <v>0.33333333333333331</v>
      </c>
      <c r="G63" s="42" t="s">
        <v>0</v>
      </c>
      <c r="H63" s="42" t="s">
        <v>121</v>
      </c>
      <c r="I63" s="42" t="s">
        <v>1298</v>
      </c>
      <c r="J63" s="126">
        <v>24.937999999999999</v>
      </c>
      <c r="K63" s="126" t="s">
        <v>0</v>
      </c>
      <c r="L63" s="126">
        <v>1.4666666666666666</v>
      </c>
      <c r="M63" s="126" t="s">
        <v>0</v>
      </c>
      <c r="N63" s="126">
        <v>74.814000000000007</v>
      </c>
      <c r="O63" s="126" t="s">
        <v>0</v>
      </c>
      <c r="P63" s="126">
        <v>4.4000000000000004</v>
      </c>
      <c r="Q63" s="126" t="s">
        <v>0</v>
      </c>
      <c r="R63" s="126">
        <f t="shared" si="3"/>
        <v>79.214000000000013</v>
      </c>
      <c r="S63" s="126">
        <f t="shared" si="4"/>
        <v>0.6601166666666668</v>
      </c>
    </row>
    <row r="64" spans="1:19" x14ac:dyDescent="0.25">
      <c r="A64" s="43" t="s">
        <v>1644</v>
      </c>
      <c r="B64" s="42" t="s">
        <v>2</v>
      </c>
      <c r="C64" s="42" t="s">
        <v>1023</v>
      </c>
      <c r="D64" s="42" t="s">
        <v>1297</v>
      </c>
      <c r="E64" s="42">
        <f>E63*2</f>
        <v>240</v>
      </c>
      <c r="F64" s="42">
        <f>4/24</f>
        <v>0.16666666666666666</v>
      </c>
      <c r="G64" s="42" t="s">
        <v>0</v>
      </c>
      <c r="H64" s="42" t="s">
        <v>121</v>
      </c>
      <c r="I64" s="42" t="s">
        <v>1302</v>
      </c>
      <c r="J64" s="126">
        <v>19.2</v>
      </c>
      <c r="K64" s="126" t="s">
        <v>0</v>
      </c>
      <c r="L64" s="126">
        <v>0.73329999999999995</v>
      </c>
      <c r="M64" s="126" t="s">
        <v>0</v>
      </c>
      <c r="N64" s="126">
        <v>115.2</v>
      </c>
      <c r="O64" s="126" t="s">
        <v>0</v>
      </c>
      <c r="P64" s="126">
        <v>4.3997999999999999</v>
      </c>
      <c r="Q64" s="126" t="s">
        <v>0</v>
      </c>
      <c r="R64" s="126">
        <f t="shared" si="3"/>
        <v>119.5998</v>
      </c>
      <c r="S64" s="126">
        <f t="shared" si="4"/>
        <v>0.49833250000000001</v>
      </c>
    </row>
    <row r="65" spans="1:19" x14ac:dyDescent="0.25">
      <c r="A65" s="43" t="s">
        <v>1645</v>
      </c>
      <c r="B65" s="42" t="s">
        <v>460</v>
      </c>
      <c r="C65" s="42" t="s">
        <v>1023</v>
      </c>
      <c r="D65" s="42" t="s">
        <v>1305</v>
      </c>
      <c r="E65" s="42">
        <v>6</v>
      </c>
      <c r="F65" s="42">
        <v>9.1999999999999993</v>
      </c>
      <c r="G65" s="42" t="s">
        <v>0</v>
      </c>
      <c r="H65" s="42" t="s">
        <v>72</v>
      </c>
      <c r="I65" s="42" t="s">
        <v>1307</v>
      </c>
      <c r="J65" s="42" t="s">
        <v>0</v>
      </c>
      <c r="K65" s="42" t="s">
        <v>0</v>
      </c>
      <c r="L65" s="42" t="s">
        <v>0</v>
      </c>
      <c r="M65" s="42" t="s">
        <v>0</v>
      </c>
      <c r="N65" s="42">
        <v>0.4</v>
      </c>
      <c r="O65" s="42">
        <v>0</v>
      </c>
      <c r="P65" s="42">
        <v>0</v>
      </c>
      <c r="Q65" s="126" t="s">
        <v>0</v>
      </c>
      <c r="R65" s="126">
        <f t="shared" si="3"/>
        <v>0.4</v>
      </c>
      <c r="S65" s="126">
        <f t="shared" si="4"/>
        <v>6.6666666666666666E-2</v>
      </c>
    </row>
    <row r="66" spans="1:19" x14ac:dyDescent="0.25">
      <c r="A66" s="43" t="s">
        <v>1645</v>
      </c>
      <c r="B66" s="42" t="s">
        <v>460</v>
      </c>
      <c r="C66" s="42" t="s">
        <v>1023</v>
      </c>
      <c r="D66" s="42" t="s">
        <v>1310</v>
      </c>
      <c r="E66" s="42">
        <v>5.8</v>
      </c>
      <c r="F66" s="42">
        <v>9.6</v>
      </c>
      <c r="G66" s="42" t="s">
        <v>0</v>
      </c>
      <c r="H66" s="42" t="s">
        <v>72</v>
      </c>
      <c r="I66" s="42" t="s">
        <v>1307</v>
      </c>
      <c r="J66" s="42" t="s">
        <v>0</v>
      </c>
      <c r="K66" s="42" t="s">
        <v>0</v>
      </c>
      <c r="L66" s="42" t="s">
        <v>0</v>
      </c>
      <c r="M66" s="42" t="s">
        <v>0</v>
      </c>
      <c r="N66" s="42">
        <v>1.6</v>
      </c>
      <c r="O66" s="42">
        <v>0.6</v>
      </c>
      <c r="P66" s="42">
        <v>1.7</v>
      </c>
      <c r="Q66" s="126" t="s">
        <v>0</v>
      </c>
      <c r="R66" s="126">
        <f t="shared" si="3"/>
        <v>3.9000000000000004</v>
      </c>
      <c r="S66" s="126">
        <f t="shared" si="4"/>
        <v>0.6724137931034484</v>
      </c>
    </row>
    <row r="67" spans="1:19" x14ac:dyDescent="0.25">
      <c r="A67" s="43" t="s">
        <v>1645</v>
      </c>
      <c r="B67" s="42" t="s">
        <v>460</v>
      </c>
      <c r="C67" s="42" t="s">
        <v>1023</v>
      </c>
      <c r="D67" s="42" t="s">
        <v>1316</v>
      </c>
      <c r="E67" s="42">
        <v>5.9</v>
      </c>
      <c r="F67" s="42">
        <v>9.5</v>
      </c>
      <c r="G67" s="42" t="s">
        <v>0</v>
      </c>
      <c r="H67" s="42" t="s">
        <v>72</v>
      </c>
      <c r="I67" s="42" t="s">
        <v>1307</v>
      </c>
      <c r="J67" s="42" t="s">
        <v>0</v>
      </c>
      <c r="K67" s="42" t="s">
        <v>0</v>
      </c>
      <c r="L67" s="42" t="s">
        <v>0</v>
      </c>
      <c r="M67" s="42" t="s">
        <v>0</v>
      </c>
      <c r="N67" s="42">
        <v>1.8</v>
      </c>
      <c r="O67" s="42">
        <v>0.5</v>
      </c>
      <c r="P67" s="42">
        <v>1.2</v>
      </c>
      <c r="Q67" s="126" t="s">
        <v>0</v>
      </c>
      <c r="R67" s="126">
        <f t="shared" si="3"/>
        <v>3.5</v>
      </c>
      <c r="S67" s="126">
        <f t="shared" si="4"/>
        <v>0.59322033898305082</v>
      </c>
    </row>
    <row r="68" spans="1:19" x14ac:dyDescent="0.25">
      <c r="A68" s="43" t="s">
        <v>1645</v>
      </c>
      <c r="B68" s="42" t="s">
        <v>460</v>
      </c>
      <c r="C68" s="42" t="s">
        <v>1023</v>
      </c>
      <c r="D68" s="42" t="s">
        <v>1322</v>
      </c>
      <c r="E68" s="42">
        <v>8.1999999999999993</v>
      </c>
      <c r="F68" s="42">
        <v>1.2</v>
      </c>
      <c r="G68" s="42" t="s">
        <v>0</v>
      </c>
      <c r="H68" s="42" t="s">
        <v>72</v>
      </c>
      <c r="I68" s="42" t="s">
        <v>1307</v>
      </c>
      <c r="J68" s="42" t="s">
        <v>0</v>
      </c>
      <c r="K68" s="42" t="s">
        <v>0</v>
      </c>
      <c r="L68" s="42" t="s">
        <v>0</v>
      </c>
      <c r="M68" s="42" t="s">
        <v>0</v>
      </c>
      <c r="N68" s="42">
        <v>1.3</v>
      </c>
      <c r="O68" s="42">
        <v>0.6</v>
      </c>
      <c r="P68" s="42">
        <v>1.1000000000000001</v>
      </c>
      <c r="Q68" s="126" t="s">
        <v>0</v>
      </c>
      <c r="R68" s="126">
        <f t="shared" si="3"/>
        <v>3</v>
      </c>
      <c r="S68" s="126">
        <f t="shared" si="4"/>
        <v>0.36585365853658541</v>
      </c>
    </row>
    <row r="69" spans="1:19" x14ac:dyDescent="0.25">
      <c r="A69" s="43" t="s">
        <v>1645</v>
      </c>
      <c r="B69" s="42" t="s">
        <v>460</v>
      </c>
      <c r="C69" s="42" t="s">
        <v>1023</v>
      </c>
      <c r="D69" s="42" t="s">
        <v>1326</v>
      </c>
      <c r="E69" s="42">
        <v>51.9</v>
      </c>
      <c r="F69" s="42">
        <v>0.9</v>
      </c>
      <c r="G69" s="42" t="s">
        <v>0</v>
      </c>
      <c r="H69" s="42" t="s">
        <v>72</v>
      </c>
      <c r="I69" s="42" t="s">
        <v>1307</v>
      </c>
      <c r="J69" s="42" t="s">
        <v>0</v>
      </c>
      <c r="K69" s="42" t="s">
        <v>0</v>
      </c>
      <c r="L69" s="42" t="s">
        <v>0</v>
      </c>
      <c r="M69" s="42" t="s">
        <v>0</v>
      </c>
      <c r="N69" s="42">
        <v>4.0999999999999996</v>
      </c>
      <c r="O69" s="42">
        <v>0.3</v>
      </c>
      <c r="P69" s="42">
        <v>2.5</v>
      </c>
      <c r="Q69" s="126" t="s">
        <v>0</v>
      </c>
      <c r="R69" s="126">
        <f t="shared" ref="R69:R100" si="5">SUM(N69:Q69)</f>
        <v>6.8999999999999995</v>
      </c>
      <c r="S69" s="126">
        <f t="shared" ref="S69:S100" si="6">R69/E69</f>
        <v>0.13294797687861271</v>
      </c>
    </row>
    <row r="70" spans="1:19" x14ac:dyDescent="0.25">
      <c r="A70" s="43" t="s">
        <v>1645</v>
      </c>
      <c r="B70" s="42" t="s">
        <v>460</v>
      </c>
      <c r="C70" s="42" t="s">
        <v>1023</v>
      </c>
      <c r="D70" s="42" t="s">
        <v>1331</v>
      </c>
      <c r="E70" s="42">
        <v>39</v>
      </c>
      <c r="F70" s="42">
        <v>1</v>
      </c>
      <c r="G70" s="42" t="s">
        <v>0</v>
      </c>
      <c r="H70" s="42" t="s">
        <v>72</v>
      </c>
      <c r="I70" s="42" t="s">
        <v>1307</v>
      </c>
      <c r="J70" s="42" t="s">
        <v>0</v>
      </c>
      <c r="K70" s="42" t="s">
        <v>0</v>
      </c>
      <c r="L70" s="42" t="s">
        <v>0</v>
      </c>
      <c r="M70" s="42" t="s">
        <v>0</v>
      </c>
      <c r="N70" s="42">
        <v>3.6</v>
      </c>
      <c r="O70" s="42">
        <v>0.2</v>
      </c>
      <c r="P70" s="42">
        <v>1.9</v>
      </c>
      <c r="Q70" s="126" t="s">
        <v>0</v>
      </c>
      <c r="R70" s="126">
        <f t="shared" si="5"/>
        <v>5.7</v>
      </c>
      <c r="S70" s="126">
        <f t="shared" si="6"/>
        <v>0.14615384615384616</v>
      </c>
    </row>
    <row r="71" spans="1:19" x14ac:dyDescent="0.25">
      <c r="A71" s="43" t="s">
        <v>1646</v>
      </c>
      <c r="B71" s="42" t="s">
        <v>2</v>
      </c>
      <c r="C71" s="42" t="s">
        <v>1023</v>
      </c>
      <c r="D71" s="42" t="s">
        <v>1348</v>
      </c>
      <c r="E71" s="126">
        <f>60.6/F71</f>
        <v>132.21818181818182</v>
      </c>
      <c r="F71" s="126">
        <f>11/24</f>
        <v>0.45833333333333331</v>
      </c>
      <c r="G71" s="126" t="s">
        <v>0</v>
      </c>
      <c r="H71" s="42" t="s">
        <v>72</v>
      </c>
      <c r="I71" s="42" t="s">
        <v>1349</v>
      </c>
      <c r="J71" s="126">
        <v>27.806999999999999</v>
      </c>
      <c r="K71" s="126">
        <v>2.1046</v>
      </c>
      <c r="L71" s="126">
        <v>0.9778</v>
      </c>
      <c r="M71" s="126"/>
      <c r="N71" s="126">
        <v>60.669818181818179</v>
      </c>
      <c r="O71" s="126">
        <v>4.5918545454545461</v>
      </c>
      <c r="P71" s="126">
        <v>2.1333818181818183</v>
      </c>
      <c r="Q71" s="126" t="s">
        <v>0</v>
      </c>
      <c r="R71" s="126">
        <f t="shared" si="5"/>
        <v>67.395054545454542</v>
      </c>
      <c r="S71" s="126">
        <f t="shared" si="6"/>
        <v>0.50972607260726066</v>
      </c>
    </row>
    <row r="72" spans="1:19" x14ac:dyDescent="0.25">
      <c r="A72" s="43" t="s">
        <v>1651</v>
      </c>
      <c r="B72" s="42" t="s">
        <v>216</v>
      </c>
      <c r="C72" s="42" t="s">
        <v>1049</v>
      </c>
      <c r="D72" s="42" t="s">
        <v>1353</v>
      </c>
      <c r="E72" s="126">
        <f t="shared" ref="E72:E85" si="7">11.218/F72</f>
        <v>15.837176470588235</v>
      </c>
      <c r="F72" s="126">
        <f t="shared" ref="F72:F88" si="8">17/24</f>
        <v>0.70833333333333337</v>
      </c>
      <c r="G72" s="126">
        <f t="shared" ref="G72:G85" si="9">F72</f>
        <v>0.70833333333333337</v>
      </c>
      <c r="H72" s="42" t="s">
        <v>57</v>
      </c>
      <c r="I72" s="42" t="s">
        <v>1354</v>
      </c>
      <c r="J72" s="126">
        <v>2.8380689655172415</v>
      </c>
      <c r="K72" s="126" t="s">
        <v>0</v>
      </c>
      <c r="L72" s="126" t="s">
        <v>0</v>
      </c>
      <c r="M72" s="126" t="s">
        <v>0</v>
      </c>
      <c r="N72" s="126">
        <v>4.006685598377282</v>
      </c>
      <c r="O72" s="126" t="s">
        <v>0</v>
      </c>
      <c r="P72" s="126" t="s">
        <v>0</v>
      </c>
      <c r="Q72" s="126" t="s">
        <v>0</v>
      </c>
      <c r="R72" s="126">
        <f t="shared" si="5"/>
        <v>4.006685598377282</v>
      </c>
      <c r="S72" s="126">
        <f t="shared" si="6"/>
        <v>0.25299241981790349</v>
      </c>
    </row>
    <row r="73" spans="1:19" x14ac:dyDescent="0.25">
      <c r="A73" s="43" t="s">
        <v>1651</v>
      </c>
      <c r="B73" s="42" t="s">
        <v>216</v>
      </c>
      <c r="C73" s="42" t="s">
        <v>1049</v>
      </c>
      <c r="D73" s="42" t="s">
        <v>1353</v>
      </c>
      <c r="E73" s="126">
        <f t="shared" si="7"/>
        <v>15.837176470588235</v>
      </c>
      <c r="F73" s="126">
        <f t="shared" si="8"/>
        <v>0.70833333333333337</v>
      </c>
      <c r="G73" s="126">
        <f t="shared" si="9"/>
        <v>0.70833333333333337</v>
      </c>
      <c r="H73" s="42" t="s">
        <v>57</v>
      </c>
      <c r="I73" s="42" t="s">
        <v>1354</v>
      </c>
      <c r="J73" s="126">
        <v>4.0344893793103447</v>
      </c>
      <c r="K73" s="126" t="s">
        <v>0</v>
      </c>
      <c r="L73" s="126" t="s">
        <v>0</v>
      </c>
      <c r="M73" s="126" t="s">
        <v>0</v>
      </c>
      <c r="N73" s="126">
        <v>5.6957497119675455</v>
      </c>
      <c r="O73" s="126" t="s">
        <v>0</v>
      </c>
      <c r="P73" s="126" t="s">
        <v>0</v>
      </c>
      <c r="Q73" s="126" t="s">
        <v>0</v>
      </c>
      <c r="R73" s="126">
        <f t="shared" si="5"/>
        <v>5.6957497119675455</v>
      </c>
      <c r="S73" s="126">
        <f t="shared" si="6"/>
        <v>0.35964426629616197</v>
      </c>
    </row>
    <row r="74" spans="1:19" x14ac:dyDescent="0.25">
      <c r="A74" s="43" t="s">
        <v>1651</v>
      </c>
      <c r="B74" s="42" t="s">
        <v>216</v>
      </c>
      <c r="C74" s="42" t="s">
        <v>1049</v>
      </c>
      <c r="D74" s="42" t="s">
        <v>1353</v>
      </c>
      <c r="E74" s="126">
        <f t="shared" si="7"/>
        <v>15.837176470588235</v>
      </c>
      <c r="F74" s="126">
        <f t="shared" si="8"/>
        <v>0.70833333333333337</v>
      </c>
      <c r="G74" s="126">
        <f t="shared" si="9"/>
        <v>0.70833333333333337</v>
      </c>
      <c r="H74" s="42" t="s">
        <v>57</v>
      </c>
      <c r="I74" s="42" t="s">
        <v>1354</v>
      </c>
      <c r="J74" s="126">
        <v>3.7202052413793103</v>
      </c>
      <c r="K74" s="126" t="s">
        <v>0</v>
      </c>
      <c r="L74" s="126" t="s">
        <v>0</v>
      </c>
      <c r="M74" s="126" t="s">
        <v>0</v>
      </c>
      <c r="N74" s="126">
        <v>5.2520544584178497</v>
      </c>
      <c r="O74" s="126" t="s">
        <v>0</v>
      </c>
      <c r="P74" s="126" t="s">
        <v>0</v>
      </c>
      <c r="Q74" s="126" t="s">
        <v>0</v>
      </c>
      <c r="R74" s="126">
        <f t="shared" si="5"/>
        <v>5.2520544584178497</v>
      </c>
      <c r="S74" s="126">
        <f t="shared" si="6"/>
        <v>0.33162820835971746</v>
      </c>
    </row>
    <row r="75" spans="1:19" x14ac:dyDescent="0.25">
      <c r="A75" s="43" t="s">
        <v>1651</v>
      </c>
      <c r="B75" s="42" t="s">
        <v>216</v>
      </c>
      <c r="C75" s="42" t="s">
        <v>1049</v>
      </c>
      <c r="D75" s="42" t="s">
        <v>1353</v>
      </c>
      <c r="E75" s="126">
        <f t="shared" si="7"/>
        <v>15.837176470588235</v>
      </c>
      <c r="F75" s="126">
        <f t="shared" si="8"/>
        <v>0.70833333333333337</v>
      </c>
      <c r="G75" s="126">
        <f t="shared" si="9"/>
        <v>0.70833333333333337</v>
      </c>
      <c r="H75" s="42" t="s">
        <v>57</v>
      </c>
      <c r="I75" s="42" t="s">
        <v>1354</v>
      </c>
      <c r="J75" s="126">
        <v>0.66672993103448275</v>
      </c>
      <c r="K75" s="126" t="s">
        <v>0</v>
      </c>
      <c r="L75" s="126" t="s">
        <v>0</v>
      </c>
      <c r="M75" s="126" t="s">
        <v>0</v>
      </c>
      <c r="N75" s="126">
        <v>0.94126578498985791</v>
      </c>
      <c r="O75" s="126" t="s">
        <v>0</v>
      </c>
      <c r="P75" s="126" t="s">
        <v>0</v>
      </c>
      <c r="Q75" s="126" t="s">
        <v>0</v>
      </c>
      <c r="R75" s="126">
        <f t="shared" si="5"/>
        <v>0.94126578498985791</v>
      </c>
      <c r="S75" s="126">
        <f t="shared" si="6"/>
        <v>5.9433939297065676E-2</v>
      </c>
    </row>
    <row r="76" spans="1:19" x14ac:dyDescent="0.25">
      <c r="A76" s="43" t="s">
        <v>1651</v>
      </c>
      <c r="B76" s="42" t="s">
        <v>216</v>
      </c>
      <c r="C76" s="42" t="s">
        <v>1049</v>
      </c>
      <c r="D76" s="42" t="s">
        <v>1353</v>
      </c>
      <c r="E76" s="126">
        <f t="shared" si="7"/>
        <v>15.837176470588235</v>
      </c>
      <c r="F76" s="126">
        <f t="shared" si="8"/>
        <v>0.70833333333333337</v>
      </c>
      <c r="G76" s="126">
        <f t="shared" si="9"/>
        <v>0.70833333333333337</v>
      </c>
      <c r="H76" s="42" t="s">
        <v>57</v>
      </c>
      <c r="I76" s="42" t="s">
        <v>1354</v>
      </c>
      <c r="J76" s="126">
        <v>0.71481379310344828</v>
      </c>
      <c r="K76" s="126" t="s">
        <v>0</v>
      </c>
      <c r="L76" s="126" t="s">
        <v>0</v>
      </c>
      <c r="M76" s="126" t="s">
        <v>0</v>
      </c>
      <c r="N76" s="126">
        <v>1.0091488843813388</v>
      </c>
      <c r="O76" s="126" t="s">
        <v>0</v>
      </c>
      <c r="P76" s="126" t="s">
        <v>0</v>
      </c>
      <c r="Q76" s="126" t="s">
        <v>0</v>
      </c>
      <c r="R76" s="126">
        <f t="shared" si="5"/>
        <v>1.0091488843813388</v>
      </c>
      <c r="S76" s="126">
        <f t="shared" si="6"/>
        <v>6.3720252549781448E-2</v>
      </c>
    </row>
    <row r="77" spans="1:19" x14ac:dyDescent="0.25">
      <c r="A77" s="43" t="s">
        <v>1651</v>
      </c>
      <c r="B77" s="42" t="s">
        <v>216</v>
      </c>
      <c r="C77" s="42" t="s">
        <v>1049</v>
      </c>
      <c r="D77" s="42" t="s">
        <v>1353</v>
      </c>
      <c r="E77" s="126">
        <f t="shared" si="7"/>
        <v>15.837176470588235</v>
      </c>
      <c r="F77" s="126">
        <f t="shared" si="8"/>
        <v>0.70833333333333337</v>
      </c>
      <c r="G77" s="126">
        <f t="shared" si="9"/>
        <v>0.70833333333333337</v>
      </c>
      <c r="H77" s="42" t="s">
        <v>57</v>
      </c>
      <c r="I77" s="42" t="s">
        <v>1354</v>
      </c>
      <c r="J77" s="126">
        <v>1.0092380689655172</v>
      </c>
      <c r="K77" s="126" t="s">
        <v>0</v>
      </c>
      <c r="L77" s="126" t="s">
        <v>0</v>
      </c>
      <c r="M77" s="126" t="s">
        <v>0</v>
      </c>
      <c r="N77" s="126">
        <v>1.424806685598377</v>
      </c>
      <c r="O77" s="126" t="s">
        <v>0</v>
      </c>
      <c r="P77" s="126" t="s">
        <v>0</v>
      </c>
      <c r="Q77" s="126" t="s">
        <v>0</v>
      </c>
      <c r="R77" s="126">
        <f t="shared" si="5"/>
        <v>1.424806685598377</v>
      </c>
      <c r="S77" s="126">
        <f t="shared" si="6"/>
        <v>8.9965953731994744E-2</v>
      </c>
    </row>
    <row r="78" spans="1:19" x14ac:dyDescent="0.25">
      <c r="A78" s="43" t="s">
        <v>1651</v>
      </c>
      <c r="B78" s="42" t="s">
        <v>216</v>
      </c>
      <c r="C78" s="42" t="s">
        <v>1049</v>
      </c>
      <c r="D78" s="42" t="s">
        <v>1353</v>
      </c>
      <c r="E78" s="126">
        <f t="shared" si="7"/>
        <v>15.837176470588235</v>
      </c>
      <c r="F78" s="126">
        <f t="shared" si="8"/>
        <v>0.70833333333333337</v>
      </c>
      <c r="G78" s="126">
        <f t="shared" si="9"/>
        <v>0.70833333333333337</v>
      </c>
      <c r="H78" s="42" t="s">
        <v>57</v>
      </c>
      <c r="I78" s="42" t="s">
        <v>1354</v>
      </c>
      <c r="J78" s="126">
        <v>0.8073798620689655</v>
      </c>
      <c r="K78" s="126" t="s">
        <v>0</v>
      </c>
      <c r="L78" s="126" t="s">
        <v>0</v>
      </c>
      <c r="M78" s="126" t="s">
        <v>0</v>
      </c>
      <c r="N78" s="126">
        <v>1.1398303935091276</v>
      </c>
      <c r="O78" s="126" t="s">
        <v>0</v>
      </c>
      <c r="P78" s="126" t="s">
        <v>0</v>
      </c>
      <c r="Q78" s="126" t="s">
        <v>0</v>
      </c>
      <c r="R78" s="126">
        <f t="shared" si="5"/>
        <v>1.1398303935091276</v>
      </c>
      <c r="S78" s="126">
        <f t="shared" si="6"/>
        <v>7.1971818690405198E-2</v>
      </c>
    </row>
    <row r="79" spans="1:19" x14ac:dyDescent="0.25">
      <c r="A79" s="43" t="s">
        <v>1651</v>
      </c>
      <c r="B79" s="42" t="s">
        <v>216</v>
      </c>
      <c r="C79" s="42" t="s">
        <v>1049</v>
      </c>
      <c r="D79" s="42" t="s">
        <v>1353</v>
      </c>
      <c r="E79" s="126">
        <f t="shared" si="7"/>
        <v>15.837176470588235</v>
      </c>
      <c r="F79" s="126">
        <f t="shared" si="8"/>
        <v>0.70833333333333337</v>
      </c>
      <c r="G79" s="126">
        <f t="shared" si="9"/>
        <v>0.70833333333333337</v>
      </c>
      <c r="H79" s="42" t="s">
        <v>57</v>
      </c>
      <c r="I79" s="42" t="s">
        <v>1354</v>
      </c>
      <c r="J79" s="126">
        <v>0.36916965517241385</v>
      </c>
      <c r="K79" s="126" t="s">
        <v>0</v>
      </c>
      <c r="L79" s="126" t="s">
        <v>0</v>
      </c>
      <c r="M79" s="126" t="s">
        <v>0</v>
      </c>
      <c r="N79" s="126">
        <v>0.5211806896551725</v>
      </c>
      <c r="O79" s="126" t="s">
        <v>0</v>
      </c>
      <c r="P79" s="126" t="s">
        <v>0</v>
      </c>
      <c r="Q79" s="126" t="s">
        <v>0</v>
      </c>
      <c r="R79" s="126">
        <f t="shared" si="5"/>
        <v>0.5211806896551725</v>
      </c>
      <c r="S79" s="126">
        <f t="shared" si="6"/>
        <v>3.2908687392798529E-2</v>
      </c>
    </row>
    <row r="80" spans="1:19" x14ac:dyDescent="0.25">
      <c r="A80" s="43" t="s">
        <v>1651</v>
      </c>
      <c r="B80" s="42" t="s">
        <v>216</v>
      </c>
      <c r="C80" s="42" t="s">
        <v>1049</v>
      </c>
      <c r="D80" s="42" t="s">
        <v>1353</v>
      </c>
      <c r="E80" s="126">
        <f t="shared" si="7"/>
        <v>15.837176470588235</v>
      </c>
      <c r="F80" s="126">
        <f t="shared" si="8"/>
        <v>0.70833333333333337</v>
      </c>
      <c r="G80" s="126">
        <f t="shared" si="9"/>
        <v>0.70833333333333337</v>
      </c>
      <c r="H80" s="42" t="s">
        <v>57</v>
      </c>
      <c r="I80" s="42" t="s">
        <v>1354</v>
      </c>
      <c r="J80" s="126">
        <v>0.4589594482758621</v>
      </c>
      <c r="K80" s="126" t="s">
        <v>0</v>
      </c>
      <c r="L80" s="126" t="s">
        <v>0</v>
      </c>
      <c r="M80" s="126" t="s">
        <v>0</v>
      </c>
      <c r="N80" s="126">
        <v>0.64794275050709937</v>
      </c>
      <c r="O80" s="126" t="s">
        <v>0</v>
      </c>
      <c r="P80" s="126" t="s">
        <v>0</v>
      </c>
      <c r="Q80" s="126" t="s">
        <v>0</v>
      </c>
      <c r="R80" s="126">
        <f t="shared" si="5"/>
        <v>0.64794275050709937</v>
      </c>
      <c r="S80" s="126">
        <f t="shared" si="6"/>
        <v>4.0912769502216263E-2</v>
      </c>
    </row>
    <row r="81" spans="1:19" x14ac:dyDescent="0.25">
      <c r="A81" s="43" t="s">
        <v>1651</v>
      </c>
      <c r="B81" s="42" t="s">
        <v>216</v>
      </c>
      <c r="C81" s="42" t="s">
        <v>1049</v>
      </c>
      <c r="D81" s="42" t="s">
        <v>1353</v>
      </c>
      <c r="E81" s="126">
        <f t="shared" si="7"/>
        <v>15.837176470588235</v>
      </c>
      <c r="F81" s="126">
        <f t="shared" si="8"/>
        <v>0.70833333333333337</v>
      </c>
      <c r="G81" s="126">
        <f t="shared" si="9"/>
        <v>0.70833333333333337</v>
      </c>
      <c r="H81" s="42" t="s">
        <v>57</v>
      </c>
      <c r="I81" s="42" t="s">
        <v>1354</v>
      </c>
      <c r="J81" s="126">
        <v>0.50832993103448287</v>
      </c>
      <c r="K81" s="126" t="s">
        <v>0</v>
      </c>
      <c r="L81" s="126" t="s">
        <v>0</v>
      </c>
      <c r="M81" s="126" t="s">
        <v>0</v>
      </c>
      <c r="N81" s="126">
        <v>0.71764225557809347</v>
      </c>
      <c r="O81" s="126" t="s">
        <v>0</v>
      </c>
      <c r="P81" s="126" t="s">
        <v>0</v>
      </c>
      <c r="Q81" s="126" t="s">
        <v>0</v>
      </c>
      <c r="R81" s="126">
        <f t="shared" si="5"/>
        <v>0.71764225557809347</v>
      </c>
      <c r="S81" s="126">
        <f t="shared" si="6"/>
        <v>4.5313775274958362E-2</v>
      </c>
    </row>
    <row r="82" spans="1:19" x14ac:dyDescent="0.25">
      <c r="A82" s="43" t="s">
        <v>1651</v>
      </c>
      <c r="B82" s="42" t="s">
        <v>216</v>
      </c>
      <c r="C82" s="42" t="s">
        <v>1049</v>
      </c>
      <c r="D82" s="42" t="s">
        <v>1353</v>
      </c>
      <c r="E82" s="126">
        <f t="shared" si="7"/>
        <v>15.837176470588235</v>
      </c>
      <c r="F82" s="126">
        <f t="shared" si="8"/>
        <v>0.70833333333333337</v>
      </c>
      <c r="G82" s="126">
        <f t="shared" si="9"/>
        <v>0.70833333333333337</v>
      </c>
      <c r="H82" s="42" t="s">
        <v>57</v>
      </c>
      <c r="I82" s="42" t="s">
        <v>1354</v>
      </c>
      <c r="J82" s="126">
        <v>0.28511999999999998</v>
      </c>
      <c r="K82" s="126" t="s">
        <v>0</v>
      </c>
      <c r="L82" s="126" t="s">
        <v>0</v>
      </c>
      <c r="M82" s="126" t="s">
        <v>0</v>
      </c>
      <c r="N82" s="126">
        <v>0.40252235294117644</v>
      </c>
      <c r="O82" s="126" t="s">
        <v>0</v>
      </c>
      <c r="P82" s="126" t="s">
        <v>0</v>
      </c>
      <c r="Q82" s="126" t="s">
        <v>0</v>
      </c>
      <c r="R82" s="126">
        <f t="shared" si="5"/>
        <v>0.40252235294117644</v>
      </c>
      <c r="S82" s="126">
        <f t="shared" si="6"/>
        <v>2.5416295239793187E-2</v>
      </c>
    </row>
    <row r="83" spans="1:19" x14ac:dyDescent="0.25">
      <c r="A83" s="43" t="s">
        <v>1651</v>
      </c>
      <c r="B83" s="42" t="s">
        <v>216</v>
      </c>
      <c r="C83" s="42" t="s">
        <v>1049</v>
      </c>
      <c r="D83" s="42" t="s">
        <v>1353</v>
      </c>
      <c r="E83" s="126">
        <f t="shared" si="7"/>
        <v>15.837176470588235</v>
      </c>
      <c r="F83" s="126">
        <f t="shared" si="8"/>
        <v>0.70833333333333337</v>
      </c>
      <c r="G83" s="126">
        <f t="shared" si="9"/>
        <v>0.70833333333333337</v>
      </c>
      <c r="H83" s="42" t="s">
        <v>57</v>
      </c>
      <c r="I83" s="42" t="s">
        <v>1354</v>
      </c>
      <c r="J83" s="126">
        <v>0.35469241379310346</v>
      </c>
      <c r="K83" s="126" t="s">
        <v>0</v>
      </c>
      <c r="L83" s="126" t="s">
        <v>0</v>
      </c>
      <c r="M83" s="126" t="s">
        <v>0</v>
      </c>
      <c r="N83" s="126">
        <v>0.50074223123732253</v>
      </c>
      <c r="O83" s="126" t="s">
        <v>0</v>
      </c>
      <c r="P83" s="126" t="s">
        <v>0</v>
      </c>
      <c r="Q83" s="126" t="s">
        <v>0</v>
      </c>
      <c r="R83" s="126">
        <f t="shared" si="5"/>
        <v>0.50074223123732253</v>
      </c>
      <c r="S83" s="126">
        <f t="shared" si="6"/>
        <v>3.1618150632296622E-2</v>
      </c>
    </row>
    <row r="84" spans="1:19" x14ac:dyDescent="0.25">
      <c r="A84" s="43" t="s">
        <v>1651</v>
      </c>
      <c r="B84" s="42" t="s">
        <v>216</v>
      </c>
      <c r="C84" s="42" t="s">
        <v>1049</v>
      </c>
      <c r="D84" s="42" t="s">
        <v>1353</v>
      </c>
      <c r="E84" s="126">
        <f t="shared" si="7"/>
        <v>15.837176470588235</v>
      </c>
      <c r="F84" s="126">
        <f t="shared" si="8"/>
        <v>0.70833333333333337</v>
      </c>
      <c r="G84" s="126">
        <f t="shared" si="9"/>
        <v>0.70833333333333337</v>
      </c>
      <c r="H84" s="42" t="s">
        <v>57</v>
      </c>
      <c r="I84" s="42" t="s">
        <v>1354</v>
      </c>
      <c r="J84" s="126">
        <v>0.30806068965517247</v>
      </c>
      <c r="K84" s="126" t="s">
        <v>0</v>
      </c>
      <c r="L84" s="126" t="s">
        <v>0</v>
      </c>
      <c r="M84" s="126" t="s">
        <v>0</v>
      </c>
      <c r="N84" s="126">
        <v>0.43490920892494933</v>
      </c>
      <c r="O84" s="126" t="s">
        <v>0</v>
      </c>
      <c r="P84" s="126" t="s">
        <v>0</v>
      </c>
      <c r="Q84" s="126" t="s">
        <v>0</v>
      </c>
      <c r="R84" s="126">
        <f t="shared" si="5"/>
        <v>0.43490920892494933</v>
      </c>
      <c r="S84" s="126">
        <f t="shared" si="6"/>
        <v>2.7461284511960463E-2</v>
      </c>
    </row>
    <row r="85" spans="1:19" x14ac:dyDescent="0.25">
      <c r="A85" s="43" t="s">
        <v>1651</v>
      </c>
      <c r="B85" s="42" t="s">
        <v>216</v>
      </c>
      <c r="C85" s="42" t="s">
        <v>1049</v>
      </c>
      <c r="D85" s="42" t="s">
        <v>1353</v>
      </c>
      <c r="E85" s="126">
        <f t="shared" si="7"/>
        <v>15.837176470588235</v>
      </c>
      <c r="F85" s="126">
        <f t="shared" si="8"/>
        <v>0.70833333333333337</v>
      </c>
      <c r="G85" s="126">
        <f t="shared" si="9"/>
        <v>0.70833333333333337</v>
      </c>
      <c r="H85" s="42" t="s">
        <v>57</v>
      </c>
      <c r="I85" s="42" t="s">
        <v>1354</v>
      </c>
      <c r="J85" s="126">
        <v>0.5139420689655172</v>
      </c>
      <c r="K85" s="126" t="s">
        <v>0</v>
      </c>
      <c r="L85" s="126" t="s">
        <v>0</v>
      </c>
      <c r="M85" s="126" t="s">
        <v>0</v>
      </c>
      <c r="N85" s="126">
        <v>0.72556527383367131</v>
      </c>
      <c r="O85" s="126" t="s">
        <v>0</v>
      </c>
      <c r="P85" s="126" t="s">
        <v>0</v>
      </c>
      <c r="Q85" s="126" t="s">
        <v>0</v>
      </c>
      <c r="R85" s="126">
        <f t="shared" si="5"/>
        <v>0.72556527383367131</v>
      </c>
      <c r="S85" s="126">
        <f t="shared" si="6"/>
        <v>4.5814054997817544E-2</v>
      </c>
    </row>
    <row r="86" spans="1:19" x14ac:dyDescent="0.25">
      <c r="A86" s="43" t="s">
        <v>1653</v>
      </c>
      <c r="B86" s="42" t="s">
        <v>2</v>
      </c>
      <c r="C86" s="42" t="s">
        <v>1023</v>
      </c>
      <c r="D86" s="42" t="s">
        <v>1388</v>
      </c>
      <c r="E86" s="42">
        <f>9.0667+31.652</f>
        <v>40.718699999999998</v>
      </c>
      <c r="F86" s="42">
        <f t="shared" si="8"/>
        <v>0.70833333333333337</v>
      </c>
      <c r="G86" s="42" t="s">
        <v>0</v>
      </c>
      <c r="H86" s="42" t="s">
        <v>57</v>
      </c>
      <c r="I86" s="42" t="s">
        <v>1389</v>
      </c>
      <c r="J86" s="126">
        <v>17.655172413793103</v>
      </c>
      <c r="K86" s="126" t="s">
        <v>0</v>
      </c>
      <c r="L86" s="126">
        <v>0.73333333333333328</v>
      </c>
      <c r="M86" s="126" t="s">
        <v>0</v>
      </c>
      <c r="N86" s="126">
        <v>24.937931034482759</v>
      </c>
      <c r="O86" s="126" t="s">
        <v>0</v>
      </c>
      <c r="P86" s="126">
        <v>1.0352941176470587</v>
      </c>
      <c r="Q86" s="126" t="s">
        <v>0</v>
      </c>
      <c r="R86" s="126">
        <f t="shared" si="5"/>
        <v>25.973225152129817</v>
      </c>
      <c r="S86" s="126">
        <f t="shared" si="6"/>
        <v>0.63786970488079975</v>
      </c>
    </row>
    <row r="87" spans="1:19" x14ac:dyDescent="0.25">
      <c r="A87" s="43" t="s">
        <v>1653</v>
      </c>
      <c r="B87" s="42" t="s">
        <v>2</v>
      </c>
      <c r="C87" s="42" t="s">
        <v>1023</v>
      </c>
      <c r="D87" s="42" t="s">
        <v>1396</v>
      </c>
      <c r="E87" s="42">
        <f>9.0667+47.478</f>
        <v>56.544700000000006</v>
      </c>
      <c r="F87" s="42">
        <f t="shared" si="8"/>
        <v>0.70833333333333337</v>
      </c>
      <c r="G87" s="42" t="s">
        <v>0</v>
      </c>
      <c r="H87" s="42" t="s">
        <v>57</v>
      </c>
      <c r="I87" s="42" t="s">
        <v>1397</v>
      </c>
      <c r="J87" s="126">
        <v>23.613793103448273</v>
      </c>
      <c r="K87" s="126" t="s">
        <v>0</v>
      </c>
      <c r="L87" s="126">
        <v>1.2222222222222223</v>
      </c>
      <c r="M87" s="126" t="s">
        <v>0</v>
      </c>
      <c r="N87" s="126">
        <v>33.324137931034485</v>
      </c>
      <c r="O87" s="126" t="s">
        <v>0</v>
      </c>
      <c r="P87" s="126">
        <v>1.7254901960784315</v>
      </c>
      <c r="Q87" s="126" t="s">
        <v>0</v>
      </c>
      <c r="R87" s="126">
        <f t="shared" si="5"/>
        <v>35.049628127112918</v>
      </c>
      <c r="S87" s="126">
        <f t="shared" si="6"/>
        <v>0.61985700033978275</v>
      </c>
    </row>
    <row r="88" spans="1:19" x14ac:dyDescent="0.25">
      <c r="A88" s="43" t="s">
        <v>1653</v>
      </c>
      <c r="B88" s="42" t="s">
        <v>2</v>
      </c>
      <c r="C88" s="42" t="s">
        <v>1023</v>
      </c>
      <c r="D88" s="42" t="s">
        <v>1401</v>
      </c>
      <c r="E88" s="42">
        <f>9.0667+63.304</f>
        <v>72.370699999999999</v>
      </c>
      <c r="F88" s="42">
        <f t="shared" si="8"/>
        <v>0.70833333333333337</v>
      </c>
      <c r="G88" s="42" t="s">
        <v>0</v>
      </c>
      <c r="H88" s="42" t="s">
        <v>57</v>
      </c>
      <c r="I88" s="42" t="s">
        <v>1402</v>
      </c>
      <c r="J88" s="126">
        <v>24.49655172413793</v>
      </c>
      <c r="K88" s="126" t="s">
        <v>0</v>
      </c>
      <c r="L88" s="126">
        <v>1.4666666666666666</v>
      </c>
      <c r="M88" s="126" t="s">
        <v>0</v>
      </c>
      <c r="N88" s="126">
        <v>34.648275862068964</v>
      </c>
      <c r="O88" s="126" t="s">
        <v>0</v>
      </c>
      <c r="P88" s="126">
        <v>2.0705882352941174</v>
      </c>
      <c r="Q88" s="126" t="s">
        <v>0</v>
      </c>
      <c r="R88" s="126">
        <f t="shared" si="5"/>
        <v>36.718864097363081</v>
      </c>
      <c r="S88" s="126">
        <f t="shared" si="6"/>
        <v>0.50737196265012063</v>
      </c>
    </row>
    <row r="89" spans="1:19" x14ac:dyDescent="0.25">
      <c r="A89" s="43" t="s">
        <v>735</v>
      </c>
      <c r="B89" s="42" t="s">
        <v>2</v>
      </c>
      <c r="C89" s="42" t="s">
        <v>1023</v>
      </c>
      <c r="D89" s="42" t="s">
        <v>1405</v>
      </c>
      <c r="E89" s="42">
        <v>2.1</v>
      </c>
      <c r="F89" s="42">
        <v>4.2</v>
      </c>
      <c r="G89" s="42" t="s">
        <v>0</v>
      </c>
      <c r="H89" s="42" t="s">
        <v>121</v>
      </c>
      <c r="I89" s="42" t="s">
        <v>1406</v>
      </c>
      <c r="J89" s="42">
        <v>0.8</v>
      </c>
      <c r="K89" s="42"/>
      <c r="L89" s="42">
        <v>0</v>
      </c>
      <c r="M89" s="42"/>
      <c r="N89" s="42">
        <v>0.5</v>
      </c>
      <c r="O89" s="126" t="s">
        <v>0</v>
      </c>
      <c r="P89" s="42">
        <v>0</v>
      </c>
      <c r="Q89" s="126" t="s">
        <v>0</v>
      </c>
      <c r="R89" s="126">
        <f t="shared" si="5"/>
        <v>0.5</v>
      </c>
      <c r="S89" s="126">
        <f t="shared" si="6"/>
        <v>0.23809523809523808</v>
      </c>
    </row>
    <row r="90" spans="1:19" x14ac:dyDescent="0.25">
      <c r="A90" s="43" t="s">
        <v>735</v>
      </c>
      <c r="B90" s="42" t="s">
        <v>2</v>
      </c>
      <c r="C90" s="42" t="s">
        <v>1023</v>
      </c>
      <c r="D90" s="42" t="s">
        <v>1405</v>
      </c>
      <c r="E90" s="42">
        <v>1.8</v>
      </c>
      <c r="F90" s="42">
        <v>4.8</v>
      </c>
      <c r="G90" s="42" t="s">
        <v>0</v>
      </c>
      <c r="H90" s="42" t="s">
        <v>121</v>
      </c>
      <c r="I90" s="42" t="s">
        <v>1406</v>
      </c>
      <c r="J90" s="42">
        <v>0.19</v>
      </c>
      <c r="K90" s="42"/>
      <c r="L90" s="42">
        <v>0</v>
      </c>
      <c r="M90" s="42"/>
      <c r="N90" s="42">
        <v>0.3</v>
      </c>
      <c r="O90" s="126" t="s">
        <v>0</v>
      </c>
      <c r="P90" s="42">
        <v>0</v>
      </c>
      <c r="Q90" s="126" t="s">
        <v>0</v>
      </c>
      <c r="R90" s="126">
        <f t="shared" si="5"/>
        <v>0.3</v>
      </c>
      <c r="S90" s="126">
        <f t="shared" si="6"/>
        <v>0.16666666666666666</v>
      </c>
    </row>
    <row r="91" spans="1:19" x14ac:dyDescent="0.25">
      <c r="A91" s="43" t="s">
        <v>735</v>
      </c>
      <c r="B91" s="42" t="s">
        <v>2</v>
      </c>
      <c r="C91" s="42" t="s">
        <v>1023</v>
      </c>
      <c r="D91" s="42" t="s">
        <v>1405</v>
      </c>
      <c r="E91" s="42">
        <v>1.7</v>
      </c>
      <c r="F91" s="42">
        <v>3.8</v>
      </c>
      <c r="G91" s="42" t="s">
        <v>0</v>
      </c>
      <c r="H91" s="42" t="s">
        <v>121</v>
      </c>
      <c r="I91" s="42" t="s">
        <v>1406</v>
      </c>
      <c r="J91" s="42">
        <v>0.03</v>
      </c>
      <c r="K91" s="42"/>
      <c r="L91" s="42">
        <v>0.05</v>
      </c>
      <c r="M91" s="42"/>
      <c r="N91" s="42">
        <v>0.6</v>
      </c>
      <c r="O91" s="126" t="s">
        <v>0</v>
      </c>
      <c r="P91" s="42">
        <v>0</v>
      </c>
      <c r="Q91" s="126" t="s">
        <v>0</v>
      </c>
      <c r="R91" s="126">
        <f t="shared" si="5"/>
        <v>0.6</v>
      </c>
      <c r="S91" s="126">
        <f t="shared" si="6"/>
        <v>0.35294117647058826</v>
      </c>
    </row>
    <row r="92" spans="1:19" x14ac:dyDescent="0.25">
      <c r="A92" s="43" t="s">
        <v>735</v>
      </c>
      <c r="B92" s="42" t="s">
        <v>2</v>
      </c>
      <c r="C92" s="42" t="s">
        <v>1023</v>
      </c>
      <c r="D92" s="42" t="s">
        <v>1405</v>
      </c>
      <c r="E92" s="42">
        <v>1.8</v>
      </c>
      <c r="F92" s="42">
        <v>4.5</v>
      </c>
      <c r="G92" s="42" t="s">
        <v>0</v>
      </c>
      <c r="H92" s="42" t="s">
        <v>121</v>
      </c>
      <c r="I92" s="42" t="s">
        <v>1406</v>
      </c>
      <c r="J92" s="42">
        <v>0.23</v>
      </c>
      <c r="K92" s="42"/>
      <c r="L92" s="42">
        <v>0.21</v>
      </c>
      <c r="M92" s="42"/>
      <c r="N92" s="42">
        <v>0.1</v>
      </c>
      <c r="O92" s="126" t="s">
        <v>0</v>
      </c>
      <c r="P92" s="42">
        <v>0</v>
      </c>
      <c r="Q92" s="126" t="s">
        <v>0</v>
      </c>
      <c r="R92" s="126">
        <f t="shared" si="5"/>
        <v>0.1</v>
      </c>
      <c r="S92" s="126">
        <f t="shared" si="6"/>
        <v>5.5555555555555559E-2</v>
      </c>
    </row>
    <row r="93" spans="1:19" x14ac:dyDescent="0.25">
      <c r="A93" s="43" t="s">
        <v>735</v>
      </c>
      <c r="B93" s="42" t="s">
        <v>2</v>
      </c>
      <c r="C93" s="42" t="s">
        <v>1023</v>
      </c>
      <c r="D93" s="42" t="s">
        <v>1405</v>
      </c>
      <c r="E93" s="42">
        <v>3.8</v>
      </c>
      <c r="F93" s="42">
        <v>4.4000000000000004</v>
      </c>
      <c r="G93" s="42" t="s">
        <v>0</v>
      </c>
      <c r="H93" s="42" t="s">
        <v>121</v>
      </c>
      <c r="I93" s="42" t="s">
        <v>1420</v>
      </c>
      <c r="J93" s="42">
        <v>1.03</v>
      </c>
      <c r="K93" s="42"/>
      <c r="L93" s="42">
        <v>0.76</v>
      </c>
      <c r="M93" s="42"/>
      <c r="N93" s="42">
        <v>0.2</v>
      </c>
      <c r="O93" s="126" t="s">
        <v>0</v>
      </c>
      <c r="P93" s="42">
        <v>0.2</v>
      </c>
      <c r="Q93" s="126" t="s">
        <v>0</v>
      </c>
      <c r="R93" s="126">
        <f t="shared" si="5"/>
        <v>0.4</v>
      </c>
      <c r="S93" s="126">
        <f t="shared" si="6"/>
        <v>0.10526315789473685</v>
      </c>
    </row>
    <row r="94" spans="1:19" x14ac:dyDescent="0.25">
      <c r="A94" s="43" t="s">
        <v>735</v>
      </c>
      <c r="B94" s="42" t="s">
        <v>2</v>
      </c>
      <c r="C94" s="42" t="s">
        <v>1023</v>
      </c>
      <c r="D94" s="42" t="s">
        <v>1405</v>
      </c>
      <c r="E94" s="42">
        <v>3.7</v>
      </c>
      <c r="F94" s="42">
        <v>3.7</v>
      </c>
      <c r="G94" s="42" t="s">
        <v>0</v>
      </c>
      <c r="H94" s="42" t="s">
        <v>121</v>
      </c>
      <c r="I94" s="42" t="s">
        <v>1420</v>
      </c>
      <c r="J94" s="42">
        <v>7.0000000000000007E-2</v>
      </c>
      <c r="K94" s="42"/>
      <c r="L94" s="42">
        <v>0.03</v>
      </c>
      <c r="M94" s="42"/>
      <c r="N94" s="42">
        <v>1.2</v>
      </c>
      <c r="O94" s="126" t="s">
        <v>0</v>
      </c>
      <c r="P94" s="42">
        <v>0.8</v>
      </c>
      <c r="Q94" s="126" t="s">
        <v>0</v>
      </c>
      <c r="R94" s="126">
        <f t="shared" si="5"/>
        <v>2</v>
      </c>
      <c r="S94" s="126">
        <f t="shared" si="6"/>
        <v>0.54054054054054046</v>
      </c>
    </row>
    <row r="95" spans="1:19" x14ac:dyDescent="0.25">
      <c r="A95" s="43" t="s">
        <v>735</v>
      </c>
      <c r="B95" s="42" t="s">
        <v>2</v>
      </c>
      <c r="C95" s="42" t="s">
        <v>1023</v>
      </c>
      <c r="D95" s="42" t="s">
        <v>1405</v>
      </c>
      <c r="E95" s="42">
        <v>6.3</v>
      </c>
      <c r="F95" s="42">
        <v>3.8</v>
      </c>
      <c r="G95" s="42" t="s">
        <v>0</v>
      </c>
      <c r="H95" s="42" t="s">
        <v>121</v>
      </c>
      <c r="I95" s="42" t="s">
        <v>1420</v>
      </c>
      <c r="J95" s="42">
        <v>0.09</v>
      </c>
      <c r="K95" s="42"/>
      <c r="L95" s="42">
        <v>0.04</v>
      </c>
      <c r="M95" s="42"/>
      <c r="N95" s="42">
        <v>2.2000000000000002</v>
      </c>
      <c r="O95" s="126" t="s">
        <v>0</v>
      </c>
      <c r="P95" s="42">
        <v>2.2999999999999998</v>
      </c>
      <c r="Q95" s="126" t="s">
        <v>0</v>
      </c>
      <c r="R95" s="126">
        <f t="shared" si="5"/>
        <v>4.5</v>
      </c>
      <c r="S95" s="126">
        <f t="shared" si="6"/>
        <v>0.7142857142857143</v>
      </c>
    </row>
    <row r="96" spans="1:19" x14ac:dyDescent="0.25">
      <c r="A96" s="43" t="s">
        <v>735</v>
      </c>
      <c r="B96" s="42" t="s">
        <v>2</v>
      </c>
      <c r="C96" s="42" t="s">
        <v>1023</v>
      </c>
      <c r="D96" s="42" t="s">
        <v>1405</v>
      </c>
      <c r="E96" s="42">
        <v>15</v>
      </c>
      <c r="F96" s="42">
        <v>3.3</v>
      </c>
      <c r="G96" s="42" t="s">
        <v>0</v>
      </c>
      <c r="H96" s="42" t="s">
        <v>121</v>
      </c>
      <c r="I96" s="42" t="s">
        <v>1420</v>
      </c>
      <c r="J96" s="42">
        <v>0.06</v>
      </c>
      <c r="K96" s="42"/>
      <c r="L96" s="42">
        <v>0.09</v>
      </c>
      <c r="M96" s="42"/>
      <c r="N96" s="42">
        <v>0.4</v>
      </c>
      <c r="O96" s="126" t="s">
        <v>0</v>
      </c>
      <c r="P96" s="42">
        <v>10.6</v>
      </c>
      <c r="Q96" s="126" t="s">
        <v>0</v>
      </c>
      <c r="R96" s="126">
        <f t="shared" si="5"/>
        <v>11</v>
      </c>
      <c r="S96" s="126">
        <f t="shared" si="6"/>
        <v>0.73333333333333328</v>
      </c>
    </row>
    <row r="97" spans="1:19" x14ac:dyDescent="0.25">
      <c r="A97" s="43" t="s">
        <v>735</v>
      </c>
      <c r="B97" s="42" t="s">
        <v>2</v>
      </c>
      <c r="C97" s="42" t="s">
        <v>1023</v>
      </c>
      <c r="D97" s="42" t="s">
        <v>1405</v>
      </c>
      <c r="E97" s="42">
        <v>13.7</v>
      </c>
      <c r="F97" s="42">
        <v>1.6</v>
      </c>
      <c r="G97" s="42" t="s">
        <v>0</v>
      </c>
      <c r="H97" s="42" t="s">
        <v>121</v>
      </c>
      <c r="I97" s="42" t="s">
        <v>1420</v>
      </c>
      <c r="J97" s="42">
        <v>0.08</v>
      </c>
      <c r="K97" s="42"/>
      <c r="L97" s="42">
        <v>0.18</v>
      </c>
      <c r="M97" s="42"/>
      <c r="N97" s="42">
        <v>1.7</v>
      </c>
      <c r="O97" s="126" t="s">
        <v>0</v>
      </c>
      <c r="P97" s="42">
        <v>11.2</v>
      </c>
      <c r="Q97" s="126" t="s">
        <v>0</v>
      </c>
      <c r="R97" s="126">
        <f t="shared" si="5"/>
        <v>12.899999999999999</v>
      </c>
      <c r="S97" s="126">
        <f t="shared" si="6"/>
        <v>0.94160583941605835</v>
      </c>
    </row>
    <row r="98" spans="1:19" x14ac:dyDescent="0.25">
      <c r="A98" s="43" t="s">
        <v>735</v>
      </c>
      <c r="B98" s="42" t="s">
        <v>2</v>
      </c>
      <c r="C98" s="42" t="s">
        <v>1023</v>
      </c>
      <c r="D98" s="42" t="s">
        <v>1405</v>
      </c>
      <c r="E98" s="42">
        <v>34.700000000000003</v>
      </c>
      <c r="F98" s="42">
        <v>1.5</v>
      </c>
      <c r="G98" s="42" t="s">
        <v>0</v>
      </c>
      <c r="H98" s="42" t="s">
        <v>121</v>
      </c>
      <c r="I98" s="42" t="s">
        <v>1420</v>
      </c>
      <c r="J98" s="42">
        <v>0.28000000000000003</v>
      </c>
      <c r="K98" s="42"/>
      <c r="L98" s="42">
        <v>0.34</v>
      </c>
      <c r="M98" s="42"/>
      <c r="N98" s="42">
        <v>1.7</v>
      </c>
      <c r="O98" s="126" t="s">
        <v>0</v>
      </c>
      <c r="P98" s="42">
        <v>19.399999999999999</v>
      </c>
      <c r="Q98" s="126" t="s">
        <v>0</v>
      </c>
      <c r="R98" s="126">
        <f t="shared" si="5"/>
        <v>21.099999999999998</v>
      </c>
      <c r="S98" s="126">
        <f t="shared" si="6"/>
        <v>0.60806916426512958</v>
      </c>
    </row>
    <row r="99" spans="1:19" x14ac:dyDescent="0.25">
      <c r="A99" s="43" t="s">
        <v>735</v>
      </c>
      <c r="B99" s="42" t="s">
        <v>2</v>
      </c>
      <c r="C99" s="42" t="s">
        <v>1023</v>
      </c>
      <c r="D99" s="42" t="s">
        <v>1405</v>
      </c>
      <c r="E99" s="42">
        <v>63.8</v>
      </c>
      <c r="F99" s="42">
        <v>1.5</v>
      </c>
      <c r="G99" s="42" t="s">
        <v>0</v>
      </c>
      <c r="H99" s="42" t="s">
        <v>121</v>
      </c>
      <c r="I99" s="42" t="s">
        <v>1420</v>
      </c>
      <c r="J99" s="42">
        <v>1.21</v>
      </c>
      <c r="K99" s="42"/>
      <c r="L99" s="42">
        <v>0.69</v>
      </c>
      <c r="M99" s="42"/>
      <c r="N99" s="42">
        <v>7.5</v>
      </c>
      <c r="O99" s="126" t="s">
        <v>0</v>
      </c>
      <c r="P99" s="42">
        <v>13.2</v>
      </c>
      <c r="Q99" s="126" t="s">
        <v>0</v>
      </c>
      <c r="R99" s="126">
        <f t="shared" si="5"/>
        <v>20.7</v>
      </c>
      <c r="S99" s="126">
        <f t="shared" si="6"/>
        <v>0.32445141065830724</v>
      </c>
    </row>
    <row r="100" spans="1:19" x14ac:dyDescent="0.25">
      <c r="A100" s="43" t="s">
        <v>1654</v>
      </c>
      <c r="B100" s="42" t="s">
        <v>2</v>
      </c>
      <c r="C100" s="42" t="s">
        <v>1023</v>
      </c>
      <c r="D100" s="42" t="s">
        <v>1446</v>
      </c>
      <c r="E100" s="42">
        <v>6.8</v>
      </c>
      <c r="F100" s="42">
        <v>1.4</v>
      </c>
      <c r="G100" s="42" t="s">
        <v>0</v>
      </c>
      <c r="H100" s="42" t="s">
        <v>57</v>
      </c>
      <c r="I100" s="42" t="s">
        <v>1447</v>
      </c>
      <c r="J100" s="42">
        <v>0</v>
      </c>
      <c r="K100" s="42"/>
      <c r="L100" s="42" t="s">
        <v>0</v>
      </c>
      <c r="M100" s="42"/>
      <c r="N100" s="42">
        <v>0</v>
      </c>
      <c r="O100" s="126" t="s">
        <v>0</v>
      </c>
      <c r="P100" s="42" t="s">
        <v>0</v>
      </c>
      <c r="Q100" s="126" t="s">
        <v>0</v>
      </c>
      <c r="R100" s="126">
        <f t="shared" si="5"/>
        <v>0</v>
      </c>
      <c r="S100" s="126">
        <f t="shared" si="6"/>
        <v>0</v>
      </c>
    </row>
    <row r="101" spans="1:19" x14ac:dyDescent="0.25">
      <c r="A101" s="43" t="s">
        <v>1654</v>
      </c>
      <c r="B101" s="42" t="s">
        <v>2</v>
      </c>
      <c r="C101" s="42" t="s">
        <v>1023</v>
      </c>
      <c r="D101" s="42" t="s">
        <v>1451</v>
      </c>
      <c r="E101" s="42">
        <v>6</v>
      </c>
      <c r="F101" s="42">
        <v>1.6</v>
      </c>
      <c r="G101" s="42" t="s">
        <v>0</v>
      </c>
      <c r="H101" s="42" t="s">
        <v>57</v>
      </c>
      <c r="I101" s="42" t="s">
        <v>1452</v>
      </c>
      <c r="J101" s="42">
        <v>0.15</v>
      </c>
      <c r="K101" s="42"/>
      <c r="L101" s="42" t="s">
        <v>0</v>
      </c>
      <c r="M101" s="42"/>
      <c r="N101" s="42">
        <v>0.1</v>
      </c>
      <c r="O101" s="126" t="s">
        <v>0</v>
      </c>
      <c r="P101" s="42" t="s">
        <v>0</v>
      </c>
      <c r="Q101" s="126" t="s">
        <v>0</v>
      </c>
      <c r="R101" s="126">
        <f t="shared" ref="R101:R115" si="10">SUM(N101:Q101)</f>
        <v>0.1</v>
      </c>
      <c r="S101" s="126">
        <f t="shared" ref="S101:S115" si="11">R101/E101</f>
        <v>1.6666666666666666E-2</v>
      </c>
    </row>
    <row r="102" spans="1:19" x14ac:dyDescent="0.25">
      <c r="A102" s="43" t="s">
        <v>1654</v>
      </c>
      <c r="B102" s="42" t="s">
        <v>2</v>
      </c>
      <c r="C102" s="42" t="s">
        <v>1023</v>
      </c>
      <c r="D102" s="42" t="s">
        <v>1455</v>
      </c>
      <c r="E102" s="42">
        <v>5.7</v>
      </c>
      <c r="F102" s="42">
        <v>1.6</v>
      </c>
      <c r="G102" s="42" t="s">
        <v>0</v>
      </c>
      <c r="H102" s="42" t="s">
        <v>57</v>
      </c>
      <c r="I102" s="42" t="s">
        <v>1456</v>
      </c>
      <c r="J102" s="42">
        <v>0.91</v>
      </c>
      <c r="K102" s="42"/>
      <c r="L102" s="42" t="s">
        <v>0</v>
      </c>
      <c r="M102" s="42"/>
      <c r="N102" s="42">
        <v>0.6</v>
      </c>
      <c r="O102" s="126" t="s">
        <v>0</v>
      </c>
      <c r="P102" s="42" t="s">
        <v>0</v>
      </c>
      <c r="Q102" s="126" t="s">
        <v>0</v>
      </c>
      <c r="R102" s="126">
        <f t="shared" si="10"/>
        <v>0.6</v>
      </c>
      <c r="S102" s="126">
        <f t="shared" si="11"/>
        <v>0.10526315789473684</v>
      </c>
    </row>
    <row r="103" spans="1:19" x14ac:dyDescent="0.25">
      <c r="A103" s="43" t="s">
        <v>1654</v>
      </c>
      <c r="B103" s="42" t="s">
        <v>2</v>
      </c>
      <c r="C103" s="42" t="s">
        <v>1023</v>
      </c>
      <c r="D103" s="42" t="s">
        <v>1459</v>
      </c>
      <c r="E103" s="42">
        <v>5.9</v>
      </c>
      <c r="F103" s="42">
        <v>1.6</v>
      </c>
      <c r="G103" s="42" t="s">
        <v>0</v>
      </c>
      <c r="H103" s="42" t="s">
        <v>57</v>
      </c>
      <c r="I103" s="42" t="s">
        <v>1456</v>
      </c>
      <c r="J103" s="42">
        <v>0.2</v>
      </c>
      <c r="K103" s="42"/>
      <c r="L103" s="42" t="s">
        <v>0</v>
      </c>
      <c r="M103" s="42"/>
      <c r="N103" s="42">
        <v>1</v>
      </c>
      <c r="O103" s="126" t="s">
        <v>0</v>
      </c>
      <c r="P103" s="42" t="s">
        <v>0</v>
      </c>
      <c r="Q103" s="126" t="s">
        <v>0</v>
      </c>
      <c r="R103" s="126">
        <f t="shared" si="10"/>
        <v>1</v>
      </c>
      <c r="S103" s="126">
        <f t="shared" si="11"/>
        <v>0.16949152542372881</v>
      </c>
    </row>
    <row r="104" spans="1:19" x14ac:dyDescent="0.25">
      <c r="A104" s="43" t="s">
        <v>1654</v>
      </c>
      <c r="B104" s="42" t="s">
        <v>2</v>
      </c>
      <c r="C104" s="42" t="s">
        <v>1023</v>
      </c>
      <c r="D104" s="42" t="s">
        <v>1462</v>
      </c>
      <c r="E104" s="42">
        <v>6.4</v>
      </c>
      <c r="F104" s="42">
        <v>1.6</v>
      </c>
      <c r="G104" s="42" t="s">
        <v>0</v>
      </c>
      <c r="H104" s="42" t="s">
        <v>57</v>
      </c>
      <c r="I104" s="42" t="s">
        <v>1463</v>
      </c>
      <c r="J104" s="42">
        <v>0.05</v>
      </c>
      <c r="K104" s="42"/>
      <c r="L104" s="42" t="s">
        <v>0</v>
      </c>
      <c r="M104" s="42"/>
      <c r="N104" s="42">
        <v>1.3</v>
      </c>
      <c r="O104" s="126" t="s">
        <v>0</v>
      </c>
      <c r="P104" s="42" t="s">
        <v>0</v>
      </c>
      <c r="Q104" s="126" t="s">
        <v>0</v>
      </c>
      <c r="R104" s="126">
        <f t="shared" si="10"/>
        <v>1.3</v>
      </c>
      <c r="S104" s="126">
        <f t="shared" si="11"/>
        <v>0.203125</v>
      </c>
    </row>
    <row r="105" spans="1:19" x14ac:dyDescent="0.25">
      <c r="A105" s="43" t="s">
        <v>1654</v>
      </c>
      <c r="B105" s="42" t="s">
        <v>2</v>
      </c>
      <c r="C105" s="42" t="s">
        <v>1023</v>
      </c>
      <c r="D105" s="42" t="s">
        <v>1466</v>
      </c>
      <c r="E105" s="42">
        <v>7.9</v>
      </c>
      <c r="F105" s="42">
        <v>1.5</v>
      </c>
      <c r="G105" s="42" t="s">
        <v>0</v>
      </c>
      <c r="H105" s="42" t="s">
        <v>57</v>
      </c>
      <c r="I105" s="42" t="s">
        <v>1467</v>
      </c>
      <c r="J105" s="42">
        <v>0.04</v>
      </c>
      <c r="K105" s="42"/>
      <c r="L105" s="42" t="s">
        <v>0</v>
      </c>
      <c r="M105" s="42"/>
      <c r="N105" s="42">
        <v>2.4</v>
      </c>
      <c r="O105" s="126" t="s">
        <v>0</v>
      </c>
      <c r="P105" s="42" t="s">
        <v>0</v>
      </c>
      <c r="Q105" s="126" t="s">
        <v>0</v>
      </c>
      <c r="R105" s="126">
        <f t="shared" si="10"/>
        <v>2.4</v>
      </c>
      <c r="S105" s="126">
        <f t="shared" si="11"/>
        <v>0.30379746835443033</v>
      </c>
    </row>
    <row r="106" spans="1:19" x14ac:dyDescent="0.25">
      <c r="A106" s="43" t="s">
        <v>1654</v>
      </c>
      <c r="B106" s="42" t="s">
        <v>2</v>
      </c>
      <c r="C106" s="42" t="s">
        <v>1023</v>
      </c>
      <c r="D106" s="42" t="s">
        <v>1470</v>
      </c>
      <c r="E106" s="42">
        <v>9.1999999999999993</v>
      </c>
      <c r="F106" s="42">
        <v>1.6</v>
      </c>
      <c r="G106" s="42" t="s">
        <v>0</v>
      </c>
      <c r="H106" s="42" t="s">
        <v>57</v>
      </c>
      <c r="I106" s="42" t="s">
        <v>1471</v>
      </c>
      <c r="J106" s="42">
        <v>0.06</v>
      </c>
      <c r="K106" s="42"/>
      <c r="L106" s="42" t="s">
        <v>0</v>
      </c>
      <c r="M106" s="42"/>
      <c r="N106" s="42">
        <v>3.8</v>
      </c>
      <c r="O106" s="126" t="s">
        <v>0</v>
      </c>
      <c r="P106" s="42" t="s">
        <v>0</v>
      </c>
      <c r="Q106" s="126" t="s">
        <v>0</v>
      </c>
      <c r="R106" s="126">
        <f t="shared" si="10"/>
        <v>3.8</v>
      </c>
      <c r="S106" s="126">
        <f t="shared" si="11"/>
        <v>0.41304347826086957</v>
      </c>
    </row>
    <row r="107" spans="1:19" x14ac:dyDescent="0.25">
      <c r="A107" s="43" t="s">
        <v>1654</v>
      </c>
      <c r="B107" s="42" t="s">
        <v>2</v>
      </c>
      <c r="C107" s="42" t="s">
        <v>1023</v>
      </c>
      <c r="D107" s="42" t="s">
        <v>1474</v>
      </c>
      <c r="E107" s="42">
        <v>12.4</v>
      </c>
      <c r="F107" s="42">
        <v>1.4</v>
      </c>
      <c r="G107" s="42" t="s">
        <v>0</v>
      </c>
      <c r="H107" s="42" t="s">
        <v>57</v>
      </c>
      <c r="I107" s="42" t="s">
        <v>1475</v>
      </c>
      <c r="J107" s="42">
        <v>0.32</v>
      </c>
      <c r="K107" s="42"/>
      <c r="L107" s="42" t="s">
        <v>0</v>
      </c>
      <c r="M107" s="42"/>
      <c r="N107" s="42">
        <v>3.3</v>
      </c>
      <c r="O107" s="126" t="s">
        <v>0</v>
      </c>
      <c r="P107" s="42" t="s">
        <v>0</v>
      </c>
      <c r="Q107" s="126" t="s">
        <v>0</v>
      </c>
      <c r="R107" s="126">
        <f t="shared" si="10"/>
        <v>3.3</v>
      </c>
      <c r="S107" s="126">
        <f t="shared" si="11"/>
        <v>0.2661290322580645</v>
      </c>
    </row>
    <row r="108" spans="1:19" x14ac:dyDescent="0.25">
      <c r="A108" s="43" t="s">
        <v>1654</v>
      </c>
      <c r="B108" s="42" t="s">
        <v>2</v>
      </c>
      <c r="C108" s="42" t="s">
        <v>1023</v>
      </c>
      <c r="D108" s="42" t="s">
        <v>1478</v>
      </c>
      <c r="E108" s="42">
        <v>17.7</v>
      </c>
      <c r="F108" s="42">
        <v>1.9</v>
      </c>
      <c r="G108" s="42" t="s">
        <v>0</v>
      </c>
      <c r="H108" s="42" t="s">
        <v>57</v>
      </c>
      <c r="I108" s="42" t="s">
        <v>1479</v>
      </c>
      <c r="J108" s="42">
        <v>0.06</v>
      </c>
      <c r="K108" s="42"/>
      <c r="L108" s="42" t="s">
        <v>0</v>
      </c>
      <c r="M108" s="42"/>
      <c r="N108" s="42">
        <v>6.9</v>
      </c>
      <c r="O108" s="126" t="s">
        <v>0</v>
      </c>
      <c r="P108" s="42" t="s">
        <v>0</v>
      </c>
      <c r="Q108" s="126" t="s">
        <v>0</v>
      </c>
      <c r="R108" s="126">
        <f t="shared" si="10"/>
        <v>6.9</v>
      </c>
      <c r="S108" s="126">
        <f t="shared" si="11"/>
        <v>0.38983050847457629</v>
      </c>
    </row>
    <row r="109" spans="1:19" x14ac:dyDescent="0.25">
      <c r="A109" s="43" t="s">
        <v>1654</v>
      </c>
      <c r="B109" s="42" t="s">
        <v>2</v>
      </c>
      <c r="C109" s="42" t="s">
        <v>1023</v>
      </c>
      <c r="D109" s="42" t="s">
        <v>1482</v>
      </c>
      <c r="E109" s="42">
        <v>30.8</v>
      </c>
      <c r="F109" s="42">
        <v>1.3</v>
      </c>
      <c r="G109" s="42" t="s">
        <v>0</v>
      </c>
      <c r="H109" s="42" t="s">
        <v>57</v>
      </c>
      <c r="I109" s="42" t="s">
        <v>1483</v>
      </c>
      <c r="J109" s="42">
        <v>0.05</v>
      </c>
      <c r="K109" s="42"/>
      <c r="L109" s="42" t="s">
        <v>0</v>
      </c>
      <c r="M109" s="42"/>
      <c r="N109" s="42">
        <v>3</v>
      </c>
      <c r="O109" s="126" t="s">
        <v>0</v>
      </c>
      <c r="P109" s="42" t="s">
        <v>0</v>
      </c>
      <c r="Q109" s="126" t="s">
        <v>0</v>
      </c>
      <c r="R109" s="126">
        <f t="shared" si="10"/>
        <v>3</v>
      </c>
      <c r="S109" s="126">
        <f t="shared" si="11"/>
        <v>9.7402597402597407E-2</v>
      </c>
    </row>
    <row r="110" spans="1:19" x14ac:dyDescent="0.25">
      <c r="A110" s="43" t="s">
        <v>1654</v>
      </c>
      <c r="B110" s="42" t="s">
        <v>2</v>
      </c>
      <c r="C110" s="42" t="s">
        <v>1023</v>
      </c>
      <c r="D110" s="42" t="s">
        <v>1486</v>
      </c>
      <c r="E110" s="42">
        <v>14.1</v>
      </c>
      <c r="F110" s="42">
        <v>1.2</v>
      </c>
      <c r="G110" s="42" t="s">
        <v>0</v>
      </c>
      <c r="H110" s="42" t="s">
        <v>57</v>
      </c>
      <c r="I110" s="42" t="s">
        <v>1487</v>
      </c>
      <c r="J110" s="42">
        <v>0.03</v>
      </c>
      <c r="K110" s="42"/>
      <c r="L110" s="42" t="s">
        <v>0</v>
      </c>
      <c r="M110" s="42"/>
      <c r="N110" s="42">
        <v>4.2</v>
      </c>
      <c r="O110" s="126" t="s">
        <v>0</v>
      </c>
      <c r="P110" s="42" t="s">
        <v>0</v>
      </c>
      <c r="Q110" s="126" t="s">
        <v>0</v>
      </c>
      <c r="R110" s="126">
        <f t="shared" si="10"/>
        <v>4.2</v>
      </c>
      <c r="S110" s="126">
        <f t="shared" si="11"/>
        <v>0.29787234042553196</v>
      </c>
    </row>
    <row r="111" spans="1:19" x14ac:dyDescent="0.25">
      <c r="A111" s="43" t="s">
        <v>1654</v>
      </c>
      <c r="B111" s="42" t="s">
        <v>2</v>
      </c>
      <c r="C111" s="42" t="s">
        <v>1023</v>
      </c>
      <c r="D111" s="42" t="s">
        <v>1489</v>
      </c>
      <c r="E111" s="42">
        <v>12.1</v>
      </c>
      <c r="F111" s="42">
        <v>1.3</v>
      </c>
      <c r="G111" s="42" t="s">
        <v>0</v>
      </c>
      <c r="H111" s="42" t="s">
        <v>57</v>
      </c>
      <c r="I111" s="42" t="s">
        <v>1490</v>
      </c>
      <c r="J111" s="42">
        <v>0</v>
      </c>
      <c r="K111" s="42"/>
      <c r="L111" s="42" t="s">
        <v>0</v>
      </c>
      <c r="M111" s="42"/>
      <c r="N111" s="42">
        <v>1.5</v>
      </c>
      <c r="O111" s="126" t="s">
        <v>0</v>
      </c>
      <c r="P111" s="42" t="s">
        <v>0</v>
      </c>
      <c r="Q111" s="126" t="s">
        <v>0</v>
      </c>
      <c r="R111" s="126">
        <f t="shared" si="10"/>
        <v>1.5</v>
      </c>
      <c r="S111" s="126">
        <f t="shared" si="11"/>
        <v>0.12396694214876033</v>
      </c>
    </row>
    <row r="112" spans="1:19" x14ac:dyDescent="0.25">
      <c r="A112" s="43" t="s">
        <v>1655</v>
      </c>
      <c r="B112" s="42" t="s">
        <v>2</v>
      </c>
      <c r="C112" s="42" t="s">
        <v>1259</v>
      </c>
      <c r="D112" s="42" t="s">
        <v>1492</v>
      </c>
      <c r="E112" s="42">
        <f>11.654/F112+79.13</f>
        <v>95.58270588235294</v>
      </c>
      <c r="F112" s="42">
        <f>17/24</f>
        <v>0.70833333333333337</v>
      </c>
      <c r="G112" s="42" t="s">
        <v>0</v>
      </c>
      <c r="H112" s="42" t="s">
        <v>57</v>
      </c>
      <c r="I112" s="42" t="s">
        <v>1493</v>
      </c>
      <c r="J112" s="42">
        <v>16.331034482758621</v>
      </c>
      <c r="K112" s="42">
        <v>2.8062</v>
      </c>
      <c r="L112" s="42">
        <v>0.4889</v>
      </c>
      <c r="M112" s="42" t="s">
        <v>0</v>
      </c>
      <c r="N112" s="42">
        <v>23.834482758620691</v>
      </c>
      <c r="O112" s="42">
        <v>4.2092000000000001</v>
      </c>
      <c r="P112" s="42">
        <v>0.73329999999999995</v>
      </c>
      <c r="Q112" s="126" t="s">
        <v>0</v>
      </c>
      <c r="R112" s="126">
        <f t="shared" si="10"/>
        <v>28.77698275862069</v>
      </c>
      <c r="S112" s="126">
        <f t="shared" si="11"/>
        <v>0.30106892761584469</v>
      </c>
    </row>
    <row r="113" spans="1:19" x14ac:dyDescent="0.25">
      <c r="A113" s="43" t="s">
        <v>1656</v>
      </c>
      <c r="B113" s="42" t="s">
        <v>2</v>
      </c>
      <c r="C113" s="42" t="s">
        <v>1259</v>
      </c>
      <c r="D113" s="42" t="s">
        <v>1501</v>
      </c>
      <c r="E113" s="42">
        <f>11.654/F113+39.687</f>
        <v>56.139705882352942</v>
      </c>
      <c r="F113" s="42">
        <f>17/24</f>
        <v>0.70833333333333337</v>
      </c>
      <c r="G113" s="42" t="s">
        <v>0</v>
      </c>
      <c r="H113" s="42" t="s">
        <v>57</v>
      </c>
      <c r="I113" s="42" t="s">
        <v>1502</v>
      </c>
      <c r="J113" s="42">
        <v>6.8608000000000002</v>
      </c>
      <c r="K113" s="42">
        <v>2.6751999999999998</v>
      </c>
      <c r="L113" s="42">
        <v>0.1008</v>
      </c>
      <c r="M113" s="42" t="s">
        <v>0</v>
      </c>
      <c r="N113" s="42">
        <v>10.151724137931033</v>
      </c>
      <c r="O113" s="42">
        <v>3.9753846153846153</v>
      </c>
      <c r="P113" s="42">
        <v>0.35</v>
      </c>
      <c r="Q113" s="126" t="s">
        <v>0</v>
      </c>
      <c r="R113" s="126">
        <f t="shared" si="10"/>
        <v>14.477108753315649</v>
      </c>
      <c r="S113" s="126">
        <f t="shared" si="11"/>
        <v>0.25787646240352696</v>
      </c>
    </row>
    <row r="114" spans="1:19" x14ac:dyDescent="0.25">
      <c r="A114" s="43" t="s">
        <v>1656</v>
      </c>
      <c r="B114" s="42" t="s">
        <v>2</v>
      </c>
      <c r="C114" s="42" t="s">
        <v>1259</v>
      </c>
      <c r="D114" s="42" t="s">
        <v>1506</v>
      </c>
      <c r="E114" s="42">
        <f>11.654/F114+39.687</f>
        <v>56.139705882352942</v>
      </c>
      <c r="F114" s="42">
        <f>17/24</f>
        <v>0.70833333333333337</v>
      </c>
      <c r="G114" s="42" t="s">
        <v>0</v>
      </c>
      <c r="H114" s="42" t="s">
        <v>57</v>
      </c>
      <c r="I114" s="42" t="s">
        <v>1507</v>
      </c>
      <c r="J114" s="42">
        <v>4.7615999999999996</v>
      </c>
      <c r="K114" s="42">
        <v>2.0064000000000002</v>
      </c>
      <c r="L114" s="42">
        <v>0.2112</v>
      </c>
      <c r="M114" s="42" t="s">
        <v>0</v>
      </c>
      <c r="N114" s="42">
        <v>6.3999999999999995</v>
      </c>
      <c r="O114" s="42">
        <v>2.8061538461538458</v>
      </c>
      <c r="P114" s="42">
        <v>0.25</v>
      </c>
      <c r="Q114" s="126" t="s">
        <v>0</v>
      </c>
      <c r="R114" s="126">
        <f t="shared" si="10"/>
        <v>9.4561538461538461</v>
      </c>
      <c r="S114" s="126">
        <f t="shared" si="11"/>
        <v>0.16843967558309406</v>
      </c>
    </row>
    <row r="115" spans="1:19" x14ac:dyDescent="0.25">
      <c r="A115" s="43" t="s">
        <v>1656</v>
      </c>
      <c r="B115" s="42" t="s">
        <v>2</v>
      </c>
      <c r="C115" s="42" t="s">
        <v>1259</v>
      </c>
      <c r="D115" s="42" t="s">
        <v>1511</v>
      </c>
      <c r="E115" s="42">
        <f>11.654/F115+39.687</f>
        <v>56.139705882352942</v>
      </c>
      <c r="F115" s="42">
        <f>17/24</f>
        <v>0.70833333333333337</v>
      </c>
      <c r="G115" s="42" t="s">
        <v>0</v>
      </c>
      <c r="H115" s="42" t="s">
        <v>57</v>
      </c>
      <c r="I115" s="42" t="s">
        <v>1512</v>
      </c>
      <c r="J115" s="42" t="s">
        <v>0</v>
      </c>
      <c r="K115" s="42" t="s">
        <v>0</v>
      </c>
      <c r="L115" s="42" t="s">
        <v>0</v>
      </c>
      <c r="M115" s="42" t="s">
        <v>0</v>
      </c>
      <c r="N115" s="42" t="s">
        <v>0</v>
      </c>
      <c r="O115" s="42" t="s">
        <v>0</v>
      </c>
      <c r="P115" s="42" t="s">
        <v>0</v>
      </c>
      <c r="Q115" s="126" t="s">
        <v>0</v>
      </c>
      <c r="R115" s="126">
        <f t="shared" si="10"/>
        <v>0</v>
      </c>
      <c r="S115" s="126">
        <f t="shared" si="11"/>
        <v>0</v>
      </c>
    </row>
    <row r="116" spans="1:19" x14ac:dyDescent="0.25">
      <c r="A116" s="14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</sheetData>
  <mergeCells count="1">
    <mergeCell ref="H2:I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 me</vt:lpstr>
      <vt:lpstr>Batch</vt:lpstr>
      <vt:lpstr>Fed-batch</vt:lpstr>
      <vt:lpstr>(semi-)Continuous</vt:lpstr>
      <vt:lpstr>OLR and MCCA production rate</vt:lpstr>
      <vt:lpstr>Effect of inoculum type</vt:lpstr>
      <vt:lpstr>Effect of HRT and extraction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 De Groof</dc:creator>
  <cp:lastModifiedBy>Vicky De Groof</cp:lastModifiedBy>
  <dcterms:created xsi:type="dcterms:W3CDTF">2019-01-07T14:47:03Z</dcterms:created>
  <dcterms:modified xsi:type="dcterms:W3CDTF">2019-01-09T16:03:45Z</dcterms:modified>
</cp:coreProperties>
</file>